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4355" windowHeight="4380"/>
  </bookViews>
  <sheets>
    <sheet name="PM" sheetId="1" r:id="rId1"/>
    <sheet name="scoring" sheetId="4" r:id="rId2"/>
    <sheet name="weighting" sheetId="10" r:id="rId3"/>
    <sheet name="sensitivity analysis (1)" sheetId="11" r:id="rId4"/>
    <sheet name="sensitivity analysis (2)" sheetId="13" r:id="rId5"/>
  </sheets>
  <calcPr calcId="145621"/>
</workbook>
</file>

<file path=xl/calcChain.xml><?xml version="1.0" encoding="utf-8"?>
<calcChain xmlns="http://schemas.openxmlformats.org/spreadsheetml/2006/main">
  <c r="E17" i="1" l="1"/>
  <c r="E18" i="1" l="1"/>
  <c r="R69" i="1"/>
  <c r="E16" i="1"/>
  <c r="E15" i="1"/>
  <c r="R66" i="1"/>
  <c r="R63" i="1"/>
  <c r="R60" i="1"/>
  <c r="L18" i="1" l="1"/>
  <c r="L17" i="1"/>
  <c r="L16" i="1"/>
  <c r="L15" i="1"/>
  <c r="X54" i="1"/>
  <c r="X53" i="1"/>
  <c r="X51" i="1"/>
  <c r="X49" i="1"/>
  <c r="W55" i="1"/>
  <c r="W54" i="1"/>
  <c r="U53" i="1"/>
  <c r="U52" i="1"/>
  <c r="T51" i="1"/>
  <c r="U51" i="1"/>
  <c r="V51" i="1"/>
  <c r="W51" i="1"/>
  <c r="S51" i="1"/>
  <c r="W50" i="1"/>
  <c r="T50" i="1"/>
  <c r="U50" i="1"/>
  <c r="V50" i="1"/>
  <c r="S50" i="1"/>
  <c r="T49" i="1"/>
  <c r="T48" i="1"/>
  <c r="R49" i="1"/>
  <c r="R48" i="1"/>
  <c r="L14" i="1" l="1"/>
  <c r="V20" i="1"/>
  <c r="I15" i="1" l="1"/>
  <c r="I16" i="1"/>
  <c r="I17" i="1"/>
  <c r="I18" i="1"/>
  <c r="I14" i="1"/>
  <c r="T21" i="1"/>
  <c r="T22" i="1"/>
  <c r="T23" i="1"/>
  <c r="T24" i="1"/>
  <c r="T20" i="1"/>
  <c r="S21" i="1"/>
  <c r="S22" i="1"/>
  <c r="S23" i="1"/>
  <c r="S24" i="1"/>
  <c r="S20" i="1"/>
  <c r="D15" i="10" l="1"/>
  <c r="D16" i="10"/>
  <c r="D17" i="10"/>
  <c r="D18" i="10"/>
  <c r="D14" i="10"/>
  <c r="D15" i="4"/>
  <c r="D16" i="4"/>
  <c r="D17" i="4"/>
  <c r="D18" i="4"/>
  <c r="D14" i="4"/>
  <c r="K24" i="13" l="1"/>
  <c r="I24" i="13"/>
  <c r="M22" i="13"/>
  <c r="D7" i="13"/>
  <c r="B7" i="13"/>
  <c r="D6" i="13"/>
  <c r="B6" i="13"/>
  <c r="D5" i="13"/>
  <c r="B5" i="13"/>
  <c r="D4" i="13"/>
  <c r="B4" i="13"/>
  <c r="D3" i="13"/>
  <c r="B3" i="13"/>
  <c r="D2" i="13"/>
  <c r="B2" i="13"/>
  <c r="B8" i="13" s="1"/>
  <c r="D1" i="13"/>
  <c r="B1" i="13"/>
  <c r="K24" i="11" l="1"/>
  <c r="I24" i="11"/>
  <c r="M22" i="11"/>
  <c r="D7" i="11"/>
  <c r="B7" i="11"/>
  <c r="D6" i="11"/>
  <c r="B6" i="11"/>
  <c r="D5" i="11"/>
  <c r="B5" i="11"/>
  <c r="D4" i="11"/>
  <c r="B4" i="11"/>
  <c r="D3" i="11"/>
  <c r="B3" i="11"/>
  <c r="D2" i="11"/>
  <c r="B2" i="11"/>
  <c r="B8" i="11" s="1"/>
  <c r="D1" i="11"/>
  <c r="B1" i="11"/>
  <c r="K22" i="10"/>
  <c r="I22" i="10"/>
  <c r="M20" i="10"/>
  <c r="L18" i="4"/>
  <c r="L17" i="4"/>
  <c r="L16" i="4"/>
  <c r="L15" i="4"/>
  <c r="L14" i="4"/>
  <c r="K18" i="4"/>
  <c r="K17" i="4"/>
  <c r="K16" i="4"/>
  <c r="K15" i="4"/>
  <c r="K14" i="4"/>
  <c r="J18" i="4"/>
  <c r="J17" i="4"/>
  <c r="J16" i="4"/>
  <c r="J15" i="4"/>
  <c r="J14" i="4"/>
  <c r="I18" i="4"/>
  <c r="I17" i="4"/>
  <c r="I16" i="4"/>
  <c r="I15" i="4"/>
  <c r="I14" i="4"/>
  <c r="H18" i="4"/>
  <c r="H17" i="4"/>
  <c r="H16" i="4"/>
  <c r="H15" i="4"/>
  <c r="H14" i="4"/>
  <c r="G18" i="4"/>
  <c r="G17" i="4"/>
  <c r="G16" i="4"/>
  <c r="G15" i="4"/>
  <c r="G14" i="4"/>
  <c r="D7" i="10"/>
  <c r="B7" i="10"/>
  <c r="D6" i="10"/>
  <c r="B6" i="10"/>
  <c r="D5" i="10"/>
  <c r="B5" i="10"/>
  <c r="D4" i="10"/>
  <c r="B4" i="10"/>
  <c r="D3" i="10"/>
  <c r="B3" i="10"/>
  <c r="D2" i="10"/>
  <c r="B2" i="10"/>
  <c r="B8" i="10" s="1"/>
  <c r="D1" i="10"/>
  <c r="B1" i="10"/>
  <c r="F18" i="4"/>
  <c r="F17" i="4"/>
  <c r="F16" i="4"/>
  <c r="F15" i="4"/>
  <c r="E19" i="13"/>
  <c r="E18" i="4"/>
  <c r="E17" i="4"/>
  <c r="E16" i="4"/>
  <c r="E15" i="4"/>
  <c r="E16" i="10" l="1"/>
  <c r="E16" i="13"/>
  <c r="E15" i="11"/>
  <c r="E15" i="13"/>
  <c r="E17" i="11"/>
  <c r="E17" i="13"/>
  <c r="F15" i="11"/>
  <c r="F15" i="13"/>
  <c r="F17" i="11"/>
  <c r="F17" i="13"/>
  <c r="G14" i="11"/>
  <c r="G14" i="13"/>
  <c r="G16" i="11"/>
  <c r="G16" i="13"/>
  <c r="G18" i="11"/>
  <c r="G18" i="13"/>
  <c r="G19" i="11"/>
  <c r="G19" i="13"/>
  <c r="H14" i="11"/>
  <c r="H14" i="13"/>
  <c r="H16" i="11"/>
  <c r="H16" i="13"/>
  <c r="H18" i="11"/>
  <c r="H18" i="13"/>
  <c r="H19" i="11"/>
  <c r="H19" i="13"/>
  <c r="I14" i="11"/>
  <c r="I14" i="13"/>
  <c r="I16" i="11"/>
  <c r="I16" i="13"/>
  <c r="I18" i="11"/>
  <c r="I18" i="13"/>
  <c r="I19" i="11"/>
  <c r="I19" i="13"/>
  <c r="J14" i="11"/>
  <c r="J14" i="13"/>
  <c r="J16" i="11"/>
  <c r="J16" i="13"/>
  <c r="J18" i="11"/>
  <c r="J18" i="13"/>
  <c r="J19" i="11"/>
  <c r="J19" i="13"/>
  <c r="K14" i="11"/>
  <c r="K14" i="13"/>
  <c r="K16" i="11"/>
  <c r="K16" i="13"/>
  <c r="K18" i="11"/>
  <c r="K18" i="13"/>
  <c r="K19" i="11"/>
  <c r="K19" i="13"/>
  <c r="L14" i="11"/>
  <c r="L14" i="13"/>
  <c r="L16" i="11"/>
  <c r="L16" i="13"/>
  <c r="L18" i="11"/>
  <c r="L18" i="13"/>
  <c r="L19" i="11"/>
  <c r="L19" i="13"/>
  <c r="E18" i="10"/>
  <c r="E18" i="13"/>
  <c r="F16" i="11"/>
  <c r="F16" i="13"/>
  <c r="M16" i="13" s="1"/>
  <c r="F18" i="11"/>
  <c r="F18" i="13"/>
  <c r="M18" i="13" s="1"/>
  <c r="F19" i="11"/>
  <c r="F19" i="13"/>
  <c r="M19" i="13" s="1"/>
  <c r="G15" i="11"/>
  <c r="G15" i="13"/>
  <c r="G17" i="11"/>
  <c r="G17" i="13"/>
  <c r="G20" i="11"/>
  <c r="G20" i="13"/>
  <c r="H15" i="11"/>
  <c r="H15" i="13"/>
  <c r="H17" i="11"/>
  <c r="H17" i="13"/>
  <c r="H20" i="11"/>
  <c r="H20" i="13"/>
  <c r="I15" i="10"/>
  <c r="I15" i="13"/>
  <c r="I17" i="10"/>
  <c r="I17" i="13"/>
  <c r="I20" i="13"/>
  <c r="J15" i="10"/>
  <c r="J15" i="13"/>
  <c r="J17" i="10"/>
  <c r="J17" i="13"/>
  <c r="J20" i="13"/>
  <c r="K15" i="11"/>
  <c r="K15" i="13"/>
  <c r="K17" i="11"/>
  <c r="K17" i="13"/>
  <c r="K20" i="11"/>
  <c r="K20" i="13"/>
  <c r="L15" i="11"/>
  <c r="L15" i="13"/>
  <c r="L17" i="11"/>
  <c r="L17" i="13"/>
  <c r="L20" i="11"/>
  <c r="L20" i="13"/>
  <c r="F18" i="10"/>
  <c r="F17" i="10"/>
  <c r="F16" i="10"/>
  <c r="F15" i="10"/>
  <c r="K14" i="10"/>
  <c r="K16" i="10"/>
  <c r="K18" i="10"/>
  <c r="K15" i="10"/>
  <c r="K17" i="10"/>
  <c r="J14" i="10"/>
  <c r="J16" i="10"/>
  <c r="J18" i="10"/>
  <c r="J15" i="11"/>
  <c r="J17" i="11"/>
  <c r="J20" i="11"/>
  <c r="H14" i="10"/>
  <c r="H16" i="10"/>
  <c r="H18" i="10"/>
  <c r="H15" i="10"/>
  <c r="H17" i="10"/>
  <c r="L14" i="10"/>
  <c r="L16" i="10"/>
  <c r="L18" i="10"/>
  <c r="L15" i="10"/>
  <c r="L17" i="10"/>
  <c r="I14" i="10"/>
  <c r="I16" i="10"/>
  <c r="I18" i="10"/>
  <c r="I15" i="11"/>
  <c r="I17" i="11"/>
  <c r="I20" i="11"/>
  <c r="G15" i="10"/>
  <c r="G17" i="10"/>
  <c r="G14" i="10"/>
  <c r="G16" i="10"/>
  <c r="G18" i="10"/>
  <c r="E15" i="10"/>
  <c r="E17" i="10"/>
  <c r="E16" i="11"/>
  <c r="M16" i="11" s="1"/>
  <c r="E18" i="11"/>
  <c r="E19" i="11"/>
  <c r="M19" i="11" s="1"/>
  <c r="F20" i="13"/>
  <c r="F14" i="4"/>
  <c r="F14" i="13" s="1"/>
  <c r="M17" i="11" l="1"/>
  <c r="M15" i="11"/>
  <c r="M18" i="11"/>
  <c r="M15" i="10"/>
  <c r="M17" i="13"/>
  <c r="M15" i="13"/>
  <c r="M16" i="10"/>
  <c r="F20" i="11"/>
  <c r="M18" i="10"/>
  <c r="F14" i="11"/>
  <c r="F14" i="10"/>
  <c r="M17" i="10"/>
  <c r="E20" i="13"/>
  <c r="M20" i="13" s="1"/>
  <c r="M18" i="4"/>
  <c r="M17" i="4"/>
  <c r="M16" i="4"/>
  <c r="M15" i="4"/>
  <c r="E14" i="4"/>
  <c r="E14" i="13" s="1"/>
  <c r="M14" i="13" s="1"/>
  <c r="D7" i="4"/>
  <c r="B7" i="4"/>
  <c r="D6" i="4"/>
  <c r="B6" i="4"/>
  <c r="D5" i="4"/>
  <c r="B5" i="4"/>
  <c r="D4" i="4"/>
  <c r="B4" i="4"/>
  <c r="D3" i="4"/>
  <c r="B3" i="4"/>
  <c r="D2" i="4"/>
  <c r="B2" i="4"/>
  <c r="B8" i="4" s="1"/>
  <c r="D1" i="4"/>
  <c r="B1" i="4"/>
  <c r="D7" i="1"/>
  <c r="D6" i="1"/>
  <c r="D5" i="1"/>
  <c r="D4" i="1"/>
  <c r="D3" i="1"/>
  <c r="D2" i="1"/>
  <c r="D1" i="1"/>
  <c r="B7" i="1"/>
  <c r="B6" i="1"/>
  <c r="B5" i="1"/>
  <c r="B4" i="1"/>
  <c r="B3" i="1"/>
  <c r="B2" i="1"/>
  <c r="B1" i="1"/>
  <c r="N20" i="13" l="1"/>
  <c r="N14" i="13"/>
  <c r="N15" i="13"/>
  <c r="N16" i="13"/>
  <c r="N19" i="13"/>
  <c r="N17" i="13"/>
  <c r="N18" i="13"/>
  <c r="M14" i="4"/>
  <c r="E14" i="10"/>
  <c r="M14" i="10" s="1"/>
  <c r="E14" i="11"/>
  <c r="M14" i="11" s="1"/>
  <c r="E20" i="11"/>
  <c r="M20" i="11" s="1"/>
  <c r="N20" i="11" s="1"/>
  <c r="B8" i="1"/>
  <c r="N14" i="10" l="1"/>
  <c r="N14" i="4"/>
  <c r="N17" i="10"/>
  <c r="N15" i="4"/>
  <c r="N16" i="4"/>
  <c r="N16" i="10"/>
  <c r="N17" i="4"/>
  <c r="N15" i="10"/>
  <c r="N18" i="10"/>
  <c r="N18" i="4"/>
  <c r="N14" i="11"/>
  <c r="N18" i="11"/>
  <c r="N19" i="11"/>
  <c r="N15" i="11"/>
  <c r="N17" i="11"/>
  <c r="N16" i="11"/>
</calcChain>
</file>

<file path=xl/sharedStrings.xml><?xml version="1.0" encoding="utf-8"?>
<sst xmlns="http://schemas.openxmlformats.org/spreadsheetml/2006/main" count="237" uniqueCount="119">
  <si>
    <t>Direct cost</t>
  </si>
  <si>
    <t>Public Financing</t>
  </si>
  <si>
    <t>Implementation Barriers</t>
  </si>
  <si>
    <t>Ease of implementation</t>
  </si>
  <si>
    <t>Economic</t>
  </si>
  <si>
    <t>Job creation</t>
  </si>
  <si>
    <t>Climate</t>
  </si>
  <si>
    <t>Social</t>
  </si>
  <si>
    <t>CRITERIA AND INDICATORS</t>
  </si>
  <si>
    <t>TECHNOLOGY</t>
  </si>
  <si>
    <t>WEIGHTS</t>
  </si>
  <si>
    <t>VH</t>
  </si>
  <si>
    <t>M</t>
  </si>
  <si>
    <t>E</t>
  </si>
  <si>
    <t>Hard = 25</t>
  </si>
  <si>
    <t>Very Hard = 0</t>
  </si>
  <si>
    <t>TOTAL</t>
  </si>
  <si>
    <t>Moderate = 50</t>
  </si>
  <si>
    <t>Easy = 75</t>
  </si>
  <si>
    <t>Very Easy = 100</t>
  </si>
  <si>
    <t>VE</t>
  </si>
  <si>
    <t>H</t>
  </si>
  <si>
    <t>m</t>
  </si>
  <si>
    <t>L</t>
  </si>
  <si>
    <t>VL</t>
  </si>
  <si>
    <t>h</t>
  </si>
  <si>
    <t>Energy industries</t>
  </si>
  <si>
    <t>Energy Industries</t>
  </si>
  <si>
    <t>Solar PV (&gt;1MW)</t>
  </si>
  <si>
    <t>Wind (utility scale)</t>
  </si>
  <si>
    <t>Small-scale hydro (&gt;50kW)</t>
  </si>
  <si>
    <t>EE HVAC (industrial)</t>
  </si>
  <si>
    <t>EE Bldg Des (exterior insulation)</t>
  </si>
  <si>
    <t>HE Compressors (industrial)</t>
  </si>
  <si>
    <t>EE Boilers/Heat recovery</t>
  </si>
  <si>
    <t>replicability</t>
  </si>
  <si>
    <t>Energy bill</t>
  </si>
  <si>
    <t>Ease of implementation (0-100)</t>
  </si>
  <si>
    <t>GHG reduction (tCO2/kW)</t>
  </si>
  <si>
    <t>catalysing private invest (0-100)</t>
  </si>
  <si>
    <t>replicability (0-100)</t>
  </si>
  <si>
    <t>VL5</t>
  </si>
  <si>
    <t>VL10</t>
  </si>
  <si>
    <t>VL15</t>
  </si>
  <si>
    <t>VL20</t>
  </si>
  <si>
    <t>L30</t>
  </si>
  <si>
    <t>L35</t>
  </si>
  <si>
    <t>L40</t>
  </si>
  <si>
    <t>L45</t>
  </si>
  <si>
    <t>M55</t>
  </si>
  <si>
    <t>M60</t>
  </si>
  <si>
    <t>M65</t>
  </si>
  <si>
    <t>M70</t>
  </si>
  <si>
    <t>H80</t>
  </si>
  <si>
    <t>H85</t>
  </si>
  <si>
    <t>H90</t>
  </si>
  <si>
    <t>H95</t>
  </si>
  <si>
    <t>catalysing private investment</t>
  </si>
  <si>
    <t>Impact on health</t>
  </si>
  <si>
    <t>Reduction in energy bill</t>
  </si>
  <si>
    <t>positive impact on health (0-100)</t>
  </si>
  <si>
    <t>GHG reduction (tCO2)</t>
  </si>
  <si>
    <t>job creation (number)</t>
  </si>
  <si>
    <t>Reduction in energy bill (MRs)</t>
  </si>
  <si>
    <t>Incremental cost (Rs/tCO2)</t>
  </si>
  <si>
    <t>m70</t>
  </si>
  <si>
    <t>m60</t>
  </si>
  <si>
    <t>l</t>
  </si>
  <si>
    <t>m65</t>
  </si>
  <si>
    <t>h80</t>
  </si>
  <si>
    <t>l30</t>
  </si>
  <si>
    <t>vh5</t>
  </si>
  <si>
    <t>vh10</t>
  </si>
  <si>
    <t>vh15</t>
  </si>
  <si>
    <t>vh20</t>
  </si>
  <si>
    <t>h30</t>
  </si>
  <si>
    <t>h35</t>
  </si>
  <si>
    <t>h40</t>
  </si>
  <si>
    <t>h45</t>
  </si>
  <si>
    <t>m55</t>
  </si>
  <si>
    <t>E80</t>
  </si>
  <si>
    <t>E85</t>
  </si>
  <si>
    <t>E90</t>
  </si>
  <si>
    <t>E95</t>
  </si>
  <si>
    <t>RANK</t>
  </si>
  <si>
    <t>ENERGY INDUSTRIES</t>
  </si>
  <si>
    <t>EE</t>
  </si>
  <si>
    <t>Solar PV (utility scale)</t>
  </si>
  <si>
    <t>WTE</t>
  </si>
  <si>
    <t>Biomass</t>
  </si>
  <si>
    <t>GHG reduction (GgCO2)</t>
  </si>
  <si>
    <t>Calculating reduction in energy bill</t>
  </si>
  <si>
    <t>- calculating avoided bill assuming that equivalent GWh would be produced using fuel oil</t>
  </si>
  <si>
    <t>Using data from the all HFO-fueled power plants from 2012 and 2014 (taken from calculations of standardised grid emission factor)</t>
  </si>
  <si>
    <t>t(HFO)/MWh generated</t>
  </si>
  <si>
    <t>Rs/tonne(HFO)</t>
  </si>
  <si>
    <t xml:space="preserve">Wind </t>
  </si>
  <si>
    <t>PV</t>
  </si>
  <si>
    <t>MWH</t>
  </si>
  <si>
    <t>t(HFO)</t>
  </si>
  <si>
    <t>Cost (MRs)</t>
  </si>
  <si>
    <t>- for EE, used job creation factor from the TNA project</t>
  </si>
  <si>
    <t>jobs/GWh saved</t>
  </si>
  <si>
    <t>jobs</t>
  </si>
  <si>
    <t>Wind</t>
  </si>
  <si>
    <t>(MW)</t>
  </si>
  <si>
    <t>Construction and implementation (jobs/MW)</t>
  </si>
  <si>
    <t>Operation and maintenance</t>
  </si>
  <si>
    <t>- job creation factors taken from calculations of TNA. Used same factos for WTE and biomass.</t>
  </si>
  <si>
    <t>Jobs created</t>
  </si>
  <si>
    <t>Financing costs</t>
  </si>
  <si>
    <t>mUSD/MW</t>
  </si>
  <si>
    <t>- using fixed cost approach</t>
  </si>
  <si>
    <t>MW</t>
  </si>
  <si>
    <t>CapEx</t>
  </si>
  <si>
    <t>Rsto USD</t>
  </si>
  <si>
    <t>mRS</t>
  </si>
  <si>
    <t>USD/kW</t>
  </si>
  <si>
    <t>mRs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</si>
</sst>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DashDotDot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DashDotDot">
        <color indexed="64"/>
      </right>
      <top style="medium">
        <color indexed="64"/>
      </top>
      <bottom/>
      <diagonal/>
    </border>
    <border>
      <left style="medium">
        <color indexed="64"/>
      </left>
      <right style="mediumDashDotDot">
        <color indexed="64"/>
      </right>
      <top/>
      <bottom/>
      <diagonal/>
    </border>
    <border>
      <left style="mediumDashDotDot">
        <color indexed="64"/>
      </left>
      <right style="mediumDashDotDot">
        <color indexed="64"/>
      </right>
      <top/>
      <bottom style="medium">
        <color indexed="64"/>
      </bottom>
      <diagonal/>
    </border>
    <border>
      <left style="mediumDashDotDot">
        <color indexed="64"/>
      </left>
      <right style="mediumDashDotDot">
        <color indexed="64"/>
      </right>
      <top style="medium">
        <color indexed="64"/>
      </top>
      <bottom/>
      <diagonal/>
    </border>
    <border>
      <left style="mediumDashDotDot">
        <color indexed="64"/>
      </left>
      <right style="mediumDashDotDot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DashDotDot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DotDot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/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1" xfId="0" applyBorder="1"/>
    <xf numFmtId="0" fontId="1" fillId="10" borderId="2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10" xfId="0" applyBorder="1" applyAlignment="1">
      <alignment wrapText="1"/>
    </xf>
    <xf numFmtId="0" fontId="0" fillId="0" borderId="0" xfId="0" applyBorder="1"/>
    <xf numFmtId="0" fontId="0" fillId="6" borderId="4" xfId="0" applyFill="1" applyBorder="1"/>
    <xf numFmtId="0" fontId="0" fillId="0" borderId="5" xfId="0" applyBorder="1" applyAlignment="1">
      <alignment wrapText="1"/>
    </xf>
    <xf numFmtId="0" fontId="0" fillId="0" borderId="11" xfId="0" applyBorder="1"/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wrapText="1"/>
    </xf>
    <xf numFmtId="0" fontId="1" fillId="9" borderId="0" xfId="0" applyFont="1" applyFill="1" applyBorder="1"/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9" borderId="0" xfId="0" applyFill="1" applyAlignment="1">
      <alignment horizontal="center"/>
    </xf>
    <xf numFmtId="164" fontId="0" fillId="0" borderId="12" xfId="0" applyNumberFormat="1" applyBorder="1" applyAlignment="1">
      <alignment horizontal="center"/>
    </xf>
    <xf numFmtId="0" fontId="1" fillId="4" borderId="3" xfId="0" applyFont="1" applyFill="1" applyBorder="1" applyAlignment="1">
      <alignment horizontal="center" wrapText="1"/>
    </xf>
    <xf numFmtId="0" fontId="1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 vertical="top" wrapText="1"/>
    </xf>
    <xf numFmtId="0" fontId="0" fillId="4" borderId="13" xfId="0" applyFill="1" applyBorder="1" applyAlignment="1">
      <alignment horizontal="center" vertical="top" wrapText="1"/>
    </xf>
    <xf numFmtId="0" fontId="0" fillId="4" borderId="13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4" borderId="9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wrapText="1"/>
    </xf>
    <xf numFmtId="0" fontId="0" fillId="0" borderId="9" xfId="0" applyBorder="1"/>
    <xf numFmtId="0" fontId="0" fillId="0" borderId="14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6" borderId="9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 wrapText="1"/>
    </xf>
    <xf numFmtId="0" fontId="0" fillId="4" borderId="9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6" borderId="0" xfId="0" applyFill="1" applyBorder="1"/>
    <xf numFmtId="0" fontId="0" fillId="6" borderId="0" xfId="0" applyFill="1"/>
    <xf numFmtId="0" fontId="0" fillId="6" borderId="0" xfId="0" applyFill="1" applyBorder="1" applyAlignment="1">
      <alignment wrapText="1"/>
    </xf>
    <xf numFmtId="0" fontId="0" fillId="0" borderId="17" xfId="0" applyBorder="1"/>
    <xf numFmtId="0" fontId="0" fillId="0" borderId="0" xfId="0" applyFill="1"/>
    <xf numFmtId="164" fontId="0" fillId="0" borderId="12" xfId="0" applyNumberFormat="1" applyBorder="1" applyAlignment="1">
      <alignment horizontal="center" vertical="top" wrapText="1"/>
    </xf>
    <xf numFmtId="164" fontId="0" fillId="0" borderId="15" xfId="0" applyNumberFormat="1" applyBorder="1" applyAlignment="1">
      <alignment horizontal="center" vertical="top" wrapText="1"/>
    </xf>
    <xf numFmtId="164" fontId="0" fillId="0" borderId="8" xfId="0" applyNumberFormat="1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2" borderId="0" xfId="0" applyFill="1"/>
    <xf numFmtId="0" fontId="0" fillId="13" borderId="0" xfId="0" applyFill="1" applyAlignment="1">
      <alignment horizontal="center"/>
    </xf>
    <xf numFmtId="165" fontId="0" fillId="0" borderId="12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15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1" fillId="14" borderId="0" xfId="0" applyFont="1" applyFill="1" applyAlignment="1">
      <alignment horizontal="center"/>
    </xf>
    <xf numFmtId="0" fontId="1" fillId="14" borderId="3" xfId="0" applyFont="1" applyFill="1" applyBorder="1" applyAlignment="1">
      <alignment horizontal="center" wrapText="1"/>
    </xf>
    <xf numFmtId="2" fontId="1" fillId="4" borderId="2" xfId="0" applyNumberFormat="1" applyFont="1" applyFill="1" applyBorder="1" applyAlignment="1">
      <alignment horizontal="center"/>
    </xf>
    <xf numFmtId="0" fontId="1" fillId="14" borderId="20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0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1" fillId="1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0" fontId="1" fillId="14" borderId="2" xfId="0" applyFont="1" applyFill="1" applyBorder="1" applyAlignment="1">
      <alignment horizontal="center" wrapText="1"/>
    </xf>
    <xf numFmtId="0" fontId="1" fillId="15" borderId="2" xfId="0" applyFont="1" applyFill="1" applyBorder="1" applyAlignment="1">
      <alignment horizontal="center" wrapText="1"/>
    </xf>
    <xf numFmtId="0" fontId="1" fillId="15" borderId="4" xfId="0" applyFont="1" applyFill="1" applyBorder="1" applyAlignment="1">
      <alignment horizontal="center"/>
    </xf>
    <xf numFmtId="0" fontId="1" fillId="15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wrapText="1"/>
    </xf>
    <xf numFmtId="0" fontId="3" fillId="5" borderId="9" xfId="0" applyFont="1" applyFill="1" applyBorder="1" applyAlignment="1">
      <alignment horizontal="center" wrapText="1"/>
    </xf>
    <xf numFmtId="0" fontId="1" fillId="6" borderId="4" xfId="0" applyFont="1" applyFill="1" applyBorder="1"/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2" borderId="0" xfId="0" applyFill="1"/>
    <xf numFmtId="0" fontId="0" fillId="0" borderId="21" xfId="0" applyBorder="1"/>
    <xf numFmtId="0" fontId="1" fillId="0" borderId="2" xfId="0" applyFont="1" applyBorder="1"/>
    <xf numFmtId="0" fontId="0" fillId="0" borderId="0" xfId="0" quotePrefix="1"/>
    <xf numFmtId="0" fontId="1" fillId="2" borderId="0" xfId="0" applyFont="1" applyFill="1"/>
    <xf numFmtId="165" fontId="0" fillId="0" borderId="22" xfId="0" applyNumberFormat="1" applyFill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4" borderId="11" xfId="0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166" fontId="0" fillId="0" borderId="0" xfId="0" applyNumberFormat="1" applyFill="1"/>
    <xf numFmtId="1" fontId="0" fillId="0" borderId="8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/>
    <xf numFmtId="0" fontId="0" fillId="3" borderId="7" xfId="0" applyFill="1" applyBorder="1" applyAlignment="1">
      <alignment horizontal="center"/>
    </xf>
    <xf numFmtId="0" fontId="0" fillId="2" borderId="0" xfId="0" applyFill="1"/>
    <xf numFmtId="0" fontId="0" fillId="8" borderId="0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13" borderId="0" xfId="0" applyFill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"/>
  <sheetViews>
    <sheetView tabSelected="1" topLeftCell="F45" zoomScale="80" zoomScaleNormal="80" workbookViewId="0">
      <selection activeCell="X53" sqref="X53"/>
    </sheetView>
  </sheetViews>
  <sheetFormatPr defaultRowHeight="15" x14ac:dyDescent="0.25"/>
  <cols>
    <col min="1" max="1" width="0" hidden="1" customWidth="1"/>
    <col min="2" max="2" width="1.5703125" hidden="1" customWidth="1"/>
    <col min="3" max="3" width="1.28515625" customWidth="1"/>
    <col min="4" max="4" width="29.5703125" customWidth="1"/>
    <col min="5" max="5" width="9.7109375" customWidth="1"/>
    <col min="6" max="6" width="13.5703125" customWidth="1"/>
    <col min="7" max="7" width="12.85546875" customWidth="1"/>
    <col min="8" max="8" width="9.85546875" customWidth="1"/>
    <col min="9" max="9" width="11.140625" customWidth="1"/>
    <col min="10" max="10" width="11.42578125" customWidth="1"/>
    <col min="11" max="11" width="11.5703125" customWidth="1"/>
    <col min="12" max="12" width="9.42578125" customWidth="1"/>
    <col min="13" max="15" width="10.42578125" customWidth="1"/>
    <col min="18" max="18" width="12" bestFit="1" customWidth="1"/>
  </cols>
  <sheetData>
    <row r="1" spans="1:20" hidden="1" x14ac:dyDescent="0.25">
      <c r="A1">
        <v>18</v>
      </c>
      <c r="B1">
        <f>1-(A1-$A$1)/($A$6-$A$1)</f>
        <v>1</v>
      </c>
      <c r="C1">
        <v>100</v>
      </c>
      <c r="D1">
        <f>1-(A1-MIN($A$1:$A$7))/(MAX($A$1:$A$7)-MIN($A$1:$A$7))</f>
        <v>1</v>
      </c>
    </row>
    <row r="2" spans="1:20" hidden="1" x14ac:dyDescent="0.25">
      <c r="A2">
        <v>27</v>
      </c>
      <c r="B2">
        <f t="shared" ref="B2:B7" si="0">1-(A2-$A$1)/($A$6-$A$1)</f>
        <v>0.25</v>
      </c>
      <c r="C2">
        <v>25</v>
      </c>
      <c r="D2">
        <f t="shared" ref="D2:D7" si="1">1-(A2-MIN($A$1:$A$7))/(MAX($A$1:$A$7)-MIN($A$1:$A$7))</f>
        <v>0.25</v>
      </c>
    </row>
    <row r="3" spans="1:20" hidden="1" x14ac:dyDescent="0.25">
      <c r="A3">
        <v>25</v>
      </c>
      <c r="B3">
        <f t="shared" si="0"/>
        <v>0.41666666666666663</v>
      </c>
      <c r="C3">
        <v>42</v>
      </c>
      <c r="D3">
        <f t="shared" si="1"/>
        <v>0.41666666666666663</v>
      </c>
    </row>
    <row r="4" spans="1:20" hidden="1" x14ac:dyDescent="0.25">
      <c r="A4">
        <v>22</v>
      </c>
      <c r="B4">
        <f t="shared" si="0"/>
        <v>0.66666666666666674</v>
      </c>
      <c r="C4">
        <v>67</v>
      </c>
      <c r="D4">
        <f t="shared" si="1"/>
        <v>0.66666666666666674</v>
      </c>
    </row>
    <row r="5" spans="1:20" hidden="1" x14ac:dyDescent="0.25">
      <c r="A5">
        <v>22</v>
      </c>
      <c r="B5">
        <f t="shared" si="0"/>
        <v>0.66666666666666674</v>
      </c>
      <c r="C5">
        <v>67</v>
      </c>
      <c r="D5">
        <f t="shared" si="1"/>
        <v>0.66666666666666674</v>
      </c>
    </row>
    <row r="6" spans="1:20" hidden="1" x14ac:dyDescent="0.25">
      <c r="A6">
        <v>30</v>
      </c>
      <c r="B6">
        <f t="shared" si="0"/>
        <v>0</v>
      </c>
      <c r="C6">
        <v>0</v>
      </c>
      <c r="D6">
        <f t="shared" si="1"/>
        <v>0</v>
      </c>
    </row>
    <row r="7" spans="1:20" hidden="1" x14ac:dyDescent="0.25">
      <c r="A7">
        <v>20</v>
      </c>
      <c r="B7">
        <f t="shared" si="0"/>
        <v>0.83333333333333337</v>
      </c>
      <c r="C7">
        <v>84</v>
      </c>
      <c r="D7">
        <f t="shared" si="1"/>
        <v>0.83333333333333337</v>
      </c>
    </row>
    <row r="8" spans="1:20" hidden="1" x14ac:dyDescent="0.25">
      <c r="B8">
        <f>MAX(B2:B7)</f>
        <v>0.83333333333333337</v>
      </c>
    </row>
    <row r="9" spans="1:20" hidden="1" x14ac:dyDescent="0.25"/>
    <row r="10" spans="1:20" ht="15.75" thickBot="1" x14ac:dyDescent="0.3">
      <c r="C10" s="112" t="s">
        <v>26</v>
      </c>
      <c r="D10" s="112"/>
      <c r="M10" s="9"/>
      <c r="N10" s="45" t="s">
        <v>24</v>
      </c>
      <c r="O10" s="46">
        <v>0</v>
      </c>
    </row>
    <row r="11" spans="1:20" x14ac:dyDescent="0.25">
      <c r="D11" s="1"/>
      <c r="E11" s="6"/>
      <c r="F11" s="111" t="s">
        <v>8</v>
      </c>
      <c r="G11" s="111"/>
      <c r="H11" s="111"/>
      <c r="I11" s="111"/>
      <c r="J11" s="111"/>
      <c r="K11" s="111"/>
      <c r="L11" s="111"/>
      <c r="M11" s="37"/>
      <c r="N11" s="45" t="s">
        <v>41</v>
      </c>
      <c r="O11" s="46">
        <v>5</v>
      </c>
    </row>
    <row r="12" spans="1:20" ht="37.5" customHeight="1" thickBot="1" x14ac:dyDescent="0.3">
      <c r="D12" s="1"/>
      <c r="E12" s="42" t="s">
        <v>1</v>
      </c>
      <c r="F12" s="41" t="s">
        <v>2</v>
      </c>
      <c r="G12" s="40" t="s">
        <v>6</v>
      </c>
      <c r="H12" s="115" t="s">
        <v>4</v>
      </c>
      <c r="I12" s="116"/>
      <c r="J12" s="117"/>
      <c r="K12" s="113" t="s">
        <v>7</v>
      </c>
      <c r="L12" s="114"/>
      <c r="N12" s="46" t="s">
        <v>42</v>
      </c>
      <c r="O12" s="46">
        <v>10</v>
      </c>
    </row>
    <row r="13" spans="1:20" ht="60" customHeight="1" thickBot="1" x14ac:dyDescent="0.3">
      <c r="D13" s="2" t="s">
        <v>9</v>
      </c>
      <c r="E13" s="44" t="s">
        <v>64</v>
      </c>
      <c r="F13" s="13" t="s">
        <v>37</v>
      </c>
      <c r="G13" s="11" t="s">
        <v>90</v>
      </c>
      <c r="H13" s="39" t="s">
        <v>39</v>
      </c>
      <c r="I13" s="38" t="s">
        <v>63</v>
      </c>
      <c r="J13" s="8" t="s">
        <v>40</v>
      </c>
      <c r="K13" s="14" t="s">
        <v>60</v>
      </c>
      <c r="L13" s="43" t="s">
        <v>62</v>
      </c>
      <c r="N13" s="47" t="s">
        <v>43</v>
      </c>
      <c r="O13" s="46">
        <v>15</v>
      </c>
    </row>
    <row r="14" spans="1:20" x14ac:dyDescent="0.25">
      <c r="D14" s="3" t="s">
        <v>86</v>
      </c>
      <c r="E14" s="57">
        <v>4</v>
      </c>
      <c r="F14" s="28" t="s">
        <v>22</v>
      </c>
      <c r="G14" s="65">
        <v>734</v>
      </c>
      <c r="H14" s="31" t="s">
        <v>25</v>
      </c>
      <c r="I14" s="67">
        <f>T20</f>
        <v>2031.9152803288441</v>
      </c>
      <c r="J14" s="33" t="s">
        <v>66</v>
      </c>
      <c r="K14" s="31" t="s">
        <v>67</v>
      </c>
      <c r="L14" s="107">
        <f>V20</f>
        <v>1530</v>
      </c>
      <c r="N14" s="46" t="s">
        <v>44</v>
      </c>
      <c r="O14" s="46">
        <v>20</v>
      </c>
      <c r="Q14" s="98" t="s">
        <v>91</v>
      </c>
      <c r="R14" s="98"/>
      <c r="S14" s="98"/>
      <c r="T14" s="94"/>
    </row>
    <row r="15" spans="1:20" x14ac:dyDescent="0.25">
      <c r="D15" s="4" t="s">
        <v>29</v>
      </c>
      <c r="E15" s="64">
        <f>R66/G15</f>
        <v>34.083281053952327</v>
      </c>
      <c r="F15" s="29" t="s">
        <v>25</v>
      </c>
      <c r="G15" s="66">
        <v>63.76</v>
      </c>
      <c r="H15" s="32" t="s">
        <v>22</v>
      </c>
      <c r="I15" s="68">
        <f t="shared" ref="I15:I18" si="2">T21</f>
        <v>157.77224529612201</v>
      </c>
      <c r="J15" s="34" t="s">
        <v>67</v>
      </c>
      <c r="K15" s="32" t="s">
        <v>67</v>
      </c>
      <c r="L15" s="108">
        <f>X49</f>
        <v>157.78849203738955</v>
      </c>
      <c r="N15" s="46" t="s">
        <v>23</v>
      </c>
      <c r="O15" s="46">
        <v>25</v>
      </c>
      <c r="Q15" s="97" t="s">
        <v>92</v>
      </c>
      <c r="R15" s="97"/>
    </row>
    <row r="16" spans="1:20" x14ac:dyDescent="0.25">
      <c r="D16" s="4" t="s">
        <v>87</v>
      </c>
      <c r="E16" s="64">
        <f>R60/G16</f>
        <v>30.274410774410779</v>
      </c>
      <c r="F16" s="30" t="s">
        <v>77</v>
      </c>
      <c r="G16" s="66">
        <v>118.8</v>
      </c>
      <c r="H16" s="32" t="s">
        <v>70</v>
      </c>
      <c r="I16" s="68">
        <f t="shared" si="2"/>
        <v>294.03009350640923</v>
      </c>
      <c r="J16" s="34" t="s">
        <v>65</v>
      </c>
      <c r="K16" s="32" t="s">
        <v>67</v>
      </c>
      <c r="L16" s="108">
        <f>X51</f>
        <v>1793.8266480687751</v>
      </c>
      <c r="N16" s="46" t="s">
        <v>45</v>
      </c>
      <c r="O16" s="46">
        <v>30</v>
      </c>
      <c r="Q16" t="s">
        <v>93</v>
      </c>
    </row>
    <row r="17" spans="4:24" x14ac:dyDescent="0.25">
      <c r="D17" s="4" t="s">
        <v>88</v>
      </c>
      <c r="E17" s="64">
        <f>R63/G17</f>
        <v>19.39380787037037</v>
      </c>
      <c r="F17" s="30" t="s">
        <v>66</v>
      </c>
      <c r="G17" s="66">
        <v>207.36</v>
      </c>
      <c r="H17" s="32" t="s">
        <v>65</v>
      </c>
      <c r="I17" s="99">
        <f t="shared" si="2"/>
        <v>573.71725562226186</v>
      </c>
      <c r="J17" s="34" t="s">
        <v>69</v>
      </c>
      <c r="K17" s="32" t="s">
        <v>22</v>
      </c>
      <c r="L17" s="108">
        <f>X53</f>
        <v>407.8003026961452</v>
      </c>
      <c r="N17" s="46" t="s">
        <v>46</v>
      </c>
      <c r="O17" s="46">
        <v>35</v>
      </c>
      <c r="Q17">
        <v>0.20612990989848737</v>
      </c>
      <c r="R17" t="s">
        <v>94</v>
      </c>
    </row>
    <row r="18" spans="4:24" ht="15.75" thickBot="1" x14ac:dyDescent="0.3">
      <c r="D18" s="5" t="s">
        <v>89</v>
      </c>
      <c r="E18" s="100">
        <f>R69/G18</f>
        <v>10.127314814814815</v>
      </c>
      <c r="F18" s="101" t="s">
        <v>72</v>
      </c>
      <c r="G18" s="102">
        <v>103.68</v>
      </c>
      <c r="H18" s="103" t="s">
        <v>70</v>
      </c>
      <c r="I18" s="104">
        <f t="shared" si="2"/>
        <v>286.85862781113093</v>
      </c>
      <c r="J18" s="105" t="s">
        <v>69</v>
      </c>
      <c r="K18" s="103" t="s">
        <v>65</v>
      </c>
      <c r="L18" s="109">
        <f>X54</f>
        <v>194.02678142232219</v>
      </c>
      <c r="N18" s="46" t="s">
        <v>47</v>
      </c>
      <c r="O18" s="46">
        <v>40</v>
      </c>
      <c r="Q18">
        <v>11597</v>
      </c>
      <c r="R18" t="s">
        <v>95</v>
      </c>
    </row>
    <row r="19" spans="4:24" x14ac:dyDescent="0.25">
      <c r="N19" s="46" t="s">
        <v>48</v>
      </c>
      <c r="O19" s="46">
        <v>45</v>
      </c>
      <c r="R19" t="s">
        <v>98</v>
      </c>
      <c r="S19" t="s">
        <v>99</v>
      </c>
      <c r="T19" t="s">
        <v>100</v>
      </c>
      <c r="V19" t="s">
        <v>103</v>
      </c>
    </row>
    <row r="20" spans="4:24" x14ac:dyDescent="0.25">
      <c r="D20" s="22"/>
      <c r="E20" s="23"/>
      <c r="F20" s="25" t="s">
        <v>15</v>
      </c>
      <c r="G20" s="26" t="s">
        <v>11</v>
      </c>
      <c r="H20" s="26">
        <v>0</v>
      </c>
      <c r="I20" s="23"/>
      <c r="J20" s="23"/>
      <c r="K20" s="23"/>
      <c r="L20" s="23"/>
      <c r="N20" s="46" t="s">
        <v>12</v>
      </c>
      <c r="O20" s="46">
        <v>50</v>
      </c>
      <c r="Q20" t="s">
        <v>86</v>
      </c>
      <c r="R20">
        <v>850000</v>
      </c>
      <c r="S20">
        <f>R20*$Q$17</f>
        <v>175210.42341371425</v>
      </c>
      <c r="T20">
        <f>S20*$Q$18/1000000</f>
        <v>2031.9152803288441</v>
      </c>
      <c r="V20">
        <f>R20*W27/1000</f>
        <v>1530</v>
      </c>
    </row>
    <row r="21" spans="4:24" x14ac:dyDescent="0.25">
      <c r="D21" s="22"/>
      <c r="E21" s="23"/>
      <c r="F21" s="25"/>
      <c r="G21" s="26" t="s">
        <v>71</v>
      </c>
      <c r="H21" s="26">
        <v>5</v>
      </c>
      <c r="I21" s="23"/>
      <c r="J21" s="23"/>
      <c r="K21" s="23"/>
      <c r="L21" s="23"/>
      <c r="N21" s="46" t="s">
        <v>49</v>
      </c>
      <c r="O21" s="46">
        <v>55</v>
      </c>
      <c r="Q21" t="s">
        <v>96</v>
      </c>
      <c r="R21">
        <v>66000</v>
      </c>
      <c r="S21">
        <f t="shared" ref="S21:S24" si="3">R21*$Q$17</f>
        <v>13604.574053300166</v>
      </c>
      <c r="T21">
        <f t="shared" ref="T21:T24" si="4">S21*$Q$18/1000000</f>
        <v>157.77224529612201</v>
      </c>
    </row>
    <row r="22" spans="4:24" x14ac:dyDescent="0.25">
      <c r="D22" s="22"/>
      <c r="E22" s="23"/>
      <c r="F22" s="25"/>
      <c r="G22" s="26" t="s">
        <v>72</v>
      </c>
      <c r="H22" s="26">
        <v>10</v>
      </c>
      <c r="I22" s="23"/>
      <c r="J22" s="23"/>
      <c r="K22" s="23"/>
      <c r="L22" s="23"/>
      <c r="N22" s="46" t="s">
        <v>50</v>
      </c>
      <c r="O22" s="46">
        <v>60</v>
      </c>
      <c r="Q22" t="s">
        <v>97</v>
      </c>
      <c r="R22">
        <v>123000</v>
      </c>
      <c r="S22">
        <f t="shared" si="3"/>
        <v>25353.978917513945</v>
      </c>
      <c r="T22">
        <f t="shared" si="4"/>
        <v>294.03009350640923</v>
      </c>
    </row>
    <row r="23" spans="4:24" x14ac:dyDescent="0.25">
      <c r="D23" s="22"/>
      <c r="E23" s="23"/>
      <c r="F23" s="25"/>
      <c r="G23" s="26" t="s">
        <v>73</v>
      </c>
      <c r="H23" s="26">
        <v>15</v>
      </c>
      <c r="I23" s="23"/>
      <c r="J23" s="23"/>
      <c r="K23" s="23"/>
      <c r="L23" s="23"/>
      <c r="M23" s="23"/>
      <c r="N23" s="46" t="s">
        <v>51</v>
      </c>
      <c r="O23" s="46">
        <v>65</v>
      </c>
      <c r="Q23" t="s">
        <v>88</v>
      </c>
      <c r="R23">
        <v>240000</v>
      </c>
      <c r="S23">
        <f t="shared" si="3"/>
        <v>49471.17837563697</v>
      </c>
      <c r="T23">
        <f t="shared" si="4"/>
        <v>573.71725562226186</v>
      </c>
    </row>
    <row r="24" spans="4:24" x14ac:dyDescent="0.25">
      <c r="D24" s="22"/>
      <c r="E24" s="23"/>
      <c r="F24" s="25"/>
      <c r="G24" s="26" t="s">
        <v>74</v>
      </c>
      <c r="H24" s="26">
        <v>20</v>
      </c>
      <c r="I24" s="23"/>
      <c r="J24" s="23"/>
      <c r="K24" s="23"/>
      <c r="L24" s="23"/>
      <c r="M24" s="23"/>
      <c r="N24" s="46" t="s">
        <v>52</v>
      </c>
      <c r="O24" s="46">
        <v>70</v>
      </c>
      <c r="Q24" t="s">
        <v>89</v>
      </c>
      <c r="R24">
        <v>120000</v>
      </c>
      <c r="S24">
        <f t="shared" si="3"/>
        <v>24735.589187818485</v>
      </c>
      <c r="T24">
        <f t="shared" si="4"/>
        <v>286.85862781113093</v>
      </c>
    </row>
    <row r="25" spans="4:24" x14ac:dyDescent="0.25">
      <c r="D25" s="22"/>
      <c r="E25" s="23"/>
      <c r="F25" s="25" t="s">
        <v>14</v>
      </c>
      <c r="G25" s="26" t="s">
        <v>21</v>
      </c>
      <c r="H25" s="26">
        <v>25</v>
      </c>
      <c r="I25" s="23"/>
      <c r="J25" s="23"/>
      <c r="K25" s="23"/>
      <c r="L25" s="23"/>
      <c r="M25" s="23"/>
      <c r="N25" s="46" t="s">
        <v>21</v>
      </c>
      <c r="O25" s="46">
        <v>75</v>
      </c>
    </row>
    <row r="26" spans="4:24" x14ac:dyDescent="0.25">
      <c r="D26" s="22"/>
      <c r="E26" s="23"/>
      <c r="F26" s="25"/>
      <c r="G26" s="26" t="s">
        <v>75</v>
      </c>
      <c r="H26" s="26">
        <v>30</v>
      </c>
      <c r="I26" s="23"/>
      <c r="J26" s="23"/>
      <c r="K26" s="23"/>
      <c r="L26" s="23"/>
      <c r="M26" s="23"/>
      <c r="N26" s="46" t="s">
        <v>53</v>
      </c>
      <c r="O26" s="46">
        <v>80</v>
      </c>
      <c r="Q26" s="98" t="s">
        <v>5</v>
      </c>
      <c r="R26" s="98"/>
    </row>
    <row r="27" spans="4:24" x14ac:dyDescent="0.25">
      <c r="D27" s="22"/>
      <c r="E27" s="23"/>
      <c r="F27" s="25"/>
      <c r="G27" s="26" t="s">
        <v>76</v>
      </c>
      <c r="H27" s="26">
        <v>35</v>
      </c>
      <c r="I27" s="23"/>
      <c r="J27" s="23"/>
      <c r="K27" s="23"/>
      <c r="L27" s="23"/>
      <c r="M27" s="23"/>
      <c r="N27" s="46" t="s">
        <v>54</v>
      </c>
      <c r="O27" s="46">
        <v>85</v>
      </c>
      <c r="Q27" s="97" t="s">
        <v>101</v>
      </c>
      <c r="W27">
        <v>1.8</v>
      </c>
      <c r="X27" t="s">
        <v>102</v>
      </c>
    </row>
    <row r="28" spans="4:24" x14ac:dyDescent="0.25">
      <c r="D28" s="22"/>
      <c r="E28" s="23"/>
      <c r="F28" s="25"/>
      <c r="G28" s="26" t="s">
        <v>77</v>
      </c>
      <c r="H28" s="26">
        <v>40</v>
      </c>
      <c r="I28" s="23"/>
      <c r="J28" s="23"/>
      <c r="K28" s="23"/>
      <c r="L28" s="23"/>
      <c r="M28" s="23"/>
      <c r="N28" s="46" t="s">
        <v>55</v>
      </c>
      <c r="O28" s="46">
        <v>90</v>
      </c>
      <c r="Q28" t="s">
        <v>105</v>
      </c>
      <c r="R28">
        <v>2016</v>
      </c>
      <c r="S28">
        <v>2017</v>
      </c>
      <c r="T28">
        <v>2018</v>
      </c>
      <c r="U28">
        <v>2019</v>
      </c>
      <c r="V28">
        <v>2020</v>
      </c>
      <c r="W28">
        <v>2021</v>
      </c>
    </row>
    <row r="29" spans="4:24" x14ac:dyDescent="0.25">
      <c r="D29" s="22"/>
      <c r="E29" s="23"/>
      <c r="F29" s="25"/>
      <c r="G29" s="26" t="s">
        <v>78</v>
      </c>
      <c r="H29" s="26">
        <v>45</v>
      </c>
      <c r="I29" s="23"/>
      <c r="J29" s="23"/>
      <c r="K29" s="23"/>
      <c r="L29" s="23"/>
      <c r="M29" s="23"/>
      <c r="N29" s="46" t="s">
        <v>56</v>
      </c>
      <c r="O29" s="46">
        <v>95</v>
      </c>
      <c r="Q29" t="s">
        <v>104</v>
      </c>
      <c r="R29">
        <v>9.35</v>
      </c>
      <c r="T29">
        <v>35</v>
      </c>
    </row>
    <row r="30" spans="4:24" x14ac:dyDescent="0.25">
      <c r="F30" s="25" t="s">
        <v>17</v>
      </c>
      <c r="G30" s="26" t="s">
        <v>12</v>
      </c>
      <c r="H30" s="26">
        <v>50</v>
      </c>
      <c r="I30" s="24"/>
      <c r="J30" s="23"/>
      <c r="M30" s="23"/>
      <c r="N30" s="46" t="s">
        <v>11</v>
      </c>
      <c r="O30" s="46">
        <v>100</v>
      </c>
      <c r="Q30" t="s">
        <v>97</v>
      </c>
      <c r="S30">
        <v>9.6</v>
      </c>
      <c r="T30">
        <v>15</v>
      </c>
      <c r="U30">
        <v>15</v>
      </c>
      <c r="V30">
        <v>15</v>
      </c>
      <c r="W30">
        <v>19.2</v>
      </c>
    </row>
    <row r="31" spans="4:24" x14ac:dyDescent="0.25">
      <c r="F31" s="25"/>
      <c r="G31" s="26" t="s">
        <v>79</v>
      </c>
      <c r="H31" s="26">
        <v>55</v>
      </c>
      <c r="I31" s="24"/>
      <c r="J31" s="23"/>
      <c r="M31" s="23"/>
      <c r="Q31" t="s">
        <v>88</v>
      </c>
      <c r="U31">
        <v>30</v>
      </c>
    </row>
    <row r="32" spans="4:24" x14ac:dyDescent="0.25">
      <c r="F32" s="25"/>
      <c r="G32" s="26" t="s">
        <v>66</v>
      </c>
      <c r="H32" s="26">
        <v>60</v>
      </c>
      <c r="I32" s="24"/>
      <c r="J32" s="23"/>
      <c r="M32" s="23"/>
      <c r="Q32" t="s">
        <v>89</v>
      </c>
      <c r="W32">
        <v>15</v>
      </c>
    </row>
    <row r="33" spans="6:23" x14ac:dyDescent="0.25">
      <c r="F33" s="25"/>
      <c r="G33" s="26" t="s">
        <v>68</v>
      </c>
      <c r="H33" s="26">
        <v>65</v>
      </c>
      <c r="I33" s="24"/>
      <c r="J33" s="23"/>
    </row>
    <row r="34" spans="6:23" x14ac:dyDescent="0.25">
      <c r="F34" s="25"/>
      <c r="G34" s="26" t="s">
        <v>65</v>
      </c>
      <c r="H34" s="26">
        <v>70</v>
      </c>
      <c r="I34" s="24"/>
      <c r="J34" s="23"/>
      <c r="Q34" s="97" t="s">
        <v>108</v>
      </c>
    </row>
    <row r="35" spans="6:23" x14ac:dyDescent="0.25">
      <c r="F35" s="25" t="s">
        <v>18</v>
      </c>
      <c r="G35" s="26" t="s">
        <v>13</v>
      </c>
      <c r="H35" s="26">
        <v>75</v>
      </c>
      <c r="I35" s="24"/>
      <c r="J35" s="23"/>
      <c r="Q35" t="s">
        <v>106</v>
      </c>
    </row>
    <row r="36" spans="6:23" x14ac:dyDescent="0.25">
      <c r="F36" s="25"/>
      <c r="G36" s="26" t="s">
        <v>80</v>
      </c>
      <c r="H36" s="26">
        <v>80</v>
      </c>
      <c r="I36" s="24"/>
      <c r="J36" s="23"/>
      <c r="Q36" t="s">
        <v>104</v>
      </c>
      <c r="R36">
        <v>3.2448805392782942</v>
      </c>
      <c r="S36">
        <v>3.1137525989142447</v>
      </c>
      <c r="T36">
        <v>2.9856602442946896</v>
      </c>
      <c r="U36">
        <v>2.8605441800950948</v>
      </c>
      <c r="V36">
        <v>2.7383461762852077</v>
      </c>
      <c r="W36">
        <v>2.686509283168129</v>
      </c>
    </row>
    <row r="37" spans="6:23" x14ac:dyDescent="0.25">
      <c r="F37" s="25"/>
      <c r="G37" s="26" t="s">
        <v>81</v>
      </c>
      <c r="H37" s="26">
        <v>85</v>
      </c>
      <c r="I37" s="24"/>
      <c r="J37" s="23"/>
      <c r="Q37" t="s">
        <v>97</v>
      </c>
      <c r="R37">
        <v>32.005650151454816</v>
      </c>
      <c r="S37">
        <v>29.005349061542724</v>
      </c>
      <c r="T37">
        <v>26.266392576949631</v>
      </c>
      <c r="U37">
        <v>23.767021425174679</v>
      </c>
      <c r="V37">
        <v>21.48723335060453</v>
      </c>
      <c r="W37">
        <v>21.0783420435592</v>
      </c>
    </row>
    <row r="38" spans="6:23" x14ac:dyDescent="0.25">
      <c r="F38" s="25"/>
      <c r="G38" s="26" t="s">
        <v>82</v>
      </c>
      <c r="H38" s="26">
        <v>90</v>
      </c>
      <c r="I38" s="24"/>
      <c r="J38" s="23"/>
      <c r="Q38" t="s">
        <v>88</v>
      </c>
      <c r="R38">
        <v>10.896227077558629</v>
      </c>
      <c r="S38">
        <v>10.498320213744213</v>
      </c>
      <c r="T38">
        <v>10.107281864498326</v>
      </c>
      <c r="U38">
        <v>9.7230144502159828</v>
      </c>
      <c r="V38">
        <v>9.3454216560328405</v>
      </c>
      <c r="W38">
        <v>9.2522010750139128</v>
      </c>
    </row>
    <row r="39" spans="6:23" x14ac:dyDescent="0.25">
      <c r="F39" s="25"/>
      <c r="G39" s="26" t="s">
        <v>83</v>
      </c>
      <c r="H39" s="26">
        <v>95</v>
      </c>
      <c r="I39" s="24"/>
      <c r="J39" s="23"/>
      <c r="Q39" t="s">
        <v>89</v>
      </c>
      <c r="R39" s="106">
        <v>10.896227077558629</v>
      </c>
      <c r="S39" s="106">
        <v>10.498320213744213</v>
      </c>
      <c r="T39" s="106">
        <v>10.107281864498326</v>
      </c>
      <c r="U39" s="106">
        <v>9.7230144502159828</v>
      </c>
      <c r="V39" s="106">
        <v>9.3454216560328405</v>
      </c>
      <c r="W39" s="106">
        <v>9.2522010750139128</v>
      </c>
    </row>
    <row r="40" spans="6:23" x14ac:dyDescent="0.25">
      <c r="F40" s="25" t="s">
        <v>19</v>
      </c>
      <c r="G40" s="26" t="s">
        <v>20</v>
      </c>
      <c r="H40" s="26">
        <v>100</v>
      </c>
      <c r="I40" s="24"/>
      <c r="J40" s="23"/>
    </row>
    <row r="41" spans="6:23" x14ac:dyDescent="0.25">
      <c r="Q41" t="s">
        <v>107</v>
      </c>
    </row>
    <row r="42" spans="6:23" x14ac:dyDescent="0.25">
      <c r="Q42" t="s">
        <v>104</v>
      </c>
      <c r="R42">
        <v>0.55231156055157316</v>
      </c>
      <c r="S42">
        <v>0.52999225588142651</v>
      </c>
      <c r="T42">
        <v>0.50818963867617595</v>
      </c>
      <c r="U42">
        <v>0.48689361627051958</v>
      </c>
      <c r="V42">
        <v>0.46609427732304115</v>
      </c>
      <c r="W42">
        <v>0.45727111265331599</v>
      </c>
    </row>
    <row r="43" spans="6:23" x14ac:dyDescent="0.25">
      <c r="Q43" t="s">
        <v>97</v>
      </c>
      <c r="R43">
        <v>0.69009302046355092</v>
      </c>
      <c r="S43">
        <v>0.62540172903095348</v>
      </c>
      <c r="T43">
        <v>0.56634544539269849</v>
      </c>
      <c r="U43">
        <v>0.51245500482280304</v>
      </c>
      <c r="V43">
        <v>0.46329912669028572</v>
      </c>
      <c r="W43">
        <v>0.45448277595893294</v>
      </c>
    </row>
    <row r="44" spans="6:23" x14ac:dyDescent="0.25">
      <c r="Q44" t="s">
        <v>88</v>
      </c>
      <c r="R44">
        <v>4.3373362829471134</v>
      </c>
      <c r="S44">
        <v>4.1789460561859197</v>
      </c>
      <c r="T44">
        <v>4.0232899003316556</v>
      </c>
      <c r="U44">
        <v>3.8703289729888573</v>
      </c>
      <c r="V44">
        <v>3.7200249352028827</v>
      </c>
      <c r="W44">
        <v>3.6829176864742337</v>
      </c>
    </row>
    <row r="45" spans="6:23" x14ac:dyDescent="0.25">
      <c r="Q45" t="s">
        <v>89</v>
      </c>
      <c r="R45">
        <v>4.3373362829471134</v>
      </c>
      <c r="S45">
        <v>4.1789460561859197</v>
      </c>
      <c r="T45">
        <v>4.0232899003316556</v>
      </c>
      <c r="U45">
        <v>3.8703289729888573</v>
      </c>
      <c r="V45">
        <v>3.7200249352028827</v>
      </c>
      <c r="W45">
        <v>3.6829176864742337</v>
      </c>
    </row>
    <row r="47" spans="6:23" x14ac:dyDescent="0.25">
      <c r="Q47" t="s">
        <v>109</v>
      </c>
    </row>
    <row r="48" spans="6:23" x14ac:dyDescent="0.25">
      <c r="Q48" t="s">
        <v>104</v>
      </c>
      <c r="R48">
        <f>R29*R36</f>
        <v>30.33963304225205</v>
      </c>
      <c r="T48">
        <f>T29*T36</f>
        <v>104.49810855031413</v>
      </c>
    </row>
    <row r="49" spans="17:24" x14ac:dyDescent="0.25">
      <c r="R49">
        <f>R29*R42</f>
        <v>5.1641130911572084</v>
      </c>
      <c r="T49">
        <f>T29*T42</f>
        <v>17.786637353666158</v>
      </c>
      <c r="X49" s="110">
        <f>R48+R49+T48+T49</f>
        <v>157.78849203738955</v>
      </c>
    </row>
    <row r="50" spans="17:24" x14ac:dyDescent="0.25">
      <c r="Q50" t="s">
        <v>97</v>
      </c>
      <c r="S50">
        <f>S30*S37</f>
        <v>278.45135099081011</v>
      </c>
      <c r="T50">
        <f t="shared" ref="T50:V50" si="5">T30*T37</f>
        <v>393.99588865424448</v>
      </c>
      <c r="U50">
        <f t="shared" si="5"/>
        <v>356.50532137762019</v>
      </c>
      <c r="V50">
        <f t="shared" si="5"/>
        <v>322.30850025906796</v>
      </c>
      <c r="W50">
        <f>W30*W37</f>
        <v>404.70416723633662</v>
      </c>
      <c r="X50" s="110"/>
    </row>
    <row r="51" spans="17:24" x14ac:dyDescent="0.25">
      <c r="S51">
        <f>S30*S43</f>
        <v>6.003856598697153</v>
      </c>
      <c r="T51">
        <f t="shared" ref="T51:W51" si="6">T30*T43</f>
        <v>8.495181680890477</v>
      </c>
      <c r="U51">
        <f t="shared" si="6"/>
        <v>7.6868250723420459</v>
      </c>
      <c r="V51">
        <f t="shared" si="6"/>
        <v>6.9494869003542856</v>
      </c>
      <c r="W51">
        <f t="shared" si="6"/>
        <v>8.7260692984115114</v>
      </c>
      <c r="X51" s="110">
        <f>SUM(S50:W50)+SUM(S51:W51)</f>
        <v>1793.8266480687751</v>
      </c>
    </row>
    <row r="52" spans="17:24" x14ac:dyDescent="0.25">
      <c r="Q52" t="s">
        <v>88</v>
      </c>
      <c r="U52">
        <f>U31*U38</f>
        <v>291.69043350647951</v>
      </c>
      <c r="X52" s="110"/>
    </row>
    <row r="53" spans="17:24" x14ac:dyDescent="0.25">
      <c r="U53">
        <f>U31*U44</f>
        <v>116.10986918966572</v>
      </c>
      <c r="X53" s="110">
        <f>U52+U53</f>
        <v>407.8003026961452</v>
      </c>
    </row>
    <row r="54" spans="17:24" x14ac:dyDescent="0.25">
      <c r="Q54" t="s">
        <v>89</v>
      </c>
      <c r="W54">
        <f>W32*W39</f>
        <v>138.78301612520869</v>
      </c>
      <c r="X54" s="110">
        <f>W54+W55</f>
        <v>194.02678142232219</v>
      </c>
    </row>
    <row r="55" spans="17:24" x14ac:dyDescent="0.25">
      <c r="W55">
        <f>W32*W45</f>
        <v>55.243765297113505</v>
      </c>
    </row>
    <row r="57" spans="17:24" x14ac:dyDescent="0.25">
      <c r="Q57" s="98" t="s">
        <v>110</v>
      </c>
      <c r="R57" s="98"/>
    </row>
    <row r="58" spans="17:24" x14ac:dyDescent="0.25">
      <c r="Q58" s="97" t="s">
        <v>112</v>
      </c>
    </row>
    <row r="59" spans="17:24" x14ac:dyDescent="0.25">
      <c r="Q59" t="s">
        <v>97</v>
      </c>
      <c r="R59">
        <v>1.4</v>
      </c>
      <c r="S59" t="s">
        <v>111</v>
      </c>
      <c r="U59">
        <v>73.400000000000006</v>
      </c>
      <c r="V59" t="s">
        <v>113</v>
      </c>
      <c r="W59">
        <v>35</v>
      </c>
      <c r="X59" t="s">
        <v>115</v>
      </c>
    </row>
    <row r="60" spans="17:24" x14ac:dyDescent="0.25">
      <c r="Q60" t="s">
        <v>114</v>
      </c>
      <c r="R60">
        <f>R59*U59*W59</f>
        <v>3596.6000000000004</v>
      </c>
      <c r="S60" t="s">
        <v>116</v>
      </c>
    </row>
    <row r="62" spans="17:24" x14ac:dyDescent="0.25">
      <c r="Q62" t="s">
        <v>88</v>
      </c>
      <c r="R62">
        <v>3830</v>
      </c>
      <c r="S62" t="s">
        <v>117</v>
      </c>
      <c r="U62">
        <v>30</v>
      </c>
      <c r="V62" t="s">
        <v>113</v>
      </c>
    </row>
    <row r="63" spans="17:24" x14ac:dyDescent="0.25">
      <c r="Q63" t="s">
        <v>114</v>
      </c>
      <c r="R63">
        <f>R62*1000*U62*W59/1000000</f>
        <v>4021.5</v>
      </c>
      <c r="S63" t="s">
        <v>118</v>
      </c>
    </row>
    <row r="65" spans="17:22" x14ac:dyDescent="0.25">
      <c r="Q65" t="s">
        <v>104</v>
      </c>
      <c r="R65">
        <v>1.4</v>
      </c>
      <c r="S65" t="s">
        <v>111</v>
      </c>
      <c r="U65">
        <v>44.35</v>
      </c>
      <c r="V65" t="s">
        <v>113</v>
      </c>
    </row>
    <row r="66" spans="17:22" x14ac:dyDescent="0.25">
      <c r="Q66" t="s">
        <v>114</v>
      </c>
      <c r="R66">
        <f>R65*U65*W59</f>
        <v>2173.15</v>
      </c>
    </row>
    <row r="68" spans="17:22" x14ac:dyDescent="0.25">
      <c r="Q68" t="s">
        <v>89</v>
      </c>
      <c r="R68">
        <v>2000</v>
      </c>
      <c r="S68" t="s">
        <v>117</v>
      </c>
      <c r="U68">
        <v>15</v>
      </c>
      <c r="V68" t="s">
        <v>113</v>
      </c>
    </row>
    <row r="69" spans="17:22" x14ac:dyDescent="0.25">
      <c r="Q69" t="s">
        <v>114</v>
      </c>
      <c r="R69">
        <f>R68*U68*1000*W59/1000000</f>
        <v>1050</v>
      </c>
    </row>
  </sheetData>
  <mergeCells count="4">
    <mergeCell ref="F11:L11"/>
    <mergeCell ref="C10:D10"/>
    <mergeCell ref="K12:L12"/>
    <mergeCell ref="H12:J1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B10" workbookViewId="0">
      <selection activeCell="H21" sqref="H21"/>
    </sheetView>
  </sheetViews>
  <sheetFormatPr defaultRowHeight="15" x14ac:dyDescent="0.25"/>
  <cols>
    <col min="2" max="2" width="0.7109375" customWidth="1"/>
    <col min="3" max="3" width="2.28515625" customWidth="1"/>
    <col min="4" max="4" width="28.7109375" customWidth="1"/>
    <col min="5" max="5" width="10.85546875" customWidth="1"/>
    <col min="6" max="6" width="11.85546875" customWidth="1"/>
    <col min="7" max="8" width="9.5703125" customWidth="1"/>
    <col min="9" max="9" width="10.42578125" customWidth="1"/>
    <col min="10" max="10" width="11.7109375" customWidth="1"/>
    <col min="12" max="12" width="9.85546875" customWidth="1"/>
    <col min="14" max="15" width="10.42578125" customWidth="1"/>
  </cols>
  <sheetData>
    <row r="1" spans="1:15" hidden="1" x14ac:dyDescent="0.25">
      <c r="A1">
        <v>18</v>
      </c>
      <c r="B1">
        <f>1-(A1-$A$1)/($A$6-$A$1)</f>
        <v>1</v>
      </c>
      <c r="C1">
        <v>100</v>
      </c>
      <c r="D1">
        <f>1-(A1-MIN($A$1:$A$7))/(MAX($A$1:$A$7)-MIN($A$1:$A$7))</f>
        <v>1</v>
      </c>
    </row>
    <row r="2" spans="1:15" hidden="1" x14ac:dyDescent="0.25">
      <c r="A2">
        <v>27</v>
      </c>
      <c r="B2">
        <f t="shared" ref="B2:B7" si="0">1-(A2-$A$1)/($A$6-$A$1)</f>
        <v>0.25</v>
      </c>
      <c r="C2">
        <v>25</v>
      </c>
      <c r="D2">
        <f t="shared" ref="D2:D7" si="1">1-(A2-MIN($A$1:$A$7))/(MAX($A$1:$A$7)-MIN($A$1:$A$7))</f>
        <v>0.25</v>
      </c>
    </row>
    <row r="3" spans="1:15" hidden="1" x14ac:dyDescent="0.25">
      <c r="A3">
        <v>25</v>
      </c>
      <c r="B3">
        <f t="shared" si="0"/>
        <v>0.41666666666666663</v>
      </c>
      <c r="C3">
        <v>42</v>
      </c>
      <c r="D3">
        <f t="shared" si="1"/>
        <v>0.41666666666666663</v>
      </c>
    </row>
    <row r="4" spans="1:15" hidden="1" x14ac:dyDescent="0.25">
      <c r="A4">
        <v>22</v>
      </c>
      <c r="B4">
        <f t="shared" si="0"/>
        <v>0.66666666666666674</v>
      </c>
      <c r="C4">
        <v>67</v>
      </c>
      <c r="D4">
        <f t="shared" si="1"/>
        <v>0.66666666666666674</v>
      </c>
    </row>
    <row r="5" spans="1:15" hidden="1" x14ac:dyDescent="0.25">
      <c r="A5">
        <v>22</v>
      </c>
      <c r="B5">
        <f t="shared" si="0"/>
        <v>0.66666666666666674</v>
      </c>
      <c r="C5">
        <v>67</v>
      </c>
      <c r="D5">
        <f t="shared" si="1"/>
        <v>0.66666666666666674</v>
      </c>
    </row>
    <row r="6" spans="1:15" hidden="1" x14ac:dyDescent="0.25">
      <c r="A6">
        <v>30</v>
      </c>
      <c r="B6">
        <f t="shared" si="0"/>
        <v>0</v>
      </c>
      <c r="C6">
        <v>0</v>
      </c>
      <c r="D6">
        <f t="shared" si="1"/>
        <v>0</v>
      </c>
    </row>
    <row r="7" spans="1:15" hidden="1" x14ac:dyDescent="0.25">
      <c r="A7">
        <v>20</v>
      </c>
      <c r="B7">
        <f t="shared" si="0"/>
        <v>0.83333333333333337</v>
      </c>
      <c r="C7">
        <v>84</v>
      </c>
      <c r="D7">
        <f t="shared" si="1"/>
        <v>0.83333333333333337</v>
      </c>
    </row>
    <row r="8" spans="1:15" hidden="1" x14ac:dyDescent="0.25">
      <c r="B8">
        <f>MAX(B2:B7)</f>
        <v>0.83333333333333337</v>
      </c>
    </row>
    <row r="9" spans="1:15" hidden="1" x14ac:dyDescent="0.25"/>
    <row r="10" spans="1:15" ht="15.75" thickBot="1" x14ac:dyDescent="0.3">
      <c r="C10" s="112" t="s">
        <v>27</v>
      </c>
      <c r="D10" s="112"/>
    </row>
    <row r="11" spans="1:15" x14ac:dyDescent="0.25">
      <c r="D11" s="1"/>
      <c r="E11" s="6"/>
      <c r="F11" s="111" t="s">
        <v>8</v>
      </c>
      <c r="G11" s="111"/>
      <c r="H11" s="111"/>
      <c r="I11" s="111"/>
      <c r="J11" s="111"/>
      <c r="K11" s="111"/>
      <c r="L11" s="111"/>
      <c r="M11" s="37"/>
      <c r="N11" s="9"/>
      <c r="O11" s="9"/>
    </row>
    <row r="12" spans="1:15" ht="25.5" thickBot="1" x14ac:dyDescent="0.3">
      <c r="D12" s="1"/>
      <c r="E12" s="35" t="s">
        <v>1</v>
      </c>
      <c r="F12" s="36" t="s">
        <v>2</v>
      </c>
      <c r="G12" s="10" t="s">
        <v>6</v>
      </c>
      <c r="H12" s="115" t="s">
        <v>4</v>
      </c>
      <c r="I12" s="116"/>
      <c r="J12" s="117"/>
      <c r="K12" s="113" t="s">
        <v>7</v>
      </c>
      <c r="L12" s="114"/>
      <c r="M12" s="48"/>
    </row>
    <row r="13" spans="1:15" ht="45" customHeight="1" thickBot="1" x14ac:dyDescent="0.3">
      <c r="D13" s="2" t="s">
        <v>9</v>
      </c>
      <c r="E13" s="12" t="s">
        <v>0</v>
      </c>
      <c r="F13" s="13" t="s">
        <v>3</v>
      </c>
      <c r="G13" s="11" t="s">
        <v>61</v>
      </c>
      <c r="H13" s="14" t="s">
        <v>57</v>
      </c>
      <c r="I13" s="38" t="s">
        <v>59</v>
      </c>
      <c r="J13" s="8" t="s">
        <v>35</v>
      </c>
      <c r="K13" s="14" t="s">
        <v>58</v>
      </c>
      <c r="L13" s="43" t="s">
        <v>5</v>
      </c>
      <c r="M13" s="78" t="s">
        <v>16</v>
      </c>
      <c r="N13" s="79" t="s">
        <v>84</v>
      </c>
    </row>
    <row r="14" spans="1:15" ht="15.75" thickBot="1" x14ac:dyDescent="0.3">
      <c r="D14" s="3" t="str">
        <f>PM!D14</f>
        <v>EE</v>
      </c>
      <c r="E14" s="57">
        <f>100*(1-(PM!E14-MIN(PM!$E$14:$E$18))/(MAX(PM!$E$14:$E$18)-MIN(PM!$E$14:$E$18)))</f>
        <v>100</v>
      </c>
      <c r="F14" s="18">
        <f>VLOOKUP(PM!F14,PM!$G$20:$H$40,2,FALSE)</f>
        <v>50</v>
      </c>
      <c r="G14" s="50">
        <f>100*(PM!G14-MIN(PM!$G$14:$G$18))/(MAX(PM!$G$14:$G$18)-MIN(PM!$G$14:$G$18))</f>
        <v>100</v>
      </c>
      <c r="H14" s="18">
        <f>VLOOKUP(PM!H14,PM!$N$10:$O$30,2,FALSE)</f>
        <v>75</v>
      </c>
      <c r="I14" s="51">
        <f>100*(PM!I14-MIN(PM!$I$14:$I$18))/(MAX(PM!$I$14:$I$18)-MIN(PM!$I$14:$I$18))</f>
        <v>100</v>
      </c>
      <c r="J14" s="17">
        <f>VLOOKUP(PM!J14,PM!$N$10:$O$30,2,FALSE)</f>
        <v>60</v>
      </c>
      <c r="K14" s="16">
        <f>VLOOKUP(PM!K14,PM!$N$10:$O$30,2,FALSE)</f>
        <v>25</v>
      </c>
      <c r="L14" s="52">
        <f>100*(PM!L14-MIN(PM!$L$14:$L$18))/(MAX(PM!$L$14:$L$18)-MIN(PM!$L$14:$L$18))</f>
        <v>83.874052869967798</v>
      </c>
      <c r="M14" s="27">
        <f t="shared" ref="M14:M18" si="2">SUM(E14:L14)</f>
        <v>593.87405286996784</v>
      </c>
      <c r="N14" s="77">
        <f>RANK(M14,$M$14:$M$18,0)</f>
        <v>1</v>
      </c>
    </row>
    <row r="15" spans="1:15" ht="15.75" thickBot="1" x14ac:dyDescent="0.3">
      <c r="D15" s="3" t="str">
        <f>PM!D15</f>
        <v>Wind (utility scale)</v>
      </c>
      <c r="E15" s="57">
        <f>100*(1-(PM!E15-MIN(PM!$E$14:$E$18))/(MAX(PM!$E$14:$E$18)-MIN(PM!$E$14:$E$18)))</f>
        <v>0</v>
      </c>
      <c r="F15" s="18">
        <f>VLOOKUP(PM!F15,PM!$G$20:$H$40,2,FALSE)</f>
        <v>25</v>
      </c>
      <c r="G15" s="50">
        <f>100*(PM!G15-MIN(PM!$G$14:$G$18))/(MAX(PM!$G$14:$G$18)-MIN(PM!$G$14:$G$18))</f>
        <v>0</v>
      </c>
      <c r="H15" s="18">
        <f>VLOOKUP(PM!H15,PM!$N$10:$O$30,2,FALSE)</f>
        <v>50</v>
      </c>
      <c r="I15" s="51">
        <f>100*(PM!I15-MIN(PM!$I$14:$I$18))/(MAX(PM!$I$14:$I$18)-MIN(PM!$I$14:$I$18))</f>
        <v>0</v>
      </c>
      <c r="J15" s="17">
        <f>VLOOKUP(PM!J15,PM!$N$10:$O$30,2,FALSE)</f>
        <v>25</v>
      </c>
      <c r="K15" s="16">
        <f>VLOOKUP(PM!K15,PM!$N$10:$O$30,2,FALSE)</f>
        <v>25</v>
      </c>
      <c r="L15" s="52">
        <f>100*(PM!L15-MIN(PM!$L$14:$L$18))/(MAX(PM!$L$14:$L$18)-MIN(PM!$L$14:$L$18))</f>
        <v>0</v>
      </c>
      <c r="M15" s="27">
        <f t="shared" si="2"/>
        <v>125</v>
      </c>
      <c r="N15" s="77">
        <f>RANK(M15,$M$14:$M$18,0)</f>
        <v>5</v>
      </c>
    </row>
    <row r="16" spans="1:15" ht="15.75" thickBot="1" x14ac:dyDescent="0.3">
      <c r="D16" s="3" t="str">
        <f>PM!D16</f>
        <v>Solar PV (utility scale)</v>
      </c>
      <c r="E16" s="57">
        <f>100*(1-(PM!E16-MIN(PM!$E$14:$E$18))/(MAX(PM!$E$14:$E$18)-MIN(PM!$E$14:$E$18)))</f>
        <v>12.661086643809217</v>
      </c>
      <c r="F16" s="18">
        <f>VLOOKUP(PM!F16,PM!$G$20:$H$40,2,FALSE)</f>
        <v>40</v>
      </c>
      <c r="G16" s="50">
        <f>100*(PM!G16-MIN(PM!$G$14:$G$18))/(MAX(PM!$G$14:$G$18)-MIN(PM!$G$14:$G$18))</f>
        <v>8.2119837670088334</v>
      </c>
      <c r="H16" s="18">
        <f>VLOOKUP(PM!H16,PM!$N$10:$O$30,2,FALSE)</f>
        <v>30</v>
      </c>
      <c r="I16" s="51">
        <f>100*(PM!I16-MIN(PM!$I$14:$I$18))/(MAX(PM!$I$14:$I$18)-MIN(PM!$I$14:$I$18))</f>
        <v>7.2704081632653077</v>
      </c>
      <c r="J16" s="17">
        <f>VLOOKUP(PM!J16,PM!$N$10:$O$30,2,FALSE)</f>
        <v>70</v>
      </c>
      <c r="K16" s="16">
        <f>VLOOKUP(PM!K16,PM!$N$10:$O$30,2,FALSE)</f>
        <v>25</v>
      </c>
      <c r="L16" s="52">
        <f>100*(PM!L16-MIN(PM!$L$14:$L$18))/(MAX(PM!$L$14:$L$18)-MIN(PM!$L$14:$L$18))</f>
        <v>100</v>
      </c>
      <c r="M16" s="27">
        <f t="shared" si="2"/>
        <v>293.14347857408336</v>
      </c>
      <c r="N16" s="77">
        <f>RANK(M16,$M$14:$M$18,0)</f>
        <v>3</v>
      </c>
    </row>
    <row r="17" spans="4:16" ht="15.75" thickBot="1" x14ac:dyDescent="0.3">
      <c r="D17" s="3" t="str">
        <f>PM!D17</f>
        <v>WTE</v>
      </c>
      <c r="E17" s="57">
        <f>100*(1-(PM!E17-MIN(PM!$E$14:$E$18))/(MAX(PM!$E$14:$E$18)-MIN(PM!$E$14:$E$18)))</f>
        <v>48.829358597014007</v>
      </c>
      <c r="F17" s="18">
        <f>VLOOKUP(PM!F17,PM!$G$20:$H$40,2,FALSE)</f>
        <v>60</v>
      </c>
      <c r="G17" s="50">
        <f>100*(PM!G17-MIN(PM!$G$14:$G$18))/(MAX(PM!$G$14:$G$18)-MIN(PM!$G$14:$G$18))</f>
        <v>21.425161136309384</v>
      </c>
      <c r="H17" s="18">
        <f>VLOOKUP(PM!H17,PM!$N$10:$O$30,2,FALSE)</f>
        <v>70</v>
      </c>
      <c r="I17" s="51">
        <f>100*(PM!I17-MIN(PM!$I$14:$I$18))/(MAX(PM!$I$14:$I$18)-MIN(PM!$I$14:$I$18))</f>
        <v>22.193877551020407</v>
      </c>
      <c r="J17" s="17">
        <f>VLOOKUP(PM!J17,PM!$N$10:$O$30,2,FALSE)</f>
        <v>80</v>
      </c>
      <c r="K17" s="16">
        <f>VLOOKUP(PM!K17,PM!$N$10:$O$30,2,FALSE)</f>
        <v>50</v>
      </c>
      <c r="L17" s="52">
        <f>100*(PM!L17-MIN(PM!$L$14:$L$18))/(MAX(PM!$L$14:$L$18)-MIN(PM!$L$14:$L$18))</f>
        <v>15.281539109406898</v>
      </c>
      <c r="M17" s="27">
        <f t="shared" si="2"/>
        <v>367.72993639375068</v>
      </c>
      <c r="N17" s="77">
        <f>RANK(M17,$M$14:$M$18,0)</f>
        <v>2</v>
      </c>
    </row>
    <row r="18" spans="4:16" ht="15.75" thickBot="1" x14ac:dyDescent="0.3">
      <c r="D18" s="3" t="str">
        <f>PM!D18</f>
        <v>Biomass</v>
      </c>
      <c r="E18" s="57">
        <f>100*(1-(PM!E18-MIN(PM!$E$14:$E$18))/(MAX(PM!$E$14:$E$18)-MIN(PM!$E$14:$E$18)))</f>
        <v>79.632159125775232</v>
      </c>
      <c r="F18" s="18">
        <f>VLOOKUP(PM!F18,PM!$G$20:$H$40,2,FALSE)</f>
        <v>10</v>
      </c>
      <c r="G18" s="50">
        <f>100*(PM!G18-MIN(PM!$G$14:$G$18))/(MAX(PM!$G$14:$G$18)-MIN(PM!$G$14:$G$18))</f>
        <v>5.9560754356648378</v>
      </c>
      <c r="H18" s="18">
        <f>VLOOKUP(PM!H18,PM!$N$10:$O$30,2,FALSE)</f>
        <v>30</v>
      </c>
      <c r="I18" s="51">
        <f>100*(PM!I18-MIN(PM!$I$14:$I$18))/(MAX(PM!$I$14:$I$18)-MIN(PM!$I$14:$I$18))</f>
        <v>6.8877551020408161</v>
      </c>
      <c r="J18" s="17">
        <f>VLOOKUP(PM!J18,PM!$N$10:$O$30,2,FALSE)</f>
        <v>80</v>
      </c>
      <c r="K18" s="16">
        <f>VLOOKUP(PM!K18,PM!$N$10:$O$30,2,FALSE)</f>
        <v>70</v>
      </c>
      <c r="L18" s="52">
        <f>100*(PM!L18-MIN(PM!$L$14:$L$18))/(MAX(PM!$L$14:$L$18)-MIN(PM!$L$14:$L$18))</f>
        <v>2.2150027034111206</v>
      </c>
      <c r="M18" s="27">
        <f t="shared" si="2"/>
        <v>284.69099236689203</v>
      </c>
      <c r="N18" s="77">
        <f>RANK(M18,$M$14:$M$18,0)</f>
        <v>4</v>
      </c>
    </row>
    <row r="19" spans="4:16" x14ac:dyDescent="0.25">
      <c r="H19" s="7"/>
      <c r="I19" s="7"/>
      <c r="J19" s="7"/>
      <c r="K19" s="7"/>
      <c r="L19" s="7"/>
      <c r="M19" s="7"/>
    </row>
    <row r="20" spans="4:16" x14ac:dyDescent="0.25">
      <c r="D20" s="22"/>
      <c r="E20" s="23"/>
      <c r="F20" s="23"/>
      <c r="G20" s="23"/>
      <c r="H20" s="23"/>
      <c r="I20" s="23"/>
      <c r="J20" s="23"/>
      <c r="K20" s="23"/>
      <c r="L20" s="23"/>
      <c r="M20" s="23"/>
    </row>
    <row r="21" spans="4:16" x14ac:dyDescent="0.25">
      <c r="N21" s="23"/>
    </row>
    <row r="22" spans="4:16" x14ac:dyDescent="0.25">
      <c r="P22" s="9"/>
    </row>
    <row r="23" spans="4:16" x14ac:dyDescent="0.25">
      <c r="F23" s="9"/>
      <c r="O23" s="23"/>
      <c r="P23" s="49"/>
    </row>
    <row r="24" spans="4:16" x14ac:dyDescent="0.25">
      <c r="F24" s="9"/>
    </row>
  </sheetData>
  <mergeCells count="4">
    <mergeCell ref="C10:D10"/>
    <mergeCell ref="F11:L11"/>
    <mergeCell ref="K12:L12"/>
    <mergeCell ref="H12:J12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B10" workbookViewId="0">
      <selection activeCell="E17" sqref="E17"/>
    </sheetView>
  </sheetViews>
  <sheetFormatPr defaultRowHeight="15" x14ac:dyDescent="0.25"/>
  <cols>
    <col min="2" max="2" width="0.7109375" customWidth="1"/>
    <col min="3" max="3" width="2.28515625" customWidth="1"/>
    <col min="4" max="4" width="28.7109375" customWidth="1"/>
    <col min="5" max="5" width="10.85546875" customWidth="1"/>
    <col min="6" max="6" width="11.85546875" customWidth="1"/>
    <col min="7" max="8" width="9.5703125" customWidth="1"/>
    <col min="9" max="9" width="8" customWidth="1"/>
    <col min="10" max="10" width="11.7109375" customWidth="1"/>
    <col min="12" max="12" width="9.85546875" customWidth="1"/>
    <col min="14" max="14" width="10.42578125" customWidth="1"/>
    <col min="15" max="15" width="29.5703125" customWidth="1"/>
  </cols>
  <sheetData>
    <row r="1" spans="1:16" hidden="1" x14ac:dyDescent="0.25">
      <c r="A1">
        <v>18</v>
      </c>
      <c r="B1">
        <f>1-(A1-$A$1)/($A$6-$A$1)</f>
        <v>1</v>
      </c>
      <c r="C1">
        <v>100</v>
      </c>
      <c r="D1">
        <f>1-(A1-MIN($A$1:$A$7))/(MAX($A$1:$A$7)-MIN($A$1:$A$7))</f>
        <v>1</v>
      </c>
    </row>
    <row r="2" spans="1:16" hidden="1" x14ac:dyDescent="0.25">
      <c r="A2">
        <v>27</v>
      </c>
      <c r="B2">
        <f t="shared" ref="B2:B7" si="0">1-(A2-$A$1)/($A$6-$A$1)</f>
        <v>0.25</v>
      </c>
      <c r="C2">
        <v>25</v>
      </c>
      <c r="D2">
        <f t="shared" ref="D2:D7" si="1">1-(A2-MIN($A$1:$A$7))/(MAX($A$1:$A$7)-MIN($A$1:$A$7))</f>
        <v>0.25</v>
      </c>
    </row>
    <row r="3" spans="1:16" hidden="1" x14ac:dyDescent="0.25">
      <c r="A3">
        <v>25</v>
      </c>
      <c r="B3">
        <f t="shared" si="0"/>
        <v>0.41666666666666663</v>
      </c>
      <c r="C3">
        <v>42</v>
      </c>
      <c r="D3">
        <f t="shared" si="1"/>
        <v>0.41666666666666663</v>
      </c>
    </row>
    <row r="4" spans="1:16" hidden="1" x14ac:dyDescent="0.25">
      <c r="A4">
        <v>22</v>
      </c>
      <c r="B4">
        <f t="shared" si="0"/>
        <v>0.66666666666666674</v>
      </c>
      <c r="C4">
        <v>67</v>
      </c>
      <c r="D4">
        <f t="shared" si="1"/>
        <v>0.66666666666666674</v>
      </c>
    </row>
    <row r="5" spans="1:16" hidden="1" x14ac:dyDescent="0.25">
      <c r="A5">
        <v>22</v>
      </c>
      <c r="B5">
        <f t="shared" si="0"/>
        <v>0.66666666666666674</v>
      </c>
      <c r="C5">
        <v>67</v>
      </c>
      <c r="D5">
        <f t="shared" si="1"/>
        <v>0.66666666666666674</v>
      </c>
    </row>
    <row r="6" spans="1:16" hidden="1" x14ac:dyDescent="0.25">
      <c r="A6">
        <v>30</v>
      </c>
      <c r="B6">
        <f t="shared" si="0"/>
        <v>0</v>
      </c>
      <c r="C6">
        <v>0</v>
      </c>
      <c r="D6">
        <f t="shared" si="1"/>
        <v>0</v>
      </c>
    </row>
    <row r="7" spans="1:16" hidden="1" x14ac:dyDescent="0.25">
      <c r="A7">
        <v>20</v>
      </c>
      <c r="B7">
        <f t="shared" si="0"/>
        <v>0.83333333333333337</v>
      </c>
      <c r="C7">
        <v>84</v>
      </c>
      <c r="D7">
        <f t="shared" si="1"/>
        <v>0.83333333333333337</v>
      </c>
    </row>
    <row r="8" spans="1:16" hidden="1" x14ac:dyDescent="0.25">
      <c r="B8">
        <f>MAX(B2:B7)</f>
        <v>0.83333333333333337</v>
      </c>
    </row>
    <row r="9" spans="1:16" hidden="1" x14ac:dyDescent="0.25"/>
    <row r="10" spans="1:16" ht="15.75" thickBot="1" x14ac:dyDescent="0.3">
      <c r="C10" s="112" t="s">
        <v>27</v>
      </c>
      <c r="D10" s="112"/>
    </row>
    <row r="11" spans="1:16" x14ac:dyDescent="0.25">
      <c r="D11" s="1"/>
      <c r="E11" s="6"/>
      <c r="F11" s="111" t="s">
        <v>8</v>
      </c>
      <c r="G11" s="111"/>
      <c r="H11" s="111"/>
      <c r="I11" s="111"/>
      <c r="J11" s="111"/>
      <c r="K11" s="111"/>
      <c r="L11" s="111"/>
      <c r="M11" s="37"/>
      <c r="N11" s="9"/>
      <c r="O11" s="9"/>
    </row>
    <row r="12" spans="1:16" ht="25.5" thickBot="1" x14ac:dyDescent="0.3">
      <c r="D12" s="1"/>
      <c r="E12" s="35" t="s">
        <v>1</v>
      </c>
      <c r="F12" s="36" t="s">
        <v>2</v>
      </c>
      <c r="G12" s="10" t="s">
        <v>6</v>
      </c>
      <c r="H12" s="115" t="s">
        <v>4</v>
      </c>
      <c r="I12" s="116"/>
      <c r="J12" s="117"/>
      <c r="K12" s="113" t="s">
        <v>7</v>
      </c>
      <c r="L12" s="114"/>
      <c r="M12" s="48"/>
    </row>
    <row r="13" spans="1:16" ht="45" customHeight="1" thickBot="1" x14ac:dyDescent="0.3">
      <c r="D13" s="2" t="s">
        <v>9</v>
      </c>
      <c r="E13" s="12" t="s">
        <v>0</v>
      </c>
      <c r="F13" s="13" t="s">
        <v>3</v>
      </c>
      <c r="G13" s="11" t="s">
        <v>61</v>
      </c>
      <c r="H13" s="14" t="s">
        <v>57</v>
      </c>
      <c r="I13" s="38" t="s">
        <v>36</v>
      </c>
      <c r="J13" s="8" t="s">
        <v>35</v>
      </c>
      <c r="K13" s="14" t="s">
        <v>58</v>
      </c>
      <c r="L13" s="43" t="s">
        <v>5</v>
      </c>
      <c r="M13" s="78" t="s">
        <v>16</v>
      </c>
      <c r="N13" s="80" t="s">
        <v>84</v>
      </c>
      <c r="O13" s="22"/>
      <c r="P13" s="75"/>
    </row>
    <row r="14" spans="1:16" ht="15.75" thickBot="1" x14ac:dyDescent="0.3">
      <c r="D14" s="3" t="str">
        <f>PM!D14</f>
        <v>EE</v>
      </c>
      <c r="E14" s="20">
        <f>$E$20*scoring!E14</f>
        <v>15</v>
      </c>
      <c r="F14" s="50">
        <f>$F$20*scoring!F14</f>
        <v>7.5</v>
      </c>
      <c r="G14" s="50">
        <f>$G$20*scoring!G14</f>
        <v>25</v>
      </c>
      <c r="H14" s="50">
        <f>$H$20*scoring!H14</f>
        <v>11.25</v>
      </c>
      <c r="I14" s="51">
        <f>$I$20*scoring!I14</f>
        <v>10</v>
      </c>
      <c r="J14" s="58">
        <f>$J$20*scoring!J14</f>
        <v>3</v>
      </c>
      <c r="K14" s="20">
        <f>$K$20*scoring!K14</f>
        <v>1.25</v>
      </c>
      <c r="L14" s="62">
        <f>$L$20*scoring!L14</f>
        <v>8.3874052869967795</v>
      </c>
      <c r="M14" s="27">
        <f t="shared" ref="M14:M18" si="2">SUM(E14:L14)</f>
        <v>81.387405286996781</v>
      </c>
      <c r="N14" s="81">
        <f>RANK(M14,$M$14:$M$18,0)</f>
        <v>1</v>
      </c>
      <c r="O14" s="22"/>
      <c r="P14" s="76"/>
    </row>
    <row r="15" spans="1:16" ht="15.75" thickBot="1" x14ac:dyDescent="0.3">
      <c r="D15" s="3" t="str">
        <f>PM!D15</f>
        <v>Wind (utility scale)</v>
      </c>
      <c r="E15" s="20">
        <f>$E$20*scoring!E15</f>
        <v>0</v>
      </c>
      <c r="F15" s="50">
        <f>$F$20*scoring!F15</f>
        <v>3.75</v>
      </c>
      <c r="G15" s="50">
        <f>$G$20*scoring!G15</f>
        <v>0</v>
      </c>
      <c r="H15" s="50">
        <f>$H$20*scoring!H15</f>
        <v>7.5</v>
      </c>
      <c r="I15" s="51">
        <f>$I$20*scoring!I15</f>
        <v>0</v>
      </c>
      <c r="J15" s="58">
        <f>$J$20*scoring!J15</f>
        <v>1.25</v>
      </c>
      <c r="K15" s="20">
        <f>$K$20*scoring!K15</f>
        <v>1.25</v>
      </c>
      <c r="L15" s="59">
        <f>$L$20*scoring!L15</f>
        <v>0</v>
      </c>
      <c r="M15" s="27">
        <f t="shared" si="2"/>
        <v>13.75</v>
      </c>
      <c r="N15" s="81">
        <f>RANK(M15,$M$14:$M$18,0)</f>
        <v>5</v>
      </c>
      <c r="O15" s="22"/>
      <c r="P15" s="76"/>
    </row>
    <row r="16" spans="1:16" ht="15.75" thickBot="1" x14ac:dyDescent="0.3">
      <c r="D16" s="3" t="str">
        <f>PM!D16</f>
        <v>Solar PV (utility scale)</v>
      </c>
      <c r="E16" s="20">
        <f>$E$20*scoring!E16</f>
        <v>1.8991629965713823</v>
      </c>
      <c r="F16" s="50">
        <f>$F$20*scoring!F16</f>
        <v>6</v>
      </c>
      <c r="G16" s="50">
        <f>$G$20*scoring!G16</f>
        <v>2.0529959417522083</v>
      </c>
      <c r="H16" s="50">
        <f>$H$20*scoring!H16</f>
        <v>4.5</v>
      </c>
      <c r="I16" s="51">
        <f>$I$20*scoring!I16</f>
        <v>0.72704081632653084</v>
      </c>
      <c r="J16" s="58">
        <f>$J$20*scoring!J16</f>
        <v>3.5</v>
      </c>
      <c r="K16" s="20">
        <f>$K$20*scoring!K16</f>
        <v>1.25</v>
      </c>
      <c r="L16" s="63">
        <f>$L$20*scoring!L16</f>
        <v>10</v>
      </c>
      <c r="M16" s="27">
        <f t="shared" si="2"/>
        <v>29.929199754650121</v>
      </c>
      <c r="N16" s="81">
        <f>RANK(M16,$M$14:$M$18,0)</f>
        <v>3</v>
      </c>
      <c r="O16" s="22"/>
      <c r="P16" s="76"/>
    </row>
    <row r="17" spans="4:16" ht="15.75" thickBot="1" x14ac:dyDescent="0.3">
      <c r="D17" s="3" t="str">
        <f>PM!D17</f>
        <v>WTE</v>
      </c>
      <c r="E17" s="20">
        <f>$E$20*scoring!E17</f>
        <v>7.3244037895521004</v>
      </c>
      <c r="F17" s="50">
        <f>$F$20*scoring!F17</f>
        <v>9</v>
      </c>
      <c r="G17" s="50">
        <f>$G$20*scoring!G17</f>
        <v>5.3562902840773461</v>
      </c>
      <c r="H17" s="50">
        <f>$H$20*scoring!H17</f>
        <v>10.5</v>
      </c>
      <c r="I17" s="51">
        <f>$I$20*scoring!I17</f>
        <v>2.2193877551020407</v>
      </c>
      <c r="J17" s="58">
        <f>$J$20*scoring!J17</f>
        <v>4</v>
      </c>
      <c r="K17" s="20">
        <f>$K$20*scoring!K17</f>
        <v>2.5</v>
      </c>
      <c r="L17" s="63">
        <f>$L$20*scoring!L17</f>
        <v>1.5281539109406899</v>
      </c>
      <c r="M17" s="27">
        <f t="shared" si="2"/>
        <v>42.428235739672175</v>
      </c>
      <c r="N17" s="81">
        <f>RANK(M17,$M$14:$M$18,0)</f>
        <v>2</v>
      </c>
      <c r="O17" s="22"/>
      <c r="P17" s="76"/>
    </row>
    <row r="18" spans="4:16" ht="15.75" thickBot="1" x14ac:dyDescent="0.3">
      <c r="D18" s="96" t="str">
        <f>PM!D18</f>
        <v>Biomass</v>
      </c>
      <c r="E18" s="20">
        <f>$E$20*scoring!E18</f>
        <v>11.944823868866285</v>
      </c>
      <c r="F18" s="50">
        <f>$F$20*scoring!F18</f>
        <v>1.5</v>
      </c>
      <c r="G18" s="50">
        <f>$G$20*scoring!G18</f>
        <v>1.4890188589162094</v>
      </c>
      <c r="H18" s="50">
        <f>$H$20*scoring!H18</f>
        <v>4.5</v>
      </c>
      <c r="I18" s="51">
        <f>$I$20*scoring!I18</f>
        <v>0.68877551020408168</v>
      </c>
      <c r="J18" s="58">
        <f>$J$20*scoring!J18</f>
        <v>4</v>
      </c>
      <c r="K18" s="20">
        <f>$K$20*scoring!K18</f>
        <v>3.5</v>
      </c>
      <c r="L18" s="63">
        <f>$L$20*scoring!L18</f>
        <v>0.22150027034111208</v>
      </c>
      <c r="M18" s="27">
        <f t="shared" si="2"/>
        <v>27.844118508327689</v>
      </c>
      <c r="N18" s="82">
        <f>RANK(M18,$M$14:$M$18,0)</f>
        <v>4</v>
      </c>
      <c r="O18" s="22"/>
      <c r="P18" s="76"/>
    </row>
    <row r="19" spans="4:16" x14ac:dyDescent="0.25">
      <c r="E19" s="7"/>
      <c r="F19" s="7"/>
      <c r="G19" s="7"/>
      <c r="H19" s="7"/>
      <c r="I19" s="7"/>
      <c r="J19" s="7"/>
      <c r="K19" s="7"/>
      <c r="L19" s="7"/>
      <c r="M19" s="7"/>
      <c r="O19" s="22"/>
      <c r="P19" s="76"/>
    </row>
    <row r="20" spans="4:16" x14ac:dyDescent="0.25">
      <c r="D20" s="15" t="s">
        <v>10</v>
      </c>
      <c r="E20" s="19">
        <v>0.15</v>
      </c>
      <c r="F20" s="19">
        <v>0.15</v>
      </c>
      <c r="G20" s="19">
        <v>0.25</v>
      </c>
      <c r="H20" s="54">
        <v>0.15</v>
      </c>
      <c r="I20" s="54">
        <v>0.1</v>
      </c>
      <c r="J20" s="54">
        <v>0.05</v>
      </c>
      <c r="K20" s="56">
        <v>0.05</v>
      </c>
      <c r="L20" s="56">
        <v>0.1</v>
      </c>
      <c r="M20" s="53">
        <f>SUM(E20:L20)</f>
        <v>1.0000000000000002</v>
      </c>
      <c r="O20" s="22"/>
      <c r="P20" s="76"/>
    </row>
    <row r="21" spans="4:16" x14ac:dyDescent="0.25">
      <c r="N21" s="23"/>
      <c r="O21" s="22"/>
      <c r="P21" s="76"/>
    </row>
    <row r="22" spans="4:16" x14ac:dyDescent="0.25">
      <c r="I22" s="55">
        <f>SUM(H20:J20)</f>
        <v>0.3</v>
      </c>
      <c r="K22" s="118">
        <f>SUM(K20:L20)</f>
        <v>0.15000000000000002</v>
      </c>
      <c r="L22" s="118"/>
      <c r="P22" s="9"/>
    </row>
    <row r="23" spans="4:16" x14ac:dyDescent="0.25">
      <c r="F23" s="9"/>
      <c r="O23" s="23"/>
      <c r="P23" s="49"/>
    </row>
    <row r="24" spans="4:16" x14ac:dyDescent="0.25">
      <c r="F24" s="9"/>
    </row>
    <row r="28" spans="4:16" x14ac:dyDescent="0.25">
      <c r="J28" s="95"/>
    </row>
  </sheetData>
  <sortState ref="O14:P21">
    <sortCondition descending="1" ref="P14:P21"/>
  </sortState>
  <mergeCells count="5">
    <mergeCell ref="C10:D10"/>
    <mergeCell ref="F11:L11"/>
    <mergeCell ref="H12:J12"/>
    <mergeCell ref="K12:L12"/>
    <mergeCell ref="K22:L22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A10" zoomScale="90" zoomScaleNormal="90" workbookViewId="0">
      <selection activeCell="O13" sqref="O13"/>
    </sheetView>
  </sheetViews>
  <sheetFormatPr defaultRowHeight="15" x14ac:dyDescent="0.25"/>
  <cols>
    <col min="2" max="2" width="0.7109375" customWidth="1"/>
    <col min="3" max="3" width="2.28515625" customWidth="1"/>
    <col min="4" max="4" width="28.7109375" customWidth="1"/>
    <col min="5" max="5" width="10.85546875" customWidth="1"/>
    <col min="6" max="6" width="11.85546875" customWidth="1"/>
    <col min="7" max="7" width="10.42578125" customWidth="1"/>
    <col min="8" max="8" width="11.7109375" customWidth="1"/>
    <col min="9" max="9" width="8" customWidth="1"/>
    <col min="10" max="10" width="11.7109375" customWidth="1"/>
    <col min="12" max="12" width="9.85546875" customWidth="1"/>
    <col min="14" max="14" width="10.42578125" customWidth="1"/>
    <col min="15" max="15" width="29.140625" customWidth="1"/>
  </cols>
  <sheetData>
    <row r="1" spans="1:17" hidden="1" x14ac:dyDescent="0.25">
      <c r="A1">
        <v>18</v>
      </c>
      <c r="B1">
        <f>1-(A1-$A$1)/($A$6-$A$1)</f>
        <v>1</v>
      </c>
      <c r="C1">
        <v>100</v>
      </c>
      <c r="D1">
        <f>1-(A1-MIN($A$1:$A$7))/(MAX($A$1:$A$7)-MIN($A$1:$A$7))</f>
        <v>1</v>
      </c>
    </row>
    <row r="2" spans="1:17" hidden="1" x14ac:dyDescent="0.25">
      <c r="A2">
        <v>27</v>
      </c>
      <c r="B2">
        <f t="shared" ref="B2:B7" si="0">1-(A2-$A$1)/($A$6-$A$1)</f>
        <v>0.25</v>
      </c>
      <c r="C2">
        <v>25</v>
      </c>
      <c r="D2">
        <f t="shared" ref="D2:D7" si="1">1-(A2-MIN($A$1:$A$7))/(MAX($A$1:$A$7)-MIN($A$1:$A$7))</f>
        <v>0.25</v>
      </c>
    </row>
    <row r="3" spans="1:17" hidden="1" x14ac:dyDescent="0.25">
      <c r="A3">
        <v>25</v>
      </c>
      <c r="B3">
        <f t="shared" si="0"/>
        <v>0.41666666666666663</v>
      </c>
      <c r="C3">
        <v>42</v>
      </c>
      <c r="D3">
        <f t="shared" si="1"/>
        <v>0.41666666666666663</v>
      </c>
    </row>
    <row r="4" spans="1:17" hidden="1" x14ac:dyDescent="0.25">
      <c r="A4">
        <v>22</v>
      </c>
      <c r="B4">
        <f t="shared" si="0"/>
        <v>0.66666666666666674</v>
      </c>
      <c r="C4">
        <v>67</v>
      </c>
      <c r="D4">
        <f t="shared" si="1"/>
        <v>0.66666666666666674</v>
      </c>
    </row>
    <row r="5" spans="1:17" hidden="1" x14ac:dyDescent="0.25">
      <c r="A5">
        <v>22</v>
      </c>
      <c r="B5">
        <f t="shared" si="0"/>
        <v>0.66666666666666674</v>
      </c>
      <c r="C5">
        <v>67</v>
      </c>
      <c r="D5">
        <f t="shared" si="1"/>
        <v>0.66666666666666674</v>
      </c>
    </row>
    <row r="6" spans="1:17" hidden="1" x14ac:dyDescent="0.25">
      <c r="A6">
        <v>30</v>
      </c>
      <c r="B6">
        <f t="shared" si="0"/>
        <v>0</v>
      </c>
      <c r="C6">
        <v>0</v>
      </c>
      <c r="D6">
        <f t="shared" si="1"/>
        <v>0</v>
      </c>
    </row>
    <row r="7" spans="1:17" hidden="1" x14ac:dyDescent="0.25">
      <c r="A7">
        <v>20</v>
      </c>
      <c r="B7">
        <f t="shared" si="0"/>
        <v>0.83333333333333337</v>
      </c>
      <c r="C7">
        <v>84</v>
      </c>
      <c r="D7">
        <f t="shared" si="1"/>
        <v>0.83333333333333337</v>
      </c>
    </row>
    <row r="8" spans="1:17" hidden="1" x14ac:dyDescent="0.25">
      <c r="B8">
        <f>MAX(B2:B7)</f>
        <v>0.83333333333333337</v>
      </c>
    </row>
    <row r="9" spans="1:17" hidden="1" x14ac:dyDescent="0.25"/>
    <row r="10" spans="1:17" ht="15.75" thickBot="1" x14ac:dyDescent="0.3">
      <c r="C10" s="112" t="s">
        <v>27</v>
      </c>
      <c r="D10" s="112"/>
    </row>
    <row r="11" spans="1:17" x14ac:dyDescent="0.25">
      <c r="D11" s="1"/>
      <c r="E11" s="6"/>
      <c r="F11" s="119" t="s">
        <v>8</v>
      </c>
      <c r="G11" s="119"/>
      <c r="H11" s="119"/>
      <c r="I11" s="119"/>
      <c r="J11" s="119"/>
      <c r="K11" s="119"/>
      <c r="L11" s="119"/>
      <c r="M11" s="37"/>
      <c r="N11" s="9"/>
      <c r="O11" s="9"/>
    </row>
    <row r="12" spans="1:17" ht="25.5" thickBot="1" x14ac:dyDescent="0.3">
      <c r="D12" s="83" t="s">
        <v>85</v>
      </c>
      <c r="E12" s="84" t="s">
        <v>1</v>
      </c>
      <c r="F12" s="85" t="s">
        <v>2</v>
      </c>
      <c r="G12" s="86" t="s">
        <v>6</v>
      </c>
      <c r="H12" s="120" t="s">
        <v>4</v>
      </c>
      <c r="I12" s="121"/>
      <c r="J12" s="122"/>
      <c r="K12" s="123" t="s">
        <v>7</v>
      </c>
      <c r="L12" s="124"/>
      <c r="M12" s="48"/>
      <c r="N12" s="9"/>
      <c r="O12" s="9"/>
      <c r="P12" s="9"/>
    </row>
    <row r="13" spans="1:17" ht="55.5" customHeight="1" thickBot="1" x14ac:dyDescent="0.3">
      <c r="D13" s="2" t="s">
        <v>9</v>
      </c>
      <c r="E13" s="87" t="s">
        <v>0</v>
      </c>
      <c r="F13" s="88" t="s">
        <v>3</v>
      </c>
      <c r="G13" s="89" t="s">
        <v>38</v>
      </c>
      <c r="H13" s="90" t="s">
        <v>57</v>
      </c>
      <c r="I13" s="91" t="s">
        <v>36</v>
      </c>
      <c r="J13" s="92" t="s">
        <v>35</v>
      </c>
      <c r="K13" s="90" t="s">
        <v>58</v>
      </c>
      <c r="L13" s="93" t="s">
        <v>5</v>
      </c>
      <c r="M13" s="21" t="s">
        <v>16</v>
      </c>
      <c r="N13" s="71" t="s">
        <v>84</v>
      </c>
      <c r="O13" s="74"/>
      <c r="P13" s="75"/>
      <c r="Q13" s="9"/>
    </row>
    <row r="14" spans="1:17" ht="15.75" thickBot="1" x14ac:dyDescent="0.3">
      <c r="D14" s="3" t="s">
        <v>28</v>
      </c>
      <c r="E14" s="20">
        <f>$E$22*scoring!E14</f>
        <v>20</v>
      </c>
      <c r="F14" s="50">
        <f>$F$22*scoring!F14</f>
        <v>5</v>
      </c>
      <c r="G14" s="50">
        <f>$G$22*scoring!G14</f>
        <v>25</v>
      </c>
      <c r="H14" s="50">
        <f>$H$22*scoring!H14</f>
        <v>3.75</v>
      </c>
      <c r="I14" s="51">
        <f>$I$22*scoring!I14</f>
        <v>10</v>
      </c>
      <c r="J14" s="58">
        <f>$J$22*scoring!J14</f>
        <v>3</v>
      </c>
      <c r="K14" s="20">
        <f>$K$22*scoring!K14</f>
        <v>1.25</v>
      </c>
      <c r="L14" s="52">
        <f>$L$22*scoring!L14</f>
        <v>12.58110793049517</v>
      </c>
      <c r="M14" s="72">
        <f t="shared" ref="M14:M20" si="2">SUM(E14:L14)</f>
        <v>80.581107930495165</v>
      </c>
      <c r="N14" s="73" t="e">
        <f t="shared" ref="N14:N20" si="3">RANK(M14,$M$14:$M$20,0)</f>
        <v>#REF!</v>
      </c>
      <c r="O14" s="74"/>
      <c r="P14" s="76"/>
      <c r="Q14" s="9"/>
    </row>
    <row r="15" spans="1:17" ht="15.75" thickBot="1" x14ac:dyDescent="0.3">
      <c r="D15" s="4" t="s">
        <v>29</v>
      </c>
      <c r="E15" s="20">
        <f>$E$22*scoring!E15</f>
        <v>0</v>
      </c>
      <c r="F15" s="50">
        <f>$F$22*scoring!F15</f>
        <v>2.5</v>
      </c>
      <c r="G15" s="50">
        <f>$G$22*scoring!G15</f>
        <v>0</v>
      </c>
      <c r="H15" s="50">
        <f>$H$22*scoring!H15</f>
        <v>2.5</v>
      </c>
      <c r="I15" s="51">
        <f>$I$22*scoring!I15</f>
        <v>0</v>
      </c>
      <c r="J15" s="58">
        <f>$J$22*scoring!J15</f>
        <v>1.25</v>
      </c>
      <c r="K15" s="20">
        <f>$K$22*scoring!K15</f>
        <v>1.25</v>
      </c>
      <c r="L15" s="62">
        <f>$L$22*scoring!L15</f>
        <v>0</v>
      </c>
      <c r="M15" s="27">
        <f t="shared" si="2"/>
        <v>7.5</v>
      </c>
      <c r="N15" s="70" t="e">
        <f t="shared" si="3"/>
        <v>#REF!</v>
      </c>
      <c r="O15" s="74"/>
      <c r="P15" s="76"/>
      <c r="Q15" s="9"/>
    </row>
    <row r="16" spans="1:17" ht="15.75" thickBot="1" x14ac:dyDescent="0.3">
      <c r="D16" s="4" t="s">
        <v>30</v>
      </c>
      <c r="E16" s="20">
        <f>$E$22*scoring!E16</f>
        <v>2.5322173287618437</v>
      </c>
      <c r="F16" s="50">
        <f>$F$22*scoring!F16</f>
        <v>4</v>
      </c>
      <c r="G16" s="50">
        <f>$G$22*scoring!G16</f>
        <v>2.0529959417522083</v>
      </c>
      <c r="H16" s="50">
        <f>$H$22*scoring!H16</f>
        <v>1.5</v>
      </c>
      <c r="I16" s="51">
        <f>$I$22*scoring!I16</f>
        <v>0.72704081632653084</v>
      </c>
      <c r="J16" s="58">
        <f>$J$22*scoring!J16</f>
        <v>3.5</v>
      </c>
      <c r="K16" s="20">
        <f>$K$22*scoring!K16</f>
        <v>1.25</v>
      </c>
      <c r="L16" s="59">
        <f>$L$22*scoring!L16</f>
        <v>15</v>
      </c>
      <c r="M16" s="72">
        <f t="shared" si="2"/>
        <v>30.562254086840582</v>
      </c>
      <c r="N16" s="73" t="e">
        <f t="shared" si="3"/>
        <v>#REF!</v>
      </c>
      <c r="O16" s="74"/>
      <c r="P16" s="76"/>
      <c r="Q16" s="9"/>
    </row>
    <row r="17" spans="4:17" ht="15.75" thickBot="1" x14ac:dyDescent="0.3">
      <c r="D17" s="4" t="s">
        <v>31</v>
      </c>
      <c r="E17" s="20">
        <f>$E$22*scoring!E17</f>
        <v>9.7658717194028029</v>
      </c>
      <c r="F17" s="50">
        <f>$F$22*scoring!F17</f>
        <v>6</v>
      </c>
      <c r="G17" s="50">
        <f>$G$22*scoring!G17</f>
        <v>5.3562902840773461</v>
      </c>
      <c r="H17" s="50">
        <f>$H$22*scoring!H17</f>
        <v>3.5</v>
      </c>
      <c r="I17" s="51">
        <f>$I$22*scoring!I17</f>
        <v>2.2193877551020407</v>
      </c>
      <c r="J17" s="58">
        <f>$J$22*scoring!J17</f>
        <v>4</v>
      </c>
      <c r="K17" s="20">
        <f>$K$22*scoring!K17</f>
        <v>2.5</v>
      </c>
      <c r="L17" s="63">
        <f>$L$22*scoring!L17</f>
        <v>2.2922308664110345</v>
      </c>
      <c r="M17" s="27">
        <f t="shared" si="2"/>
        <v>35.633780624993221</v>
      </c>
      <c r="N17" s="70" t="e">
        <f t="shared" si="3"/>
        <v>#REF!</v>
      </c>
      <c r="O17" s="74"/>
      <c r="P17" s="76"/>
      <c r="Q17" s="9"/>
    </row>
    <row r="18" spans="4:17" ht="15.75" thickBot="1" x14ac:dyDescent="0.3">
      <c r="D18" s="4" t="s">
        <v>32</v>
      </c>
      <c r="E18" s="20">
        <f>$E$22*scoring!E18</f>
        <v>15.926431825155047</v>
      </c>
      <c r="F18" s="50">
        <f>$F$22*scoring!F18</f>
        <v>1</v>
      </c>
      <c r="G18" s="50">
        <f>$G$22*scoring!G18</f>
        <v>1.4890188589162094</v>
      </c>
      <c r="H18" s="50">
        <f>$H$22*scoring!H18</f>
        <v>1.5</v>
      </c>
      <c r="I18" s="51">
        <f>$I$22*scoring!I18</f>
        <v>0.68877551020408168</v>
      </c>
      <c r="J18" s="58">
        <f>$J$22*scoring!J18</f>
        <v>4</v>
      </c>
      <c r="K18" s="20">
        <f>$K$22*scoring!K18</f>
        <v>3.5</v>
      </c>
      <c r="L18" s="63">
        <f>$L$22*scoring!L18</f>
        <v>0.33225040551166807</v>
      </c>
      <c r="M18" s="72">
        <f t="shared" si="2"/>
        <v>28.43647659978701</v>
      </c>
      <c r="N18" s="73" t="e">
        <f t="shared" si="3"/>
        <v>#REF!</v>
      </c>
      <c r="O18" s="74"/>
      <c r="P18" s="76"/>
      <c r="Q18" s="9"/>
    </row>
    <row r="19" spans="4:17" ht="15.75" thickBot="1" x14ac:dyDescent="0.3">
      <c r="D19" s="4" t="s">
        <v>33</v>
      </c>
      <c r="E19" s="20" t="e">
        <f>$E$22*scoring!#REF!</f>
        <v>#REF!</v>
      </c>
      <c r="F19" s="50" t="e">
        <f>$F$22*scoring!#REF!</f>
        <v>#REF!</v>
      </c>
      <c r="G19" s="50" t="e">
        <f>$G$22*scoring!#REF!</f>
        <v>#REF!</v>
      </c>
      <c r="H19" s="50" t="e">
        <f>$H$22*scoring!#REF!</f>
        <v>#REF!</v>
      </c>
      <c r="I19" s="51" t="e">
        <f>$I$22*scoring!#REF!</f>
        <v>#REF!</v>
      </c>
      <c r="J19" s="58" t="e">
        <f>$J$22*scoring!#REF!</f>
        <v>#REF!</v>
      </c>
      <c r="K19" s="20" t="e">
        <f>$K$22*scoring!#REF!</f>
        <v>#REF!</v>
      </c>
      <c r="L19" s="59" t="e">
        <f>$L$22*scoring!#REF!</f>
        <v>#REF!</v>
      </c>
      <c r="M19" s="72" t="e">
        <f t="shared" si="2"/>
        <v>#REF!</v>
      </c>
      <c r="N19" s="73" t="e">
        <f t="shared" si="3"/>
        <v>#REF!</v>
      </c>
      <c r="O19" s="74"/>
      <c r="P19" s="76"/>
      <c r="Q19" s="9"/>
    </row>
    <row r="20" spans="4:17" ht="15.75" thickBot="1" x14ac:dyDescent="0.3">
      <c r="D20" s="5" t="s">
        <v>34</v>
      </c>
      <c r="E20" s="61" t="e">
        <f>$E$22*scoring!#REF!</f>
        <v>#REF!</v>
      </c>
      <c r="F20" s="50" t="e">
        <f>$F$22*scoring!#REF!</f>
        <v>#REF!</v>
      </c>
      <c r="G20" s="50" t="e">
        <f>$G$22*scoring!#REF!</f>
        <v>#REF!</v>
      </c>
      <c r="H20" s="50" t="e">
        <f>$H$22*scoring!#REF!</f>
        <v>#REF!</v>
      </c>
      <c r="I20" s="51" t="e">
        <f>$I$22*scoring!#REF!</f>
        <v>#REF!</v>
      </c>
      <c r="J20" s="58" t="e">
        <f>$J$22*scoring!#REF!</f>
        <v>#REF!</v>
      </c>
      <c r="K20" s="20" t="e">
        <f>$K$22*scoring!#REF!</f>
        <v>#REF!</v>
      </c>
      <c r="L20" s="60" t="e">
        <f>$L$22*scoring!#REF!</f>
        <v>#REF!</v>
      </c>
      <c r="M20" s="27" t="e">
        <f t="shared" si="2"/>
        <v>#REF!</v>
      </c>
      <c r="N20" s="70" t="e">
        <f t="shared" si="3"/>
        <v>#REF!</v>
      </c>
      <c r="O20" s="74"/>
      <c r="P20" s="76"/>
      <c r="Q20" s="9"/>
    </row>
    <row r="21" spans="4:17" x14ac:dyDescent="0.25">
      <c r="F21" s="7"/>
      <c r="G21" s="7"/>
      <c r="H21" s="7"/>
      <c r="I21" s="7"/>
      <c r="J21" s="7"/>
      <c r="K21" s="7"/>
      <c r="L21" s="7"/>
      <c r="M21" s="7"/>
      <c r="N21" s="7"/>
      <c r="O21" s="22"/>
      <c r="P21" s="76"/>
      <c r="Q21" s="9"/>
    </row>
    <row r="22" spans="4:17" x14ac:dyDescent="0.25">
      <c r="D22" s="15" t="s">
        <v>10</v>
      </c>
      <c r="E22" s="19">
        <v>0.2</v>
      </c>
      <c r="F22" s="19">
        <v>0.1</v>
      </c>
      <c r="G22" s="19">
        <v>0.25</v>
      </c>
      <c r="H22" s="54">
        <v>0.05</v>
      </c>
      <c r="I22" s="54">
        <v>0.1</v>
      </c>
      <c r="J22" s="54">
        <v>0.05</v>
      </c>
      <c r="K22" s="56">
        <v>0.05</v>
      </c>
      <c r="L22" s="56">
        <v>0.15</v>
      </c>
      <c r="M22" s="53">
        <f>SUM(E22:L22)</f>
        <v>0.95000000000000018</v>
      </c>
      <c r="N22" s="23"/>
      <c r="P22" s="9"/>
    </row>
    <row r="23" spans="4:17" x14ac:dyDescent="0.25">
      <c r="O23" s="23"/>
      <c r="P23" s="49"/>
    </row>
    <row r="24" spans="4:17" x14ac:dyDescent="0.25">
      <c r="I24" s="55">
        <f>SUM(H22:J22)</f>
        <v>0.2</v>
      </c>
      <c r="K24" s="118">
        <f>SUM(K22:L22)</f>
        <v>0.2</v>
      </c>
      <c r="L24" s="118"/>
    </row>
    <row r="25" spans="4:17" x14ac:dyDescent="0.25">
      <c r="F25" s="9"/>
    </row>
    <row r="26" spans="4:17" x14ac:dyDescent="0.25">
      <c r="F26" s="9"/>
    </row>
  </sheetData>
  <mergeCells count="5">
    <mergeCell ref="C10:D10"/>
    <mergeCell ref="F11:L11"/>
    <mergeCell ref="H12:J12"/>
    <mergeCell ref="K12:L12"/>
    <mergeCell ref="K24:L2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A10" zoomScale="90" zoomScaleNormal="90" workbookViewId="0">
      <selection activeCell="D14" sqref="D14"/>
    </sheetView>
  </sheetViews>
  <sheetFormatPr defaultRowHeight="15" x14ac:dyDescent="0.25"/>
  <cols>
    <col min="2" max="2" width="0.7109375" customWidth="1"/>
    <col min="3" max="3" width="2.28515625" customWidth="1"/>
    <col min="4" max="4" width="28.7109375" customWidth="1"/>
    <col min="5" max="5" width="10.85546875" customWidth="1"/>
    <col min="6" max="6" width="11.85546875" customWidth="1"/>
    <col min="7" max="8" width="9.5703125" customWidth="1"/>
    <col min="9" max="9" width="8" customWidth="1"/>
    <col min="10" max="10" width="11.7109375" customWidth="1"/>
    <col min="12" max="12" width="9.85546875" customWidth="1"/>
    <col min="14" max="14" width="10.42578125" customWidth="1"/>
    <col min="15" max="15" width="29.140625" customWidth="1"/>
  </cols>
  <sheetData>
    <row r="1" spans="1:17" hidden="1" x14ac:dyDescent="0.25">
      <c r="A1">
        <v>18</v>
      </c>
      <c r="B1">
        <f>1-(A1-$A$1)/($A$6-$A$1)</f>
        <v>1</v>
      </c>
      <c r="C1">
        <v>100</v>
      </c>
      <c r="D1">
        <f>1-(A1-MIN($A$1:$A$7))/(MAX($A$1:$A$7)-MIN($A$1:$A$7))</f>
        <v>1</v>
      </c>
    </row>
    <row r="2" spans="1:17" hidden="1" x14ac:dyDescent="0.25">
      <c r="A2">
        <v>27</v>
      </c>
      <c r="B2">
        <f t="shared" ref="B2:B7" si="0">1-(A2-$A$1)/($A$6-$A$1)</f>
        <v>0.25</v>
      </c>
      <c r="C2">
        <v>25</v>
      </c>
      <c r="D2">
        <f t="shared" ref="D2:D7" si="1">1-(A2-MIN($A$1:$A$7))/(MAX($A$1:$A$7)-MIN($A$1:$A$7))</f>
        <v>0.25</v>
      </c>
    </row>
    <row r="3" spans="1:17" hidden="1" x14ac:dyDescent="0.25">
      <c r="A3">
        <v>25</v>
      </c>
      <c r="B3">
        <f t="shared" si="0"/>
        <v>0.41666666666666663</v>
      </c>
      <c r="C3">
        <v>42</v>
      </c>
      <c r="D3">
        <f t="shared" si="1"/>
        <v>0.41666666666666663</v>
      </c>
    </row>
    <row r="4" spans="1:17" hidden="1" x14ac:dyDescent="0.25">
      <c r="A4">
        <v>22</v>
      </c>
      <c r="B4">
        <f t="shared" si="0"/>
        <v>0.66666666666666674</v>
      </c>
      <c r="C4">
        <v>67</v>
      </c>
      <c r="D4">
        <f t="shared" si="1"/>
        <v>0.66666666666666674</v>
      </c>
    </row>
    <row r="5" spans="1:17" hidden="1" x14ac:dyDescent="0.25">
      <c r="A5">
        <v>22</v>
      </c>
      <c r="B5">
        <f t="shared" si="0"/>
        <v>0.66666666666666674</v>
      </c>
      <c r="C5">
        <v>67</v>
      </c>
      <c r="D5">
        <f t="shared" si="1"/>
        <v>0.66666666666666674</v>
      </c>
    </row>
    <row r="6" spans="1:17" hidden="1" x14ac:dyDescent="0.25">
      <c r="A6">
        <v>30</v>
      </c>
      <c r="B6">
        <f t="shared" si="0"/>
        <v>0</v>
      </c>
      <c r="C6">
        <v>0</v>
      </c>
      <c r="D6">
        <f t="shared" si="1"/>
        <v>0</v>
      </c>
    </row>
    <row r="7" spans="1:17" hidden="1" x14ac:dyDescent="0.25">
      <c r="A7">
        <v>20</v>
      </c>
      <c r="B7">
        <f t="shared" si="0"/>
        <v>0.83333333333333337</v>
      </c>
      <c r="C7">
        <v>84</v>
      </c>
      <c r="D7">
        <f t="shared" si="1"/>
        <v>0.83333333333333337</v>
      </c>
    </row>
    <row r="8" spans="1:17" hidden="1" x14ac:dyDescent="0.25">
      <c r="B8">
        <f>MAX(B2:B7)</f>
        <v>0.83333333333333337</v>
      </c>
    </row>
    <row r="9" spans="1:17" hidden="1" x14ac:dyDescent="0.25"/>
    <row r="10" spans="1:17" ht="15.75" thickBot="1" x14ac:dyDescent="0.3">
      <c r="C10" s="112" t="s">
        <v>27</v>
      </c>
      <c r="D10" s="112"/>
    </row>
    <row r="11" spans="1:17" x14ac:dyDescent="0.25">
      <c r="D11" s="1"/>
      <c r="E11" s="6"/>
      <c r="F11" s="111" t="s">
        <v>8</v>
      </c>
      <c r="G11" s="111"/>
      <c r="H11" s="111"/>
      <c r="I11" s="111"/>
      <c r="J11" s="111"/>
      <c r="K11" s="111"/>
      <c r="L11" s="111"/>
      <c r="M11" s="37"/>
      <c r="N11" s="9"/>
      <c r="O11" s="9"/>
    </row>
    <row r="12" spans="1:17" ht="25.5" thickBot="1" x14ac:dyDescent="0.3">
      <c r="D12" s="1"/>
      <c r="E12" s="35" t="s">
        <v>1</v>
      </c>
      <c r="F12" s="36" t="s">
        <v>2</v>
      </c>
      <c r="G12" s="10" t="s">
        <v>6</v>
      </c>
      <c r="H12" s="115" t="s">
        <v>4</v>
      </c>
      <c r="I12" s="116"/>
      <c r="J12" s="117"/>
      <c r="K12" s="113" t="s">
        <v>7</v>
      </c>
      <c r="L12" s="114"/>
      <c r="M12" s="48"/>
    </row>
    <row r="13" spans="1:17" ht="45" customHeight="1" thickBot="1" x14ac:dyDescent="0.3">
      <c r="D13" s="2" t="s">
        <v>9</v>
      </c>
      <c r="E13" s="12" t="s">
        <v>0</v>
      </c>
      <c r="F13" s="13" t="s">
        <v>3</v>
      </c>
      <c r="G13" s="11" t="s">
        <v>38</v>
      </c>
      <c r="H13" s="14" t="s">
        <v>57</v>
      </c>
      <c r="I13" s="38" t="s">
        <v>36</v>
      </c>
      <c r="J13" s="8" t="s">
        <v>35</v>
      </c>
      <c r="K13" s="14" t="s">
        <v>58</v>
      </c>
      <c r="L13" s="43" t="s">
        <v>5</v>
      </c>
      <c r="M13" s="78" t="s">
        <v>16</v>
      </c>
      <c r="N13" s="80" t="s">
        <v>84</v>
      </c>
      <c r="O13" s="22"/>
      <c r="P13" s="75"/>
      <c r="Q13" s="9"/>
    </row>
    <row r="14" spans="1:17" ht="15.75" thickBot="1" x14ac:dyDescent="0.3">
      <c r="D14" s="3" t="s">
        <v>28</v>
      </c>
      <c r="E14" s="20">
        <f>$E$22*scoring!E14</f>
        <v>15</v>
      </c>
      <c r="F14" s="50">
        <f>$F$22*scoring!F14</f>
        <v>5</v>
      </c>
      <c r="G14" s="50">
        <f>$G$22*scoring!G14</f>
        <v>20</v>
      </c>
      <c r="H14" s="50">
        <f>$H$22*scoring!H14</f>
        <v>3.75</v>
      </c>
      <c r="I14" s="51">
        <f>$I$22*scoring!I14</f>
        <v>10</v>
      </c>
      <c r="J14" s="58">
        <f>$J$22*scoring!J14</f>
        <v>3</v>
      </c>
      <c r="K14" s="20">
        <f>$K$22*scoring!K14</f>
        <v>1.25</v>
      </c>
      <c r="L14" s="52">
        <f>$L$22*scoring!L14</f>
        <v>12.58110793049517</v>
      </c>
      <c r="M14" s="27">
        <f t="shared" ref="M14:M20" si="2">SUM(E14:L14)</f>
        <v>70.581107930495165</v>
      </c>
      <c r="N14" s="81" t="e">
        <f>RANK(M14,$M$14:$M$20,0)</f>
        <v>#REF!</v>
      </c>
      <c r="O14" s="22"/>
      <c r="P14" s="76"/>
      <c r="Q14" s="9"/>
    </row>
    <row r="15" spans="1:17" ht="15.75" thickBot="1" x14ac:dyDescent="0.3">
      <c r="D15" s="4" t="s">
        <v>29</v>
      </c>
      <c r="E15" s="20">
        <f>$E$22*scoring!E15</f>
        <v>0</v>
      </c>
      <c r="F15" s="50">
        <f>$F$22*scoring!F15</f>
        <v>2.5</v>
      </c>
      <c r="G15" s="50">
        <f>$G$22*scoring!G15</f>
        <v>0</v>
      </c>
      <c r="H15" s="50">
        <f>$H$22*scoring!H15</f>
        <v>2.5</v>
      </c>
      <c r="I15" s="51">
        <f>$I$22*scoring!I15</f>
        <v>0</v>
      </c>
      <c r="J15" s="58">
        <f>$J$22*scoring!J15</f>
        <v>1.25</v>
      </c>
      <c r="K15" s="20">
        <f>$K$22*scoring!K15</f>
        <v>1.25</v>
      </c>
      <c r="L15" s="62">
        <f>$L$22*scoring!L15</f>
        <v>0</v>
      </c>
      <c r="M15" s="27">
        <f t="shared" si="2"/>
        <v>7.5</v>
      </c>
      <c r="N15" s="81" t="e">
        <f t="shared" ref="N15:N20" si="3">RANK(M15,$M$14:$M$20,0)</f>
        <v>#REF!</v>
      </c>
      <c r="O15" s="22"/>
      <c r="P15" s="76"/>
      <c r="Q15" s="9"/>
    </row>
    <row r="16" spans="1:17" ht="15.75" thickBot="1" x14ac:dyDescent="0.3">
      <c r="D16" s="4" t="s">
        <v>30</v>
      </c>
      <c r="E16" s="20">
        <f>$E$22*scoring!E16</f>
        <v>1.8991629965713823</v>
      </c>
      <c r="F16" s="50">
        <f>$F$22*scoring!F16</f>
        <v>4</v>
      </c>
      <c r="G16" s="50">
        <f>$G$22*scoring!G16</f>
        <v>1.6423967534017667</v>
      </c>
      <c r="H16" s="50">
        <f>$H$22*scoring!H16</f>
        <v>1.5</v>
      </c>
      <c r="I16" s="51">
        <f>$I$22*scoring!I16</f>
        <v>0.72704081632653084</v>
      </c>
      <c r="J16" s="58">
        <f>$J$22*scoring!J16</f>
        <v>3.5</v>
      </c>
      <c r="K16" s="20">
        <f>$K$22*scoring!K16</f>
        <v>1.25</v>
      </c>
      <c r="L16" s="59">
        <f>$L$22*scoring!L16</f>
        <v>15</v>
      </c>
      <c r="M16" s="27">
        <f t="shared" si="2"/>
        <v>29.518600566299682</v>
      </c>
      <c r="N16" s="81" t="e">
        <f t="shared" si="3"/>
        <v>#REF!</v>
      </c>
      <c r="O16" s="22"/>
      <c r="P16" s="76"/>
      <c r="Q16" s="9"/>
    </row>
    <row r="17" spans="4:17" ht="15.75" thickBot="1" x14ac:dyDescent="0.3">
      <c r="D17" s="4" t="s">
        <v>31</v>
      </c>
      <c r="E17" s="20">
        <f>$E$22*scoring!E17</f>
        <v>7.3244037895521004</v>
      </c>
      <c r="F17" s="50">
        <f>$F$22*scoring!F17</f>
        <v>6</v>
      </c>
      <c r="G17" s="50">
        <f>$G$22*scoring!G17</f>
        <v>4.285032227261877</v>
      </c>
      <c r="H17" s="50">
        <f>$H$22*scoring!H17</f>
        <v>3.5</v>
      </c>
      <c r="I17" s="51">
        <f>$I$22*scoring!I17</f>
        <v>2.2193877551020407</v>
      </c>
      <c r="J17" s="58">
        <f>$J$22*scoring!J17</f>
        <v>4</v>
      </c>
      <c r="K17" s="20">
        <f>$K$22*scoring!K17</f>
        <v>2.5</v>
      </c>
      <c r="L17" s="63">
        <f>$L$22*scoring!L17</f>
        <v>2.2922308664110345</v>
      </c>
      <c r="M17" s="27">
        <f t="shared" si="2"/>
        <v>32.121054638327053</v>
      </c>
      <c r="N17" s="81" t="e">
        <f t="shared" si="3"/>
        <v>#REF!</v>
      </c>
      <c r="O17" s="22"/>
      <c r="P17" s="76"/>
      <c r="Q17" s="9"/>
    </row>
    <row r="18" spans="4:17" ht="15.75" thickBot="1" x14ac:dyDescent="0.3">
      <c r="D18" s="4" t="s">
        <v>32</v>
      </c>
      <c r="E18" s="20">
        <f>$E$22*scoring!E18</f>
        <v>11.944823868866285</v>
      </c>
      <c r="F18" s="50">
        <f>$F$22*scoring!F18</f>
        <v>1</v>
      </c>
      <c r="G18" s="50">
        <f>$G$22*scoring!G18</f>
        <v>1.1912150871329676</v>
      </c>
      <c r="H18" s="50">
        <f>$H$22*scoring!H18</f>
        <v>1.5</v>
      </c>
      <c r="I18" s="51">
        <f>$I$22*scoring!I18</f>
        <v>0.68877551020408168</v>
      </c>
      <c r="J18" s="58">
        <f>$J$22*scoring!J18</f>
        <v>4</v>
      </c>
      <c r="K18" s="20">
        <f>$K$22*scoring!K18</f>
        <v>3.5</v>
      </c>
      <c r="L18" s="63">
        <f>$L$22*scoring!L18</f>
        <v>0.33225040551166807</v>
      </c>
      <c r="M18" s="27">
        <f t="shared" si="2"/>
        <v>24.157064871715004</v>
      </c>
      <c r="N18" s="81" t="e">
        <f t="shared" si="3"/>
        <v>#REF!</v>
      </c>
      <c r="O18" s="22"/>
      <c r="P18" s="76"/>
      <c r="Q18" s="9"/>
    </row>
    <row r="19" spans="4:17" ht="15.75" thickBot="1" x14ac:dyDescent="0.3">
      <c r="D19" s="4" t="s">
        <v>33</v>
      </c>
      <c r="E19" s="20" t="e">
        <f>$E$22*scoring!#REF!</f>
        <v>#REF!</v>
      </c>
      <c r="F19" s="50" t="e">
        <f>$F$22*scoring!#REF!</f>
        <v>#REF!</v>
      </c>
      <c r="G19" s="50" t="e">
        <f>$G$22*scoring!#REF!</f>
        <v>#REF!</v>
      </c>
      <c r="H19" s="50" t="e">
        <f>$H$22*scoring!#REF!</f>
        <v>#REF!</v>
      </c>
      <c r="I19" s="51" t="e">
        <f>$I$22*scoring!#REF!</f>
        <v>#REF!</v>
      </c>
      <c r="J19" s="58" t="e">
        <f>$J$22*scoring!#REF!</f>
        <v>#REF!</v>
      </c>
      <c r="K19" s="20" t="e">
        <f>$K$22*scoring!#REF!</f>
        <v>#REF!</v>
      </c>
      <c r="L19" s="59" t="e">
        <f>$L$22*scoring!#REF!</f>
        <v>#REF!</v>
      </c>
      <c r="M19" s="27" t="e">
        <f t="shared" si="2"/>
        <v>#REF!</v>
      </c>
      <c r="N19" s="81" t="e">
        <f t="shared" si="3"/>
        <v>#REF!</v>
      </c>
      <c r="O19" s="22"/>
      <c r="P19" s="76"/>
      <c r="Q19" s="9"/>
    </row>
    <row r="20" spans="4:17" ht="15.75" thickBot="1" x14ac:dyDescent="0.3">
      <c r="D20" s="5" t="s">
        <v>34</v>
      </c>
      <c r="E20" s="61" t="e">
        <f>$E$22*scoring!#REF!</f>
        <v>#REF!</v>
      </c>
      <c r="F20" s="50" t="e">
        <f>$F$22*scoring!#REF!</f>
        <v>#REF!</v>
      </c>
      <c r="G20" s="50" t="e">
        <f>$G$22*scoring!#REF!</f>
        <v>#REF!</v>
      </c>
      <c r="H20" s="50" t="e">
        <f>$H$22*scoring!#REF!</f>
        <v>#REF!</v>
      </c>
      <c r="I20" s="51" t="e">
        <f>$I$22*scoring!#REF!</f>
        <v>#REF!</v>
      </c>
      <c r="J20" s="58" t="e">
        <f>$J$22*scoring!#REF!</f>
        <v>#REF!</v>
      </c>
      <c r="K20" s="20" t="e">
        <f>$K$22*scoring!#REF!</f>
        <v>#REF!</v>
      </c>
      <c r="L20" s="60" t="e">
        <f>$L$22*scoring!#REF!</f>
        <v>#REF!</v>
      </c>
      <c r="M20" s="27" t="e">
        <f t="shared" si="2"/>
        <v>#REF!</v>
      </c>
      <c r="N20" s="82" t="e">
        <f t="shared" si="3"/>
        <v>#REF!</v>
      </c>
      <c r="O20" s="22"/>
      <c r="P20" s="76"/>
      <c r="Q20" s="9"/>
    </row>
    <row r="21" spans="4:17" x14ac:dyDescent="0.25">
      <c r="F21" s="7"/>
      <c r="G21" s="7"/>
      <c r="H21" s="7"/>
      <c r="I21" s="7"/>
      <c r="J21" s="7"/>
      <c r="K21" s="7"/>
      <c r="L21" s="7"/>
      <c r="M21" s="7"/>
      <c r="O21" s="22"/>
      <c r="P21" s="76"/>
      <c r="Q21" s="9"/>
    </row>
    <row r="22" spans="4:17" x14ac:dyDescent="0.25">
      <c r="D22" s="15" t="s">
        <v>10</v>
      </c>
      <c r="E22" s="19">
        <v>0.15</v>
      </c>
      <c r="F22" s="19">
        <v>0.1</v>
      </c>
      <c r="G22" s="19">
        <v>0.2</v>
      </c>
      <c r="H22" s="54">
        <v>0.05</v>
      </c>
      <c r="I22" s="54">
        <v>0.1</v>
      </c>
      <c r="J22" s="54">
        <v>0.05</v>
      </c>
      <c r="K22" s="69">
        <v>0.05</v>
      </c>
      <c r="L22" s="69">
        <v>0.15</v>
      </c>
      <c r="M22" s="53">
        <f>SUM(E22:L22)</f>
        <v>0.85000000000000009</v>
      </c>
      <c r="P22" s="9"/>
    </row>
    <row r="23" spans="4:17" x14ac:dyDescent="0.25">
      <c r="N23" s="23"/>
      <c r="O23" s="23"/>
      <c r="P23" s="49"/>
    </row>
    <row r="24" spans="4:17" x14ac:dyDescent="0.25">
      <c r="I24" s="55">
        <f>SUM(H22:J22)</f>
        <v>0.2</v>
      </c>
      <c r="K24" s="118">
        <f>SUM(K22:L22)</f>
        <v>0.2</v>
      </c>
      <c r="L24" s="118"/>
    </row>
    <row r="25" spans="4:17" x14ac:dyDescent="0.25">
      <c r="F25" s="9"/>
    </row>
    <row r="26" spans="4:17" x14ac:dyDescent="0.25">
      <c r="F26" s="9"/>
    </row>
  </sheetData>
  <mergeCells count="5">
    <mergeCell ref="C10:D10"/>
    <mergeCell ref="F11:L11"/>
    <mergeCell ref="H12:J12"/>
    <mergeCell ref="K12:L12"/>
    <mergeCell ref="K24:L24"/>
  </mergeCells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FE7AF24C04954491C86467E44D5D3F" ma:contentTypeVersion="1" ma:contentTypeDescription="Create a new document." ma:contentTypeScope="" ma:versionID="a2d20bfa859f81238ec0f30d82f64af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7929D8A-2B8B-4B9E-AB86-F9263D9F701C}"/>
</file>

<file path=customXml/itemProps2.xml><?xml version="1.0" encoding="utf-8"?>
<ds:datastoreItem xmlns:ds="http://schemas.openxmlformats.org/officeDocument/2006/customXml" ds:itemID="{5EAA7884-9CCF-4CB1-A012-DA57A21620F3}"/>
</file>

<file path=customXml/itemProps3.xml><?xml version="1.0" encoding="utf-8"?>
<ds:datastoreItem xmlns:ds="http://schemas.openxmlformats.org/officeDocument/2006/customXml" ds:itemID="{82A6C2FD-B97B-41FF-80B0-FEDE4C1A77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PM</vt:lpstr>
      <vt:lpstr>scoring</vt:lpstr>
      <vt:lpstr>weighting</vt:lpstr>
      <vt:lpstr>sensitivity analysis (1)</vt:lpstr>
      <vt:lpstr>sensitivity analysis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</dc:creator>
  <cp:lastModifiedBy>Elia</cp:lastModifiedBy>
  <dcterms:created xsi:type="dcterms:W3CDTF">2012-01-30T16:49:38Z</dcterms:created>
  <dcterms:modified xsi:type="dcterms:W3CDTF">2016-09-13T04:37:30Z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0x01010081FE7AF24C04954491C86467E44D5D3F</vt:lpwstr>
  </property>
</Properties>
</file>