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1.xml" ContentType="application/vnd.openxmlformats-officedocument.drawingml.char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tables/table38.xml" ContentType="application/vnd.openxmlformats-officedocument.spreadsheetml.table+xml"/>
  <Override PartName="/xl/tables/table37.xml" ContentType="application/vnd.openxmlformats-officedocument.spreadsheetml.table+xml"/>
  <Override PartName="/xl/tables/table39.xml" ContentType="application/vnd.openxmlformats-officedocument.spreadsheetml.table+xml"/>
  <Override PartName="/xl/tables/table36.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40.xml" ContentType="application/vnd.openxmlformats-officedocument.spreadsheetml.table+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8.xml" ContentType="application/vnd.openxmlformats-officedocument.spreadsheetml.table+xml"/>
  <Override PartName="/xl/tables/table3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25.xml" ContentType="application/vnd.openxmlformats-officedocument.spreadsheetml.table+xml"/>
  <Override PartName="/xl/tables/table1.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7.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20730" windowHeight="9675" firstSheet="1" activeTab="2"/>
  </bookViews>
  <sheets>
    <sheet name="summary table 2003-2015" sheetId="1" state="hidden" r:id="rId1"/>
    <sheet name="summary table 2000-2015 FINAL" sheetId="6" r:id="rId2"/>
    <sheet name="PassMobility" sheetId="2" r:id="rId3"/>
    <sheet name="Proj_PasMob" sheetId="3" r:id="rId4"/>
    <sheet name="Freight" sheetId="9" r:id="rId5"/>
    <sheet name="EnergyCal" sheetId="7" r:id="rId6"/>
    <sheet name="BAU" sheetId="8" r:id="rId7"/>
    <sheet name="Scenario1" sheetId="11" r:id="rId8"/>
    <sheet name="Scenario2" sheetId="12" r:id="rId9"/>
    <sheet name="Scenario3" sheetId="13" r:id="rId10"/>
    <sheet name="LRS4" sheetId="15" r:id="rId11"/>
    <sheet name="BAU (2)" sheetId="10" r:id="rId12"/>
  </sheets>
  <definedNames>
    <definedName name="AC">EnergyCal!$C$26</definedName>
    <definedName name="Bus">EnergyCal!$C$32</definedName>
    <definedName name="CarDsl">EnergyCal!$C$30</definedName>
    <definedName name="CarPet">EnergyCal!$C$28</definedName>
    <definedName name="DPVPet">EnergyCal!$C$29</definedName>
    <definedName name="GoodsDsl">EnergyCal!$C$33</definedName>
    <definedName name="GoodsPet">EnergyCal!$C$34</definedName>
    <definedName name="hybrid">EnergyCal!$C$35</definedName>
    <definedName name="MC">EnergyCal!$C$27</definedName>
    <definedName name="_xlnm.Print_Area" localSheetId="1">'summary table 2000-2015 FINAL'!$A$1:$R$36</definedName>
    <definedName name="_xlnm.Print_Area" localSheetId="0">'summary table 2003-2015'!$A$1:$R$36</definedName>
  </definedNames>
  <calcPr calcId="145621"/>
</workbook>
</file>

<file path=xl/calcChain.xml><?xml version="1.0" encoding="utf-8"?>
<calcChain xmlns="http://schemas.openxmlformats.org/spreadsheetml/2006/main">
  <c r="O33" i="13" l="1"/>
  <c r="AF33" i="13"/>
  <c r="BI33" i="13"/>
  <c r="CH14" i="8" l="1"/>
  <c r="CH15" i="8"/>
  <c r="CH16" i="8"/>
  <c r="CH17" i="8"/>
  <c r="CH18" i="8"/>
  <c r="CH19" i="8"/>
  <c r="CH20" i="8"/>
  <c r="CH21" i="8"/>
  <c r="CH22" i="8"/>
  <c r="CH23" i="8"/>
  <c r="CH24" i="8"/>
  <c r="CH25" i="8"/>
  <c r="CH26" i="8"/>
  <c r="CH27" i="8"/>
  <c r="CH28" i="8"/>
  <c r="CH29" i="8"/>
  <c r="CH30" i="8"/>
  <c r="CH31" i="8"/>
  <c r="CH32" i="8"/>
  <c r="CH34" i="8"/>
  <c r="CH35" i="8"/>
  <c r="CH36" i="8"/>
  <c r="CH37" i="8"/>
  <c r="CH38" i="8"/>
  <c r="CH39" i="8"/>
  <c r="CH40" i="8"/>
  <c r="CH41" i="8"/>
  <c r="CH42" i="8"/>
  <c r="CH43" i="8"/>
  <c r="CH44" i="8"/>
  <c r="CH45" i="8"/>
  <c r="CH46" i="8"/>
  <c r="CH47" i="8"/>
  <c r="CH48" i="8"/>
  <c r="CH49" i="8"/>
  <c r="CH50" i="8"/>
  <c r="CH51" i="8"/>
  <c r="CH52" i="8"/>
  <c r="CH53" i="8"/>
  <c r="CH13" i="8"/>
  <c r="CF14" i="8"/>
  <c r="CF15" i="8"/>
  <c r="CF16" i="8"/>
  <c r="CF17" i="8"/>
  <c r="CF18" i="8"/>
  <c r="CF19" i="8"/>
  <c r="CF20" i="8"/>
  <c r="CF21" i="8"/>
  <c r="CF22" i="8"/>
  <c r="CF23" i="8"/>
  <c r="CF24" i="8"/>
  <c r="CF25" i="8"/>
  <c r="CF26" i="8"/>
  <c r="CF27" i="8"/>
  <c r="CF28" i="8"/>
  <c r="CF29" i="8"/>
  <c r="CF30" i="8"/>
  <c r="CF31" i="8"/>
  <c r="CF32" i="8"/>
  <c r="CF34" i="8"/>
  <c r="CF35" i="8"/>
  <c r="CF36" i="8"/>
  <c r="CF37" i="8"/>
  <c r="CF38" i="8"/>
  <c r="CF39" i="8"/>
  <c r="CF40" i="8"/>
  <c r="CF41" i="8"/>
  <c r="CF42" i="8"/>
  <c r="CF43" i="8"/>
  <c r="CF44" i="8"/>
  <c r="CF45" i="8"/>
  <c r="CF46" i="8"/>
  <c r="CF47" i="8"/>
  <c r="CF48" i="8"/>
  <c r="CF49" i="8"/>
  <c r="CF50" i="8"/>
  <c r="CF51" i="8"/>
  <c r="CF52" i="8"/>
  <c r="CF53" i="8"/>
  <c r="CF13" i="8"/>
  <c r="CD14" i="8"/>
  <c r="CD15" i="8"/>
  <c r="CD16" i="8"/>
  <c r="CD17" i="8"/>
  <c r="CD18" i="8"/>
  <c r="CD19" i="8"/>
  <c r="CD20" i="8"/>
  <c r="CD21" i="8"/>
  <c r="CD22" i="8"/>
  <c r="CD23" i="8"/>
  <c r="CD24" i="8"/>
  <c r="CD25" i="8"/>
  <c r="CD26" i="8"/>
  <c r="CD27" i="8"/>
  <c r="CD28" i="8"/>
  <c r="CD29" i="8"/>
  <c r="CD30" i="8"/>
  <c r="CD31" i="8"/>
  <c r="CD32" i="8"/>
  <c r="CD33" i="8"/>
  <c r="CD34" i="8"/>
  <c r="CD35" i="8"/>
  <c r="CD36" i="8"/>
  <c r="CD37" i="8"/>
  <c r="CD38" i="8"/>
  <c r="CD39" i="8"/>
  <c r="CD40" i="8"/>
  <c r="CD41" i="8"/>
  <c r="CD42" i="8"/>
  <c r="CD43" i="8"/>
  <c r="CD44" i="8"/>
  <c r="CD45" i="8"/>
  <c r="CD46" i="8"/>
  <c r="CD47" i="8"/>
  <c r="CD48" i="8"/>
  <c r="CD49" i="8"/>
  <c r="CD50" i="8"/>
  <c r="CD51" i="8"/>
  <c r="CD52" i="8"/>
  <c r="CD53" i="8"/>
  <c r="CD13" i="8"/>
  <c r="BU14" i="8"/>
  <c r="BU15" i="8"/>
  <c r="BU16" i="8"/>
  <c r="BU17" i="8"/>
  <c r="BU18" i="8"/>
  <c r="BU19" i="8"/>
  <c r="BU20" i="8"/>
  <c r="BU21" i="8"/>
  <c r="BU22" i="8"/>
  <c r="BU23" i="8"/>
  <c r="BU24" i="8"/>
  <c r="BU25" i="8"/>
  <c r="BU26" i="8"/>
  <c r="BU27" i="8"/>
  <c r="BU28" i="8"/>
  <c r="BU29" i="8"/>
  <c r="BU30" i="8"/>
  <c r="BU31" i="8"/>
  <c r="BU32" i="8"/>
  <c r="BU33" i="8"/>
  <c r="BU34" i="8"/>
  <c r="BU35" i="8"/>
  <c r="BU36" i="8"/>
  <c r="BU37" i="8"/>
  <c r="BU38" i="8"/>
  <c r="BU39" i="8"/>
  <c r="BU40" i="8"/>
  <c r="BU41" i="8"/>
  <c r="BU42" i="8"/>
  <c r="BU43" i="8"/>
  <c r="BU44" i="8"/>
  <c r="BU45" i="8"/>
  <c r="BU46" i="8"/>
  <c r="BU47" i="8"/>
  <c r="BU48" i="8"/>
  <c r="BU49" i="8"/>
  <c r="BU50" i="8"/>
  <c r="BU51" i="8"/>
  <c r="BU52" i="8"/>
  <c r="BU53" i="8"/>
  <c r="BU13" i="8"/>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13" i="15"/>
  <c r="J6" i="15"/>
  <c r="M9" i="15"/>
  <c r="G41" i="15"/>
  <c r="G42" i="15" s="1"/>
  <c r="G43" i="15" s="1"/>
  <c r="G44" i="15" s="1"/>
  <c r="G45" i="15" s="1"/>
  <c r="G46" i="15" s="1"/>
  <c r="G47" i="15" s="1"/>
  <c r="G48" i="15" s="1"/>
  <c r="G49" i="15" s="1"/>
  <c r="G50" i="15" s="1"/>
  <c r="G51" i="15" s="1"/>
  <c r="G52" i="15" s="1"/>
  <c r="G53" i="15" s="1"/>
  <c r="G31" i="15"/>
  <c r="G21" i="15"/>
  <c r="N41" i="15"/>
  <c r="N31" i="15"/>
  <c r="N21" i="15"/>
  <c r="BB14" i="15"/>
  <c r="BB15" i="15" s="1"/>
  <c r="AB14" i="15"/>
  <c r="A14" i="15"/>
  <c r="A15" i="15" s="1"/>
  <c r="BL13" i="15"/>
  <c r="AN13" i="15"/>
  <c r="AM13" i="15"/>
  <c r="AL13" i="15"/>
  <c r="B13" i="15"/>
  <c r="AL9" i="15"/>
  <c r="AI9" i="15"/>
  <c r="AD9" i="15"/>
  <c r="X9" i="15"/>
  <c r="W9" i="15"/>
  <c r="R9" i="15"/>
  <c r="Q9" i="15"/>
  <c r="P9" i="15"/>
  <c r="S9" i="15" s="1"/>
  <c r="L9" i="15"/>
  <c r="K9" i="15"/>
  <c r="J9" i="15"/>
  <c r="I9" i="15"/>
  <c r="H9" i="15"/>
  <c r="D9" i="15"/>
  <c r="C9" i="15"/>
  <c r="B9" i="15"/>
  <c r="BI8" i="15"/>
  <c r="BH8" i="15"/>
  <c r="BG8" i="15"/>
  <c r="AL8" i="15"/>
  <c r="AI8" i="15"/>
  <c r="AD8" i="15"/>
  <c r="BI7" i="15"/>
  <c r="BH7" i="15"/>
  <c r="BG7" i="15"/>
  <c r="AD7" i="15"/>
  <c r="BI6" i="15"/>
  <c r="BH6" i="15"/>
  <c r="BG6" i="15"/>
  <c r="AK4" i="15"/>
  <c r="AJ4" i="15"/>
  <c r="AI4" i="15"/>
  <c r="AH4" i="15"/>
  <c r="AG4" i="15"/>
  <c r="AF4" i="15"/>
  <c r="AE4" i="15"/>
  <c r="AD4" i="15"/>
  <c r="G32" i="15" l="1"/>
  <c r="G33" i="15" s="1"/>
  <c r="G34" i="15" s="1"/>
  <c r="G35" i="15" s="1"/>
  <c r="G36" i="15" s="1"/>
  <c r="G37" i="15" s="1"/>
  <c r="G38" i="15" s="1"/>
  <c r="G39" i="15" s="1"/>
  <c r="G40" i="15" s="1"/>
  <c r="G22" i="15"/>
  <c r="G23" i="15" s="1"/>
  <c r="G24" i="15" s="1"/>
  <c r="G25" i="15" s="1"/>
  <c r="G26" i="15" s="1"/>
  <c r="G27" i="15" s="1"/>
  <c r="G28" i="15" s="1"/>
  <c r="G29" i="15" s="1"/>
  <c r="G30" i="15" s="1"/>
  <c r="N22" i="15"/>
  <c r="N32" i="15"/>
  <c r="N42" i="15"/>
  <c r="C13" i="15"/>
  <c r="Y9" i="15"/>
  <c r="D13" i="15"/>
  <c r="O13" i="15" s="1"/>
  <c r="R13" i="15" s="1"/>
  <c r="B14" i="15"/>
  <c r="AI53" i="15"/>
  <c r="AI52" i="15"/>
  <c r="AI51" i="15"/>
  <c r="AI50" i="15"/>
  <c r="AI49" i="15"/>
  <c r="AI48" i="15"/>
  <c r="AI47" i="15"/>
  <c r="AI46" i="15"/>
  <c r="AI45" i="15"/>
  <c r="AI44" i="15"/>
  <c r="AI43" i="15"/>
  <c r="AI42" i="15"/>
  <c r="AI41" i="15"/>
  <c r="AI40" i="15"/>
  <c r="AI39" i="15"/>
  <c r="AI38" i="15"/>
  <c r="AI37" i="15"/>
  <c r="AI36" i="15"/>
  <c r="AI35" i="15"/>
  <c r="AI34" i="15"/>
  <c r="AI33" i="15"/>
  <c r="AI32" i="15"/>
  <c r="AI31" i="15"/>
  <c r="AI30" i="15"/>
  <c r="AI29" i="15"/>
  <c r="AI28" i="15"/>
  <c r="AI27" i="15"/>
  <c r="AI26" i="15"/>
  <c r="AI25" i="15"/>
  <c r="AI24" i="15"/>
  <c r="AI23" i="15"/>
  <c r="AI22" i="15"/>
  <c r="AI21" i="15"/>
  <c r="AI20" i="15"/>
  <c r="AI19" i="15"/>
  <c r="E9" i="15"/>
  <c r="A16" i="15"/>
  <c r="B15" i="15"/>
  <c r="AN53" i="15"/>
  <c r="AN52" i="15"/>
  <c r="AN51" i="15"/>
  <c r="AN50" i="15"/>
  <c r="AN49" i="15"/>
  <c r="AN48" i="15"/>
  <c r="AN47" i="15"/>
  <c r="AN46" i="15"/>
  <c r="AN45" i="15"/>
  <c r="AN44" i="15"/>
  <c r="AN43" i="15"/>
  <c r="AN42" i="15"/>
  <c r="AN41" i="15"/>
  <c r="AN40" i="15"/>
  <c r="AN39" i="15"/>
  <c r="AN38" i="15"/>
  <c r="AN37" i="15"/>
  <c r="AN36" i="15"/>
  <c r="AN35" i="15"/>
  <c r="AN34" i="15"/>
  <c r="AN33" i="15"/>
  <c r="AN32" i="15"/>
  <c r="AN31" i="15"/>
  <c r="AN30" i="15"/>
  <c r="AN29" i="15"/>
  <c r="AN28" i="15"/>
  <c r="AN27" i="15"/>
  <c r="AN26" i="15"/>
  <c r="AN25" i="15"/>
  <c r="AN24" i="15"/>
  <c r="AN23" i="15"/>
  <c r="AN22" i="15"/>
  <c r="AN21" i="15"/>
  <c r="AN20" i="15"/>
  <c r="AN19" i="15"/>
  <c r="E13" i="15"/>
  <c r="E14" i="15"/>
  <c r="BB16" i="15"/>
  <c r="BL15" i="15"/>
  <c r="D14" i="15"/>
  <c r="O14" i="15" s="1"/>
  <c r="R14" i="15" s="1"/>
  <c r="AM14" i="15"/>
  <c r="AB15" i="15"/>
  <c r="C14" i="15"/>
  <c r="AL14" i="15"/>
  <c r="AN14" i="15"/>
  <c r="BL14" i="15"/>
  <c r="BW14" i="8"/>
  <c r="BW15" i="8"/>
  <c r="BW16" i="8"/>
  <c r="BW17" i="8"/>
  <c r="BW18" i="8"/>
  <c r="BW19" i="8"/>
  <c r="BW20" i="8"/>
  <c r="BW21" i="8"/>
  <c r="BW22" i="8"/>
  <c r="BW23" i="8"/>
  <c r="BW24" i="8"/>
  <c r="BW25" i="8"/>
  <c r="BW26" i="8"/>
  <c r="BW27" i="8"/>
  <c r="BW28" i="8"/>
  <c r="BW29" i="8"/>
  <c r="BW30" i="8"/>
  <c r="BW31" i="8"/>
  <c r="BW32" i="8"/>
  <c r="BW33" i="8"/>
  <c r="BW34" i="8"/>
  <c r="BW35" i="8"/>
  <c r="BW36" i="8"/>
  <c r="BW37" i="8"/>
  <c r="BW38" i="8"/>
  <c r="BW39" i="8"/>
  <c r="BW40" i="8"/>
  <c r="BW41" i="8"/>
  <c r="BW42" i="8"/>
  <c r="BW43" i="8"/>
  <c r="BW44" i="8"/>
  <c r="BW45" i="8"/>
  <c r="BW46" i="8"/>
  <c r="BW47" i="8"/>
  <c r="BW48" i="8"/>
  <c r="BW49" i="8"/>
  <c r="BW50" i="8"/>
  <c r="BW51" i="8"/>
  <c r="BW52" i="8"/>
  <c r="BW53" i="8"/>
  <c r="BW13" i="8"/>
  <c r="BL14" i="8"/>
  <c r="BL15" i="8"/>
  <c r="BL16" i="8"/>
  <c r="BL17" i="8"/>
  <c r="BL18" i="8"/>
  <c r="BL19" i="8"/>
  <c r="BL20" i="8"/>
  <c r="BL21" i="8"/>
  <c r="BL22" i="8"/>
  <c r="BL23" i="8"/>
  <c r="BL24" i="8"/>
  <c r="BL25" i="8"/>
  <c r="BL26" i="8"/>
  <c r="BL27" i="8"/>
  <c r="BL28" i="8"/>
  <c r="BL29" i="8"/>
  <c r="BL30" i="8"/>
  <c r="BL31" i="8"/>
  <c r="BL32" i="8"/>
  <c r="BL33" i="8"/>
  <c r="BL34" i="8"/>
  <c r="BL35" i="8"/>
  <c r="BL36" i="8"/>
  <c r="BL37" i="8"/>
  <c r="BL38" i="8"/>
  <c r="BL39" i="8"/>
  <c r="BL40" i="8"/>
  <c r="BL41" i="8"/>
  <c r="BL42" i="8"/>
  <c r="BL43" i="8"/>
  <c r="BL44" i="8"/>
  <c r="BL45" i="8"/>
  <c r="BL46" i="8"/>
  <c r="BL47" i="8"/>
  <c r="BL48" i="8"/>
  <c r="BL49" i="8"/>
  <c r="BL50" i="8"/>
  <c r="BL51" i="8"/>
  <c r="BL52" i="8"/>
  <c r="BL53" i="8"/>
  <c r="BL13" i="8"/>
  <c r="BD23" i="13"/>
  <c r="BJ34" i="13"/>
  <c r="BJ35" i="13" s="1"/>
  <c r="BJ36" i="13" s="1"/>
  <c r="BJ37" i="13" s="1"/>
  <c r="BJ38" i="13" s="1"/>
  <c r="BJ39" i="13" s="1"/>
  <c r="BJ40" i="13" s="1"/>
  <c r="BJ41" i="13" s="1"/>
  <c r="BJ42" i="13" s="1"/>
  <c r="BJ43" i="13" s="1"/>
  <c r="BJ44" i="13" s="1"/>
  <c r="BJ45" i="13" s="1"/>
  <c r="BJ46" i="13" s="1"/>
  <c r="BJ47" i="13" s="1"/>
  <c r="BJ48" i="13" s="1"/>
  <c r="BJ49" i="13" s="1"/>
  <c r="BJ50" i="13" s="1"/>
  <c r="BJ51" i="13" s="1"/>
  <c r="BJ52" i="13" s="1"/>
  <c r="BJ53" i="13" s="1"/>
  <c r="BC34" i="13"/>
  <c r="BC35" i="13"/>
  <c r="BC36" i="13" s="1"/>
  <c r="BC37" i="13" s="1"/>
  <c r="BC38" i="13" s="1"/>
  <c r="BC39" i="13" s="1"/>
  <c r="BC40" i="13" s="1"/>
  <c r="BC41" i="13" s="1"/>
  <c r="BC42" i="13" s="1"/>
  <c r="BC43" i="13" s="1"/>
  <c r="BC44" i="13" s="1"/>
  <c r="BC45" i="13" s="1"/>
  <c r="BC46" i="13" s="1"/>
  <c r="BC47" i="13" s="1"/>
  <c r="BC48" i="13" s="1"/>
  <c r="BC49" i="13" s="1"/>
  <c r="BC50" i="13" s="1"/>
  <c r="BC51" i="13" s="1"/>
  <c r="BC52" i="13" s="1"/>
  <c r="BC53" i="13" s="1"/>
  <c r="AB34" i="13"/>
  <c r="AB35" i="13" s="1"/>
  <c r="AB36" i="13" s="1"/>
  <c r="AB37" i="13" s="1"/>
  <c r="AB38" i="13" s="1"/>
  <c r="AB39" i="13" s="1"/>
  <c r="AB40" i="13" s="1"/>
  <c r="AB41" i="13" s="1"/>
  <c r="AB42" i="13" s="1"/>
  <c r="AB43" i="13" s="1"/>
  <c r="AB44" i="13" s="1"/>
  <c r="AB45" i="13" s="1"/>
  <c r="AB46" i="13" s="1"/>
  <c r="AB47" i="13" s="1"/>
  <c r="AB48" i="13" s="1"/>
  <c r="AB49" i="13" s="1"/>
  <c r="AB50" i="13" s="1"/>
  <c r="AB51" i="13" s="1"/>
  <c r="AB52" i="13" s="1"/>
  <c r="AB53" i="13" s="1"/>
  <c r="CC50" i="13"/>
  <c r="CC51" i="13" s="1"/>
  <c r="CC52" i="13" s="1"/>
  <c r="CC53" i="13" s="1"/>
  <c r="CC49" i="13"/>
  <c r="CF50" i="13"/>
  <c r="CF51" i="13" s="1"/>
  <c r="CF52" i="13" s="1"/>
  <c r="CF53" i="13" s="1"/>
  <c r="CF49" i="13"/>
  <c r="CE50" i="13"/>
  <c r="CE51" i="13" s="1"/>
  <c r="CE49" i="13"/>
  <c r="CF39" i="13"/>
  <c r="CF40" i="13" s="1"/>
  <c r="CF41" i="13" s="1"/>
  <c r="CF42" i="13" s="1"/>
  <c r="CF43" i="13" s="1"/>
  <c r="CF44" i="13" s="1"/>
  <c r="CF45" i="13" s="1"/>
  <c r="CF46" i="13" s="1"/>
  <c r="CF47" i="13" s="1"/>
  <c r="CF48" i="13" s="1"/>
  <c r="CF35" i="13"/>
  <c r="CF36" i="13" s="1"/>
  <c r="CF37" i="13" s="1"/>
  <c r="CF38" i="13" s="1"/>
  <c r="CF34" i="13"/>
  <c r="CC29" i="13"/>
  <c r="CC30" i="13" s="1"/>
  <c r="CC31" i="13" s="1"/>
  <c r="CC32" i="13" s="1"/>
  <c r="CC33" i="13" s="1"/>
  <c r="CC34" i="13" s="1"/>
  <c r="CF30" i="13"/>
  <c r="CF31" i="13" s="1"/>
  <c r="CF32" i="13" s="1"/>
  <c r="CF33" i="13" s="1"/>
  <c r="CF29" i="13"/>
  <c r="CC25" i="13"/>
  <c r="CC26" i="13" s="1"/>
  <c r="CC27" i="13" s="1"/>
  <c r="CC28" i="13" s="1"/>
  <c r="CC24" i="13"/>
  <c r="CF24" i="13"/>
  <c r="CF25" i="13" s="1"/>
  <c r="CF26" i="13" s="1"/>
  <c r="CF27" i="13" s="1"/>
  <c r="CF28" i="13" s="1"/>
  <c r="CG49" i="13"/>
  <c r="CG50" i="13"/>
  <c r="CD34" i="13"/>
  <c r="CD35" i="13"/>
  <c r="CD36" i="13"/>
  <c r="CD37" i="13"/>
  <c r="CD38" i="13"/>
  <c r="CD39" i="13"/>
  <c r="CD40" i="13"/>
  <c r="CD41" i="13"/>
  <c r="CD42" i="13"/>
  <c r="CD43" i="13"/>
  <c r="CD44" i="13"/>
  <c r="CD45" i="13"/>
  <c r="CD46" i="13"/>
  <c r="CD47" i="13"/>
  <c r="CD48" i="13"/>
  <c r="CD49" i="13"/>
  <c r="CD50" i="13"/>
  <c r="CD51" i="13"/>
  <c r="CD52" i="13"/>
  <c r="CD53" i="13"/>
  <c r="CB34" i="13"/>
  <c r="CB35" i="13"/>
  <c r="CB36" i="13"/>
  <c r="CB37" i="13"/>
  <c r="CB38" i="13"/>
  <c r="CB39" i="13"/>
  <c r="CB40" i="13"/>
  <c r="CB41" i="13"/>
  <c r="CB42" i="13"/>
  <c r="CB43" i="13"/>
  <c r="CB44" i="13"/>
  <c r="CB45" i="13"/>
  <c r="CB46" i="13"/>
  <c r="CB47" i="13"/>
  <c r="CB48" i="13"/>
  <c r="CB49" i="13"/>
  <c r="CB50" i="13"/>
  <c r="CB51" i="13"/>
  <c r="CB52" i="13"/>
  <c r="CB53" i="13"/>
  <c r="CA34" i="13"/>
  <c r="CA35" i="13"/>
  <c r="CA36" i="13"/>
  <c r="CA37" i="13"/>
  <c r="CA38" i="13"/>
  <c r="CA39" i="13"/>
  <c r="CA40" i="13"/>
  <c r="CA41" i="13"/>
  <c r="CA42" i="13"/>
  <c r="CA43" i="13"/>
  <c r="CA44" i="13"/>
  <c r="CA45" i="13"/>
  <c r="CA46" i="13"/>
  <c r="CA47" i="13"/>
  <c r="CA48" i="13"/>
  <c r="CA49" i="13"/>
  <c r="CA50" i="13"/>
  <c r="CA51" i="13"/>
  <c r="CA52" i="13"/>
  <c r="CA53" i="13"/>
  <c r="BZ53" i="13"/>
  <c r="BZ35" i="13"/>
  <c r="BZ36" i="13" s="1"/>
  <c r="BZ37" i="13" s="1"/>
  <c r="BZ38" i="13" s="1"/>
  <c r="BZ39" i="13" s="1"/>
  <c r="BZ40" i="13" s="1"/>
  <c r="BZ41" i="13" s="1"/>
  <c r="BZ42" i="13" s="1"/>
  <c r="BZ43" i="13" s="1"/>
  <c r="BZ44" i="13" s="1"/>
  <c r="BZ45" i="13" s="1"/>
  <c r="BZ46" i="13" s="1"/>
  <c r="BZ47" i="13" s="1"/>
  <c r="BZ48" i="13" s="1"/>
  <c r="BZ49" i="13" s="1"/>
  <c r="BZ50" i="13" s="1"/>
  <c r="BZ51" i="13" s="1"/>
  <c r="BZ52" i="13" s="1"/>
  <c r="BZ34" i="13"/>
  <c r="BF34" i="12"/>
  <c r="BF35" i="12" s="1"/>
  <c r="BF36" i="12" s="1"/>
  <c r="BF37" i="12" s="1"/>
  <c r="BF38" i="12" s="1"/>
  <c r="BF39" i="12" s="1"/>
  <c r="BF40" i="12" s="1"/>
  <c r="BF41" i="12" s="1"/>
  <c r="BF42" i="12" s="1"/>
  <c r="BF43" i="12" s="1"/>
  <c r="BF44" i="12" s="1"/>
  <c r="BF45" i="12" s="1"/>
  <c r="BF46" i="12" s="1"/>
  <c r="BF47" i="12" s="1"/>
  <c r="BF48" i="12" s="1"/>
  <c r="BF49" i="12" s="1"/>
  <c r="BF50" i="12" s="1"/>
  <c r="BF51" i="12" s="1"/>
  <c r="BF52" i="12" s="1"/>
  <c r="BF53" i="12" s="1"/>
  <c r="AB34" i="12"/>
  <c r="AB35" i="12" s="1"/>
  <c r="AB36" i="12" s="1"/>
  <c r="AB37" i="12" s="1"/>
  <c r="AB38" i="12" s="1"/>
  <c r="AB39" i="12" s="1"/>
  <c r="AB40" i="12" s="1"/>
  <c r="AB41" i="12" s="1"/>
  <c r="AB42" i="12" s="1"/>
  <c r="AB43" i="12" s="1"/>
  <c r="AB44" i="12" s="1"/>
  <c r="AB45" i="12" s="1"/>
  <c r="AB46" i="12" s="1"/>
  <c r="AB47" i="12" s="1"/>
  <c r="AB48" i="12" s="1"/>
  <c r="AB49" i="12" s="1"/>
  <c r="AB50" i="12" s="1"/>
  <c r="AB51" i="12" s="1"/>
  <c r="AB52" i="12" s="1"/>
  <c r="AB53" i="12" s="1"/>
  <c r="H13" i="15" l="1"/>
  <c r="Q13" i="15"/>
  <c r="N33" i="15"/>
  <c r="N43" i="15"/>
  <c r="N23" i="15"/>
  <c r="S13" i="15"/>
  <c r="L14" i="15"/>
  <c r="H14" i="15"/>
  <c r="K14" i="15"/>
  <c r="I14" i="15"/>
  <c r="F14" i="15"/>
  <c r="Q14" i="15"/>
  <c r="BB17" i="15"/>
  <c r="BL16" i="15"/>
  <c r="W13" i="15"/>
  <c r="X13" i="15"/>
  <c r="E15" i="15"/>
  <c r="C15" i="15"/>
  <c r="D15" i="15"/>
  <c r="O15" i="15" s="1"/>
  <c r="R15" i="15" s="1"/>
  <c r="AN15" i="15"/>
  <c r="AL15" i="15"/>
  <c r="AB16" i="15"/>
  <c r="AM15" i="15"/>
  <c r="W14" i="15"/>
  <c r="Y14" i="15" s="1"/>
  <c r="X14" i="15"/>
  <c r="L13" i="15"/>
  <c r="K13" i="15"/>
  <c r="F13" i="15"/>
  <c r="I13" i="15"/>
  <c r="A17" i="15"/>
  <c r="B16" i="15"/>
  <c r="CE52" i="13"/>
  <c r="CG51" i="13"/>
  <c r="CC35" i="13"/>
  <c r="BF34" i="11"/>
  <c r="BF35" i="11" s="1"/>
  <c r="BF36" i="11" s="1"/>
  <c r="BF37" i="11" s="1"/>
  <c r="BF38" i="11" s="1"/>
  <c r="BF39" i="11" s="1"/>
  <c r="BF40" i="11" s="1"/>
  <c r="BF41" i="11" s="1"/>
  <c r="BF42" i="11" s="1"/>
  <c r="BF43" i="11" s="1"/>
  <c r="BF44" i="11" s="1"/>
  <c r="BF45" i="11" s="1"/>
  <c r="BF46" i="11" s="1"/>
  <c r="BF47" i="11" s="1"/>
  <c r="BF48" i="11" s="1"/>
  <c r="BF49" i="11" s="1"/>
  <c r="BF50" i="11" s="1"/>
  <c r="BF51" i="11" s="1"/>
  <c r="BF52" i="11" s="1"/>
  <c r="BF53" i="11" s="1"/>
  <c r="AB34" i="11"/>
  <c r="AB35" i="11" s="1"/>
  <c r="AB36" i="11" s="1"/>
  <c r="AB37" i="11" s="1"/>
  <c r="AB38" i="11" s="1"/>
  <c r="AB39" i="11" s="1"/>
  <c r="AB40" i="11" s="1"/>
  <c r="AB41" i="11" s="1"/>
  <c r="AB42" i="11" s="1"/>
  <c r="AB43" i="11" s="1"/>
  <c r="AB44" i="11" s="1"/>
  <c r="AB45" i="11" s="1"/>
  <c r="AB46" i="11" s="1"/>
  <c r="AB47" i="11" s="1"/>
  <c r="AB48" i="11" s="1"/>
  <c r="AB49" i="11" s="1"/>
  <c r="AB50" i="11" s="1"/>
  <c r="AB51" i="11" s="1"/>
  <c r="AB52" i="11" s="1"/>
  <c r="AB53" i="11" s="1"/>
  <c r="BB34" i="8"/>
  <c r="BB35" i="8" s="1"/>
  <c r="BB36" i="8" s="1"/>
  <c r="BB37" i="8" s="1"/>
  <c r="BB38" i="8" s="1"/>
  <c r="BB39" i="8" s="1"/>
  <c r="BB40" i="8" s="1"/>
  <c r="BB41" i="8" s="1"/>
  <c r="BB42" i="8" s="1"/>
  <c r="BB43" i="8" s="1"/>
  <c r="BB44" i="8" s="1"/>
  <c r="BB45" i="8" s="1"/>
  <c r="BB46" i="8" s="1"/>
  <c r="BB47" i="8" s="1"/>
  <c r="BB48" i="8" s="1"/>
  <c r="BB49" i="8" s="1"/>
  <c r="BB50" i="8" s="1"/>
  <c r="BB51" i="8" s="1"/>
  <c r="BB52" i="8" s="1"/>
  <c r="BB53" i="8" s="1"/>
  <c r="AB34" i="8"/>
  <c r="AB35" i="8" s="1"/>
  <c r="AB36" i="8" s="1"/>
  <c r="AB37" i="8" s="1"/>
  <c r="AB38" i="8" s="1"/>
  <c r="AB39" i="8" s="1"/>
  <c r="AB40" i="8" s="1"/>
  <c r="AB41" i="8" s="1"/>
  <c r="AB42" i="8" s="1"/>
  <c r="AB43" i="8" s="1"/>
  <c r="AB44" i="8" s="1"/>
  <c r="AB45" i="8" s="1"/>
  <c r="AB46" i="8" s="1"/>
  <c r="AB47" i="8" s="1"/>
  <c r="AB48" i="8" s="1"/>
  <c r="AB49" i="8" s="1"/>
  <c r="AB50" i="8" s="1"/>
  <c r="AB51" i="8" s="1"/>
  <c r="AB52" i="8" s="1"/>
  <c r="AB53" i="8" s="1"/>
  <c r="B14" i="13"/>
  <c r="B15" i="13"/>
  <c r="B16" i="13"/>
  <c r="B17" i="13"/>
  <c r="B18" i="13"/>
  <c r="B19" i="13"/>
  <c r="B20" i="13"/>
  <c r="B21" i="13"/>
  <c r="B22" i="13"/>
  <c r="B23" i="13"/>
  <c r="B24" i="13"/>
  <c r="B25" i="13"/>
  <c r="B26" i="13"/>
  <c r="B27" i="13"/>
  <c r="B28" i="13"/>
  <c r="B29" i="13"/>
  <c r="B30" i="13"/>
  <c r="B31" i="13"/>
  <c r="B32" i="13"/>
  <c r="B33" i="13"/>
  <c r="B13" i="13"/>
  <c r="A53" i="13"/>
  <c r="A34" i="13"/>
  <c r="A35" i="13" s="1"/>
  <c r="A36" i="13" s="1"/>
  <c r="A37" i="13" s="1"/>
  <c r="A38" i="13" s="1"/>
  <c r="A39" i="13" s="1"/>
  <c r="A40" i="13" s="1"/>
  <c r="A41" i="13" s="1"/>
  <c r="A42" i="13" s="1"/>
  <c r="A43" i="13" s="1"/>
  <c r="A44" i="13" s="1"/>
  <c r="A45" i="13" s="1"/>
  <c r="A46" i="13" s="1"/>
  <c r="A47" i="13" s="1"/>
  <c r="A48" i="13" s="1"/>
  <c r="A49" i="13" s="1"/>
  <c r="A50" i="13" s="1"/>
  <c r="A51" i="13" s="1"/>
  <c r="A52" i="13" s="1"/>
  <c r="B14" i="12"/>
  <c r="B15" i="12"/>
  <c r="B16" i="12"/>
  <c r="B17" i="12"/>
  <c r="B18" i="12"/>
  <c r="B19" i="12"/>
  <c r="B20" i="12"/>
  <c r="B21" i="12"/>
  <c r="B22" i="12"/>
  <c r="B23" i="12"/>
  <c r="B24" i="12"/>
  <c r="B25" i="12"/>
  <c r="B26" i="12"/>
  <c r="B27" i="12"/>
  <c r="B28" i="12"/>
  <c r="B29" i="12"/>
  <c r="B30" i="12"/>
  <c r="B31" i="12"/>
  <c r="B32" i="12"/>
  <c r="B33" i="12"/>
  <c r="B13" i="12"/>
  <c r="A53" i="12"/>
  <c r="A34" i="12"/>
  <c r="A35" i="12" s="1"/>
  <c r="A36" i="12" s="1"/>
  <c r="A37" i="12" s="1"/>
  <c r="A38" i="12" s="1"/>
  <c r="A39" i="12" s="1"/>
  <c r="A40" i="12" s="1"/>
  <c r="A41" i="12" s="1"/>
  <c r="A42" i="12" s="1"/>
  <c r="A43" i="12" s="1"/>
  <c r="A44" i="12" s="1"/>
  <c r="A45" i="12" s="1"/>
  <c r="A46" i="12" s="1"/>
  <c r="A47" i="12" s="1"/>
  <c r="A48" i="12" s="1"/>
  <c r="A49" i="12" s="1"/>
  <c r="A50" i="12" s="1"/>
  <c r="A51" i="12" s="1"/>
  <c r="A52" i="12" s="1"/>
  <c r="B14" i="11"/>
  <c r="B15" i="11"/>
  <c r="B16" i="11"/>
  <c r="B17" i="11"/>
  <c r="B18" i="11"/>
  <c r="B19" i="11"/>
  <c r="B20" i="11"/>
  <c r="B21" i="11"/>
  <c r="B22" i="11"/>
  <c r="B23" i="11"/>
  <c r="B24" i="11"/>
  <c r="B25" i="11"/>
  <c r="B26" i="11"/>
  <c r="B27" i="11"/>
  <c r="B28" i="11"/>
  <c r="B29" i="11"/>
  <c r="B30" i="11"/>
  <c r="B31" i="11"/>
  <c r="B32" i="11"/>
  <c r="B33" i="11"/>
  <c r="A53" i="11"/>
  <c r="A47" i="11"/>
  <c r="A48" i="11" s="1"/>
  <c r="A49" i="11" s="1"/>
  <c r="A50" i="11" s="1"/>
  <c r="A51" i="11" s="1"/>
  <c r="A52" i="11" s="1"/>
  <c r="A34" i="11"/>
  <c r="A35" i="11" s="1"/>
  <c r="A36" i="11" s="1"/>
  <c r="A37" i="11" s="1"/>
  <c r="A38" i="11" s="1"/>
  <c r="A39" i="11" s="1"/>
  <c r="A40" i="11" s="1"/>
  <c r="A41" i="11" s="1"/>
  <c r="A42" i="11" s="1"/>
  <c r="A43" i="11" s="1"/>
  <c r="A44" i="11" s="1"/>
  <c r="A45" i="11" s="1"/>
  <c r="A46" i="11" s="1"/>
  <c r="B13" i="11"/>
  <c r="B14" i="8"/>
  <c r="B15" i="8"/>
  <c r="B16" i="8"/>
  <c r="B17" i="8"/>
  <c r="B18" i="8"/>
  <c r="B19" i="8"/>
  <c r="B20" i="8"/>
  <c r="B21" i="8"/>
  <c r="B22" i="8"/>
  <c r="B23" i="8"/>
  <c r="B24" i="8"/>
  <c r="B25" i="8"/>
  <c r="B26" i="8"/>
  <c r="B27" i="8"/>
  <c r="B28" i="8"/>
  <c r="B29" i="8"/>
  <c r="B30" i="8"/>
  <c r="B31" i="8"/>
  <c r="B32" i="8"/>
  <c r="B33" i="8"/>
  <c r="B13" i="8"/>
  <c r="A51" i="8"/>
  <c r="A52" i="8"/>
  <c r="A53" i="8" s="1"/>
  <c r="A43" i="8"/>
  <c r="A44" i="8" s="1"/>
  <c r="A45" i="8" s="1"/>
  <c r="A46" i="8" s="1"/>
  <c r="A47" i="8" s="1"/>
  <c r="A48" i="8" s="1"/>
  <c r="A49" i="8" s="1"/>
  <c r="A50" i="8" s="1"/>
  <c r="A34" i="8"/>
  <c r="A35" i="8" s="1"/>
  <c r="A36" i="8" s="1"/>
  <c r="A37" i="8" s="1"/>
  <c r="A38" i="8" s="1"/>
  <c r="A39" i="8" s="1"/>
  <c r="A40" i="8" s="1"/>
  <c r="A41" i="8" s="1"/>
  <c r="A42" i="8" s="1"/>
  <c r="D26" i="9"/>
  <c r="D27" i="9"/>
  <c r="D28" i="9"/>
  <c r="D29" i="9"/>
  <c r="D30" i="9"/>
  <c r="D31" i="9"/>
  <c r="D32" i="9"/>
  <c r="D33" i="9"/>
  <c r="D34" i="9"/>
  <c r="D35" i="9"/>
  <c r="D36" i="9"/>
  <c r="D37" i="9"/>
  <c r="D38" i="9"/>
  <c r="D39" i="9"/>
  <c r="D40" i="9"/>
  <c r="D41" i="9"/>
  <c r="D42" i="9"/>
  <c r="D43" i="9"/>
  <c r="D44" i="9"/>
  <c r="D45" i="9"/>
  <c r="D6" i="9"/>
  <c r="D7" i="9"/>
  <c r="D8" i="9"/>
  <c r="D9" i="9"/>
  <c r="D10" i="9"/>
  <c r="D11" i="9"/>
  <c r="D12" i="9"/>
  <c r="D13" i="9"/>
  <c r="D14" i="9"/>
  <c r="D15" i="9"/>
  <c r="D16" i="9"/>
  <c r="D17" i="9"/>
  <c r="D18" i="9"/>
  <c r="D19" i="9"/>
  <c r="D20" i="9"/>
  <c r="D21" i="9"/>
  <c r="D22" i="9"/>
  <c r="D23" i="9"/>
  <c r="D24" i="9"/>
  <c r="D25" i="9"/>
  <c r="D5" i="9"/>
  <c r="B5" i="9"/>
  <c r="B6" i="9"/>
  <c r="B7" i="9"/>
  <c r="B8" i="9"/>
  <c r="B9" i="9"/>
  <c r="B10" i="9"/>
  <c r="B11" i="9"/>
  <c r="B12" i="9"/>
  <c r="B13" i="9"/>
  <c r="B14" i="9"/>
  <c r="B15" i="9"/>
  <c r="B16" i="9"/>
  <c r="B17" i="9"/>
  <c r="B18" i="9"/>
  <c r="B19" i="9"/>
  <c r="B20" i="9"/>
  <c r="B21" i="9"/>
  <c r="B22" i="9"/>
  <c r="B23" i="9"/>
  <c r="B24" i="9"/>
  <c r="B25" i="9"/>
  <c r="A27" i="9"/>
  <c r="A28" i="9" s="1"/>
  <c r="A29" i="9" s="1"/>
  <c r="A30" i="9" s="1"/>
  <c r="A31" i="9" s="1"/>
  <c r="A32" i="9" s="1"/>
  <c r="A33" i="9" s="1"/>
  <c r="A34" i="9" s="1"/>
  <c r="A35" i="9" s="1"/>
  <c r="A36" i="9" s="1"/>
  <c r="A37" i="9" s="1"/>
  <c r="A38" i="9" s="1"/>
  <c r="A39" i="9" s="1"/>
  <c r="A40" i="9" s="1"/>
  <c r="A41" i="9" s="1"/>
  <c r="A42" i="9" s="1"/>
  <c r="A43" i="9" s="1"/>
  <c r="A44" i="9" s="1"/>
  <c r="A45" i="9" s="1"/>
  <c r="A26" i="9"/>
  <c r="M28" i="3"/>
  <c r="M29" i="3"/>
  <c r="M30" i="3"/>
  <c r="M31" i="3"/>
  <c r="M32" i="3"/>
  <c r="M33" i="3"/>
  <c r="M34" i="3"/>
  <c r="M35" i="3"/>
  <c r="M36" i="3"/>
  <c r="M37" i="3"/>
  <c r="M38" i="3"/>
  <c r="M39" i="3"/>
  <c r="M40" i="3"/>
  <c r="M41" i="3"/>
  <c r="M42" i="3"/>
  <c r="M43" i="3"/>
  <c r="M44" i="3"/>
  <c r="M45" i="3"/>
  <c r="M46" i="3"/>
  <c r="M27" i="3"/>
  <c r="O25" i="3"/>
  <c r="N26" i="3"/>
  <c r="C26" i="3"/>
  <c r="C27" i="3"/>
  <c r="C28" i="3" s="1"/>
  <c r="E28" i="3"/>
  <c r="E29" i="3"/>
  <c r="E30" i="3"/>
  <c r="E31" i="3"/>
  <c r="E32" i="3"/>
  <c r="E33" i="3"/>
  <c r="E34" i="3"/>
  <c r="E35" i="3"/>
  <c r="E36" i="3"/>
  <c r="E37" i="3"/>
  <c r="E38" i="3"/>
  <c r="E39" i="3"/>
  <c r="E40" i="3"/>
  <c r="E41" i="3"/>
  <c r="E42" i="3"/>
  <c r="E43" i="3"/>
  <c r="E44" i="3"/>
  <c r="E45" i="3"/>
  <c r="E46" i="3"/>
  <c r="E27" i="3"/>
  <c r="F47" i="3"/>
  <c r="F48" i="3" s="1"/>
  <c r="F49" i="3" s="1"/>
  <c r="F46" i="3"/>
  <c r="F42" i="3"/>
  <c r="F43" i="3" s="1"/>
  <c r="F44" i="3" s="1"/>
  <c r="F41" i="3"/>
  <c r="F37" i="3"/>
  <c r="F38" i="3" s="1"/>
  <c r="F39" i="3" s="1"/>
  <c r="F36" i="3"/>
  <c r="F32" i="3"/>
  <c r="F33" i="3" s="1"/>
  <c r="F34" i="3" s="1"/>
  <c r="F31" i="3"/>
  <c r="F26" i="3"/>
  <c r="F27" i="3" s="1"/>
  <c r="F28" i="3" s="1"/>
  <c r="F29" i="3" s="1"/>
  <c r="F25" i="3"/>
  <c r="G49" i="3"/>
  <c r="G44" i="3"/>
  <c r="G29" i="3"/>
  <c r="G39" i="3"/>
  <c r="G34" i="3"/>
  <c r="A42" i="3"/>
  <c r="A43" i="3" s="1"/>
  <c r="A44" i="3" s="1"/>
  <c r="A45" i="3" s="1"/>
  <c r="A46" i="3" s="1"/>
  <c r="A27" i="3"/>
  <c r="A28" i="3" s="1"/>
  <c r="A29" i="3" s="1"/>
  <c r="A30" i="3" s="1"/>
  <c r="A31" i="3" s="1"/>
  <c r="A32" i="3" s="1"/>
  <c r="A33" i="3" s="1"/>
  <c r="A34" i="3" s="1"/>
  <c r="A35" i="3" s="1"/>
  <c r="A36" i="3" s="1"/>
  <c r="A37" i="3" s="1"/>
  <c r="A38" i="3" s="1"/>
  <c r="A39" i="3" s="1"/>
  <c r="A40" i="3" s="1"/>
  <c r="A41" i="3" s="1"/>
  <c r="C13" i="11"/>
  <c r="C7" i="7"/>
  <c r="M13" i="15" l="1"/>
  <c r="M14" i="15"/>
  <c r="N34" i="15"/>
  <c r="N24" i="15"/>
  <c r="N44" i="15"/>
  <c r="Y13" i="15"/>
  <c r="S14" i="15"/>
  <c r="A18" i="15"/>
  <c r="B17" i="15"/>
  <c r="S15" i="15"/>
  <c r="Q15" i="15"/>
  <c r="W15" i="15"/>
  <c r="X15" i="15"/>
  <c r="BB18" i="15"/>
  <c r="BL17" i="15"/>
  <c r="E16" i="15"/>
  <c r="C16" i="15"/>
  <c r="D16" i="15"/>
  <c r="O16" i="15" s="1"/>
  <c r="R16" i="15" s="1"/>
  <c r="AN16" i="15"/>
  <c r="AL16" i="15"/>
  <c r="AB17" i="15"/>
  <c r="AM16" i="15"/>
  <c r="L15" i="15"/>
  <c r="H15" i="15"/>
  <c r="K15" i="15"/>
  <c r="I15" i="15"/>
  <c r="F15" i="15"/>
  <c r="CE53" i="13"/>
  <c r="CG53" i="13" s="1"/>
  <c r="CG52" i="13"/>
  <c r="CC36" i="13"/>
  <c r="D27" i="3"/>
  <c r="B27" i="3" s="1"/>
  <c r="C29" i="3"/>
  <c r="D28" i="3"/>
  <c r="B28" i="3" s="1"/>
  <c r="BD24" i="13"/>
  <c r="N45" i="15" l="1"/>
  <c r="N25" i="15"/>
  <c r="N35" i="15"/>
  <c r="M15" i="15"/>
  <c r="AN17" i="15"/>
  <c r="AL17" i="15"/>
  <c r="AB18" i="15"/>
  <c r="AM17" i="15"/>
  <c r="Q16" i="15"/>
  <c r="W16" i="15"/>
  <c r="X16" i="15"/>
  <c r="BB19" i="15"/>
  <c r="BL18" i="15"/>
  <c r="E17" i="15"/>
  <c r="C17" i="15"/>
  <c r="D17" i="15"/>
  <c r="O17" i="15" s="1"/>
  <c r="R17" i="15" s="1"/>
  <c r="L16" i="15"/>
  <c r="H16" i="15"/>
  <c r="K16" i="15"/>
  <c r="I16" i="15"/>
  <c r="F16" i="15"/>
  <c r="Y15" i="15"/>
  <c r="A19" i="15"/>
  <c r="B18" i="15"/>
  <c r="CC37" i="13"/>
  <c r="B26" i="9"/>
  <c r="C26" i="9" s="1"/>
  <c r="E26" i="9" s="1"/>
  <c r="O27" i="3"/>
  <c r="P27" i="3" s="1"/>
  <c r="N27" i="3" s="1"/>
  <c r="Q27" i="3" s="1"/>
  <c r="AN34" i="8"/>
  <c r="B27" i="9"/>
  <c r="C27" i="9" s="1"/>
  <c r="E27" i="9" s="1"/>
  <c r="O28" i="3"/>
  <c r="P28" i="3" s="1"/>
  <c r="N28" i="3" s="1"/>
  <c r="Q28" i="3" s="1"/>
  <c r="B34" i="13"/>
  <c r="B34" i="12"/>
  <c r="B34" i="11"/>
  <c r="B34" i="8"/>
  <c r="C30" i="3"/>
  <c r="D29" i="3"/>
  <c r="B29" i="3" s="1"/>
  <c r="I46" i="2"/>
  <c r="I47" i="2"/>
  <c r="I48" i="2"/>
  <c r="I45" i="2"/>
  <c r="I37" i="2"/>
  <c r="I38" i="2"/>
  <c r="I39" i="2"/>
  <c r="I40" i="2"/>
  <c r="I36" i="2"/>
  <c r="K37" i="2"/>
  <c r="K38" i="2"/>
  <c r="K39" i="2"/>
  <c r="K40" i="2"/>
  <c r="K36" i="2"/>
  <c r="M35" i="2"/>
  <c r="CG19" i="13"/>
  <c r="CG20" i="13"/>
  <c r="CG21" i="13"/>
  <c r="CG22" i="13"/>
  <c r="CG23" i="13"/>
  <c r="CG24" i="13"/>
  <c r="CC20" i="13"/>
  <c r="CC21" i="13" s="1"/>
  <c r="CC22" i="13" s="1"/>
  <c r="CC23" i="13" s="1"/>
  <c r="CC19" i="13"/>
  <c r="CE29" i="13"/>
  <c r="CE30" i="13" s="1"/>
  <c r="CE31" i="13" s="1"/>
  <c r="CE32" i="13" s="1"/>
  <c r="CE33" i="13" s="1"/>
  <c r="CE34" i="13" s="1"/>
  <c r="CE25" i="13"/>
  <c r="CE26" i="13" s="1"/>
  <c r="CE27" i="13" s="1"/>
  <c r="CE28" i="13" s="1"/>
  <c r="CE24" i="13"/>
  <c r="CE20" i="13"/>
  <c r="CE21" i="13"/>
  <c r="CE22" i="13" s="1"/>
  <c r="CE23" i="13" s="1"/>
  <c r="CE19" i="13"/>
  <c r="CD19" i="13"/>
  <c r="CD20" i="13"/>
  <c r="CD21" i="13"/>
  <c r="CD22" i="13"/>
  <c r="CD23" i="13"/>
  <c r="CD24" i="13"/>
  <c r="CD25" i="13"/>
  <c r="CD26" i="13"/>
  <c r="CD27" i="13"/>
  <c r="CD28" i="13"/>
  <c r="CD29" i="13"/>
  <c r="CD30" i="13"/>
  <c r="CD31" i="13"/>
  <c r="CD32" i="13"/>
  <c r="CD33" i="13"/>
  <c r="CB19" i="13"/>
  <c r="CB20" i="13"/>
  <c r="CB21" i="13"/>
  <c r="CB22" i="13"/>
  <c r="CB23" i="13"/>
  <c r="CB24" i="13"/>
  <c r="CB25" i="13"/>
  <c r="CB26" i="13"/>
  <c r="CB27" i="13"/>
  <c r="CB28" i="13"/>
  <c r="CB29" i="13"/>
  <c r="CB30" i="13"/>
  <c r="CB31" i="13"/>
  <c r="CB32" i="13"/>
  <c r="CB33" i="13"/>
  <c r="CA19" i="13"/>
  <c r="CA20" i="13"/>
  <c r="CA21" i="13"/>
  <c r="CA22" i="13"/>
  <c r="CA23" i="13"/>
  <c r="CA24" i="13"/>
  <c r="CA25" i="13"/>
  <c r="CA26" i="13"/>
  <c r="CA27" i="13"/>
  <c r="CA28" i="13"/>
  <c r="CA29" i="13"/>
  <c r="CA30" i="13"/>
  <c r="CA31" i="13"/>
  <c r="CA32" i="13"/>
  <c r="CA33" i="13"/>
  <c r="CE18" i="13"/>
  <c r="CD18" i="13"/>
  <c r="CC18" i="13"/>
  <c r="CB18" i="13"/>
  <c r="CA18" i="13"/>
  <c r="CG18" i="13" s="1"/>
  <c r="I16" i="7"/>
  <c r="I17" i="7"/>
  <c r="I15" i="7"/>
  <c r="CG13" i="13"/>
  <c r="CB13" i="13"/>
  <c r="CC13" i="13"/>
  <c r="CD13" i="13"/>
  <c r="CE13" i="13"/>
  <c r="CA13" i="13"/>
  <c r="BC14" i="13"/>
  <c r="BC15" i="13" s="1"/>
  <c r="BC16" i="13" s="1"/>
  <c r="BC17" i="13" s="1"/>
  <c r="BC18" i="13" s="1"/>
  <c r="BC19" i="13" s="1"/>
  <c r="BC20" i="13" s="1"/>
  <c r="BC21" i="13" s="1"/>
  <c r="BC22" i="13" s="1"/>
  <c r="BC23" i="13" s="1"/>
  <c r="BC24" i="13" s="1"/>
  <c r="BC25" i="13" s="1"/>
  <c r="BC26" i="13" s="1"/>
  <c r="BC27" i="13" s="1"/>
  <c r="BC28" i="13" s="1"/>
  <c r="BC29" i="13" s="1"/>
  <c r="BC30" i="13" s="1"/>
  <c r="BC31" i="13" s="1"/>
  <c r="BC32" i="13" s="1"/>
  <c r="BC33" i="13" s="1"/>
  <c r="BE6" i="13"/>
  <c r="BJ14" i="13"/>
  <c r="BJ15" i="13" s="1"/>
  <c r="BJ16" i="13" s="1"/>
  <c r="BJ17" i="13" s="1"/>
  <c r="BJ18" i="13" s="1"/>
  <c r="BJ19" i="13" s="1"/>
  <c r="BJ20" i="13" s="1"/>
  <c r="BJ21" i="13" s="1"/>
  <c r="BJ22" i="13" s="1"/>
  <c r="BJ23" i="13" s="1"/>
  <c r="BJ24" i="13" s="1"/>
  <c r="BJ25" i="13" s="1"/>
  <c r="BJ26" i="13" s="1"/>
  <c r="BJ27" i="13" s="1"/>
  <c r="BJ28" i="13" s="1"/>
  <c r="BJ29" i="13" s="1"/>
  <c r="BJ30" i="13" s="1"/>
  <c r="BJ31" i="13" s="1"/>
  <c r="BJ32" i="13" s="1"/>
  <c r="BJ33" i="13" s="1"/>
  <c r="AB14" i="13"/>
  <c r="AB15" i="13" s="1"/>
  <c r="A14" i="13"/>
  <c r="A15" i="13" s="1"/>
  <c r="A16" i="13" s="1"/>
  <c r="A17" i="13" s="1"/>
  <c r="A18" i="13" s="1"/>
  <c r="A19" i="13" s="1"/>
  <c r="A20" i="13" s="1"/>
  <c r="A21" i="13" s="1"/>
  <c r="A22" i="13" s="1"/>
  <c r="A23" i="13" s="1"/>
  <c r="A24" i="13" s="1"/>
  <c r="A25" i="13" s="1"/>
  <c r="A26" i="13" s="1"/>
  <c r="A27" i="13" s="1"/>
  <c r="A28" i="13" s="1"/>
  <c r="A29" i="13" s="1"/>
  <c r="A30" i="13" s="1"/>
  <c r="A31" i="13" s="1"/>
  <c r="A32" i="13" s="1"/>
  <c r="A33" i="13" s="1"/>
  <c r="AM13" i="13"/>
  <c r="AL13" i="13"/>
  <c r="AL9" i="13"/>
  <c r="AI9" i="13"/>
  <c r="AD9" i="13"/>
  <c r="X9" i="13"/>
  <c r="W9" i="13"/>
  <c r="R9" i="13"/>
  <c r="Q9" i="13"/>
  <c r="P9" i="13"/>
  <c r="L9" i="13"/>
  <c r="K9" i="13"/>
  <c r="J9" i="13"/>
  <c r="I9" i="13"/>
  <c r="H9" i="13"/>
  <c r="D9" i="13"/>
  <c r="C9" i="13"/>
  <c r="B9" i="13"/>
  <c r="BQ8" i="13"/>
  <c r="BP8" i="13"/>
  <c r="BO8" i="13"/>
  <c r="AL8" i="13"/>
  <c r="AI8" i="13"/>
  <c r="AD8" i="13"/>
  <c r="BQ7" i="13"/>
  <c r="BP7" i="13"/>
  <c r="BO7" i="13"/>
  <c r="AD7" i="13"/>
  <c r="BE7" i="13" s="1"/>
  <c r="BE23" i="13" s="1"/>
  <c r="BQ6" i="13"/>
  <c r="BP6" i="13"/>
  <c r="BO6" i="13"/>
  <c r="AK4" i="13"/>
  <c r="AJ4" i="13"/>
  <c r="AI4" i="13"/>
  <c r="AH4" i="13"/>
  <c r="AG4" i="13"/>
  <c r="AF4" i="13"/>
  <c r="AE4" i="13"/>
  <c r="AD4" i="13"/>
  <c r="M16" i="15" l="1"/>
  <c r="N36" i="15"/>
  <c r="N26" i="15"/>
  <c r="N46" i="15"/>
  <c r="S16" i="15"/>
  <c r="E18" i="15"/>
  <c r="C18" i="15"/>
  <c r="D18" i="15"/>
  <c r="O18" i="15" s="1"/>
  <c r="R18" i="15" s="1"/>
  <c r="L17" i="15"/>
  <c r="H17" i="15"/>
  <c r="K17" i="15"/>
  <c r="I17" i="15"/>
  <c r="F17" i="15"/>
  <c r="BB20" i="15"/>
  <c r="BL19" i="15"/>
  <c r="Y16" i="15"/>
  <c r="AN18" i="15"/>
  <c r="AL18" i="15"/>
  <c r="AB19" i="15"/>
  <c r="AB20" i="15" s="1"/>
  <c r="AB21" i="15" s="1"/>
  <c r="AB22" i="15" s="1"/>
  <c r="AB23" i="15" s="1"/>
  <c r="AB24" i="15" s="1"/>
  <c r="AB25" i="15" s="1"/>
  <c r="AB26" i="15" s="1"/>
  <c r="AB27" i="15" s="1"/>
  <c r="AB28" i="15" s="1"/>
  <c r="AB29" i="15" s="1"/>
  <c r="AB30" i="15" s="1"/>
  <c r="AB31" i="15" s="1"/>
  <c r="AB32" i="15" s="1"/>
  <c r="AB33" i="15" s="1"/>
  <c r="AB34" i="15" s="1"/>
  <c r="AB35" i="15" s="1"/>
  <c r="AB36" i="15" s="1"/>
  <c r="AB37" i="15" s="1"/>
  <c r="AB38" i="15" s="1"/>
  <c r="AB39" i="15" s="1"/>
  <c r="AB40" i="15" s="1"/>
  <c r="AB41" i="15" s="1"/>
  <c r="AB42" i="15" s="1"/>
  <c r="AB43" i="15" s="1"/>
  <c r="AB44" i="15" s="1"/>
  <c r="AB45" i="15" s="1"/>
  <c r="AB46" i="15" s="1"/>
  <c r="AB47" i="15" s="1"/>
  <c r="AB48" i="15" s="1"/>
  <c r="AB49" i="15" s="1"/>
  <c r="AB50" i="15" s="1"/>
  <c r="AB51" i="15" s="1"/>
  <c r="AB52" i="15" s="1"/>
  <c r="AB53" i="15" s="1"/>
  <c r="AM18" i="15"/>
  <c r="A20" i="15"/>
  <c r="B19" i="15"/>
  <c r="Q17" i="15"/>
  <c r="W17" i="15"/>
  <c r="X17" i="15"/>
  <c r="E34" i="12"/>
  <c r="D34" i="12"/>
  <c r="C34" i="12"/>
  <c r="AI34" i="8"/>
  <c r="AN34" i="13"/>
  <c r="AI34" i="13"/>
  <c r="AN34" i="12"/>
  <c r="AI34" i="12"/>
  <c r="AN34" i="11"/>
  <c r="AI34" i="11"/>
  <c r="E34" i="11"/>
  <c r="D34" i="11"/>
  <c r="C34" i="11"/>
  <c r="E34" i="13"/>
  <c r="D34" i="13"/>
  <c r="C34" i="13"/>
  <c r="AN35" i="13"/>
  <c r="AI35" i="13"/>
  <c r="AN35" i="12"/>
  <c r="AI35" i="12"/>
  <c r="AN35" i="11"/>
  <c r="AI35" i="11"/>
  <c r="L34" i="13"/>
  <c r="AH34" i="13" s="1"/>
  <c r="CE35" i="13"/>
  <c r="CG34" i="13"/>
  <c r="CC38" i="13"/>
  <c r="CG29" i="13"/>
  <c r="CG28" i="13"/>
  <c r="CG26" i="13"/>
  <c r="CG27" i="13"/>
  <c r="CG25" i="13"/>
  <c r="C31" i="3"/>
  <c r="D30" i="3"/>
  <c r="B30" i="3" s="1"/>
  <c r="AN35" i="8"/>
  <c r="AI35" i="8"/>
  <c r="B28" i="9"/>
  <c r="C28" i="9" s="1"/>
  <c r="E28" i="9" s="1"/>
  <c r="O29" i="3"/>
  <c r="P29" i="3" s="1"/>
  <c r="N29" i="3" s="1"/>
  <c r="Q29" i="3" s="1"/>
  <c r="E34" i="8"/>
  <c r="D34" i="8"/>
  <c r="C34" i="8"/>
  <c r="B35" i="13"/>
  <c r="B35" i="11"/>
  <c r="B35" i="8"/>
  <c r="B35" i="12"/>
  <c r="BE24" i="13"/>
  <c r="BD25" i="13"/>
  <c r="BD26" i="13" s="1"/>
  <c r="BD27" i="13" s="1"/>
  <c r="BD28" i="13" s="1"/>
  <c r="BD29" i="13" s="1"/>
  <c r="BD30" i="13" s="1"/>
  <c r="BD31" i="13" s="1"/>
  <c r="BD32" i="13" s="1"/>
  <c r="BD33" i="13" s="1"/>
  <c r="BE28" i="13"/>
  <c r="S9" i="13"/>
  <c r="Y9" i="13"/>
  <c r="AL14" i="13"/>
  <c r="M9" i="13"/>
  <c r="AB16" i="13"/>
  <c r="AM15" i="13"/>
  <c r="AL15" i="13"/>
  <c r="D33" i="13"/>
  <c r="D31" i="13"/>
  <c r="D32" i="13"/>
  <c r="D30" i="13"/>
  <c r="D28" i="13"/>
  <c r="D29" i="13"/>
  <c r="D27" i="13"/>
  <c r="D25" i="13"/>
  <c r="D23" i="13"/>
  <c r="D26" i="13"/>
  <c r="D24" i="13"/>
  <c r="D22" i="13"/>
  <c r="D21" i="13"/>
  <c r="D19" i="13"/>
  <c r="D17" i="13"/>
  <c r="D20" i="13"/>
  <c r="D18" i="13"/>
  <c r="D16" i="13"/>
  <c r="D13" i="13"/>
  <c r="C32" i="13"/>
  <c r="N32" i="13" s="1"/>
  <c r="C33" i="13"/>
  <c r="N33" i="13" s="1"/>
  <c r="C31" i="13"/>
  <c r="N31" i="13" s="1"/>
  <c r="C29" i="13"/>
  <c r="N29" i="13" s="1"/>
  <c r="C30" i="13"/>
  <c r="N30" i="13" s="1"/>
  <c r="C28" i="13"/>
  <c r="N28" i="13" s="1"/>
  <c r="C26" i="13"/>
  <c r="N26" i="13" s="1"/>
  <c r="C24" i="13"/>
  <c r="N24" i="13" s="1"/>
  <c r="C22" i="13"/>
  <c r="N22" i="13" s="1"/>
  <c r="C27" i="13"/>
  <c r="N27" i="13" s="1"/>
  <c r="C25" i="13"/>
  <c r="N25" i="13" s="1"/>
  <c r="C23" i="13"/>
  <c r="N23" i="13" s="1"/>
  <c r="C20" i="13"/>
  <c r="N20" i="13" s="1"/>
  <c r="C18" i="13"/>
  <c r="N18" i="13" s="1"/>
  <c r="C16" i="13"/>
  <c r="C21" i="13"/>
  <c r="N21" i="13" s="1"/>
  <c r="C19" i="13"/>
  <c r="N19" i="13" s="1"/>
  <c r="C17" i="13"/>
  <c r="E32" i="13"/>
  <c r="E33" i="13"/>
  <c r="E31" i="13"/>
  <c r="E29" i="13"/>
  <c r="E30" i="13"/>
  <c r="E28" i="13"/>
  <c r="E26" i="13"/>
  <c r="E24" i="13"/>
  <c r="E22" i="13"/>
  <c r="E27" i="13"/>
  <c r="E25" i="13"/>
  <c r="E23" i="13"/>
  <c r="E20" i="13"/>
  <c r="E18" i="13"/>
  <c r="E16" i="13"/>
  <c r="E21" i="13"/>
  <c r="E19" i="13"/>
  <c r="E17" i="13"/>
  <c r="C13" i="13"/>
  <c r="H13" i="13" s="1"/>
  <c r="E13" i="13"/>
  <c r="D14" i="13"/>
  <c r="AM14" i="13"/>
  <c r="C15" i="13"/>
  <c r="E15" i="13"/>
  <c r="E9" i="13"/>
  <c r="C14" i="13"/>
  <c r="E14" i="13"/>
  <c r="D15" i="13"/>
  <c r="BF14" i="12"/>
  <c r="BF15" i="12" s="1"/>
  <c r="BF16" i="12" s="1"/>
  <c r="BF17" i="12" s="1"/>
  <c r="BF18" i="12" s="1"/>
  <c r="BF19" i="12" s="1"/>
  <c r="BF20" i="12" s="1"/>
  <c r="BF21" i="12" s="1"/>
  <c r="BF22" i="12" s="1"/>
  <c r="BF23" i="12" s="1"/>
  <c r="BF24" i="12" s="1"/>
  <c r="BF25" i="12" s="1"/>
  <c r="BF26" i="12" s="1"/>
  <c r="BF27" i="12" s="1"/>
  <c r="BF28" i="12" s="1"/>
  <c r="BF29" i="12" s="1"/>
  <c r="BF30" i="12" s="1"/>
  <c r="BF31" i="12" s="1"/>
  <c r="BF32" i="12" s="1"/>
  <c r="BF33" i="12" s="1"/>
  <c r="AL14" i="12"/>
  <c r="AB14" i="12"/>
  <c r="A14" i="12"/>
  <c r="A15" i="12" s="1"/>
  <c r="A16" i="12" s="1"/>
  <c r="A17" i="12" s="1"/>
  <c r="A18" i="12" s="1"/>
  <c r="A19" i="12" s="1"/>
  <c r="A20" i="12" s="1"/>
  <c r="A21" i="12" s="1"/>
  <c r="A22" i="12" s="1"/>
  <c r="A23" i="12" s="1"/>
  <c r="A24" i="12" s="1"/>
  <c r="A25" i="12" s="1"/>
  <c r="A26" i="12" s="1"/>
  <c r="A27" i="12" s="1"/>
  <c r="A28" i="12" s="1"/>
  <c r="A29" i="12" s="1"/>
  <c r="A30" i="12" s="1"/>
  <c r="A31" i="12" s="1"/>
  <c r="A32" i="12" s="1"/>
  <c r="A33" i="12" s="1"/>
  <c r="AM13" i="12"/>
  <c r="AL13" i="12"/>
  <c r="AL9" i="12"/>
  <c r="AI9" i="12"/>
  <c r="AD9" i="12"/>
  <c r="X9" i="12"/>
  <c r="W9" i="12"/>
  <c r="Y9" i="12" s="1"/>
  <c r="R9" i="12"/>
  <c r="Q9" i="12"/>
  <c r="S9" i="12" s="1"/>
  <c r="P9" i="12"/>
  <c r="L9" i="12"/>
  <c r="K9" i="12"/>
  <c r="J9" i="12"/>
  <c r="I9" i="12"/>
  <c r="M9" i="12" s="1"/>
  <c r="H9" i="12"/>
  <c r="D9" i="12"/>
  <c r="E14" i="12" s="1"/>
  <c r="C9" i="12"/>
  <c r="B9" i="12"/>
  <c r="C14" i="12" s="1"/>
  <c r="BM8" i="12"/>
  <c r="BL8" i="12"/>
  <c r="BK8" i="12"/>
  <c r="AL8" i="12"/>
  <c r="AI8" i="12"/>
  <c r="AD8" i="12"/>
  <c r="BM7" i="12"/>
  <c r="BL7" i="12"/>
  <c r="BK7" i="12"/>
  <c r="AD7" i="12"/>
  <c r="BM6" i="12"/>
  <c r="BL6" i="12"/>
  <c r="BK6" i="12"/>
  <c r="AK4" i="12"/>
  <c r="AJ4" i="12"/>
  <c r="AI4" i="12"/>
  <c r="AH4" i="12"/>
  <c r="AG4" i="12"/>
  <c r="AF4" i="12"/>
  <c r="AE4" i="12"/>
  <c r="AD4" i="12"/>
  <c r="BF14" i="11"/>
  <c r="BF15" i="11" s="1"/>
  <c r="BF16" i="11" s="1"/>
  <c r="BF17" i="11" s="1"/>
  <c r="BF18" i="11" s="1"/>
  <c r="BF19" i="11" s="1"/>
  <c r="BF20" i="11" s="1"/>
  <c r="BF21" i="11" s="1"/>
  <c r="BF22" i="11" s="1"/>
  <c r="BF23" i="11" s="1"/>
  <c r="BF24" i="11" s="1"/>
  <c r="BF25" i="11" s="1"/>
  <c r="BF26" i="11" s="1"/>
  <c r="BF27" i="11" s="1"/>
  <c r="BF28" i="11" s="1"/>
  <c r="BF29" i="11" s="1"/>
  <c r="BF30" i="11" s="1"/>
  <c r="BF31" i="11" s="1"/>
  <c r="BF32" i="11" s="1"/>
  <c r="BF33" i="11" s="1"/>
  <c r="AL14" i="11"/>
  <c r="AB14" i="11"/>
  <c r="A14" i="11"/>
  <c r="A15" i="11" s="1"/>
  <c r="A16" i="11" s="1"/>
  <c r="A17" i="11" s="1"/>
  <c r="A18" i="11" s="1"/>
  <c r="A19" i="11" s="1"/>
  <c r="A20" i="11" s="1"/>
  <c r="A21" i="11" s="1"/>
  <c r="A22" i="11" s="1"/>
  <c r="A23" i="11" s="1"/>
  <c r="A24" i="11" s="1"/>
  <c r="A25" i="11" s="1"/>
  <c r="A26" i="11" s="1"/>
  <c r="A27" i="11" s="1"/>
  <c r="A28" i="11" s="1"/>
  <c r="A29" i="11" s="1"/>
  <c r="A30" i="11" s="1"/>
  <c r="A31" i="11" s="1"/>
  <c r="A32" i="11" s="1"/>
  <c r="A33" i="11" s="1"/>
  <c r="AM13" i="11"/>
  <c r="AL13" i="11"/>
  <c r="AL9" i="11"/>
  <c r="AI9" i="11"/>
  <c r="AD9" i="11"/>
  <c r="X9" i="11"/>
  <c r="W9" i="11"/>
  <c r="Y9" i="11" s="1"/>
  <c r="R9" i="11"/>
  <c r="Q9" i="11"/>
  <c r="S9" i="11" s="1"/>
  <c r="P9" i="11"/>
  <c r="L9" i="11"/>
  <c r="K9" i="11"/>
  <c r="J9" i="11"/>
  <c r="I9" i="11"/>
  <c r="H9" i="11"/>
  <c r="D9" i="11"/>
  <c r="E14" i="11" s="1"/>
  <c r="C9" i="11"/>
  <c r="D15" i="11" s="1"/>
  <c r="B9" i="11"/>
  <c r="C14" i="11" s="1"/>
  <c r="BM8" i="11"/>
  <c r="BL8" i="11"/>
  <c r="BK8" i="11"/>
  <c r="AL8" i="11"/>
  <c r="AI8" i="11"/>
  <c r="AD8" i="11"/>
  <c r="BM7" i="11"/>
  <c r="BL7" i="11"/>
  <c r="BK7" i="11"/>
  <c r="AD7" i="11"/>
  <c r="BM6" i="11"/>
  <c r="BL6" i="11"/>
  <c r="BK6" i="11"/>
  <c r="AK4" i="11"/>
  <c r="AJ4" i="11"/>
  <c r="AI4" i="11"/>
  <c r="AH4" i="11"/>
  <c r="AG4" i="11"/>
  <c r="AF4" i="11"/>
  <c r="AE4" i="11"/>
  <c r="AD4" i="11"/>
  <c r="G25" i="7"/>
  <c r="N47" i="15" l="1"/>
  <c r="N27" i="15"/>
  <c r="N37" i="15"/>
  <c r="M17" i="15"/>
  <c r="S17" i="15"/>
  <c r="A21" i="15"/>
  <c r="B20" i="15"/>
  <c r="L18" i="15"/>
  <c r="AH18" i="15" s="1"/>
  <c r="AF18" i="15"/>
  <c r="H18" i="15"/>
  <c r="AD18" i="15" s="1"/>
  <c r="K18" i="15"/>
  <c r="I18" i="15"/>
  <c r="AE18" i="15" s="1"/>
  <c r="F18" i="15"/>
  <c r="Y17" i="15"/>
  <c r="E19" i="15"/>
  <c r="C19" i="15"/>
  <c r="D19" i="15"/>
  <c r="O19" i="15" s="1"/>
  <c r="R19" i="15" s="1"/>
  <c r="BB21" i="15"/>
  <c r="BL20" i="15"/>
  <c r="AK18" i="15"/>
  <c r="AO18" i="15" s="1"/>
  <c r="Q18" i="15"/>
  <c r="W18" i="15"/>
  <c r="X18" i="15"/>
  <c r="E35" i="12"/>
  <c r="D35" i="12"/>
  <c r="C35" i="12"/>
  <c r="E35" i="11"/>
  <c r="D35" i="11"/>
  <c r="C35" i="11"/>
  <c r="AN36" i="13"/>
  <c r="AI36" i="13"/>
  <c r="AN36" i="12"/>
  <c r="AI36" i="12"/>
  <c r="AN36" i="11"/>
  <c r="AI36" i="11"/>
  <c r="I34" i="13"/>
  <c r="AE34" i="13" s="1"/>
  <c r="H34" i="13"/>
  <c r="K34" i="13"/>
  <c r="AG34" i="13" s="1"/>
  <c r="N34" i="13"/>
  <c r="F34" i="13"/>
  <c r="J34" i="13"/>
  <c r="AF34" i="13" s="1"/>
  <c r="X34" i="13"/>
  <c r="W34" i="13"/>
  <c r="R34" i="11"/>
  <c r="AM34" i="11" s="1"/>
  <c r="Q34" i="11"/>
  <c r="AL34" i="11" s="1"/>
  <c r="P34" i="11"/>
  <c r="AK34" i="11" s="1"/>
  <c r="R34" i="12"/>
  <c r="AM34" i="12" s="1"/>
  <c r="Q34" i="12"/>
  <c r="AL34" i="12" s="1"/>
  <c r="P34" i="12"/>
  <c r="E35" i="13"/>
  <c r="D35" i="13"/>
  <c r="C35" i="13"/>
  <c r="R34" i="13"/>
  <c r="AM34" i="13" s="1"/>
  <c r="Q34" i="13"/>
  <c r="AL34" i="13" s="1"/>
  <c r="P34" i="13"/>
  <c r="L34" i="11"/>
  <c r="AH34" i="11" s="1"/>
  <c r="K34" i="11"/>
  <c r="AG34" i="11" s="1"/>
  <c r="J34" i="11"/>
  <c r="AF34" i="11" s="1"/>
  <c r="I34" i="11"/>
  <c r="AE34" i="11" s="1"/>
  <c r="H34" i="11"/>
  <c r="AD34" i="11" s="1"/>
  <c r="AJ34" i="11" s="1"/>
  <c r="AY34" i="11" s="1"/>
  <c r="F34" i="11"/>
  <c r="X34" i="11"/>
  <c r="W34" i="11"/>
  <c r="L34" i="12"/>
  <c r="AH34" i="12" s="1"/>
  <c r="K34" i="12"/>
  <c r="AG34" i="12" s="1"/>
  <c r="J34" i="12"/>
  <c r="AF34" i="12" s="1"/>
  <c r="I34" i="12"/>
  <c r="AE34" i="12" s="1"/>
  <c r="H34" i="12"/>
  <c r="F34" i="12"/>
  <c r="X34" i="12"/>
  <c r="W34" i="12"/>
  <c r="BE33" i="13"/>
  <c r="BD34" i="13"/>
  <c r="BE26" i="13"/>
  <c r="BE25" i="13"/>
  <c r="CC39" i="13"/>
  <c r="CE36" i="13"/>
  <c r="CG35" i="13"/>
  <c r="CG30" i="13"/>
  <c r="E35" i="8"/>
  <c r="D35" i="8"/>
  <c r="C35" i="8"/>
  <c r="R34" i="8"/>
  <c r="AM34" i="8" s="1"/>
  <c r="Q34" i="8"/>
  <c r="AL34" i="8" s="1"/>
  <c r="P34" i="8"/>
  <c r="B36" i="13"/>
  <c r="B36" i="12"/>
  <c r="B36" i="11"/>
  <c r="B36" i="8"/>
  <c r="B29" i="9"/>
  <c r="C29" i="9" s="1"/>
  <c r="E29" i="9" s="1"/>
  <c r="O30" i="3"/>
  <c r="P30" i="3" s="1"/>
  <c r="N30" i="3" s="1"/>
  <c r="Q30" i="3" s="1"/>
  <c r="L34" i="8"/>
  <c r="AH34" i="8" s="1"/>
  <c r="K34" i="8"/>
  <c r="AG34" i="8" s="1"/>
  <c r="J34" i="8"/>
  <c r="AF34" i="8" s="1"/>
  <c r="I34" i="8"/>
  <c r="AE34" i="8" s="1"/>
  <c r="H34" i="8"/>
  <c r="F34" i="8"/>
  <c r="X34" i="8"/>
  <c r="W34" i="8"/>
  <c r="AN36" i="8"/>
  <c r="AI36" i="8"/>
  <c r="C32" i="3"/>
  <c r="D31" i="3"/>
  <c r="B31" i="3" s="1"/>
  <c r="J19" i="13"/>
  <c r="AF19" i="13" s="1"/>
  <c r="L19" i="13"/>
  <c r="K19" i="13"/>
  <c r="AG19" i="13" s="1"/>
  <c r="I19" i="13"/>
  <c r="H19" i="13"/>
  <c r="M19" i="13" s="1"/>
  <c r="L20" i="13"/>
  <c r="K20" i="13"/>
  <c r="I20" i="13"/>
  <c r="AE20" i="13" s="1"/>
  <c r="H20" i="13"/>
  <c r="J20" i="13"/>
  <c r="AF20" i="13" s="1"/>
  <c r="J25" i="13"/>
  <c r="AF25" i="13" s="1"/>
  <c r="L25" i="13"/>
  <c r="AH25" i="13" s="1"/>
  <c r="K25" i="13"/>
  <c r="AG25" i="13" s="1"/>
  <c r="I25" i="13"/>
  <c r="AE25" i="13" s="1"/>
  <c r="H25" i="13"/>
  <c r="M25" i="13" s="1"/>
  <c r="L22" i="13"/>
  <c r="AH22" i="13" s="1"/>
  <c r="K22" i="13"/>
  <c r="I22" i="13"/>
  <c r="H22" i="13"/>
  <c r="J22" i="13"/>
  <c r="L26" i="13"/>
  <c r="AH26" i="13" s="1"/>
  <c r="K26" i="13"/>
  <c r="I26" i="13"/>
  <c r="AE26" i="13" s="1"/>
  <c r="H26" i="13"/>
  <c r="J26" i="13"/>
  <c r="L30" i="13"/>
  <c r="K30" i="13"/>
  <c r="AG30" i="13" s="1"/>
  <c r="I30" i="13"/>
  <c r="H30" i="13"/>
  <c r="M30" i="13" s="1"/>
  <c r="J30" i="13"/>
  <c r="AF30" i="13" s="1"/>
  <c r="J31" i="13"/>
  <c r="AF31" i="13" s="1"/>
  <c r="L31" i="13"/>
  <c r="AH31" i="13" s="1"/>
  <c r="K31" i="13"/>
  <c r="AG31" i="13" s="1"/>
  <c r="I31" i="13"/>
  <c r="AE31" i="13" s="1"/>
  <c r="H31" i="13"/>
  <c r="M31" i="13" s="1"/>
  <c r="L32" i="13"/>
  <c r="AH32" i="13" s="1"/>
  <c r="K32" i="13"/>
  <c r="I32" i="13"/>
  <c r="H32" i="13"/>
  <c r="J21" i="13"/>
  <c r="L21" i="13"/>
  <c r="K21" i="13"/>
  <c r="I21" i="13"/>
  <c r="H21" i="13"/>
  <c r="L18" i="13"/>
  <c r="K18" i="13"/>
  <c r="J18" i="13"/>
  <c r="AF18" i="13" s="1"/>
  <c r="I18" i="13"/>
  <c r="H18" i="13"/>
  <c r="J23" i="13"/>
  <c r="AF23" i="13" s="1"/>
  <c r="L23" i="13"/>
  <c r="AH23" i="13" s="1"/>
  <c r="K23" i="13"/>
  <c r="I23" i="13"/>
  <c r="AE23" i="13" s="1"/>
  <c r="H23" i="13"/>
  <c r="J27" i="13"/>
  <c r="L27" i="13"/>
  <c r="K27" i="13"/>
  <c r="I27" i="13"/>
  <c r="H27" i="13"/>
  <c r="L24" i="13"/>
  <c r="AH24" i="13" s="1"/>
  <c r="K24" i="13"/>
  <c r="I24" i="13"/>
  <c r="AE24" i="13" s="1"/>
  <c r="H24" i="13"/>
  <c r="J24" i="13"/>
  <c r="L28" i="13"/>
  <c r="K28" i="13"/>
  <c r="AG28" i="13" s="1"/>
  <c r="I28" i="13"/>
  <c r="H28" i="13"/>
  <c r="J28" i="13"/>
  <c r="AF28" i="13" s="1"/>
  <c r="J29" i="13"/>
  <c r="L29" i="13"/>
  <c r="AH29" i="13" s="1"/>
  <c r="K29" i="13"/>
  <c r="I29" i="13"/>
  <c r="H29" i="13"/>
  <c r="L33" i="13"/>
  <c r="K33" i="13"/>
  <c r="AG33" i="13" s="1"/>
  <c r="I33" i="13"/>
  <c r="H33" i="13"/>
  <c r="BE30" i="13"/>
  <c r="BE27" i="13"/>
  <c r="BE29" i="13"/>
  <c r="BE32" i="13"/>
  <c r="BE31" i="13"/>
  <c r="W14" i="13"/>
  <c r="X14" i="13"/>
  <c r="K15" i="13"/>
  <c r="I15" i="13"/>
  <c r="F15" i="13"/>
  <c r="L15" i="13"/>
  <c r="J15" i="13"/>
  <c r="H15" i="13"/>
  <c r="M15" i="13" s="1"/>
  <c r="X13" i="13"/>
  <c r="W13" i="13"/>
  <c r="X19" i="13"/>
  <c r="W19" i="13"/>
  <c r="W16" i="13"/>
  <c r="X16" i="13"/>
  <c r="W20" i="13"/>
  <c r="X20" i="13"/>
  <c r="X25" i="13"/>
  <c r="W25" i="13"/>
  <c r="W22" i="13"/>
  <c r="X22" i="13"/>
  <c r="W26" i="13"/>
  <c r="X26" i="13"/>
  <c r="X30" i="13"/>
  <c r="W30" i="13"/>
  <c r="X31" i="13"/>
  <c r="W31" i="13"/>
  <c r="W32" i="13"/>
  <c r="X32" i="13"/>
  <c r="AE19" i="13"/>
  <c r="F19" i="13"/>
  <c r="AH19" i="13"/>
  <c r="AD19" i="13"/>
  <c r="L16" i="13"/>
  <c r="J16" i="13"/>
  <c r="H16" i="13"/>
  <c r="K16" i="13"/>
  <c r="I16" i="13"/>
  <c r="F16" i="13"/>
  <c r="AH20" i="13"/>
  <c r="AG20" i="13"/>
  <c r="F20" i="13"/>
  <c r="F25" i="13"/>
  <c r="AD25" i="13"/>
  <c r="AF22" i="13"/>
  <c r="AG22" i="13"/>
  <c r="AE22" i="13"/>
  <c r="F22" i="13"/>
  <c r="AF26" i="13"/>
  <c r="AG26" i="13"/>
  <c r="F26" i="13"/>
  <c r="AE30" i="13"/>
  <c r="F30" i="13"/>
  <c r="AH30" i="13"/>
  <c r="AD30" i="13"/>
  <c r="F31" i="13"/>
  <c r="AD31" i="13"/>
  <c r="AG32" i="13"/>
  <c r="AE32" i="13"/>
  <c r="F32" i="13"/>
  <c r="R16" i="13"/>
  <c r="P16" i="13"/>
  <c r="Q16" i="13"/>
  <c r="R20" i="13"/>
  <c r="AM20" i="13" s="1"/>
  <c r="P20" i="13"/>
  <c r="AK20" i="13" s="1"/>
  <c r="Q20" i="13"/>
  <c r="AL20" i="13" s="1"/>
  <c r="Q19" i="13"/>
  <c r="AL19" i="13" s="1"/>
  <c r="R19" i="13"/>
  <c r="AM19" i="13" s="1"/>
  <c r="P19" i="13"/>
  <c r="AK19" i="13" s="1"/>
  <c r="R22" i="13"/>
  <c r="AM22" i="13" s="1"/>
  <c r="P22" i="13"/>
  <c r="AK22" i="13" s="1"/>
  <c r="Q22" i="13"/>
  <c r="AL22" i="13" s="1"/>
  <c r="R26" i="13"/>
  <c r="AM26" i="13" s="1"/>
  <c r="P26" i="13"/>
  <c r="AK26" i="13" s="1"/>
  <c r="Q26" i="13"/>
  <c r="AL26" i="13" s="1"/>
  <c r="Q25" i="13"/>
  <c r="AL25" i="13" s="1"/>
  <c r="R25" i="13"/>
  <c r="AM25" i="13" s="1"/>
  <c r="P25" i="13"/>
  <c r="AK25" i="13" s="1"/>
  <c r="R29" i="13"/>
  <c r="AM29" i="13" s="1"/>
  <c r="P29" i="13"/>
  <c r="AK29" i="13" s="1"/>
  <c r="Q29" i="13"/>
  <c r="AL29" i="13" s="1"/>
  <c r="Q30" i="13"/>
  <c r="AL30" i="13" s="1"/>
  <c r="R30" i="13"/>
  <c r="AM30" i="13" s="1"/>
  <c r="P30" i="13"/>
  <c r="AK30" i="13" s="1"/>
  <c r="Q31" i="13"/>
  <c r="AL31" i="13" s="1"/>
  <c r="R31" i="13"/>
  <c r="AM31" i="13" s="1"/>
  <c r="P31" i="13"/>
  <c r="AK31" i="13" s="1"/>
  <c r="AB17" i="13"/>
  <c r="AL16" i="13"/>
  <c r="AM16" i="13"/>
  <c r="Q15" i="13"/>
  <c r="R15" i="13"/>
  <c r="P15" i="13"/>
  <c r="L14" i="13"/>
  <c r="J14" i="13"/>
  <c r="H14" i="13"/>
  <c r="K14" i="13"/>
  <c r="I14" i="13"/>
  <c r="F14" i="13"/>
  <c r="X15" i="13"/>
  <c r="W15" i="13"/>
  <c r="R14" i="13"/>
  <c r="P14" i="13"/>
  <c r="Q14" i="13"/>
  <c r="F13" i="13"/>
  <c r="L13" i="13"/>
  <c r="J13" i="13"/>
  <c r="K13" i="13"/>
  <c r="I13" i="13"/>
  <c r="M13" i="13" s="1"/>
  <c r="X17" i="13"/>
  <c r="W17" i="13"/>
  <c r="X21" i="13"/>
  <c r="W21" i="13"/>
  <c r="W18" i="13"/>
  <c r="X18" i="13"/>
  <c r="X23" i="13"/>
  <c r="W23" i="13"/>
  <c r="X27" i="13"/>
  <c r="W27" i="13"/>
  <c r="W24" i="13"/>
  <c r="X24" i="13"/>
  <c r="X28" i="13"/>
  <c r="W28" i="13"/>
  <c r="W29" i="13"/>
  <c r="X29" i="13"/>
  <c r="X33" i="13"/>
  <c r="W33" i="13"/>
  <c r="K17" i="13"/>
  <c r="I17" i="13"/>
  <c r="F17" i="13"/>
  <c r="L17" i="13"/>
  <c r="J17" i="13"/>
  <c r="H17" i="13"/>
  <c r="M17" i="13" s="1"/>
  <c r="AG21" i="13"/>
  <c r="AE21" i="13"/>
  <c r="F21" i="13"/>
  <c r="AH21" i="13"/>
  <c r="AF21" i="13"/>
  <c r="AH18" i="13"/>
  <c r="AE18" i="13"/>
  <c r="F18" i="13"/>
  <c r="AG23" i="13"/>
  <c r="F23" i="13"/>
  <c r="AD23" i="13"/>
  <c r="AG27" i="13"/>
  <c r="AE27" i="13"/>
  <c r="F27" i="13"/>
  <c r="AH27" i="13"/>
  <c r="AF27" i="13"/>
  <c r="AF24" i="13"/>
  <c r="AG24" i="13"/>
  <c r="F24" i="13"/>
  <c r="AE28" i="13"/>
  <c r="F28" i="13"/>
  <c r="AH28" i="13"/>
  <c r="AD28" i="13"/>
  <c r="AF29" i="13"/>
  <c r="AG29" i="13"/>
  <c r="AE29" i="13"/>
  <c r="F29" i="13"/>
  <c r="AE33" i="13"/>
  <c r="F33" i="13"/>
  <c r="AH33" i="13"/>
  <c r="AD33" i="13"/>
  <c r="Q13" i="13"/>
  <c r="R13" i="13"/>
  <c r="P13" i="13"/>
  <c r="R18" i="13"/>
  <c r="P18" i="13"/>
  <c r="AK18" i="13" s="1"/>
  <c r="Q18" i="13"/>
  <c r="Q17" i="13"/>
  <c r="R17" i="13"/>
  <c r="P17" i="13"/>
  <c r="Q21" i="13"/>
  <c r="AL21" i="13" s="1"/>
  <c r="R21" i="13"/>
  <c r="AM21" i="13" s="1"/>
  <c r="P21" i="13"/>
  <c r="AK21" i="13" s="1"/>
  <c r="R24" i="13"/>
  <c r="AM24" i="13" s="1"/>
  <c r="P24" i="13"/>
  <c r="AK24" i="13" s="1"/>
  <c r="Q24" i="13"/>
  <c r="AL24" i="13" s="1"/>
  <c r="Q23" i="13"/>
  <c r="AL23" i="13" s="1"/>
  <c r="R23" i="13"/>
  <c r="AM23" i="13" s="1"/>
  <c r="P23" i="13"/>
  <c r="AK23" i="13" s="1"/>
  <c r="Q27" i="13"/>
  <c r="AL27" i="13" s="1"/>
  <c r="R27" i="13"/>
  <c r="AM27" i="13" s="1"/>
  <c r="P27" i="13"/>
  <c r="AK27" i="13" s="1"/>
  <c r="Q28" i="13"/>
  <c r="AL28" i="13" s="1"/>
  <c r="R28" i="13"/>
  <c r="AM28" i="13" s="1"/>
  <c r="P28" i="13"/>
  <c r="AK28" i="13" s="1"/>
  <c r="R32" i="13"/>
  <c r="AM32" i="13" s="1"/>
  <c r="P32" i="13"/>
  <c r="AK32" i="13" s="1"/>
  <c r="Q32" i="13"/>
  <c r="AL32" i="13" s="1"/>
  <c r="Q33" i="13"/>
  <c r="AL33" i="13" s="1"/>
  <c r="R33" i="13"/>
  <c r="AM33" i="13" s="1"/>
  <c r="P33" i="13"/>
  <c r="AK33" i="13" s="1"/>
  <c r="K14" i="12"/>
  <c r="I14" i="12"/>
  <c r="L14" i="12"/>
  <c r="J14" i="12"/>
  <c r="H14" i="12"/>
  <c r="X14" i="12"/>
  <c r="W14" i="12"/>
  <c r="D33" i="12"/>
  <c r="D31" i="12"/>
  <c r="D32" i="12"/>
  <c r="D29" i="12"/>
  <c r="D30" i="12"/>
  <c r="D28" i="12"/>
  <c r="D27" i="12"/>
  <c r="D25" i="12"/>
  <c r="D23" i="12"/>
  <c r="D26" i="12"/>
  <c r="D24" i="12"/>
  <c r="D22" i="12"/>
  <c r="D20" i="12"/>
  <c r="D18" i="12"/>
  <c r="D16" i="12"/>
  <c r="D21" i="12"/>
  <c r="D19" i="12"/>
  <c r="D17" i="12"/>
  <c r="E9" i="12"/>
  <c r="D13" i="12"/>
  <c r="D15" i="12"/>
  <c r="AB15" i="12"/>
  <c r="C32" i="12"/>
  <c r="C33" i="12"/>
  <c r="C31" i="12"/>
  <c r="C30" i="12"/>
  <c r="C28" i="12"/>
  <c r="C29" i="12"/>
  <c r="C26" i="12"/>
  <c r="C24" i="12"/>
  <c r="C22" i="12"/>
  <c r="C27" i="12"/>
  <c r="C25" i="12"/>
  <c r="C23" i="12"/>
  <c r="C21" i="12"/>
  <c r="C19" i="12"/>
  <c r="C17" i="12"/>
  <c r="C20" i="12"/>
  <c r="C18" i="12"/>
  <c r="C16" i="12"/>
  <c r="E32" i="12"/>
  <c r="E33" i="12"/>
  <c r="E31" i="12"/>
  <c r="E30" i="12"/>
  <c r="E28" i="12"/>
  <c r="E29" i="12"/>
  <c r="E26" i="12"/>
  <c r="E24" i="12"/>
  <c r="E22" i="12"/>
  <c r="E27" i="12"/>
  <c r="E25" i="12"/>
  <c r="E23" i="12"/>
  <c r="E21" i="12"/>
  <c r="E19" i="12"/>
  <c r="E17" i="12"/>
  <c r="E20" i="12"/>
  <c r="E18" i="12"/>
  <c r="E16" i="12"/>
  <c r="C13" i="12"/>
  <c r="E13" i="12"/>
  <c r="D14" i="12"/>
  <c r="AM14" i="12"/>
  <c r="C15" i="12"/>
  <c r="E15" i="12"/>
  <c r="M9" i="11"/>
  <c r="R15" i="11"/>
  <c r="P15" i="11"/>
  <c r="Q15" i="11"/>
  <c r="K14" i="11"/>
  <c r="I14" i="11"/>
  <c r="L14" i="11"/>
  <c r="J14" i="11"/>
  <c r="H14" i="11"/>
  <c r="X14" i="11"/>
  <c r="W14" i="11"/>
  <c r="E9" i="11"/>
  <c r="AB15" i="11"/>
  <c r="D33" i="11"/>
  <c r="D31" i="11"/>
  <c r="D32" i="11"/>
  <c r="D30" i="11"/>
  <c r="D28" i="11"/>
  <c r="D29" i="11"/>
  <c r="D26" i="11"/>
  <c r="D24" i="11"/>
  <c r="D22" i="11"/>
  <c r="D27" i="11"/>
  <c r="D25" i="11"/>
  <c r="D21" i="11"/>
  <c r="D20" i="11"/>
  <c r="D18" i="11"/>
  <c r="D16" i="11"/>
  <c r="D23" i="11"/>
  <c r="D19" i="11"/>
  <c r="D17" i="11"/>
  <c r="D13" i="11"/>
  <c r="C32" i="11"/>
  <c r="C33" i="11"/>
  <c r="C31" i="11"/>
  <c r="C29" i="11"/>
  <c r="C30" i="11"/>
  <c r="C28" i="11"/>
  <c r="C27" i="11"/>
  <c r="C25" i="11"/>
  <c r="C23" i="11"/>
  <c r="C21" i="11"/>
  <c r="C26" i="11"/>
  <c r="C24" i="11"/>
  <c r="C19" i="11"/>
  <c r="C17" i="11"/>
  <c r="C22" i="11"/>
  <c r="C20" i="11"/>
  <c r="C18" i="11"/>
  <c r="C16" i="11"/>
  <c r="E32" i="11"/>
  <c r="E33" i="11"/>
  <c r="E31" i="11"/>
  <c r="E29" i="11"/>
  <c r="E30" i="11"/>
  <c r="E28" i="11"/>
  <c r="E27" i="11"/>
  <c r="E25" i="11"/>
  <c r="E23" i="11"/>
  <c r="E21" i="11"/>
  <c r="E26" i="11"/>
  <c r="E24" i="11"/>
  <c r="E22" i="11"/>
  <c r="E19" i="11"/>
  <c r="E17" i="11"/>
  <c r="E20" i="11"/>
  <c r="E18" i="11"/>
  <c r="E16" i="11"/>
  <c r="E13" i="11"/>
  <c r="D14" i="11"/>
  <c r="AM14" i="11"/>
  <c r="C15" i="11"/>
  <c r="E15" i="11"/>
  <c r="BB14" i="8"/>
  <c r="BB15" i="8" s="1"/>
  <c r="BB16" i="8" s="1"/>
  <c r="BB17" i="8" s="1"/>
  <c r="BB18" i="8" s="1"/>
  <c r="BB19" i="8" s="1"/>
  <c r="BB20" i="8" s="1"/>
  <c r="BB21" i="8" s="1"/>
  <c r="BB22" i="8" s="1"/>
  <c r="BB23" i="8" s="1"/>
  <c r="BB24" i="8" s="1"/>
  <c r="BB25" i="8" s="1"/>
  <c r="BB26" i="8" s="1"/>
  <c r="BB27" i="8" s="1"/>
  <c r="BB28" i="8" s="1"/>
  <c r="BB29" i="8" s="1"/>
  <c r="BB30" i="8" s="1"/>
  <c r="BB31" i="8" s="1"/>
  <c r="BB32" i="8" s="1"/>
  <c r="BB33" i="8" s="1"/>
  <c r="BI7" i="8"/>
  <c r="BI8" i="8"/>
  <c r="BI6" i="8"/>
  <c r="BH7" i="8"/>
  <c r="BH8" i="8"/>
  <c r="BH6" i="8"/>
  <c r="BG7" i="8"/>
  <c r="BG8" i="8"/>
  <c r="BG6" i="8"/>
  <c r="I62" i="7"/>
  <c r="H59" i="7"/>
  <c r="H60" i="7"/>
  <c r="H61" i="7"/>
  <c r="H62" i="7"/>
  <c r="H58" i="7"/>
  <c r="AM13" i="8"/>
  <c r="AL13" i="8"/>
  <c r="AL9" i="8"/>
  <c r="AL8" i="8"/>
  <c r="C43" i="7"/>
  <c r="AE13" i="15" s="1"/>
  <c r="B43" i="7"/>
  <c r="AD13" i="15" s="1"/>
  <c r="AE13" i="8"/>
  <c r="C3" i="7"/>
  <c r="AI9" i="8"/>
  <c r="AI8" i="8"/>
  <c r="AD8" i="8"/>
  <c r="AD9" i="8"/>
  <c r="AD7" i="8"/>
  <c r="AB14" i="8"/>
  <c r="AK4" i="8"/>
  <c r="AJ4" i="8"/>
  <c r="AI4" i="8"/>
  <c r="AH4" i="8"/>
  <c r="AG4" i="8"/>
  <c r="AF4" i="8"/>
  <c r="AE4" i="8"/>
  <c r="AD4" i="8"/>
  <c r="A7" i="10"/>
  <c r="A8" i="10" s="1"/>
  <c r="A9" i="10" s="1"/>
  <c r="A10" i="10" s="1"/>
  <c r="A11" i="10" s="1"/>
  <c r="A12" i="10" s="1"/>
  <c r="A13" i="10" s="1"/>
  <c r="A14" i="10" s="1"/>
  <c r="A15" i="10" s="1"/>
  <c r="A16" i="10" s="1"/>
  <c r="A17" i="10" s="1"/>
  <c r="A18" i="10" s="1"/>
  <c r="A19" i="10" s="1"/>
  <c r="A20" i="10" s="1"/>
  <c r="A21" i="10" s="1"/>
  <c r="A22" i="10" s="1"/>
  <c r="A23" i="10" s="1"/>
  <c r="A24" i="10" s="1"/>
  <c r="A25" i="10" s="1"/>
  <c r="A26" i="10" s="1"/>
  <c r="A14" i="8"/>
  <c r="A15" i="8" s="1"/>
  <c r="A16" i="8" s="1"/>
  <c r="A17" i="8" s="1"/>
  <c r="A18" i="8" s="1"/>
  <c r="A19" i="8" s="1"/>
  <c r="A20" i="8" s="1"/>
  <c r="A21" i="8" s="1"/>
  <c r="A22" i="8" s="1"/>
  <c r="A23" i="8" s="1"/>
  <c r="A24" i="8" s="1"/>
  <c r="A25" i="8" s="1"/>
  <c r="A26" i="8" s="1"/>
  <c r="A27" i="8" s="1"/>
  <c r="A28" i="8" s="1"/>
  <c r="A29" i="8" s="1"/>
  <c r="A30" i="8" s="1"/>
  <c r="A31" i="8" s="1"/>
  <c r="A32" i="8" s="1"/>
  <c r="A33" i="8" s="1"/>
  <c r="N38" i="15" l="1"/>
  <c r="N28" i="15"/>
  <c r="N48" i="15"/>
  <c r="Y18" i="15"/>
  <c r="S18" i="15"/>
  <c r="AM19" i="15"/>
  <c r="AK19" i="15"/>
  <c r="Q19" i="15"/>
  <c r="AL19" i="15" s="1"/>
  <c r="W19" i="15"/>
  <c r="X19" i="15"/>
  <c r="A22" i="15"/>
  <c r="B21" i="15"/>
  <c r="BH18" i="15"/>
  <c r="BF18" i="15"/>
  <c r="BG18" i="15"/>
  <c r="BB22" i="15"/>
  <c r="BL21" i="15"/>
  <c r="L19" i="15"/>
  <c r="AH19" i="15" s="1"/>
  <c r="AF19" i="15"/>
  <c r="H19" i="15"/>
  <c r="AD19" i="15" s="1"/>
  <c r="K19" i="15"/>
  <c r="AG19" i="15" s="1"/>
  <c r="I19" i="15"/>
  <c r="AE19" i="15" s="1"/>
  <c r="F19" i="15"/>
  <c r="M18" i="15"/>
  <c r="E20" i="15"/>
  <c r="C20" i="15"/>
  <c r="D20" i="15"/>
  <c r="O20" i="15" s="1"/>
  <c r="R20" i="15" s="1"/>
  <c r="AE13" i="13"/>
  <c r="AD24" i="13"/>
  <c r="M24" i="13"/>
  <c r="AD27" i="13"/>
  <c r="M27" i="13"/>
  <c r="AD18" i="13"/>
  <c r="M18" i="13"/>
  <c r="AD32" i="13"/>
  <c r="AD22" i="13"/>
  <c r="M22" i="13"/>
  <c r="AD20" i="13"/>
  <c r="M20" i="13"/>
  <c r="AN37" i="13"/>
  <c r="AI37" i="13"/>
  <c r="AN37" i="12"/>
  <c r="AI37" i="12"/>
  <c r="AN37" i="11"/>
  <c r="AI37" i="11"/>
  <c r="E36" i="11"/>
  <c r="D36" i="11"/>
  <c r="C36" i="11"/>
  <c r="E36" i="13"/>
  <c r="D36" i="13"/>
  <c r="C36" i="13"/>
  <c r="M34" i="12"/>
  <c r="AD34" i="12"/>
  <c r="AJ34" i="12" s="1"/>
  <c r="AY34" i="12" s="1"/>
  <c r="BI34" i="11"/>
  <c r="BH34" i="11"/>
  <c r="BG34" i="11"/>
  <c r="AK34" i="13"/>
  <c r="AO34" i="13" s="1"/>
  <c r="AZ34" i="13" s="1"/>
  <c r="S34" i="13"/>
  <c r="R35" i="13"/>
  <c r="AM35" i="13" s="1"/>
  <c r="Q35" i="13"/>
  <c r="AL35" i="13" s="1"/>
  <c r="P35" i="13"/>
  <c r="AK34" i="12"/>
  <c r="AO34" i="12" s="1"/>
  <c r="AZ34" i="12" s="1"/>
  <c r="S34" i="12"/>
  <c r="S34" i="11"/>
  <c r="R35" i="11"/>
  <c r="AM35" i="11" s="1"/>
  <c r="Q35" i="11"/>
  <c r="AL35" i="11" s="1"/>
  <c r="P35" i="11"/>
  <c r="AK35" i="11" s="1"/>
  <c r="AO35" i="11" s="1"/>
  <c r="AZ35" i="11" s="1"/>
  <c r="L35" i="12"/>
  <c r="AH35" i="12" s="1"/>
  <c r="K35" i="12"/>
  <c r="AG35" i="12" s="1"/>
  <c r="J35" i="12"/>
  <c r="AF35" i="12" s="1"/>
  <c r="I35" i="12"/>
  <c r="AE35" i="12" s="1"/>
  <c r="H35" i="12"/>
  <c r="F35" i="12"/>
  <c r="X35" i="12"/>
  <c r="W35" i="12"/>
  <c r="M14" i="13"/>
  <c r="M16" i="13"/>
  <c r="AD29" i="13"/>
  <c r="M29" i="13"/>
  <c r="M28" i="13"/>
  <c r="M23" i="13"/>
  <c r="AD21" i="13"/>
  <c r="M21" i="13"/>
  <c r="AD26" i="13"/>
  <c r="M26" i="13"/>
  <c r="E36" i="12"/>
  <c r="D36" i="12"/>
  <c r="C36" i="12"/>
  <c r="Y34" i="12"/>
  <c r="Y34" i="11"/>
  <c r="M34" i="11"/>
  <c r="L35" i="13"/>
  <c r="AH35" i="13" s="1"/>
  <c r="K35" i="13"/>
  <c r="J35" i="13"/>
  <c r="AF35" i="13" s="1"/>
  <c r="I35" i="13"/>
  <c r="AE35" i="13" s="1"/>
  <c r="H35" i="13"/>
  <c r="AD35" i="13" s="1"/>
  <c r="F35" i="13"/>
  <c r="N35" i="13"/>
  <c r="X35" i="13"/>
  <c r="W35" i="13"/>
  <c r="AO34" i="11"/>
  <c r="AZ34" i="11" s="1"/>
  <c r="Y34" i="13"/>
  <c r="M34" i="13"/>
  <c r="AD34" i="13"/>
  <c r="AJ34" i="13" s="1"/>
  <c r="AY34" i="13" s="1"/>
  <c r="L35" i="11"/>
  <c r="AH35" i="11" s="1"/>
  <c r="K35" i="11"/>
  <c r="AG35" i="11" s="1"/>
  <c r="J35" i="11"/>
  <c r="AF35" i="11" s="1"/>
  <c r="I35" i="11"/>
  <c r="AE35" i="11" s="1"/>
  <c r="H35" i="11"/>
  <c r="AD35" i="11" s="1"/>
  <c r="F35" i="11"/>
  <c r="X35" i="11"/>
  <c r="W35" i="11"/>
  <c r="R35" i="12"/>
  <c r="AM35" i="12" s="1"/>
  <c r="Q35" i="12"/>
  <c r="AL35" i="12" s="1"/>
  <c r="P35" i="12"/>
  <c r="BD35" i="13"/>
  <c r="BE34" i="13"/>
  <c r="BF34" i="13" s="1"/>
  <c r="CE37" i="13"/>
  <c r="CG36" i="13"/>
  <c r="CC40" i="13"/>
  <c r="CG31" i="13"/>
  <c r="S15" i="11"/>
  <c r="Y14" i="12"/>
  <c r="M14" i="12"/>
  <c r="B30" i="9"/>
  <c r="C30" i="9" s="1"/>
  <c r="E30" i="9" s="1"/>
  <c r="O31" i="3"/>
  <c r="P31" i="3" s="1"/>
  <c r="N31" i="3" s="1"/>
  <c r="Q31" i="3" s="1"/>
  <c r="Y34" i="8"/>
  <c r="B37" i="11"/>
  <c r="B37" i="8"/>
  <c r="B37" i="13"/>
  <c r="B37" i="12"/>
  <c r="E36" i="8"/>
  <c r="D36" i="8"/>
  <c r="C36" i="8"/>
  <c r="AK34" i="8"/>
  <c r="AO34" i="8" s="1"/>
  <c r="S34" i="8"/>
  <c r="R35" i="8"/>
  <c r="AM35" i="8" s="1"/>
  <c r="Q35" i="8"/>
  <c r="AL35" i="8" s="1"/>
  <c r="P35" i="8"/>
  <c r="C33" i="3"/>
  <c r="D32" i="3"/>
  <c r="B32" i="3" s="1"/>
  <c r="AD34" i="8"/>
  <c r="AJ34" i="8" s="1"/>
  <c r="M34" i="8"/>
  <c r="AN37" i="8"/>
  <c r="AI37" i="8"/>
  <c r="L35" i="8"/>
  <c r="AH35" i="8" s="1"/>
  <c r="K35" i="8"/>
  <c r="AG35" i="8" s="1"/>
  <c r="J35" i="8"/>
  <c r="AF35" i="8" s="1"/>
  <c r="I35" i="8"/>
  <c r="AE35" i="8" s="1"/>
  <c r="H35" i="8"/>
  <c r="F35" i="8"/>
  <c r="X35" i="8"/>
  <c r="W35" i="8"/>
  <c r="Y14" i="13"/>
  <c r="S14" i="13"/>
  <c r="Y15" i="13"/>
  <c r="S16" i="13"/>
  <c r="Y13" i="13"/>
  <c r="S24" i="13"/>
  <c r="S18" i="13"/>
  <c r="Y17" i="13"/>
  <c r="S32" i="13"/>
  <c r="S17" i="13"/>
  <c r="S13" i="13"/>
  <c r="S15" i="13"/>
  <c r="AD13" i="12"/>
  <c r="AD13" i="13"/>
  <c r="S27" i="13"/>
  <c r="S23" i="13"/>
  <c r="S21" i="13"/>
  <c r="Y33" i="13"/>
  <c r="Y28" i="13"/>
  <c r="Y27" i="13"/>
  <c r="Y23" i="13"/>
  <c r="Y21" i="13"/>
  <c r="AM17" i="13"/>
  <c r="AB18" i="13"/>
  <c r="AL17" i="13"/>
  <c r="Y32" i="13"/>
  <c r="Y26" i="13"/>
  <c r="Y22" i="13"/>
  <c r="Y20" i="13"/>
  <c r="Y16" i="13"/>
  <c r="S33" i="13"/>
  <c r="S28" i="13"/>
  <c r="Y29" i="13"/>
  <c r="Y24" i="13"/>
  <c r="Y18" i="13"/>
  <c r="S31" i="13"/>
  <c r="S30" i="13"/>
  <c r="S29" i="13"/>
  <c r="S25" i="13"/>
  <c r="S26" i="13"/>
  <c r="S22" i="13"/>
  <c r="S19" i="13"/>
  <c r="S20" i="13"/>
  <c r="Y31" i="13"/>
  <c r="Y30" i="13"/>
  <c r="Y25" i="13"/>
  <c r="Y19" i="13"/>
  <c r="AE13" i="11"/>
  <c r="AE13" i="12"/>
  <c r="W15" i="12"/>
  <c r="X15" i="12"/>
  <c r="W13" i="12"/>
  <c r="X13" i="12"/>
  <c r="X18" i="12"/>
  <c r="W18" i="12"/>
  <c r="W17" i="12"/>
  <c r="X17" i="12"/>
  <c r="W21" i="12"/>
  <c r="X21" i="12"/>
  <c r="X25" i="12"/>
  <c r="W25" i="12"/>
  <c r="W22" i="12"/>
  <c r="X22" i="12"/>
  <c r="W26" i="12"/>
  <c r="X26" i="12"/>
  <c r="W28" i="12"/>
  <c r="X28" i="12"/>
  <c r="X31" i="12"/>
  <c r="W31" i="12"/>
  <c r="W32" i="12"/>
  <c r="X32" i="12"/>
  <c r="K18" i="12"/>
  <c r="I18" i="12"/>
  <c r="AE18" i="12" s="1"/>
  <c r="F18" i="12"/>
  <c r="L18" i="12"/>
  <c r="AH18" i="12" s="1"/>
  <c r="J18" i="12"/>
  <c r="AF18" i="12" s="1"/>
  <c r="H18" i="12"/>
  <c r="AD18" i="12" s="1"/>
  <c r="L17" i="12"/>
  <c r="J17" i="12"/>
  <c r="H17" i="12"/>
  <c r="K17" i="12"/>
  <c r="I17" i="12"/>
  <c r="F17" i="12"/>
  <c r="L21" i="12"/>
  <c r="AH21" i="12" s="1"/>
  <c r="J21" i="12"/>
  <c r="AF21" i="12" s="1"/>
  <c r="H21" i="12"/>
  <c r="AD21" i="12" s="1"/>
  <c r="K21" i="12"/>
  <c r="AG21" i="12" s="1"/>
  <c r="I21" i="12"/>
  <c r="AE21" i="12" s="1"/>
  <c r="F21" i="12"/>
  <c r="K25" i="12"/>
  <c r="AG25" i="12" s="1"/>
  <c r="I25" i="12"/>
  <c r="AE25" i="12" s="1"/>
  <c r="F25" i="12"/>
  <c r="L25" i="12"/>
  <c r="AH25" i="12" s="1"/>
  <c r="J25" i="12"/>
  <c r="AF25" i="12" s="1"/>
  <c r="H25" i="12"/>
  <c r="AD25" i="12" s="1"/>
  <c r="L22" i="12"/>
  <c r="AH22" i="12" s="1"/>
  <c r="J22" i="12"/>
  <c r="AF22" i="12" s="1"/>
  <c r="H22" i="12"/>
  <c r="AD22" i="12" s="1"/>
  <c r="K22" i="12"/>
  <c r="AG22" i="12" s="1"/>
  <c r="I22" i="12"/>
  <c r="AE22" i="12" s="1"/>
  <c r="F22" i="12"/>
  <c r="L26" i="12"/>
  <c r="AH26" i="12" s="1"/>
  <c r="J26" i="12"/>
  <c r="AF26" i="12" s="1"/>
  <c r="H26" i="12"/>
  <c r="AD26" i="12" s="1"/>
  <c r="K26" i="12"/>
  <c r="AG26" i="12" s="1"/>
  <c r="I26" i="12"/>
  <c r="AE26" i="12" s="1"/>
  <c r="F26" i="12"/>
  <c r="L28" i="12"/>
  <c r="AH28" i="12" s="1"/>
  <c r="J28" i="12"/>
  <c r="AF28" i="12" s="1"/>
  <c r="H28" i="12"/>
  <c r="AD28" i="12" s="1"/>
  <c r="K28" i="12"/>
  <c r="AG28" i="12" s="1"/>
  <c r="I28" i="12"/>
  <c r="AE28" i="12" s="1"/>
  <c r="F28" i="12"/>
  <c r="K31" i="12"/>
  <c r="AG31" i="12" s="1"/>
  <c r="I31" i="12"/>
  <c r="AE31" i="12" s="1"/>
  <c r="F31" i="12"/>
  <c r="L31" i="12"/>
  <c r="AH31" i="12" s="1"/>
  <c r="J31" i="12"/>
  <c r="AF31" i="12" s="1"/>
  <c r="H31" i="12"/>
  <c r="AD31" i="12" s="1"/>
  <c r="L32" i="12"/>
  <c r="AH32" i="12" s="1"/>
  <c r="J32" i="12"/>
  <c r="AF32" i="12" s="1"/>
  <c r="H32" i="12"/>
  <c r="AD32" i="12" s="1"/>
  <c r="K32" i="12"/>
  <c r="AG32" i="12" s="1"/>
  <c r="I32" i="12"/>
  <c r="AE32" i="12" s="1"/>
  <c r="F32" i="12"/>
  <c r="R15" i="12"/>
  <c r="P15" i="12"/>
  <c r="Q15" i="12"/>
  <c r="R19" i="12"/>
  <c r="AM19" i="12" s="1"/>
  <c r="P19" i="12"/>
  <c r="AK19" i="12" s="1"/>
  <c r="Q19" i="12"/>
  <c r="AL19" i="12" s="1"/>
  <c r="Q16" i="12"/>
  <c r="R16" i="12"/>
  <c r="P16" i="12"/>
  <c r="Q20" i="12"/>
  <c r="AL20" i="12" s="1"/>
  <c r="R20" i="12"/>
  <c r="AM20" i="12" s="1"/>
  <c r="P20" i="12"/>
  <c r="AK20" i="12" s="1"/>
  <c r="R24" i="12"/>
  <c r="AM24" i="12" s="1"/>
  <c r="P24" i="12"/>
  <c r="AK24" i="12" s="1"/>
  <c r="Q24" i="12"/>
  <c r="AL24" i="12" s="1"/>
  <c r="Q23" i="12"/>
  <c r="AL23" i="12" s="1"/>
  <c r="R23" i="12"/>
  <c r="AM23" i="12" s="1"/>
  <c r="P23" i="12"/>
  <c r="AK23" i="12" s="1"/>
  <c r="Q27" i="12"/>
  <c r="AL27" i="12" s="1"/>
  <c r="R27" i="12"/>
  <c r="AM27" i="12" s="1"/>
  <c r="P27" i="12"/>
  <c r="AK27" i="12" s="1"/>
  <c r="R30" i="12"/>
  <c r="AM30" i="12" s="1"/>
  <c r="P30" i="12"/>
  <c r="AK30" i="12" s="1"/>
  <c r="Q30" i="12"/>
  <c r="AL30" i="12" s="1"/>
  <c r="R32" i="12"/>
  <c r="AM32" i="12" s="1"/>
  <c r="P32" i="12"/>
  <c r="AK32" i="12" s="1"/>
  <c r="Q32" i="12"/>
  <c r="AL32" i="12" s="1"/>
  <c r="Q33" i="12"/>
  <c r="AL33" i="12" s="1"/>
  <c r="R33" i="12"/>
  <c r="AM33" i="12" s="1"/>
  <c r="P33" i="12"/>
  <c r="AK33" i="12" s="1"/>
  <c r="L15" i="12"/>
  <c r="J15" i="12"/>
  <c r="H15" i="12"/>
  <c r="K15" i="12"/>
  <c r="I15" i="12"/>
  <c r="F15" i="12"/>
  <c r="Q14" i="12"/>
  <c r="R14" i="12"/>
  <c r="P14" i="12"/>
  <c r="L13" i="12"/>
  <c r="J13" i="12"/>
  <c r="H13" i="12"/>
  <c r="K13" i="12"/>
  <c r="I13" i="12"/>
  <c r="F13" i="12"/>
  <c r="X16" i="12"/>
  <c r="W16" i="12"/>
  <c r="X20" i="12"/>
  <c r="W20" i="12"/>
  <c r="W19" i="12"/>
  <c r="X19" i="12"/>
  <c r="X23" i="12"/>
  <c r="W23" i="12"/>
  <c r="X27" i="12"/>
  <c r="W27" i="12"/>
  <c r="W24" i="12"/>
  <c r="X24" i="12"/>
  <c r="X29" i="12"/>
  <c r="W29" i="12"/>
  <c r="W30" i="12"/>
  <c r="X30" i="12"/>
  <c r="X33" i="12"/>
  <c r="W33" i="12"/>
  <c r="K16" i="12"/>
  <c r="I16" i="12"/>
  <c r="F16" i="12"/>
  <c r="L16" i="12"/>
  <c r="J16" i="12"/>
  <c r="H16" i="12"/>
  <c r="K20" i="12"/>
  <c r="AG20" i="12" s="1"/>
  <c r="I20" i="12"/>
  <c r="AE20" i="12" s="1"/>
  <c r="F20" i="12"/>
  <c r="L20" i="12"/>
  <c r="AH20" i="12" s="1"/>
  <c r="J20" i="12"/>
  <c r="AF20" i="12" s="1"/>
  <c r="H20" i="12"/>
  <c r="AD20" i="12" s="1"/>
  <c r="L19" i="12"/>
  <c r="AH19" i="12" s="1"/>
  <c r="J19" i="12"/>
  <c r="AF19" i="12" s="1"/>
  <c r="H19" i="12"/>
  <c r="AD19" i="12" s="1"/>
  <c r="K19" i="12"/>
  <c r="AG19" i="12" s="1"/>
  <c r="I19" i="12"/>
  <c r="AE19" i="12" s="1"/>
  <c r="F19" i="12"/>
  <c r="K23" i="12"/>
  <c r="AG23" i="12" s="1"/>
  <c r="I23" i="12"/>
  <c r="AE23" i="12" s="1"/>
  <c r="F23" i="12"/>
  <c r="L23" i="12"/>
  <c r="AH23" i="12" s="1"/>
  <c r="J23" i="12"/>
  <c r="AF23" i="12" s="1"/>
  <c r="H23" i="12"/>
  <c r="AD23" i="12" s="1"/>
  <c r="K27" i="12"/>
  <c r="AG27" i="12" s="1"/>
  <c r="I27" i="12"/>
  <c r="AE27" i="12" s="1"/>
  <c r="F27" i="12"/>
  <c r="L27" i="12"/>
  <c r="AH27" i="12" s="1"/>
  <c r="J27" i="12"/>
  <c r="AF27" i="12" s="1"/>
  <c r="H27" i="12"/>
  <c r="AD27" i="12" s="1"/>
  <c r="L24" i="12"/>
  <c r="AH24" i="12" s="1"/>
  <c r="J24" i="12"/>
  <c r="AF24" i="12" s="1"/>
  <c r="H24" i="12"/>
  <c r="AD24" i="12" s="1"/>
  <c r="K24" i="12"/>
  <c r="AG24" i="12" s="1"/>
  <c r="I24" i="12"/>
  <c r="AE24" i="12" s="1"/>
  <c r="F24" i="12"/>
  <c r="K29" i="12"/>
  <c r="AG29" i="12" s="1"/>
  <c r="I29" i="12"/>
  <c r="AE29" i="12" s="1"/>
  <c r="F29" i="12"/>
  <c r="L29" i="12"/>
  <c r="AH29" i="12" s="1"/>
  <c r="J29" i="12"/>
  <c r="AF29" i="12" s="1"/>
  <c r="H29" i="12"/>
  <c r="AD29" i="12" s="1"/>
  <c r="L30" i="12"/>
  <c r="AH30" i="12" s="1"/>
  <c r="J30" i="12"/>
  <c r="AF30" i="12" s="1"/>
  <c r="H30" i="12"/>
  <c r="AD30" i="12" s="1"/>
  <c r="K30" i="12"/>
  <c r="AG30" i="12" s="1"/>
  <c r="I30" i="12"/>
  <c r="AE30" i="12" s="1"/>
  <c r="F30" i="12"/>
  <c r="K33" i="12"/>
  <c r="AG33" i="12" s="1"/>
  <c r="I33" i="12"/>
  <c r="AE33" i="12" s="1"/>
  <c r="F33" i="12"/>
  <c r="L33" i="12"/>
  <c r="AH33" i="12" s="1"/>
  <c r="J33" i="12"/>
  <c r="AF33" i="12" s="1"/>
  <c r="H33" i="12"/>
  <c r="AD33" i="12" s="1"/>
  <c r="AB16" i="12"/>
  <c r="AL15" i="12"/>
  <c r="AM15" i="12"/>
  <c r="R13" i="12"/>
  <c r="P13" i="12"/>
  <c r="Q13" i="12"/>
  <c r="R17" i="12"/>
  <c r="P17" i="12"/>
  <c r="Q17" i="12"/>
  <c r="R21" i="12"/>
  <c r="AM21" i="12" s="1"/>
  <c r="P21" i="12"/>
  <c r="AK21" i="12" s="1"/>
  <c r="Q21" i="12"/>
  <c r="AL21" i="12" s="1"/>
  <c r="Q18" i="12"/>
  <c r="R18" i="12"/>
  <c r="P18" i="12"/>
  <c r="AK18" i="12" s="1"/>
  <c r="R22" i="12"/>
  <c r="AM22" i="12" s="1"/>
  <c r="P22" i="12"/>
  <c r="AK22" i="12" s="1"/>
  <c r="Q22" i="12"/>
  <c r="AL22" i="12" s="1"/>
  <c r="R26" i="12"/>
  <c r="AM26" i="12" s="1"/>
  <c r="P26" i="12"/>
  <c r="AK26" i="12" s="1"/>
  <c r="Q26" i="12"/>
  <c r="AL26" i="12" s="1"/>
  <c r="Q25" i="12"/>
  <c r="AL25" i="12" s="1"/>
  <c r="R25" i="12"/>
  <c r="AM25" i="12" s="1"/>
  <c r="P25" i="12"/>
  <c r="AK25" i="12" s="1"/>
  <c r="R28" i="12"/>
  <c r="AM28" i="12" s="1"/>
  <c r="P28" i="12"/>
  <c r="AK28" i="12" s="1"/>
  <c r="Q28" i="12"/>
  <c r="AL28" i="12" s="1"/>
  <c r="Q29" i="12"/>
  <c r="AL29" i="12" s="1"/>
  <c r="R29" i="12"/>
  <c r="AM29" i="12" s="1"/>
  <c r="P29" i="12"/>
  <c r="AK29" i="12" s="1"/>
  <c r="Q31" i="12"/>
  <c r="AL31" i="12" s="1"/>
  <c r="R31" i="12"/>
  <c r="AM31" i="12" s="1"/>
  <c r="P31" i="12"/>
  <c r="AK31" i="12" s="1"/>
  <c r="F14" i="12"/>
  <c r="Y14" i="11"/>
  <c r="M14" i="11"/>
  <c r="AD13" i="8"/>
  <c r="AD13" i="11"/>
  <c r="L15" i="11"/>
  <c r="J15" i="11"/>
  <c r="H15" i="11"/>
  <c r="K15" i="11"/>
  <c r="I15" i="11"/>
  <c r="F15" i="11"/>
  <c r="Q14" i="11"/>
  <c r="R14" i="11"/>
  <c r="P14" i="11"/>
  <c r="L13" i="11"/>
  <c r="J13" i="11"/>
  <c r="H13" i="11"/>
  <c r="I13" i="11"/>
  <c r="K13" i="11"/>
  <c r="F13" i="11"/>
  <c r="X16" i="11"/>
  <c r="W16" i="11"/>
  <c r="X20" i="11"/>
  <c r="W20" i="11"/>
  <c r="W19" i="11"/>
  <c r="X19" i="11"/>
  <c r="X24" i="11"/>
  <c r="W24" i="11"/>
  <c r="W21" i="11"/>
  <c r="X21" i="11"/>
  <c r="W25" i="11"/>
  <c r="X25" i="11"/>
  <c r="X28" i="11"/>
  <c r="W28" i="11"/>
  <c r="W29" i="11"/>
  <c r="X29" i="11"/>
  <c r="X33" i="11"/>
  <c r="W33" i="11"/>
  <c r="K16" i="11"/>
  <c r="I16" i="11"/>
  <c r="F16" i="11"/>
  <c r="L16" i="11"/>
  <c r="J16" i="11"/>
  <c r="H16" i="11"/>
  <c r="K20" i="11"/>
  <c r="AG20" i="11" s="1"/>
  <c r="I20" i="11"/>
  <c r="AE20" i="11" s="1"/>
  <c r="F20" i="11"/>
  <c r="L20" i="11"/>
  <c r="AH20" i="11" s="1"/>
  <c r="J20" i="11"/>
  <c r="AF20" i="11" s="1"/>
  <c r="H20" i="11"/>
  <c r="AD20" i="11" s="1"/>
  <c r="L17" i="11"/>
  <c r="J17" i="11"/>
  <c r="H17" i="11"/>
  <c r="K17" i="11"/>
  <c r="I17" i="11"/>
  <c r="F17" i="11"/>
  <c r="K24" i="11"/>
  <c r="AG24" i="11" s="1"/>
  <c r="I24" i="11"/>
  <c r="AE24" i="11" s="1"/>
  <c r="F24" i="11"/>
  <c r="L24" i="11"/>
  <c r="AH24" i="11" s="1"/>
  <c r="J24" i="11"/>
  <c r="AF24" i="11" s="1"/>
  <c r="H24" i="11"/>
  <c r="AD24" i="11" s="1"/>
  <c r="L21" i="11"/>
  <c r="AH21" i="11" s="1"/>
  <c r="J21" i="11"/>
  <c r="AF21" i="11" s="1"/>
  <c r="H21" i="11"/>
  <c r="AD21" i="11" s="1"/>
  <c r="I21" i="11"/>
  <c r="AE21" i="11" s="1"/>
  <c r="K21" i="11"/>
  <c r="AG21" i="11" s="1"/>
  <c r="F21" i="11"/>
  <c r="L25" i="11"/>
  <c r="AH25" i="11" s="1"/>
  <c r="J25" i="11"/>
  <c r="AF25" i="11" s="1"/>
  <c r="H25" i="11"/>
  <c r="AD25" i="11" s="1"/>
  <c r="K25" i="11"/>
  <c r="AG25" i="11" s="1"/>
  <c r="I25" i="11"/>
  <c r="AE25" i="11" s="1"/>
  <c r="F25" i="11"/>
  <c r="K28" i="11"/>
  <c r="AG28" i="11" s="1"/>
  <c r="I28" i="11"/>
  <c r="AE28" i="11" s="1"/>
  <c r="F28" i="11"/>
  <c r="L28" i="11"/>
  <c r="AH28" i="11" s="1"/>
  <c r="J28" i="11"/>
  <c r="AF28" i="11" s="1"/>
  <c r="H28" i="11"/>
  <c r="AD28" i="11" s="1"/>
  <c r="L29" i="11"/>
  <c r="AH29" i="11" s="1"/>
  <c r="J29" i="11"/>
  <c r="AF29" i="11" s="1"/>
  <c r="H29" i="11"/>
  <c r="AD29" i="11" s="1"/>
  <c r="K29" i="11"/>
  <c r="AG29" i="11" s="1"/>
  <c r="I29" i="11"/>
  <c r="AE29" i="11" s="1"/>
  <c r="F29" i="11"/>
  <c r="K33" i="11"/>
  <c r="AG33" i="11" s="1"/>
  <c r="I33" i="11"/>
  <c r="AE33" i="11" s="1"/>
  <c r="F33" i="11"/>
  <c r="L33" i="11"/>
  <c r="AH33" i="11" s="1"/>
  <c r="J33" i="11"/>
  <c r="AF33" i="11" s="1"/>
  <c r="H33" i="11"/>
  <c r="AD33" i="11" s="1"/>
  <c r="R13" i="11"/>
  <c r="P13" i="11"/>
  <c r="Q13" i="11"/>
  <c r="R19" i="11"/>
  <c r="AM19" i="11" s="1"/>
  <c r="P19" i="11"/>
  <c r="AK19" i="11" s="1"/>
  <c r="Q19" i="11"/>
  <c r="AL19" i="11" s="1"/>
  <c r="Q16" i="11"/>
  <c r="R16" i="11"/>
  <c r="P16" i="11"/>
  <c r="Q20" i="11"/>
  <c r="AL20" i="11" s="1"/>
  <c r="R20" i="11"/>
  <c r="AM20" i="11" s="1"/>
  <c r="P20" i="11"/>
  <c r="AK20" i="11" s="1"/>
  <c r="R25" i="11"/>
  <c r="AM25" i="11" s="1"/>
  <c r="P25" i="11"/>
  <c r="AK25" i="11" s="1"/>
  <c r="Q25" i="11"/>
  <c r="AL25" i="11" s="1"/>
  <c r="Q22" i="11"/>
  <c r="AL22" i="11" s="1"/>
  <c r="P22" i="11"/>
  <c r="AK22" i="11" s="1"/>
  <c r="R22" i="11"/>
  <c r="AM22" i="11" s="1"/>
  <c r="Q26" i="11"/>
  <c r="AL26" i="11" s="1"/>
  <c r="R26" i="11"/>
  <c r="AM26" i="11" s="1"/>
  <c r="P26" i="11"/>
  <c r="AK26" i="11" s="1"/>
  <c r="Q28" i="11"/>
  <c r="AL28" i="11" s="1"/>
  <c r="R28" i="11"/>
  <c r="AM28" i="11" s="1"/>
  <c r="P28" i="11"/>
  <c r="AK28" i="11" s="1"/>
  <c r="R32" i="11"/>
  <c r="AM32" i="11" s="1"/>
  <c r="P32" i="11"/>
  <c r="AK32" i="11" s="1"/>
  <c r="Q32" i="11"/>
  <c r="AL32" i="11" s="1"/>
  <c r="Q33" i="11"/>
  <c r="AL33" i="11" s="1"/>
  <c r="R33" i="11"/>
  <c r="AM33" i="11" s="1"/>
  <c r="P33" i="11"/>
  <c r="AK33" i="11" s="1"/>
  <c r="W15" i="11"/>
  <c r="X15" i="11"/>
  <c r="W13" i="11"/>
  <c r="X13" i="11"/>
  <c r="X18" i="11"/>
  <c r="W18" i="11"/>
  <c r="W17" i="11"/>
  <c r="X17" i="11"/>
  <c r="X22" i="11"/>
  <c r="W22" i="11"/>
  <c r="X26" i="11"/>
  <c r="W26" i="11"/>
  <c r="W23" i="11"/>
  <c r="X23" i="11"/>
  <c r="W27" i="11"/>
  <c r="X27" i="11"/>
  <c r="X30" i="11"/>
  <c r="W30" i="11"/>
  <c r="X31" i="11"/>
  <c r="W31" i="11"/>
  <c r="W32" i="11"/>
  <c r="X32" i="11"/>
  <c r="K18" i="11"/>
  <c r="I18" i="11"/>
  <c r="AE18" i="11" s="1"/>
  <c r="F18" i="11"/>
  <c r="L18" i="11"/>
  <c r="AH18" i="11" s="1"/>
  <c r="J18" i="11"/>
  <c r="AF18" i="11" s="1"/>
  <c r="H18" i="11"/>
  <c r="AD18" i="11" s="1"/>
  <c r="K22" i="11"/>
  <c r="AG22" i="11" s="1"/>
  <c r="I22" i="11"/>
  <c r="AE22" i="11" s="1"/>
  <c r="F22" i="11"/>
  <c r="J22" i="11"/>
  <c r="AF22" i="11" s="1"/>
  <c r="L22" i="11"/>
  <c r="AH22" i="11" s="1"/>
  <c r="H22" i="11"/>
  <c r="AD22" i="11" s="1"/>
  <c r="L19" i="11"/>
  <c r="AH19" i="11" s="1"/>
  <c r="J19" i="11"/>
  <c r="AF19" i="11" s="1"/>
  <c r="H19" i="11"/>
  <c r="AD19" i="11" s="1"/>
  <c r="K19" i="11"/>
  <c r="AG19" i="11" s="1"/>
  <c r="I19" i="11"/>
  <c r="AE19" i="11" s="1"/>
  <c r="F19" i="11"/>
  <c r="K26" i="11"/>
  <c r="AG26" i="11" s="1"/>
  <c r="I26" i="11"/>
  <c r="AE26" i="11" s="1"/>
  <c r="F26" i="11"/>
  <c r="L26" i="11"/>
  <c r="AH26" i="11" s="1"/>
  <c r="J26" i="11"/>
  <c r="AF26" i="11" s="1"/>
  <c r="H26" i="11"/>
  <c r="AD26" i="11" s="1"/>
  <c r="L23" i="11"/>
  <c r="AH23" i="11" s="1"/>
  <c r="J23" i="11"/>
  <c r="AF23" i="11" s="1"/>
  <c r="H23" i="11"/>
  <c r="AD23" i="11" s="1"/>
  <c r="K23" i="11"/>
  <c r="AG23" i="11" s="1"/>
  <c r="F23" i="11"/>
  <c r="I23" i="11"/>
  <c r="AE23" i="11" s="1"/>
  <c r="L27" i="11"/>
  <c r="AH27" i="11" s="1"/>
  <c r="J27" i="11"/>
  <c r="AF27" i="11" s="1"/>
  <c r="H27" i="11"/>
  <c r="AD27" i="11" s="1"/>
  <c r="K27" i="11"/>
  <c r="AG27" i="11" s="1"/>
  <c r="I27" i="11"/>
  <c r="AE27" i="11" s="1"/>
  <c r="F27" i="11"/>
  <c r="K30" i="11"/>
  <c r="AG30" i="11" s="1"/>
  <c r="I30" i="11"/>
  <c r="AE30" i="11" s="1"/>
  <c r="F30" i="11"/>
  <c r="L30" i="11"/>
  <c r="AH30" i="11" s="1"/>
  <c r="J30" i="11"/>
  <c r="AF30" i="11" s="1"/>
  <c r="H30" i="11"/>
  <c r="AD30" i="11" s="1"/>
  <c r="K31" i="11"/>
  <c r="AG31" i="11" s="1"/>
  <c r="I31" i="11"/>
  <c r="AE31" i="11" s="1"/>
  <c r="F31" i="11"/>
  <c r="L31" i="11"/>
  <c r="AH31" i="11" s="1"/>
  <c r="J31" i="11"/>
  <c r="AF31" i="11" s="1"/>
  <c r="H31" i="11"/>
  <c r="AD31" i="11" s="1"/>
  <c r="L32" i="11"/>
  <c r="AH32" i="11" s="1"/>
  <c r="J32" i="11"/>
  <c r="AF32" i="11" s="1"/>
  <c r="H32" i="11"/>
  <c r="AD32" i="11" s="1"/>
  <c r="K32" i="11"/>
  <c r="AG32" i="11" s="1"/>
  <c r="I32" i="11"/>
  <c r="AE32" i="11" s="1"/>
  <c r="F32" i="11"/>
  <c r="R17" i="11"/>
  <c r="P17" i="11"/>
  <c r="S17" i="11" s="1"/>
  <c r="Q17" i="11"/>
  <c r="R23" i="11"/>
  <c r="AM23" i="11" s="1"/>
  <c r="P23" i="11"/>
  <c r="AK23" i="11" s="1"/>
  <c r="Q23" i="11"/>
  <c r="AL23" i="11" s="1"/>
  <c r="Q18" i="11"/>
  <c r="R18" i="11"/>
  <c r="P18" i="11"/>
  <c r="AK18" i="11" s="1"/>
  <c r="R21" i="11"/>
  <c r="AM21" i="11" s="1"/>
  <c r="P21" i="11"/>
  <c r="AK21" i="11" s="1"/>
  <c r="Q21" i="11"/>
  <c r="AL21" i="11" s="1"/>
  <c r="R27" i="11"/>
  <c r="AM27" i="11" s="1"/>
  <c r="P27" i="11"/>
  <c r="AK27" i="11" s="1"/>
  <c r="Q27" i="11"/>
  <c r="AL27" i="11" s="1"/>
  <c r="Q24" i="11"/>
  <c r="AL24" i="11" s="1"/>
  <c r="R24" i="11"/>
  <c r="AM24" i="11" s="1"/>
  <c r="P24" i="11"/>
  <c r="AK24" i="11" s="1"/>
  <c r="R29" i="11"/>
  <c r="AM29" i="11" s="1"/>
  <c r="P29" i="11"/>
  <c r="AK29" i="11" s="1"/>
  <c r="Q29" i="11"/>
  <c r="AL29" i="11" s="1"/>
  <c r="Q30" i="11"/>
  <c r="AL30" i="11" s="1"/>
  <c r="R30" i="11"/>
  <c r="AM30" i="11" s="1"/>
  <c r="P30" i="11"/>
  <c r="AK30" i="11" s="1"/>
  <c r="Q31" i="11"/>
  <c r="AL31" i="11" s="1"/>
  <c r="R31" i="11"/>
  <c r="AM31" i="11" s="1"/>
  <c r="P31" i="11"/>
  <c r="AK31" i="11" s="1"/>
  <c r="AB16" i="11"/>
  <c r="AL15" i="11"/>
  <c r="AM15" i="11"/>
  <c r="F14" i="11"/>
  <c r="AB15" i="8"/>
  <c r="AL14" i="8"/>
  <c r="AM14" i="8"/>
  <c r="M40" i="2"/>
  <c r="M25" i="2"/>
  <c r="C36" i="7"/>
  <c r="AL4" i="15" s="1"/>
  <c r="C37" i="7"/>
  <c r="AM4" i="15" s="1"/>
  <c r="G4" i="7"/>
  <c r="G5" i="7"/>
  <c r="G6" i="7"/>
  <c r="G7" i="7"/>
  <c r="G8" i="7"/>
  <c r="G3" i="7"/>
  <c r="F3" i="7"/>
  <c r="U6" i="2"/>
  <c r="U7" i="2"/>
  <c r="U8" i="2"/>
  <c r="U9" i="2"/>
  <c r="U10" i="2"/>
  <c r="U11" i="2"/>
  <c r="U12" i="2"/>
  <c r="U13" i="2"/>
  <c r="U14" i="2"/>
  <c r="U15" i="2"/>
  <c r="U16" i="2"/>
  <c r="U17" i="2"/>
  <c r="U18" i="2"/>
  <c r="U19" i="2"/>
  <c r="U20" i="2"/>
  <c r="U5" i="2"/>
  <c r="G31" i="7"/>
  <c r="G30" i="7"/>
  <c r="AA44" i="2"/>
  <c r="AA39" i="2"/>
  <c r="AA29" i="2"/>
  <c r="T5" i="2" s="1"/>
  <c r="AC5" i="2"/>
  <c r="Q5" i="2"/>
  <c r="L4" i="7"/>
  <c r="D71" i="7" s="1"/>
  <c r="L5" i="7"/>
  <c r="D72" i="7" s="1"/>
  <c r="L6" i="7"/>
  <c r="D73" i="7" s="1"/>
  <c r="L7" i="7"/>
  <c r="D74" i="7" s="1"/>
  <c r="L8" i="7"/>
  <c r="D75" i="7" s="1"/>
  <c r="L3" i="7"/>
  <c r="D70" i="7" s="1"/>
  <c r="D3" i="7"/>
  <c r="D4" i="7"/>
  <c r="C44" i="7" s="1"/>
  <c r="AE14" i="15" s="1"/>
  <c r="D5" i="7"/>
  <c r="C45" i="7" s="1"/>
  <c r="AE15" i="15" s="1"/>
  <c r="D6" i="7"/>
  <c r="C46" i="7" s="1"/>
  <c r="AE16" i="15" s="1"/>
  <c r="D7" i="7"/>
  <c r="C47" i="7" s="1"/>
  <c r="AE17" i="15" s="1"/>
  <c r="D8" i="7"/>
  <c r="C48" i="7" s="1"/>
  <c r="C4" i="7"/>
  <c r="B44" i="7" s="1"/>
  <c r="AD14" i="15" s="1"/>
  <c r="C5" i="7"/>
  <c r="B45" i="7" s="1"/>
  <c r="AD15" i="15" s="1"/>
  <c r="C6" i="7"/>
  <c r="B46" i="7" s="1"/>
  <c r="AD16" i="15" s="1"/>
  <c r="B47" i="7"/>
  <c r="AD17" i="15" s="1"/>
  <c r="C8" i="7"/>
  <c r="B48" i="7" s="1"/>
  <c r="S6" i="3"/>
  <c r="N49" i="15" l="1"/>
  <c r="N29" i="15"/>
  <c r="N39" i="15"/>
  <c r="AR19" i="15"/>
  <c r="L20" i="15"/>
  <c r="AH20" i="15" s="1"/>
  <c r="AF20" i="15"/>
  <c r="H20" i="15"/>
  <c r="AD20" i="15" s="1"/>
  <c r="K20" i="15"/>
  <c r="AG20" i="15" s="1"/>
  <c r="I20" i="15"/>
  <c r="AE20" i="15" s="1"/>
  <c r="F20" i="15"/>
  <c r="M19" i="15"/>
  <c r="A23" i="15"/>
  <c r="B22" i="15"/>
  <c r="AO19" i="15"/>
  <c r="AM20" i="15"/>
  <c r="AK20" i="15"/>
  <c r="Q20" i="15"/>
  <c r="AL20" i="15" s="1"/>
  <c r="W20" i="15"/>
  <c r="X20" i="15"/>
  <c r="AR20" i="15" s="1"/>
  <c r="AJ19" i="15"/>
  <c r="BB23" i="15"/>
  <c r="BL22" i="15"/>
  <c r="E21" i="15"/>
  <c r="C21" i="15"/>
  <c r="D21" i="15"/>
  <c r="O21" i="15" s="1"/>
  <c r="R21" i="15" s="1"/>
  <c r="AQ19" i="15"/>
  <c r="Y19" i="15"/>
  <c r="S19" i="15"/>
  <c r="AD17" i="13"/>
  <c r="AD16" i="13"/>
  <c r="AE17" i="13"/>
  <c r="AE16" i="13"/>
  <c r="E37" i="13"/>
  <c r="D37" i="13"/>
  <c r="C37" i="13"/>
  <c r="E37" i="11"/>
  <c r="D37" i="11"/>
  <c r="C37" i="11"/>
  <c r="AN38" i="13"/>
  <c r="AI38" i="13"/>
  <c r="AN38" i="12"/>
  <c r="AI38" i="12"/>
  <c r="AN38" i="11"/>
  <c r="AI38" i="11"/>
  <c r="BM34" i="13"/>
  <c r="BL34" i="13"/>
  <c r="BK34" i="13"/>
  <c r="AK35" i="12"/>
  <c r="AO35" i="12" s="1"/>
  <c r="AZ35" i="12" s="1"/>
  <c r="S35" i="12"/>
  <c r="AJ35" i="11"/>
  <c r="AY35" i="11" s="1"/>
  <c r="BL34" i="11"/>
  <c r="BK34" i="11"/>
  <c r="BJ34" i="11"/>
  <c r="M35" i="13"/>
  <c r="AG35" i="13"/>
  <c r="R36" i="12"/>
  <c r="AM36" i="12" s="1"/>
  <c r="Q36" i="12"/>
  <c r="AL36" i="12" s="1"/>
  <c r="P36" i="12"/>
  <c r="AD35" i="12"/>
  <c r="AJ35" i="12" s="1"/>
  <c r="AY35" i="12" s="1"/>
  <c r="M35" i="12"/>
  <c r="S35" i="11"/>
  <c r="AK35" i="13"/>
  <c r="AO35" i="13" s="1"/>
  <c r="AZ35" i="13" s="1"/>
  <c r="S35" i="13"/>
  <c r="BP34" i="13"/>
  <c r="BO34" i="13"/>
  <c r="BN34" i="13"/>
  <c r="BI34" i="12"/>
  <c r="BH34" i="12"/>
  <c r="BG34" i="12"/>
  <c r="J36" i="13"/>
  <c r="AF36" i="13" s="1"/>
  <c r="I36" i="13"/>
  <c r="AE36" i="13" s="1"/>
  <c r="H36" i="13"/>
  <c r="L36" i="13"/>
  <c r="AH36" i="13" s="1"/>
  <c r="K36" i="13"/>
  <c r="AG36" i="13" s="1"/>
  <c r="N36" i="13"/>
  <c r="F36" i="13"/>
  <c r="X36" i="13"/>
  <c r="W36" i="13"/>
  <c r="R36" i="11"/>
  <c r="AM36" i="11" s="1"/>
  <c r="Q36" i="11"/>
  <c r="AL36" i="11" s="1"/>
  <c r="P36" i="11"/>
  <c r="AK36" i="11" s="1"/>
  <c r="E37" i="12"/>
  <c r="D37" i="12"/>
  <c r="C37" i="12"/>
  <c r="Y35" i="11"/>
  <c r="M35" i="11"/>
  <c r="Y35" i="13"/>
  <c r="AJ35" i="13"/>
  <c r="AY35" i="13" s="1"/>
  <c r="L36" i="12"/>
  <c r="AH36" i="12" s="1"/>
  <c r="K36" i="12"/>
  <c r="AG36" i="12" s="1"/>
  <c r="J36" i="12"/>
  <c r="AF36" i="12" s="1"/>
  <c r="I36" i="12"/>
  <c r="AE36" i="12" s="1"/>
  <c r="H36" i="12"/>
  <c r="F36" i="12"/>
  <c r="X36" i="12"/>
  <c r="W36" i="12"/>
  <c r="Y35" i="12"/>
  <c r="BL35" i="11"/>
  <c r="BK35" i="11"/>
  <c r="BJ35" i="11"/>
  <c r="BL34" i="12"/>
  <c r="BK34" i="12"/>
  <c r="BJ34" i="12"/>
  <c r="R36" i="13"/>
  <c r="AM36" i="13" s="1"/>
  <c r="Q36" i="13"/>
  <c r="AL36" i="13" s="1"/>
  <c r="P36" i="13"/>
  <c r="L36" i="11"/>
  <c r="AH36" i="11" s="1"/>
  <c r="K36" i="11"/>
  <c r="AG36" i="11" s="1"/>
  <c r="J36" i="11"/>
  <c r="AF36" i="11" s="1"/>
  <c r="I36" i="11"/>
  <c r="AE36" i="11" s="1"/>
  <c r="H36" i="11"/>
  <c r="AD36" i="11" s="1"/>
  <c r="AJ36" i="11" s="1"/>
  <c r="AY36" i="11" s="1"/>
  <c r="F36" i="11"/>
  <c r="X36" i="11"/>
  <c r="W36" i="11"/>
  <c r="BD36" i="13"/>
  <c r="BE35" i="13"/>
  <c r="BF35" i="13" s="1"/>
  <c r="CC41" i="13"/>
  <c r="CE38" i="13"/>
  <c r="CG37" i="13"/>
  <c r="CG32" i="13"/>
  <c r="J32" i="13"/>
  <c r="M32" i="13" s="1"/>
  <c r="S29" i="11"/>
  <c r="S21" i="11"/>
  <c r="S18" i="11"/>
  <c r="M23" i="11"/>
  <c r="S13" i="11"/>
  <c r="S13" i="12"/>
  <c r="M13" i="12"/>
  <c r="Y35" i="8"/>
  <c r="B31" i="9"/>
  <c r="C31" i="9" s="1"/>
  <c r="E31" i="9" s="1"/>
  <c r="O32" i="3"/>
  <c r="P32" i="3" s="1"/>
  <c r="N32" i="3" s="1"/>
  <c r="Q32" i="3" s="1"/>
  <c r="AK35" i="8"/>
  <c r="AO35" i="8" s="1"/>
  <c r="S35" i="8"/>
  <c r="BH34" i="8"/>
  <c r="BG34" i="8"/>
  <c r="BF34" i="8"/>
  <c r="R36" i="8"/>
  <c r="AM36" i="8" s="1"/>
  <c r="Q36" i="8"/>
  <c r="AL36" i="8" s="1"/>
  <c r="P36" i="8"/>
  <c r="E37" i="8"/>
  <c r="D37" i="8"/>
  <c r="C37" i="8"/>
  <c r="B38" i="13"/>
  <c r="B38" i="12"/>
  <c r="B38" i="11"/>
  <c r="B38" i="8"/>
  <c r="AD35" i="8"/>
  <c r="AJ35" i="8" s="1"/>
  <c r="M35" i="8"/>
  <c r="BE34" i="8"/>
  <c r="BD34" i="8"/>
  <c r="BC34" i="8"/>
  <c r="C34" i="3"/>
  <c r="D33" i="3"/>
  <c r="B33" i="3" s="1"/>
  <c r="L36" i="8"/>
  <c r="AH36" i="8" s="1"/>
  <c r="K36" i="8"/>
  <c r="AG36" i="8" s="1"/>
  <c r="J36" i="8"/>
  <c r="AF36" i="8" s="1"/>
  <c r="I36" i="8"/>
  <c r="AE36" i="8" s="1"/>
  <c r="H36" i="8"/>
  <c r="F36" i="8"/>
  <c r="X36" i="8"/>
  <c r="W36" i="8"/>
  <c r="AN38" i="8"/>
  <c r="AI38" i="8"/>
  <c r="S15" i="12"/>
  <c r="S17" i="12"/>
  <c r="M16" i="12"/>
  <c r="S14" i="12"/>
  <c r="M15" i="12"/>
  <c r="S16" i="12"/>
  <c r="M17" i="12"/>
  <c r="Y17" i="12"/>
  <c r="Y15" i="12"/>
  <c r="Y13" i="12"/>
  <c r="S16" i="11"/>
  <c r="AD15" i="8"/>
  <c r="AD15" i="13"/>
  <c r="AE14" i="12"/>
  <c r="AE14" i="13"/>
  <c r="AM4" i="12"/>
  <c r="AR34" i="12" s="1"/>
  <c r="AM4" i="13"/>
  <c r="AR34" i="13" s="1"/>
  <c r="AD14" i="12"/>
  <c r="AD14" i="13"/>
  <c r="AE15" i="8"/>
  <c r="AE15" i="13"/>
  <c r="AL4" i="12"/>
  <c r="AQ34" i="12" s="1"/>
  <c r="AL4" i="13"/>
  <c r="AQ34" i="13" s="1"/>
  <c r="AB19" i="13"/>
  <c r="AB20" i="13" s="1"/>
  <c r="AB21" i="13" s="1"/>
  <c r="AB22" i="13" s="1"/>
  <c r="AB23" i="13" s="1"/>
  <c r="AB24" i="13" s="1"/>
  <c r="AB25" i="13" s="1"/>
  <c r="AB26" i="13" s="1"/>
  <c r="AB27" i="13" s="1"/>
  <c r="AB28" i="13" s="1"/>
  <c r="AB29" i="13" s="1"/>
  <c r="AB30" i="13" s="1"/>
  <c r="AB31" i="13" s="1"/>
  <c r="AB32" i="13" s="1"/>
  <c r="AB33" i="13" s="1"/>
  <c r="AL18" i="13"/>
  <c r="AM18" i="13"/>
  <c r="AD15" i="12"/>
  <c r="AR33" i="12"/>
  <c r="AR29" i="12"/>
  <c r="AR27" i="12"/>
  <c r="AR23" i="12"/>
  <c r="AR20" i="12"/>
  <c r="AR32" i="12"/>
  <c r="AR28" i="12"/>
  <c r="AR26" i="12"/>
  <c r="AR22" i="12"/>
  <c r="AR21" i="12"/>
  <c r="AE15" i="12"/>
  <c r="AR30" i="12"/>
  <c r="AR24" i="12"/>
  <c r="AR19" i="12"/>
  <c r="AR31" i="12"/>
  <c r="AR25" i="12"/>
  <c r="M33" i="12"/>
  <c r="M30" i="12"/>
  <c r="M29" i="12"/>
  <c r="M24" i="12"/>
  <c r="M27" i="12"/>
  <c r="AQ30" i="12"/>
  <c r="Y30" i="12"/>
  <c r="AQ24" i="12"/>
  <c r="Y24" i="12"/>
  <c r="AQ19" i="12"/>
  <c r="Y19" i="12"/>
  <c r="M26" i="12"/>
  <c r="M18" i="12"/>
  <c r="AQ32" i="12"/>
  <c r="Y32" i="12"/>
  <c r="AQ28" i="12"/>
  <c r="Y28" i="12"/>
  <c r="AQ26" i="12"/>
  <c r="Y26" i="12"/>
  <c r="AQ22" i="12"/>
  <c r="Y22" i="12"/>
  <c r="AQ21" i="12"/>
  <c r="Y21" i="12"/>
  <c r="S31" i="12"/>
  <c r="S29" i="12"/>
  <c r="S28" i="12"/>
  <c r="S25" i="12"/>
  <c r="S26" i="12"/>
  <c r="S22" i="12"/>
  <c r="S18" i="12"/>
  <c r="S21" i="12"/>
  <c r="AM16" i="12"/>
  <c r="AE16" i="12"/>
  <c r="AB17" i="12"/>
  <c r="AL16" i="12"/>
  <c r="AD16" i="12"/>
  <c r="M23" i="12"/>
  <c r="M19" i="12"/>
  <c r="M20" i="12"/>
  <c r="AQ33" i="12"/>
  <c r="Y33" i="12"/>
  <c r="AQ29" i="12"/>
  <c r="Y29" i="12"/>
  <c r="AQ27" i="12"/>
  <c r="Y27" i="12"/>
  <c r="AQ23" i="12"/>
  <c r="Y23" i="12"/>
  <c r="AQ20" i="12"/>
  <c r="Y20" i="12"/>
  <c r="Y16" i="12"/>
  <c r="S33" i="12"/>
  <c r="S32" i="12"/>
  <c r="S30" i="12"/>
  <c r="S27" i="12"/>
  <c r="S23" i="12"/>
  <c r="S24" i="12"/>
  <c r="S20" i="12"/>
  <c r="S19" i="12"/>
  <c r="M32" i="12"/>
  <c r="M31" i="12"/>
  <c r="M28" i="12"/>
  <c r="M22" i="12"/>
  <c r="M25" i="12"/>
  <c r="M21" i="12"/>
  <c r="AQ31" i="12"/>
  <c r="Y31" i="12"/>
  <c r="AQ25" i="12"/>
  <c r="Y25" i="12"/>
  <c r="Y18" i="12"/>
  <c r="M16" i="11"/>
  <c r="Y16" i="11"/>
  <c r="Y18" i="11"/>
  <c r="M17" i="11"/>
  <c r="M13" i="11"/>
  <c r="S14" i="11"/>
  <c r="M15" i="11"/>
  <c r="AD14" i="8"/>
  <c r="AD14" i="11"/>
  <c r="AL4" i="11"/>
  <c r="AL4" i="8"/>
  <c r="AQ34" i="8" s="1"/>
  <c r="AD15" i="11"/>
  <c r="AE14" i="8"/>
  <c r="AE14" i="11"/>
  <c r="AM4" i="11"/>
  <c r="AR25" i="11" s="1"/>
  <c r="AM4" i="8"/>
  <c r="AR34" i="8" s="1"/>
  <c r="AE15" i="11"/>
  <c r="S27" i="11"/>
  <c r="S23" i="11"/>
  <c r="M30" i="11"/>
  <c r="M27" i="11"/>
  <c r="M18" i="11"/>
  <c r="Y32" i="11"/>
  <c r="Y27" i="11"/>
  <c r="Y23" i="11"/>
  <c r="Y17" i="11"/>
  <c r="Y13" i="11"/>
  <c r="Y15" i="11"/>
  <c r="S33" i="11"/>
  <c r="S32" i="11"/>
  <c r="S28" i="11"/>
  <c r="S26" i="11"/>
  <c r="S22" i="11"/>
  <c r="S25" i="11"/>
  <c r="S20" i="11"/>
  <c r="S19" i="11"/>
  <c r="M21" i="11"/>
  <c r="M24" i="11"/>
  <c r="M20" i="11"/>
  <c r="AQ33" i="11"/>
  <c r="Y33" i="11"/>
  <c r="AQ28" i="11"/>
  <c r="Y28" i="11"/>
  <c r="AQ24" i="11"/>
  <c r="Y24" i="11"/>
  <c r="AQ20" i="11"/>
  <c r="Y20" i="11"/>
  <c r="AM16" i="11"/>
  <c r="AE16" i="11"/>
  <c r="AB17" i="11"/>
  <c r="AL16" i="11"/>
  <c r="AD16" i="11"/>
  <c r="S31" i="11"/>
  <c r="S30" i="11"/>
  <c r="S24" i="11"/>
  <c r="M32" i="11"/>
  <c r="M31" i="11"/>
  <c r="M26" i="11"/>
  <c r="M19" i="11"/>
  <c r="M22" i="11"/>
  <c r="AQ31" i="11"/>
  <c r="Y31" i="11"/>
  <c r="AQ30" i="11"/>
  <c r="Y30" i="11"/>
  <c r="AQ26" i="11"/>
  <c r="Y26" i="11"/>
  <c r="AQ22" i="11"/>
  <c r="Y22" i="11"/>
  <c r="M33" i="11"/>
  <c r="M29" i="11"/>
  <c r="M28" i="11"/>
  <c r="M25" i="11"/>
  <c r="AQ29" i="11"/>
  <c r="Y29" i="11"/>
  <c r="AQ25" i="11"/>
  <c r="Y25" i="11"/>
  <c r="AQ21" i="11"/>
  <c r="Y21" i="11"/>
  <c r="AQ19" i="11"/>
  <c r="Y19" i="11"/>
  <c r="AB16" i="8"/>
  <c r="AL15" i="8"/>
  <c r="AM15" i="8"/>
  <c r="C60" i="7"/>
  <c r="AR16" i="15" s="1"/>
  <c r="F46" i="7"/>
  <c r="AH16" i="15" s="1"/>
  <c r="F44" i="7"/>
  <c r="AH14" i="15" s="1"/>
  <c r="E43" i="7"/>
  <c r="AG13" i="15" s="1"/>
  <c r="F48" i="7"/>
  <c r="F43" i="7"/>
  <c r="AH13" i="15" s="1"/>
  <c r="F47" i="7"/>
  <c r="AH17" i="15" s="1"/>
  <c r="F45" i="7"/>
  <c r="AH15" i="15" s="1"/>
  <c r="C6" i="9"/>
  <c r="C7" i="9"/>
  <c r="C8" i="9"/>
  <c r="C9" i="9"/>
  <c r="C10" i="9"/>
  <c r="C11" i="9"/>
  <c r="E11" i="9" s="1"/>
  <c r="C12" i="9"/>
  <c r="E12" i="9" s="1"/>
  <c r="C13" i="9"/>
  <c r="E13" i="9" s="1"/>
  <c r="C14" i="9"/>
  <c r="E14" i="9" s="1"/>
  <c r="C15" i="9"/>
  <c r="E15" i="9" s="1"/>
  <c r="C16" i="9"/>
  <c r="E16" i="9" s="1"/>
  <c r="C17" i="9"/>
  <c r="E17" i="9" s="1"/>
  <c r="C18" i="9"/>
  <c r="E18" i="9" s="1"/>
  <c r="C19" i="9"/>
  <c r="E19" i="9" s="1"/>
  <c r="C20" i="9"/>
  <c r="E20" i="9" s="1"/>
  <c r="C21" i="9"/>
  <c r="E21" i="9" s="1"/>
  <c r="C22" i="9"/>
  <c r="E22" i="9" s="1"/>
  <c r="C23" i="9"/>
  <c r="E23" i="9" s="1"/>
  <c r="C24" i="9"/>
  <c r="E24" i="9" s="1"/>
  <c r="C25" i="9"/>
  <c r="E25" i="9" s="1"/>
  <c r="C5" i="9"/>
  <c r="E5" i="9" s="1"/>
  <c r="J70" i="7" s="1"/>
  <c r="V37" i="2"/>
  <c r="G26" i="2"/>
  <c r="G27" i="2"/>
  <c r="G28" i="2"/>
  <c r="G29" i="2"/>
  <c r="G30" i="2"/>
  <c r="G31" i="2"/>
  <c r="G32" i="2"/>
  <c r="G33" i="2"/>
  <c r="G34" i="2"/>
  <c r="G35" i="2"/>
  <c r="G36" i="2"/>
  <c r="G37" i="2"/>
  <c r="G38" i="2"/>
  <c r="G39" i="2"/>
  <c r="G40" i="2"/>
  <c r="G25" i="2"/>
  <c r="O26" i="2"/>
  <c r="O27" i="2"/>
  <c r="O28" i="2"/>
  <c r="O29" i="2"/>
  <c r="O30" i="2"/>
  <c r="O31" i="2"/>
  <c r="O32" i="2"/>
  <c r="O33" i="2"/>
  <c r="O34" i="2"/>
  <c r="O35" i="2"/>
  <c r="O36" i="2"/>
  <c r="O37" i="2"/>
  <c r="O38" i="2"/>
  <c r="O39" i="2"/>
  <c r="O40" i="2"/>
  <c r="O25" i="2"/>
  <c r="N26" i="2"/>
  <c r="N27" i="2"/>
  <c r="N28" i="2"/>
  <c r="N29" i="2"/>
  <c r="N30" i="2"/>
  <c r="N31" i="2"/>
  <c r="N32" i="2"/>
  <c r="N33" i="2"/>
  <c r="N34" i="2"/>
  <c r="N35" i="2"/>
  <c r="Q3" i="7" s="1"/>
  <c r="C57" i="7" s="1"/>
  <c r="AR13" i="15" s="1"/>
  <c r="N36" i="2"/>
  <c r="Q4" i="7" s="1"/>
  <c r="C58" i="7" s="1"/>
  <c r="AR14" i="15" s="1"/>
  <c r="N37" i="2"/>
  <c r="Q5" i="7" s="1"/>
  <c r="C59" i="7" s="1"/>
  <c r="AR15" i="15" s="1"/>
  <c r="N38" i="2"/>
  <c r="Q6" i="7" s="1"/>
  <c r="N39" i="2"/>
  <c r="Q7" i="7" s="1"/>
  <c r="C61" i="7" s="1"/>
  <c r="AR17" i="15" s="1"/>
  <c r="N40" i="2"/>
  <c r="Q8" i="7" s="1"/>
  <c r="C62" i="7" s="1"/>
  <c r="AR18" i="15" s="1"/>
  <c r="N25" i="2"/>
  <c r="M26" i="2"/>
  <c r="P26" i="2" s="1"/>
  <c r="M27" i="2"/>
  <c r="P27" i="2" s="1"/>
  <c r="M28" i="2"/>
  <c r="P28" i="2" s="1"/>
  <c r="M29" i="2"/>
  <c r="P29" i="2" s="1"/>
  <c r="M30" i="2"/>
  <c r="P30" i="2" s="1"/>
  <c r="M31" i="2"/>
  <c r="P31" i="2" s="1"/>
  <c r="M32" i="2"/>
  <c r="P32" i="2" s="1"/>
  <c r="M33" i="2"/>
  <c r="P33" i="2" s="1"/>
  <c r="M34" i="2"/>
  <c r="M36" i="2"/>
  <c r="M37" i="2"/>
  <c r="M38" i="2"/>
  <c r="M39" i="2"/>
  <c r="F27" i="2"/>
  <c r="F28" i="2"/>
  <c r="F29" i="2"/>
  <c r="F30" i="2"/>
  <c r="F31" i="2"/>
  <c r="F32" i="2"/>
  <c r="F33" i="2"/>
  <c r="F34" i="2"/>
  <c r="F35" i="2"/>
  <c r="F36" i="2"/>
  <c r="F37" i="2"/>
  <c r="F38" i="2"/>
  <c r="F39" i="2"/>
  <c r="F40" i="2"/>
  <c r="E26" i="2"/>
  <c r="E27" i="2"/>
  <c r="E28" i="2"/>
  <c r="E29" i="2"/>
  <c r="E30" i="2"/>
  <c r="E31" i="2"/>
  <c r="E32" i="2"/>
  <c r="E33" i="2"/>
  <c r="E34" i="2"/>
  <c r="E35" i="2"/>
  <c r="E36" i="2"/>
  <c r="K4" i="7" s="1"/>
  <c r="C71" i="7" s="1"/>
  <c r="E37" i="2"/>
  <c r="K5" i="7" s="1"/>
  <c r="C72" i="7" s="1"/>
  <c r="E38" i="2"/>
  <c r="K6" i="7" s="1"/>
  <c r="C73" i="7" s="1"/>
  <c r="E39" i="2"/>
  <c r="K7" i="7" s="1"/>
  <c r="C74" i="7" s="1"/>
  <c r="E40" i="2"/>
  <c r="K8" i="7" s="1"/>
  <c r="C75" i="7" s="1"/>
  <c r="E25" i="2"/>
  <c r="D27" i="2"/>
  <c r="H27" i="2" s="1"/>
  <c r="D28" i="2"/>
  <c r="D29" i="2"/>
  <c r="H29" i="2" s="1"/>
  <c r="D30" i="2"/>
  <c r="D31" i="2"/>
  <c r="H31" i="2" s="1"/>
  <c r="D32" i="2"/>
  <c r="D33" i="2"/>
  <c r="H33" i="2" s="1"/>
  <c r="D34" i="2"/>
  <c r="D35" i="2"/>
  <c r="J3" i="7" s="1"/>
  <c r="B70" i="7" s="1"/>
  <c r="AK13" i="15" s="1"/>
  <c r="AO13" i="15" s="1"/>
  <c r="D36" i="2"/>
  <c r="J4" i="7" s="1"/>
  <c r="B71" i="7" s="1"/>
  <c r="AK14" i="15" s="1"/>
  <c r="AO14" i="15" s="1"/>
  <c r="D37" i="2"/>
  <c r="D38" i="2"/>
  <c r="J6" i="7" s="1"/>
  <c r="B73" i="7" s="1"/>
  <c r="AK16" i="15" s="1"/>
  <c r="AO16" i="15" s="1"/>
  <c r="D39" i="2"/>
  <c r="D40" i="2"/>
  <c r="J8" i="7" s="1"/>
  <c r="B75" i="7" s="1"/>
  <c r="E75" i="7" s="1"/>
  <c r="G75" i="7" s="1"/>
  <c r="M5" i="2"/>
  <c r="P25" i="2" s="1"/>
  <c r="J6" i="2"/>
  <c r="F26" i="2" s="1"/>
  <c r="J5" i="2"/>
  <c r="F25" i="2" s="1"/>
  <c r="T6" i="2"/>
  <c r="T7" i="2"/>
  <c r="Q8" i="2"/>
  <c r="R8" i="2"/>
  <c r="S8" i="2"/>
  <c r="T8" i="2"/>
  <c r="AC8" i="2"/>
  <c r="Q9" i="2"/>
  <c r="R9" i="2"/>
  <c r="S9" i="2"/>
  <c r="V9" i="2" s="1"/>
  <c r="T9" i="2"/>
  <c r="AC9" i="2"/>
  <c r="Q10" i="2"/>
  <c r="R10" i="2"/>
  <c r="S10" i="2"/>
  <c r="T10" i="2"/>
  <c r="AC10" i="2"/>
  <c r="Q11" i="2"/>
  <c r="R11" i="2"/>
  <c r="S11" i="2"/>
  <c r="V11" i="2" s="1"/>
  <c r="T11" i="2"/>
  <c r="AC11" i="2"/>
  <c r="Q12" i="2"/>
  <c r="R12" i="2"/>
  <c r="S12" i="2"/>
  <c r="T12" i="2"/>
  <c r="AC12" i="2"/>
  <c r="Q13" i="2"/>
  <c r="R13" i="2"/>
  <c r="S13" i="2"/>
  <c r="V13" i="2" s="1"/>
  <c r="T13" i="2"/>
  <c r="AC13" i="2"/>
  <c r="Q14" i="2"/>
  <c r="R14" i="2"/>
  <c r="S14" i="2"/>
  <c r="T14" i="2"/>
  <c r="AC14" i="2"/>
  <c r="Q15" i="2"/>
  <c r="R15" i="2"/>
  <c r="S15" i="2"/>
  <c r="T15" i="2"/>
  <c r="AC15" i="2"/>
  <c r="Q16" i="2"/>
  <c r="R16" i="2"/>
  <c r="S16" i="2"/>
  <c r="T16" i="2"/>
  <c r="F4" i="7" s="1"/>
  <c r="E44" i="7" s="1"/>
  <c r="AG14" i="15" s="1"/>
  <c r="AC16" i="2"/>
  <c r="Q17" i="2"/>
  <c r="R17" i="2"/>
  <c r="S17" i="2"/>
  <c r="T17" i="2"/>
  <c r="AC17" i="2"/>
  <c r="Q18" i="2"/>
  <c r="R18" i="2"/>
  <c r="S18" i="2"/>
  <c r="T18" i="2"/>
  <c r="F6" i="7" s="1"/>
  <c r="E46" i="7" s="1"/>
  <c r="AG16" i="15" s="1"/>
  <c r="AC18" i="2"/>
  <c r="Q19" i="2"/>
  <c r="R19" i="2"/>
  <c r="S19" i="2"/>
  <c r="T19" i="2"/>
  <c r="F7" i="7" s="1"/>
  <c r="E47" i="7" s="1"/>
  <c r="AG17" i="15" s="1"/>
  <c r="AC19" i="2"/>
  <c r="Q20" i="2"/>
  <c r="R20" i="2"/>
  <c r="S20" i="2"/>
  <c r="T20" i="2"/>
  <c r="F8" i="7" s="1"/>
  <c r="E48" i="7" s="1"/>
  <c r="AG18" i="15" s="1"/>
  <c r="AC20" i="2"/>
  <c r="H6" i="2"/>
  <c r="D26" i="2" s="1"/>
  <c r="H26" i="2" s="1"/>
  <c r="H5" i="2"/>
  <c r="D25" i="2" s="1"/>
  <c r="H25" i="2" s="1"/>
  <c r="C7" i="2"/>
  <c r="S7" i="2" s="1"/>
  <c r="V7" i="2" s="1"/>
  <c r="C6" i="2"/>
  <c r="S6" i="2" s="1"/>
  <c r="V6" i="2" s="1"/>
  <c r="C5" i="2"/>
  <c r="S5" i="2" s="1"/>
  <c r="V5" i="2" s="1"/>
  <c r="N40" i="15" l="1"/>
  <c r="N30" i="15"/>
  <c r="N50" i="15"/>
  <c r="S20" i="15"/>
  <c r="BH13" i="15"/>
  <c r="BG13" i="15"/>
  <c r="BF13" i="15"/>
  <c r="BH16" i="15"/>
  <c r="BG16" i="15"/>
  <c r="BF16" i="15"/>
  <c r="BF14" i="15"/>
  <c r="BH14" i="15"/>
  <c r="BG14" i="15"/>
  <c r="AM21" i="15"/>
  <c r="AK21" i="15"/>
  <c r="Q21" i="15"/>
  <c r="AL21" i="15" s="1"/>
  <c r="W21" i="15"/>
  <c r="X21" i="15"/>
  <c r="AR21" i="15" s="1"/>
  <c r="BB24" i="15"/>
  <c r="BL23" i="15"/>
  <c r="AO20" i="15"/>
  <c r="BH19" i="15"/>
  <c r="BF19" i="15"/>
  <c r="BG19" i="15"/>
  <c r="A24" i="15"/>
  <c r="B23" i="15"/>
  <c r="AJ20" i="15"/>
  <c r="L21" i="15"/>
  <c r="AH21" i="15" s="1"/>
  <c r="AF21" i="15"/>
  <c r="H21" i="15"/>
  <c r="AD21" i="15" s="1"/>
  <c r="K21" i="15"/>
  <c r="AG21" i="15" s="1"/>
  <c r="I21" i="15"/>
  <c r="AE21" i="15" s="1"/>
  <c r="F21" i="15"/>
  <c r="BD19" i="15"/>
  <c r="BE19" i="15"/>
  <c r="BC19" i="15"/>
  <c r="AQ20" i="15"/>
  <c r="Y20" i="15"/>
  <c r="E22" i="15"/>
  <c r="C22" i="15"/>
  <c r="D22" i="15"/>
  <c r="O22" i="15" s="1"/>
  <c r="R22" i="15" s="1"/>
  <c r="M20" i="15"/>
  <c r="AG18" i="13"/>
  <c r="AR17" i="13"/>
  <c r="AR15" i="13"/>
  <c r="AQ32" i="11"/>
  <c r="AQ34" i="11"/>
  <c r="AR36" i="8"/>
  <c r="AQ35" i="8"/>
  <c r="AR36" i="11"/>
  <c r="AQ35" i="13"/>
  <c r="AQ35" i="11"/>
  <c r="AR36" i="13"/>
  <c r="AR35" i="12"/>
  <c r="AR35" i="8"/>
  <c r="AG17" i="13"/>
  <c r="AR18" i="13"/>
  <c r="AH17" i="13"/>
  <c r="AR32" i="11"/>
  <c r="AR34" i="11"/>
  <c r="AQ35" i="12"/>
  <c r="AR36" i="12"/>
  <c r="AR35" i="11"/>
  <c r="AR35" i="13"/>
  <c r="E38" i="12"/>
  <c r="D38" i="12"/>
  <c r="C38" i="12"/>
  <c r="AN39" i="13"/>
  <c r="AI39" i="13"/>
  <c r="AN39" i="12"/>
  <c r="AI39" i="12"/>
  <c r="AN39" i="11"/>
  <c r="AI39" i="11"/>
  <c r="BI36" i="11"/>
  <c r="BH36" i="11"/>
  <c r="BG36" i="11"/>
  <c r="AK36" i="13"/>
  <c r="AO36" i="13" s="1"/>
  <c r="AZ36" i="13" s="1"/>
  <c r="S36" i="13"/>
  <c r="M36" i="12"/>
  <c r="AD36" i="12"/>
  <c r="AJ36" i="12" s="1"/>
  <c r="AY36" i="12" s="1"/>
  <c r="L37" i="12"/>
  <c r="AH37" i="12" s="1"/>
  <c r="K37" i="12"/>
  <c r="AG37" i="12" s="1"/>
  <c r="J37" i="12"/>
  <c r="AF37" i="12" s="1"/>
  <c r="I37" i="12"/>
  <c r="AE37" i="12" s="1"/>
  <c r="H37" i="12"/>
  <c r="F37" i="12"/>
  <c r="X37" i="12"/>
  <c r="AR37" i="12" s="1"/>
  <c r="W37" i="12"/>
  <c r="S36" i="11"/>
  <c r="BP35" i="13"/>
  <c r="BO35" i="13"/>
  <c r="BN35" i="13"/>
  <c r="AK36" i="12"/>
  <c r="AO36" i="12" s="1"/>
  <c r="AZ36" i="12" s="1"/>
  <c r="S36" i="12"/>
  <c r="BI35" i="11"/>
  <c r="BH35" i="11"/>
  <c r="BG35" i="11"/>
  <c r="BL35" i="12"/>
  <c r="BK35" i="12"/>
  <c r="BJ35" i="12"/>
  <c r="L37" i="11"/>
  <c r="AH37" i="11" s="1"/>
  <c r="K37" i="11"/>
  <c r="AG37" i="11" s="1"/>
  <c r="J37" i="11"/>
  <c r="AF37" i="11" s="1"/>
  <c r="I37" i="11"/>
  <c r="AE37" i="11" s="1"/>
  <c r="H37" i="11"/>
  <c r="AD37" i="11" s="1"/>
  <c r="AJ37" i="11" s="1"/>
  <c r="AY37" i="11" s="1"/>
  <c r="F37" i="11"/>
  <c r="X37" i="11"/>
  <c r="AR37" i="11" s="1"/>
  <c r="W37" i="11"/>
  <c r="R37" i="13"/>
  <c r="AM37" i="13" s="1"/>
  <c r="Q37" i="13"/>
  <c r="AL37" i="13" s="1"/>
  <c r="P37" i="13"/>
  <c r="E38" i="11"/>
  <c r="D38" i="11"/>
  <c r="C38" i="11"/>
  <c r="E38" i="13"/>
  <c r="D38" i="13"/>
  <c r="C38" i="13"/>
  <c r="BM35" i="13"/>
  <c r="BL35" i="13"/>
  <c r="BK35" i="13"/>
  <c r="AQ36" i="11"/>
  <c r="Y36" i="11"/>
  <c r="M36" i="11"/>
  <c r="AQ36" i="12"/>
  <c r="Y36" i="12"/>
  <c r="R37" i="12"/>
  <c r="AM37" i="12" s="1"/>
  <c r="Q37" i="12"/>
  <c r="AL37" i="12" s="1"/>
  <c r="P37" i="12"/>
  <c r="AO36" i="11"/>
  <c r="AZ36" i="11" s="1"/>
  <c r="AQ36" i="13"/>
  <c r="Y36" i="13"/>
  <c r="AD36" i="13"/>
  <c r="AJ36" i="13" s="1"/>
  <c r="AY36" i="13" s="1"/>
  <c r="M36" i="13"/>
  <c r="BI35" i="12"/>
  <c r="BH35" i="12"/>
  <c r="BG35" i="12"/>
  <c r="R37" i="11"/>
  <c r="AM37" i="11" s="1"/>
  <c r="Q37" i="11"/>
  <c r="AL37" i="11" s="1"/>
  <c r="P37" i="11"/>
  <c r="AK37" i="11" s="1"/>
  <c r="AO37" i="11" s="1"/>
  <c r="AZ37" i="11" s="1"/>
  <c r="L37" i="13"/>
  <c r="AH37" i="13" s="1"/>
  <c r="K37" i="13"/>
  <c r="J37" i="13"/>
  <c r="AF37" i="13" s="1"/>
  <c r="I37" i="13"/>
  <c r="AE37" i="13" s="1"/>
  <c r="H37" i="13"/>
  <c r="AD37" i="13" s="1"/>
  <c r="F37" i="13"/>
  <c r="N37" i="13"/>
  <c r="X37" i="13"/>
  <c r="AR37" i="13" s="1"/>
  <c r="W37" i="13"/>
  <c r="BD37" i="13"/>
  <c r="BE36" i="13"/>
  <c r="BF36" i="13" s="1"/>
  <c r="CE39" i="13"/>
  <c r="CG38" i="13"/>
  <c r="CC42" i="13"/>
  <c r="AF32" i="13"/>
  <c r="CG33" i="13"/>
  <c r="J33" i="13"/>
  <c r="M33" i="13" s="1"/>
  <c r="E9" i="9"/>
  <c r="J74" i="7" s="1"/>
  <c r="J72" i="7"/>
  <c r="H72" i="7" s="1"/>
  <c r="K72" i="7" s="1"/>
  <c r="E7" i="9"/>
  <c r="AD36" i="8"/>
  <c r="AJ36" i="8" s="1"/>
  <c r="M36" i="8"/>
  <c r="C35" i="3"/>
  <c r="D34" i="3"/>
  <c r="B34" i="3" s="1"/>
  <c r="E38" i="8"/>
  <c r="D38" i="8"/>
  <c r="C38" i="8"/>
  <c r="L37" i="8"/>
  <c r="AH37" i="8" s="1"/>
  <c r="K37" i="8"/>
  <c r="AG37" i="8" s="1"/>
  <c r="J37" i="8"/>
  <c r="AF37" i="8" s="1"/>
  <c r="I37" i="8"/>
  <c r="AE37" i="8" s="1"/>
  <c r="H37" i="8"/>
  <c r="F37" i="8"/>
  <c r="X37" i="8"/>
  <c r="AR37" i="8" s="1"/>
  <c r="W37" i="8"/>
  <c r="BH35" i="8"/>
  <c r="BG35" i="8"/>
  <c r="BF35" i="8"/>
  <c r="AN39" i="8"/>
  <c r="AI39" i="8"/>
  <c r="E10" i="9"/>
  <c r="J75" i="7" s="1"/>
  <c r="E8" i="9"/>
  <c r="J73" i="7" s="1"/>
  <c r="E6" i="9"/>
  <c r="J71" i="7" s="1"/>
  <c r="AQ36" i="8"/>
  <c r="Y36" i="8"/>
  <c r="B32" i="9"/>
  <c r="C32" i="9" s="1"/>
  <c r="E32" i="9" s="1"/>
  <c r="O33" i="3"/>
  <c r="P33" i="3" s="1"/>
  <c r="N33" i="3" s="1"/>
  <c r="Q33" i="3" s="1"/>
  <c r="BE35" i="8"/>
  <c r="BD35" i="8"/>
  <c r="BC35" i="8"/>
  <c r="R37" i="8"/>
  <c r="AM37" i="8" s="1"/>
  <c r="Q37" i="8"/>
  <c r="AL37" i="8" s="1"/>
  <c r="P37" i="8"/>
  <c r="AK36" i="8"/>
  <c r="AO36" i="8" s="1"/>
  <c r="S36" i="8"/>
  <c r="B39" i="13"/>
  <c r="B39" i="11"/>
  <c r="B39" i="8"/>
  <c r="B39" i="12"/>
  <c r="AI32" i="13"/>
  <c r="AJ32" i="13" s="1"/>
  <c r="AY32" i="13" s="1"/>
  <c r="BF32" i="13" s="1"/>
  <c r="AN32" i="13"/>
  <c r="AO32" i="13" s="1"/>
  <c r="AZ32" i="13" s="1"/>
  <c r="AI32" i="12"/>
  <c r="AJ32" i="12" s="1"/>
  <c r="AY32" i="12" s="1"/>
  <c r="BH32" i="12" s="1"/>
  <c r="AN32" i="12"/>
  <c r="AO32" i="12" s="1"/>
  <c r="AZ32" i="12" s="1"/>
  <c r="BL32" i="12" s="1"/>
  <c r="AI32" i="11"/>
  <c r="AJ32" i="11" s="1"/>
  <c r="AY32" i="11" s="1"/>
  <c r="AN32" i="11"/>
  <c r="AO32" i="11" s="1"/>
  <c r="AZ32" i="11" s="1"/>
  <c r="AN32" i="8"/>
  <c r="AI32" i="8"/>
  <c r="AN30" i="13"/>
  <c r="AO30" i="13" s="1"/>
  <c r="AZ30" i="13" s="1"/>
  <c r="AI30" i="13"/>
  <c r="AJ30" i="13" s="1"/>
  <c r="AY30" i="13" s="1"/>
  <c r="BF30" i="13" s="1"/>
  <c r="AI30" i="12"/>
  <c r="AJ30" i="12" s="1"/>
  <c r="AY30" i="12" s="1"/>
  <c r="BH30" i="12" s="1"/>
  <c r="AN30" i="12"/>
  <c r="AO30" i="12" s="1"/>
  <c r="AZ30" i="12" s="1"/>
  <c r="BL30" i="12" s="1"/>
  <c r="AI30" i="11"/>
  <c r="AJ30" i="11" s="1"/>
  <c r="AY30" i="11" s="1"/>
  <c r="AN30" i="11"/>
  <c r="AO30" i="11" s="1"/>
  <c r="AZ30" i="11" s="1"/>
  <c r="AI30" i="8"/>
  <c r="AN30" i="8"/>
  <c r="AI28" i="13"/>
  <c r="AJ28" i="13" s="1"/>
  <c r="AY28" i="13" s="1"/>
  <c r="BF28" i="13" s="1"/>
  <c r="AN28" i="13"/>
  <c r="AO28" i="13" s="1"/>
  <c r="AZ28" i="13" s="1"/>
  <c r="AI28" i="12"/>
  <c r="AJ28" i="12" s="1"/>
  <c r="AY28" i="12" s="1"/>
  <c r="BI28" i="12" s="1"/>
  <c r="AN28" i="12"/>
  <c r="AO28" i="12" s="1"/>
  <c r="AZ28" i="12" s="1"/>
  <c r="AI28" i="11"/>
  <c r="AJ28" i="11" s="1"/>
  <c r="AY28" i="11" s="1"/>
  <c r="AN28" i="11"/>
  <c r="AO28" i="11" s="1"/>
  <c r="AZ28" i="11" s="1"/>
  <c r="AN28" i="8"/>
  <c r="AI28" i="8"/>
  <c r="AN26" i="13"/>
  <c r="AO26" i="13" s="1"/>
  <c r="AZ26" i="13" s="1"/>
  <c r="AI26" i="13"/>
  <c r="AJ26" i="13" s="1"/>
  <c r="AY26" i="13" s="1"/>
  <c r="BF26" i="13" s="1"/>
  <c r="AI26" i="11"/>
  <c r="AJ26" i="11" s="1"/>
  <c r="AY26" i="11" s="1"/>
  <c r="AI26" i="12"/>
  <c r="AJ26" i="12" s="1"/>
  <c r="AY26" i="12" s="1"/>
  <c r="BI26" i="12" s="1"/>
  <c r="AN26" i="12"/>
  <c r="AO26" i="12" s="1"/>
  <c r="AZ26" i="12" s="1"/>
  <c r="BL26" i="12" s="1"/>
  <c r="AN26" i="11"/>
  <c r="AO26" i="11" s="1"/>
  <c r="AZ26" i="11" s="1"/>
  <c r="AI26" i="8"/>
  <c r="AN26" i="8"/>
  <c r="AI24" i="13"/>
  <c r="AJ24" i="13" s="1"/>
  <c r="AY24" i="13" s="1"/>
  <c r="BF24" i="13" s="1"/>
  <c r="AN24" i="13"/>
  <c r="AO24" i="13" s="1"/>
  <c r="AZ24" i="13" s="1"/>
  <c r="AI24" i="12"/>
  <c r="AJ24" i="12" s="1"/>
  <c r="AY24" i="12" s="1"/>
  <c r="BI24" i="12" s="1"/>
  <c r="AN24" i="12"/>
  <c r="AO24" i="12" s="1"/>
  <c r="AZ24" i="12" s="1"/>
  <c r="BJ24" i="12" s="1"/>
  <c r="AN24" i="11"/>
  <c r="AO24" i="11" s="1"/>
  <c r="AZ24" i="11" s="1"/>
  <c r="AI24" i="11"/>
  <c r="AJ24" i="11" s="1"/>
  <c r="AY24" i="11" s="1"/>
  <c r="AN24" i="8"/>
  <c r="AI24" i="8"/>
  <c r="AN22" i="13"/>
  <c r="AO22" i="13" s="1"/>
  <c r="AZ22" i="13" s="1"/>
  <c r="AI22" i="13"/>
  <c r="AJ22" i="13" s="1"/>
  <c r="AY22" i="13" s="1"/>
  <c r="BF22" i="13" s="1"/>
  <c r="AI22" i="11"/>
  <c r="AJ22" i="11" s="1"/>
  <c r="AY22" i="11" s="1"/>
  <c r="AN22" i="11"/>
  <c r="AO22" i="11" s="1"/>
  <c r="AZ22" i="11" s="1"/>
  <c r="AI22" i="12"/>
  <c r="AJ22" i="12" s="1"/>
  <c r="AY22" i="12" s="1"/>
  <c r="BH22" i="12" s="1"/>
  <c r="AN22" i="12"/>
  <c r="AO22" i="12" s="1"/>
  <c r="AZ22" i="12" s="1"/>
  <c r="BJ22" i="12" s="1"/>
  <c r="AI22" i="8"/>
  <c r="AN22" i="8"/>
  <c r="AI20" i="13"/>
  <c r="AJ20" i="13" s="1"/>
  <c r="AY20" i="13" s="1"/>
  <c r="BF20" i="13" s="1"/>
  <c r="AN20" i="13"/>
  <c r="AO20" i="13" s="1"/>
  <c r="AZ20" i="13" s="1"/>
  <c r="AI20" i="12"/>
  <c r="AJ20" i="12" s="1"/>
  <c r="AY20" i="12" s="1"/>
  <c r="BI20" i="12" s="1"/>
  <c r="AN20" i="12"/>
  <c r="AO20" i="12" s="1"/>
  <c r="AZ20" i="12" s="1"/>
  <c r="AI20" i="11"/>
  <c r="AJ20" i="11" s="1"/>
  <c r="AY20" i="11" s="1"/>
  <c r="AN20" i="11"/>
  <c r="AO20" i="11" s="1"/>
  <c r="AZ20" i="11" s="1"/>
  <c r="AN20" i="8"/>
  <c r="AI20" i="8"/>
  <c r="AI33" i="13"/>
  <c r="AN33" i="13"/>
  <c r="AO33" i="13" s="1"/>
  <c r="AZ33" i="13" s="1"/>
  <c r="AI33" i="12"/>
  <c r="AJ33" i="12" s="1"/>
  <c r="AY33" i="12" s="1"/>
  <c r="AN33" i="12"/>
  <c r="AO33" i="12" s="1"/>
  <c r="AZ33" i="12" s="1"/>
  <c r="AN33" i="11"/>
  <c r="AO33" i="11" s="1"/>
  <c r="AZ33" i="11" s="1"/>
  <c r="AI33" i="11"/>
  <c r="AJ33" i="11" s="1"/>
  <c r="AY33" i="11" s="1"/>
  <c r="AN33" i="8"/>
  <c r="AI33" i="8"/>
  <c r="AN31" i="13"/>
  <c r="AO31" i="13" s="1"/>
  <c r="AZ31" i="13" s="1"/>
  <c r="AI31" i="13"/>
  <c r="AJ31" i="13" s="1"/>
  <c r="AY31" i="13" s="1"/>
  <c r="BF31" i="13" s="1"/>
  <c r="AI31" i="11"/>
  <c r="AJ31" i="11" s="1"/>
  <c r="AY31" i="11" s="1"/>
  <c r="AI31" i="12"/>
  <c r="AJ31" i="12" s="1"/>
  <c r="AY31" i="12" s="1"/>
  <c r="BG31" i="12" s="1"/>
  <c r="AN31" i="12"/>
  <c r="AO31" i="12" s="1"/>
  <c r="AZ31" i="12" s="1"/>
  <c r="AN31" i="11"/>
  <c r="AO31" i="11" s="1"/>
  <c r="AZ31" i="11" s="1"/>
  <c r="AN31" i="8"/>
  <c r="AI31" i="8"/>
  <c r="AI29" i="13"/>
  <c r="AJ29" i="13" s="1"/>
  <c r="AY29" i="13" s="1"/>
  <c r="BF29" i="13" s="1"/>
  <c r="AN29" i="13"/>
  <c r="AO29" i="13" s="1"/>
  <c r="AZ29" i="13" s="1"/>
  <c r="AN29" i="12"/>
  <c r="AO29" i="12" s="1"/>
  <c r="AZ29" i="12" s="1"/>
  <c r="AI29" i="11"/>
  <c r="AJ29" i="11" s="1"/>
  <c r="AY29" i="11" s="1"/>
  <c r="AN29" i="11"/>
  <c r="AO29" i="11" s="1"/>
  <c r="AZ29" i="11" s="1"/>
  <c r="AI29" i="12"/>
  <c r="AJ29" i="12" s="1"/>
  <c r="AY29" i="12" s="1"/>
  <c r="AN29" i="8"/>
  <c r="AI29" i="8"/>
  <c r="AI27" i="13"/>
  <c r="AJ27" i="13" s="1"/>
  <c r="AY27" i="13" s="1"/>
  <c r="BF27" i="13" s="1"/>
  <c r="AN27" i="13"/>
  <c r="AO27" i="13" s="1"/>
  <c r="AZ27" i="13" s="1"/>
  <c r="AI27" i="12"/>
  <c r="AJ27" i="12" s="1"/>
  <c r="AY27" i="12" s="1"/>
  <c r="AN27" i="12"/>
  <c r="AO27" i="12" s="1"/>
  <c r="AZ27" i="12" s="1"/>
  <c r="AI27" i="11"/>
  <c r="AJ27" i="11" s="1"/>
  <c r="AY27" i="11" s="1"/>
  <c r="AN27" i="11"/>
  <c r="AO27" i="11" s="1"/>
  <c r="AZ27" i="11" s="1"/>
  <c r="AN27" i="8"/>
  <c r="AI27" i="8"/>
  <c r="AN25" i="13"/>
  <c r="AO25" i="13" s="1"/>
  <c r="AZ25" i="13" s="1"/>
  <c r="AI25" i="13"/>
  <c r="AJ25" i="13" s="1"/>
  <c r="AY25" i="13" s="1"/>
  <c r="BF25" i="13" s="1"/>
  <c r="AN25" i="11"/>
  <c r="AO25" i="11" s="1"/>
  <c r="AZ25" i="11" s="1"/>
  <c r="AI25" i="12"/>
  <c r="AJ25" i="12" s="1"/>
  <c r="AY25" i="12" s="1"/>
  <c r="BI25" i="12" s="1"/>
  <c r="AN25" i="12"/>
  <c r="AO25" i="12" s="1"/>
  <c r="AZ25" i="12" s="1"/>
  <c r="AI25" i="11"/>
  <c r="AJ25" i="11" s="1"/>
  <c r="AY25" i="11" s="1"/>
  <c r="AN25" i="8"/>
  <c r="AI25" i="8"/>
  <c r="AI23" i="13"/>
  <c r="AJ23" i="13" s="1"/>
  <c r="AY23" i="13" s="1"/>
  <c r="BF23" i="13" s="1"/>
  <c r="AN23" i="13"/>
  <c r="AO23" i="13" s="1"/>
  <c r="AZ23" i="13" s="1"/>
  <c r="AI23" i="12"/>
  <c r="AJ23" i="12" s="1"/>
  <c r="AY23" i="12" s="1"/>
  <c r="BG23" i="12" s="1"/>
  <c r="AN23" i="12"/>
  <c r="AO23" i="12" s="1"/>
  <c r="AZ23" i="12" s="1"/>
  <c r="AI23" i="11"/>
  <c r="AJ23" i="11" s="1"/>
  <c r="AY23" i="11" s="1"/>
  <c r="AN23" i="11"/>
  <c r="AO23" i="11" s="1"/>
  <c r="AZ23" i="11" s="1"/>
  <c r="AN23" i="8"/>
  <c r="AI23" i="8"/>
  <c r="AI21" i="13"/>
  <c r="AJ21" i="13" s="1"/>
  <c r="AY21" i="13" s="1"/>
  <c r="BF21" i="13" s="1"/>
  <c r="AN21" i="13"/>
  <c r="AO21" i="13" s="1"/>
  <c r="AZ21" i="13" s="1"/>
  <c r="AI21" i="11"/>
  <c r="AJ21" i="11" s="1"/>
  <c r="AY21" i="11" s="1"/>
  <c r="AN21" i="11"/>
  <c r="AO21" i="11" s="1"/>
  <c r="AZ21" i="11" s="1"/>
  <c r="AI21" i="12"/>
  <c r="AJ21" i="12" s="1"/>
  <c r="AY21" i="12" s="1"/>
  <c r="BG21" i="12" s="1"/>
  <c r="AN21" i="12"/>
  <c r="AO21" i="12" s="1"/>
  <c r="AZ21" i="12" s="1"/>
  <c r="BK21" i="12" s="1"/>
  <c r="AI21" i="8"/>
  <c r="AN21" i="8"/>
  <c r="AN19" i="13"/>
  <c r="AO19" i="13" s="1"/>
  <c r="AZ19" i="13" s="1"/>
  <c r="AI19" i="13"/>
  <c r="AJ19" i="13" s="1"/>
  <c r="AY19" i="13" s="1"/>
  <c r="BF19" i="13" s="1"/>
  <c r="AI19" i="12"/>
  <c r="AJ19" i="12" s="1"/>
  <c r="AY19" i="12" s="1"/>
  <c r="BH19" i="12" s="1"/>
  <c r="AN19" i="12"/>
  <c r="AO19" i="12" s="1"/>
  <c r="AZ19" i="12" s="1"/>
  <c r="BL19" i="12" s="1"/>
  <c r="AI19" i="11"/>
  <c r="AJ19" i="11" s="1"/>
  <c r="AY19" i="11" s="1"/>
  <c r="AN19" i="11"/>
  <c r="AO19" i="11" s="1"/>
  <c r="AZ19" i="11" s="1"/>
  <c r="AI19" i="8"/>
  <c r="AN19" i="8"/>
  <c r="I72" i="7"/>
  <c r="L72" i="7" s="1"/>
  <c r="I70" i="7"/>
  <c r="L70" i="7" s="1"/>
  <c r="H70" i="7"/>
  <c r="K70" i="7" s="1"/>
  <c r="AK14" i="12"/>
  <c r="AK14" i="13"/>
  <c r="AR13" i="12"/>
  <c r="AR13" i="13"/>
  <c r="AH14" i="12"/>
  <c r="AH14" i="13"/>
  <c r="AG16" i="11"/>
  <c r="AG16" i="13"/>
  <c r="AG14" i="12"/>
  <c r="AG14" i="13"/>
  <c r="AK13" i="12"/>
  <c r="AK13" i="13"/>
  <c r="AR14" i="12"/>
  <c r="AR14" i="13"/>
  <c r="AH15" i="12"/>
  <c r="AH15" i="13"/>
  <c r="AH13" i="12"/>
  <c r="AH13" i="13"/>
  <c r="AG13" i="12"/>
  <c r="AG13" i="13"/>
  <c r="AH16" i="11"/>
  <c r="AH16" i="13"/>
  <c r="AR19" i="11"/>
  <c r="AR22" i="11"/>
  <c r="E73" i="7"/>
  <c r="G73" i="7" s="1"/>
  <c r="AK16" i="13"/>
  <c r="AR16" i="11"/>
  <c r="AR16" i="13"/>
  <c r="AQ31" i="13"/>
  <c r="AQ30" i="13"/>
  <c r="AQ25" i="13"/>
  <c r="AQ19" i="13"/>
  <c r="AQ33" i="13"/>
  <c r="AQ28" i="13"/>
  <c r="AQ27" i="13"/>
  <c r="AQ23" i="13"/>
  <c r="AQ21" i="13"/>
  <c r="AQ32" i="13"/>
  <c r="AQ26" i="13"/>
  <c r="AQ22" i="13"/>
  <c r="AQ20" i="13"/>
  <c r="AQ29" i="13"/>
  <c r="AQ24" i="13"/>
  <c r="AR33" i="13"/>
  <c r="AR27" i="13"/>
  <c r="AR21" i="13"/>
  <c r="AR26" i="13"/>
  <c r="AR20" i="13"/>
  <c r="AR24" i="13"/>
  <c r="AR30" i="13"/>
  <c r="AR19" i="13"/>
  <c r="AR28" i="13"/>
  <c r="AR23" i="13"/>
  <c r="AR32" i="13"/>
  <c r="AR22" i="13"/>
  <c r="AR29" i="13"/>
  <c r="AR31" i="13"/>
  <c r="AR25" i="13"/>
  <c r="AR15" i="11"/>
  <c r="AR15" i="12"/>
  <c r="AR30" i="11"/>
  <c r="AG16" i="12"/>
  <c r="AK16" i="12"/>
  <c r="AR16" i="12"/>
  <c r="AH16" i="12"/>
  <c r="BI31" i="12"/>
  <c r="BH31" i="12"/>
  <c r="AB18" i="12"/>
  <c r="AL17" i="12"/>
  <c r="AH17" i="12"/>
  <c r="AD17" i="12"/>
  <c r="AR17" i="12"/>
  <c r="AM17" i="12"/>
  <c r="AG17" i="12"/>
  <c r="AE17" i="12"/>
  <c r="BG25" i="12"/>
  <c r="BH26" i="12"/>
  <c r="BG26" i="12"/>
  <c r="BH24" i="12"/>
  <c r="BI22" i="12"/>
  <c r="BG28" i="12"/>
  <c r="BJ19" i="12"/>
  <c r="BL24" i="12"/>
  <c r="BK24" i="12"/>
  <c r="BJ32" i="12"/>
  <c r="BI23" i="12"/>
  <c r="BI30" i="12"/>
  <c r="BH21" i="12"/>
  <c r="BJ30" i="12"/>
  <c r="BL21" i="12"/>
  <c r="BL22" i="12"/>
  <c r="BK22" i="12"/>
  <c r="AQ23" i="11"/>
  <c r="AQ27" i="11"/>
  <c r="AR21" i="11"/>
  <c r="AR29" i="11"/>
  <c r="AR26" i="11"/>
  <c r="AR31" i="11"/>
  <c r="AR24" i="11"/>
  <c r="AR27" i="11"/>
  <c r="AR33" i="11"/>
  <c r="E71" i="7"/>
  <c r="G71" i="7" s="1"/>
  <c r="AK14" i="11"/>
  <c r="AK14" i="8"/>
  <c r="AR13" i="11"/>
  <c r="AR13" i="8"/>
  <c r="AH14" i="8"/>
  <c r="AH14" i="11"/>
  <c r="AK16" i="11"/>
  <c r="AR20" i="11"/>
  <c r="AR28" i="11"/>
  <c r="AR23" i="11"/>
  <c r="AG14" i="8"/>
  <c r="AG14" i="11"/>
  <c r="AK13" i="11"/>
  <c r="AK13" i="8"/>
  <c r="AR14" i="11"/>
  <c r="AR14" i="8"/>
  <c r="AH15" i="8"/>
  <c r="AH15" i="11"/>
  <c r="AH13" i="8"/>
  <c r="AH13" i="11"/>
  <c r="AG13" i="8"/>
  <c r="AG13" i="11"/>
  <c r="AR15" i="8"/>
  <c r="AB18" i="11"/>
  <c r="AL17" i="11"/>
  <c r="AH17" i="11"/>
  <c r="AD17" i="11"/>
  <c r="AR17" i="11"/>
  <c r="AM17" i="11"/>
  <c r="AG17" i="11"/>
  <c r="AE17" i="11"/>
  <c r="AB17" i="8"/>
  <c r="AR16" i="8"/>
  <c r="AM16" i="8"/>
  <c r="AL16" i="8"/>
  <c r="AK16" i="8"/>
  <c r="AG16" i="8"/>
  <c r="AH16" i="8"/>
  <c r="AD16" i="8"/>
  <c r="AE16" i="8"/>
  <c r="E8" i="7"/>
  <c r="H8" i="7" s="1"/>
  <c r="V20" i="2"/>
  <c r="E6" i="7"/>
  <c r="V18" i="2"/>
  <c r="E4" i="7"/>
  <c r="V16" i="2"/>
  <c r="V14" i="2"/>
  <c r="V12" i="2"/>
  <c r="V10" i="2"/>
  <c r="V8" i="2"/>
  <c r="E7" i="7"/>
  <c r="V19" i="2"/>
  <c r="C47" i="2" s="1"/>
  <c r="D47" i="2" s="1"/>
  <c r="E5" i="7"/>
  <c r="V17" i="2"/>
  <c r="C45" i="2" s="1"/>
  <c r="D45" i="2" s="1"/>
  <c r="E3" i="7"/>
  <c r="V15" i="2"/>
  <c r="P40" i="2"/>
  <c r="P8" i="7"/>
  <c r="P38" i="2"/>
  <c r="P6" i="7"/>
  <c r="B60" i="7" s="1"/>
  <c r="AQ16" i="15" s="1"/>
  <c r="P36" i="2"/>
  <c r="P4" i="7"/>
  <c r="B58" i="7" s="1"/>
  <c r="AQ14" i="15" s="1"/>
  <c r="P34" i="2"/>
  <c r="H39" i="2"/>
  <c r="J7" i="7"/>
  <c r="B74" i="7" s="1"/>
  <c r="AK17" i="15" s="1"/>
  <c r="AO17" i="15" s="1"/>
  <c r="H37" i="2"/>
  <c r="J5" i="7"/>
  <c r="B72" i="7" s="1"/>
  <c r="AK15" i="15" s="1"/>
  <c r="AO15" i="15" s="1"/>
  <c r="M8" i="7"/>
  <c r="M6" i="7"/>
  <c r="M4" i="7"/>
  <c r="J15" i="7" s="1"/>
  <c r="P39" i="2"/>
  <c r="P7" i="7"/>
  <c r="B61" i="7" s="1"/>
  <c r="AQ17" i="15" s="1"/>
  <c r="P37" i="2"/>
  <c r="P5" i="7"/>
  <c r="B59" i="7" s="1"/>
  <c r="AQ15" i="15" s="1"/>
  <c r="P35" i="2"/>
  <c r="P3" i="7"/>
  <c r="B57" i="7" s="1"/>
  <c r="AQ13" i="15" s="1"/>
  <c r="F5" i="7"/>
  <c r="K3" i="7"/>
  <c r="H35" i="2"/>
  <c r="H40" i="2"/>
  <c r="H38" i="2"/>
  <c r="H36" i="2"/>
  <c r="H34" i="2"/>
  <c r="H32" i="2"/>
  <c r="C46" i="2"/>
  <c r="D46" i="2" s="1"/>
  <c r="H30" i="2"/>
  <c r="H28" i="2"/>
  <c r="G14" i="3"/>
  <c r="F11" i="3" s="1"/>
  <c r="F12" i="3" s="1"/>
  <c r="F13" i="3" s="1"/>
  <c r="F14" i="3" s="1"/>
  <c r="F15" i="3" s="1"/>
  <c r="F16" i="3" s="1"/>
  <c r="F17" i="3" s="1"/>
  <c r="F18" i="3" s="1"/>
  <c r="F19" i="3" s="1"/>
  <c r="F20" i="3" s="1"/>
  <c r="G19" i="3"/>
  <c r="G24" i="3"/>
  <c r="E21" i="3" s="1"/>
  <c r="E22" i="3" s="1"/>
  <c r="E23" i="3" s="1"/>
  <c r="E24" i="3" s="1"/>
  <c r="E16" i="3"/>
  <c r="E17" i="3" s="1"/>
  <c r="E18" i="3" s="1"/>
  <c r="E19" i="3" s="1"/>
  <c r="E11" i="3"/>
  <c r="E12" i="3" s="1"/>
  <c r="E13" i="3" s="1"/>
  <c r="E14" i="3" s="1"/>
  <c r="D6" i="3"/>
  <c r="B6" i="3" s="1"/>
  <c r="O6" i="3" s="1"/>
  <c r="P6" i="3" s="1"/>
  <c r="N6" i="3" s="1"/>
  <c r="Q6" i="3" s="1"/>
  <c r="C7" i="3"/>
  <c r="D7" i="3" s="1"/>
  <c r="B7" i="3" s="1"/>
  <c r="O7" i="3" s="1"/>
  <c r="P7" i="3" s="1"/>
  <c r="N7" i="3" s="1"/>
  <c r="Q7" i="3" s="1"/>
  <c r="A7" i="3"/>
  <c r="A8" i="3" s="1"/>
  <c r="A9" i="3" s="1"/>
  <c r="A10" i="3" s="1"/>
  <c r="A11" i="3" s="1"/>
  <c r="A12" i="3" s="1"/>
  <c r="A13" i="3" s="1"/>
  <c r="A14" i="3" s="1"/>
  <c r="A15" i="3" s="1"/>
  <c r="A16" i="3" s="1"/>
  <c r="A17" i="3" s="1"/>
  <c r="A18" i="3" s="1"/>
  <c r="A19" i="3" s="1"/>
  <c r="A20" i="3" s="1"/>
  <c r="A21" i="3" s="1"/>
  <c r="A22" i="3" s="1"/>
  <c r="A23" i="3" s="1"/>
  <c r="A24" i="3" s="1"/>
  <c r="A25" i="3" s="1"/>
  <c r="A26" i="3" s="1"/>
  <c r="N51" i="15" l="1"/>
  <c r="BH15" i="15"/>
  <c r="BG15" i="15"/>
  <c r="BF15" i="15"/>
  <c r="BH17" i="15"/>
  <c r="BG17" i="15"/>
  <c r="BF17" i="15"/>
  <c r="AM22" i="15"/>
  <c r="AK22" i="15"/>
  <c r="Q22" i="15"/>
  <c r="AL22" i="15" s="1"/>
  <c r="W22" i="15"/>
  <c r="X22" i="15"/>
  <c r="AR22" i="15" s="1"/>
  <c r="AJ21" i="15"/>
  <c r="BD20" i="15"/>
  <c r="BE20" i="15"/>
  <c r="BC20" i="15"/>
  <c r="A25" i="15"/>
  <c r="B24" i="15"/>
  <c r="BH20" i="15"/>
  <c r="BF20" i="15"/>
  <c r="BG20" i="15"/>
  <c r="BB25" i="15"/>
  <c r="BL24" i="15"/>
  <c r="AQ21" i="15"/>
  <c r="Y21" i="15"/>
  <c r="S21" i="15"/>
  <c r="L22" i="15"/>
  <c r="AH22" i="15" s="1"/>
  <c r="AF22" i="15"/>
  <c r="H22" i="15"/>
  <c r="AD22" i="15" s="1"/>
  <c r="K22" i="15"/>
  <c r="AG22" i="15" s="1"/>
  <c r="I22" i="15"/>
  <c r="AE22" i="15" s="1"/>
  <c r="F22" i="15"/>
  <c r="M21" i="15"/>
  <c r="E23" i="15"/>
  <c r="C23" i="15"/>
  <c r="D23" i="15"/>
  <c r="O23" i="15" s="1"/>
  <c r="R23" i="15" s="1"/>
  <c r="AO21" i="15"/>
  <c r="E39" i="13"/>
  <c r="D39" i="13"/>
  <c r="C39" i="13"/>
  <c r="AN40" i="13"/>
  <c r="AI40" i="13"/>
  <c r="AN40" i="12"/>
  <c r="AI40" i="12"/>
  <c r="AN40" i="11"/>
  <c r="AI40" i="11"/>
  <c r="M37" i="13"/>
  <c r="AG37" i="13"/>
  <c r="BL37" i="11"/>
  <c r="BK37" i="11"/>
  <c r="BJ37" i="11"/>
  <c r="BL36" i="11"/>
  <c r="BK36" i="11"/>
  <c r="BJ36" i="11"/>
  <c r="J38" i="13"/>
  <c r="AF38" i="13" s="1"/>
  <c r="I38" i="13"/>
  <c r="AE38" i="13" s="1"/>
  <c r="H38" i="13"/>
  <c r="L38" i="13"/>
  <c r="AH38" i="13" s="1"/>
  <c r="K38" i="13"/>
  <c r="AG38" i="13" s="1"/>
  <c r="N38" i="13"/>
  <c r="F38" i="13"/>
  <c r="X38" i="13"/>
  <c r="AR38" i="13" s="1"/>
  <c r="W38" i="13"/>
  <c r="R38" i="11"/>
  <c r="AM38" i="11" s="1"/>
  <c r="Q38" i="11"/>
  <c r="AL38" i="11" s="1"/>
  <c r="P38" i="11"/>
  <c r="AK38" i="11" s="1"/>
  <c r="AO38" i="11" s="1"/>
  <c r="AZ38" i="11" s="1"/>
  <c r="AK37" i="13"/>
  <c r="AO37" i="13" s="1"/>
  <c r="AZ37" i="13" s="1"/>
  <c r="S37" i="13"/>
  <c r="BI37" i="11"/>
  <c r="BH37" i="11"/>
  <c r="BG37" i="11"/>
  <c r="BL36" i="12"/>
  <c r="BK36" i="12"/>
  <c r="BJ36" i="12"/>
  <c r="AD37" i="12"/>
  <c r="AJ37" i="12" s="1"/>
  <c r="AY37" i="12" s="1"/>
  <c r="M37" i="12"/>
  <c r="R38" i="12"/>
  <c r="AM38" i="12" s="1"/>
  <c r="Q38" i="12"/>
  <c r="AL38" i="12" s="1"/>
  <c r="P38" i="12"/>
  <c r="E39" i="12"/>
  <c r="D39" i="12"/>
  <c r="C39" i="12"/>
  <c r="E39" i="11"/>
  <c r="D39" i="11"/>
  <c r="C39" i="11"/>
  <c r="BM36" i="13"/>
  <c r="BL36" i="13"/>
  <c r="BK36" i="13"/>
  <c r="AQ37" i="13"/>
  <c r="Y37" i="13"/>
  <c r="AJ37" i="13"/>
  <c r="AY37" i="13" s="1"/>
  <c r="S37" i="11"/>
  <c r="AK37" i="12"/>
  <c r="AO37" i="12" s="1"/>
  <c r="AZ37" i="12" s="1"/>
  <c r="S37" i="12"/>
  <c r="R38" i="13"/>
  <c r="AM38" i="13" s="1"/>
  <c r="Q38" i="13"/>
  <c r="AL38" i="13" s="1"/>
  <c r="P38" i="13"/>
  <c r="L38" i="11"/>
  <c r="AH38" i="11" s="1"/>
  <c r="K38" i="11"/>
  <c r="AG38" i="11" s="1"/>
  <c r="J38" i="11"/>
  <c r="AF38" i="11" s="1"/>
  <c r="I38" i="11"/>
  <c r="AE38" i="11" s="1"/>
  <c r="H38" i="11"/>
  <c r="AD38" i="11" s="1"/>
  <c r="AJ38" i="11" s="1"/>
  <c r="AY38" i="11" s="1"/>
  <c r="F38" i="11"/>
  <c r="X38" i="11"/>
  <c r="AR38" i="11" s="1"/>
  <c r="W38" i="11"/>
  <c r="AQ37" i="11"/>
  <c r="Y37" i="11"/>
  <c r="M37" i="11"/>
  <c r="AQ37" i="12"/>
  <c r="Y37" i="12"/>
  <c r="BI36" i="12"/>
  <c r="BH36" i="12"/>
  <c r="BG36" i="12"/>
  <c r="BP36" i="13"/>
  <c r="BO36" i="13"/>
  <c r="BN36" i="13"/>
  <c r="L38" i="12"/>
  <c r="AH38" i="12" s="1"/>
  <c r="K38" i="12"/>
  <c r="AG38" i="12" s="1"/>
  <c r="J38" i="12"/>
  <c r="AF38" i="12" s="1"/>
  <c r="I38" i="12"/>
  <c r="AE38" i="12" s="1"/>
  <c r="H38" i="12"/>
  <c r="F38" i="12"/>
  <c r="X38" i="12"/>
  <c r="AR38" i="12" s="1"/>
  <c r="W38" i="12"/>
  <c r="BE37" i="13"/>
  <c r="BF37" i="13" s="1"/>
  <c r="BD38" i="13"/>
  <c r="CC43" i="13"/>
  <c r="CC44" i="13" s="1"/>
  <c r="CE40" i="13"/>
  <c r="CG39" i="13"/>
  <c r="AJ33" i="13"/>
  <c r="AY33" i="13" s="1"/>
  <c r="BF33" i="13" s="1"/>
  <c r="BK33" i="13" s="1"/>
  <c r="BI19" i="12"/>
  <c r="BI32" i="12"/>
  <c r="BI21" i="12"/>
  <c r="BH23" i="12"/>
  <c r="BJ26" i="12"/>
  <c r="BH28" i="12"/>
  <c r="BG24" i="12"/>
  <c r="BG20" i="12"/>
  <c r="BG19" i="12"/>
  <c r="BG32" i="12"/>
  <c r="BG30" i="12"/>
  <c r="BK26" i="12"/>
  <c r="BG22" i="12"/>
  <c r="BH20" i="12"/>
  <c r="H74" i="7"/>
  <c r="K74" i="7" s="1"/>
  <c r="AN17" i="13" s="1"/>
  <c r="I74" i="7"/>
  <c r="L74" i="7" s="1"/>
  <c r="I71" i="7"/>
  <c r="L71" i="7" s="1"/>
  <c r="H71" i="7"/>
  <c r="K71" i="7" s="1"/>
  <c r="H75" i="7"/>
  <c r="K75" i="7" s="1"/>
  <c r="AN18" i="12" s="1"/>
  <c r="I75" i="7"/>
  <c r="L75" i="7" s="1"/>
  <c r="I73" i="7"/>
  <c r="L73" i="7" s="1"/>
  <c r="H73" i="7"/>
  <c r="K73" i="7" s="1"/>
  <c r="M73" i="7" s="1"/>
  <c r="AN15" i="13"/>
  <c r="AN15" i="8"/>
  <c r="AN15" i="11"/>
  <c r="AK37" i="8"/>
  <c r="AO37" i="8" s="1"/>
  <c r="S37" i="8"/>
  <c r="B40" i="13"/>
  <c r="B40" i="12"/>
  <c r="B40" i="11"/>
  <c r="B40" i="8"/>
  <c r="AQ37" i="8"/>
  <c r="Y37" i="8"/>
  <c r="L38" i="8"/>
  <c r="AH38" i="8" s="1"/>
  <c r="K38" i="8"/>
  <c r="AG38" i="8" s="1"/>
  <c r="J38" i="8"/>
  <c r="AF38" i="8" s="1"/>
  <c r="I38" i="8"/>
  <c r="AE38" i="8" s="1"/>
  <c r="H38" i="8"/>
  <c r="F38" i="8"/>
  <c r="X38" i="8"/>
  <c r="AR38" i="8" s="1"/>
  <c r="W38" i="8"/>
  <c r="C36" i="3"/>
  <c r="D35" i="3"/>
  <c r="B35" i="3" s="1"/>
  <c r="BE36" i="8"/>
  <c r="BD36" i="8"/>
  <c r="BC36" i="8"/>
  <c r="BJ21" i="12"/>
  <c r="BK30" i="12"/>
  <c r="BK32" i="12"/>
  <c r="BK19" i="12"/>
  <c r="BH25" i="12"/>
  <c r="E39" i="8"/>
  <c r="D39" i="8"/>
  <c r="C39" i="8"/>
  <c r="BH36" i="8"/>
  <c r="BG36" i="8"/>
  <c r="BF36" i="8"/>
  <c r="AN40" i="8"/>
  <c r="AI40" i="8"/>
  <c r="AD37" i="8"/>
  <c r="AJ37" i="8" s="1"/>
  <c r="M37" i="8"/>
  <c r="R38" i="8"/>
  <c r="AM38" i="8" s="1"/>
  <c r="Q38" i="8"/>
  <c r="AL38" i="8" s="1"/>
  <c r="P38" i="8"/>
  <c r="B33" i="9"/>
  <c r="C33" i="9" s="1"/>
  <c r="E33" i="9" s="1"/>
  <c r="O34" i="3"/>
  <c r="P34" i="3" s="1"/>
  <c r="N34" i="3" s="1"/>
  <c r="Q34" i="3" s="1"/>
  <c r="M71" i="7"/>
  <c r="AN15" i="12"/>
  <c r="BL19" i="11"/>
  <c r="BJ19" i="11"/>
  <c r="BK19" i="11"/>
  <c r="BL19" i="13"/>
  <c r="BK19" i="13"/>
  <c r="BM19" i="13"/>
  <c r="BL21" i="11"/>
  <c r="BJ21" i="11"/>
  <c r="BK21" i="11"/>
  <c r="BO21" i="13"/>
  <c r="BP21" i="13"/>
  <c r="BN21" i="13"/>
  <c r="BL23" i="11"/>
  <c r="BJ23" i="11"/>
  <c r="BK23" i="11"/>
  <c r="BK23" i="12"/>
  <c r="BJ23" i="12"/>
  <c r="BL23" i="12"/>
  <c r="BP23" i="13"/>
  <c r="BO23" i="13"/>
  <c r="BN23" i="13"/>
  <c r="BH25" i="11"/>
  <c r="BI25" i="11"/>
  <c r="BG25" i="11"/>
  <c r="BL25" i="13"/>
  <c r="BK25" i="13"/>
  <c r="BM25" i="13"/>
  <c r="BL27" i="11"/>
  <c r="BJ27" i="11"/>
  <c r="BK27" i="11"/>
  <c r="BL27" i="12"/>
  <c r="BK27" i="12"/>
  <c r="BJ27" i="12"/>
  <c r="BO27" i="13"/>
  <c r="BN27" i="13"/>
  <c r="BP27" i="13"/>
  <c r="BI29" i="12"/>
  <c r="BH29" i="12"/>
  <c r="BG29" i="12"/>
  <c r="BH29" i="11"/>
  <c r="BI29" i="11"/>
  <c r="BG29" i="11"/>
  <c r="BN29" i="13"/>
  <c r="BP29" i="13"/>
  <c r="BO29" i="13"/>
  <c r="BL31" i="11"/>
  <c r="BJ31" i="11"/>
  <c r="BK31" i="11"/>
  <c r="BL31" i="13"/>
  <c r="BK31" i="13"/>
  <c r="BM31" i="13"/>
  <c r="BH33" i="11"/>
  <c r="BI33" i="11"/>
  <c r="BG33" i="11"/>
  <c r="BK33" i="12"/>
  <c r="BJ33" i="12"/>
  <c r="BL33" i="12"/>
  <c r="BP33" i="13"/>
  <c r="BO33" i="13"/>
  <c r="BN33" i="13"/>
  <c r="BK20" i="11"/>
  <c r="BL20" i="11"/>
  <c r="BJ20" i="11"/>
  <c r="BK20" i="12"/>
  <c r="BJ20" i="12"/>
  <c r="BL20" i="12"/>
  <c r="BP20" i="13"/>
  <c r="BO20" i="13"/>
  <c r="BN20" i="13"/>
  <c r="BK22" i="11"/>
  <c r="BL22" i="11"/>
  <c r="BJ22" i="11"/>
  <c r="BK22" i="13"/>
  <c r="BM22" i="13"/>
  <c r="BL22" i="13"/>
  <c r="BI24" i="11"/>
  <c r="BG24" i="11"/>
  <c r="BH24" i="11"/>
  <c r="BN24" i="13"/>
  <c r="BP24" i="13"/>
  <c r="BO24" i="13"/>
  <c r="BK26" i="11"/>
  <c r="BL26" i="11"/>
  <c r="BJ26" i="11"/>
  <c r="BK26" i="13"/>
  <c r="BM26" i="13"/>
  <c r="BL26" i="13"/>
  <c r="BK28" i="11"/>
  <c r="BL28" i="11"/>
  <c r="BJ28" i="11"/>
  <c r="BL28" i="12"/>
  <c r="BK28" i="12"/>
  <c r="BJ28" i="12"/>
  <c r="BO28" i="13"/>
  <c r="BN28" i="13"/>
  <c r="BP28" i="13"/>
  <c r="BK30" i="11"/>
  <c r="BL30" i="11"/>
  <c r="BJ30" i="11"/>
  <c r="BK30" i="13"/>
  <c r="BM30" i="13"/>
  <c r="BL30" i="13"/>
  <c r="BK32" i="11"/>
  <c r="BL32" i="11"/>
  <c r="BJ32" i="11"/>
  <c r="BN32" i="13"/>
  <c r="BP32" i="13"/>
  <c r="BO32" i="13"/>
  <c r="BH19" i="11"/>
  <c r="BI19" i="11"/>
  <c r="BG19" i="11"/>
  <c r="BO19" i="13"/>
  <c r="BN19" i="13"/>
  <c r="BP19" i="13"/>
  <c r="BH21" i="11"/>
  <c r="BI21" i="11"/>
  <c r="BG21" i="11"/>
  <c r="BL21" i="13"/>
  <c r="BK21" i="13"/>
  <c r="BM21" i="13"/>
  <c r="BH23" i="11"/>
  <c r="BI23" i="11"/>
  <c r="BG23" i="11"/>
  <c r="BM23" i="13"/>
  <c r="BL23" i="13"/>
  <c r="BK23" i="13"/>
  <c r="BL25" i="12"/>
  <c r="BK25" i="12"/>
  <c r="BJ25" i="12"/>
  <c r="BL25" i="11"/>
  <c r="BJ25" i="11"/>
  <c r="BK25" i="11"/>
  <c r="BP25" i="13"/>
  <c r="BO25" i="13"/>
  <c r="BN25" i="13"/>
  <c r="BH27" i="11"/>
  <c r="BI27" i="11"/>
  <c r="BG27" i="11"/>
  <c r="BG27" i="12"/>
  <c r="BI27" i="12"/>
  <c r="BH27" i="12"/>
  <c r="BM27" i="13"/>
  <c r="BL27" i="13"/>
  <c r="BK27" i="13"/>
  <c r="BL29" i="11"/>
  <c r="BJ29" i="11"/>
  <c r="BK29" i="11"/>
  <c r="BK29" i="12"/>
  <c r="BJ29" i="12"/>
  <c r="BL29" i="12"/>
  <c r="BM29" i="13"/>
  <c r="BL29" i="13"/>
  <c r="BK29" i="13"/>
  <c r="BL31" i="12"/>
  <c r="BK31" i="12"/>
  <c r="BJ31" i="12"/>
  <c r="BH31" i="11"/>
  <c r="BI31" i="11"/>
  <c r="BG31" i="11"/>
  <c r="BP31" i="13"/>
  <c r="BN31" i="13"/>
  <c r="BO31" i="13"/>
  <c r="BL33" i="11"/>
  <c r="BJ33" i="11"/>
  <c r="BK33" i="11"/>
  <c r="BG33" i="12"/>
  <c r="BI33" i="12"/>
  <c r="BH33" i="12"/>
  <c r="BI20" i="11"/>
  <c r="BG20" i="11"/>
  <c r="BH20" i="11"/>
  <c r="BK20" i="13"/>
  <c r="BM20" i="13"/>
  <c r="BL20" i="13"/>
  <c r="BI22" i="11"/>
  <c r="BG22" i="11"/>
  <c r="BH22" i="11"/>
  <c r="BN22" i="13"/>
  <c r="BP22" i="13"/>
  <c r="BO22" i="13"/>
  <c r="BK24" i="11"/>
  <c r="BL24" i="11"/>
  <c r="BJ24" i="11"/>
  <c r="BM24" i="13"/>
  <c r="BL24" i="13"/>
  <c r="BK24" i="13"/>
  <c r="BI26" i="11"/>
  <c r="BG26" i="11"/>
  <c r="BH26" i="11"/>
  <c r="BP26" i="13"/>
  <c r="BO26" i="13"/>
  <c r="BN26" i="13"/>
  <c r="BI28" i="11"/>
  <c r="BG28" i="11"/>
  <c r="BH28" i="11"/>
  <c r="BM28" i="13"/>
  <c r="BL28" i="13"/>
  <c r="BK28" i="13"/>
  <c r="BI30" i="11"/>
  <c r="BG30" i="11"/>
  <c r="BH30" i="11"/>
  <c r="BP30" i="13"/>
  <c r="BO30" i="13"/>
  <c r="BN30" i="13"/>
  <c r="BI32" i="11"/>
  <c r="BG32" i="11"/>
  <c r="BH32" i="11"/>
  <c r="BM32" i="13"/>
  <c r="BL32" i="13"/>
  <c r="BK32" i="13"/>
  <c r="AN13" i="13"/>
  <c r="AO13" i="13" s="1"/>
  <c r="AZ13" i="13" s="1"/>
  <c r="BN13" i="13" s="1"/>
  <c r="AN13" i="12"/>
  <c r="AN13" i="11"/>
  <c r="AN13" i="8"/>
  <c r="AO13" i="8" s="1"/>
  <c r="AO13" i="11"/>
  <c r="AZ13" i="11" s="1"/>
  <c r="BK13" i="11" s="1"/>
  <c r="AO13" i="12"/>
  <c r="AZ13" i="12" s="1"/>
  <c r="AK15" i="12"/>
  <c r="AO15" i="12" s="1"/>
  <c r="AZ15" i="12" s="1"/>
  <c r="BL15" i="12" s="1"/>
  <c r="AK15" i="13"/>
  <c r="E74" i="7"/>
  <c r="G74" i="7" s="1"/>
  <c r="M74" i="7" s="1"/>
  <c r="AK17" i="13"/>
  <c r="AQ13" i="12"/>
  <c r="AQ13" i="13"/>
  <c r="AQ15" i="12"/>
  <c r="AQ15" i="13"/>
  <c r="D61" i="7"/>
  <c r="F61" i="7" s="1"/>
  <c r="AS17" i="15" s="1"/>
  <c r="AT17" i="15" s="1"/>
  <c r="AQ17" i="13"/>
  <c r="AQ14" i="12"/>
  <c r="AQ14" i="13"/>
  <c r="AQ16" i="12"/>
  <c r="AQ16" i="13"/>
  <c r="AK17" i="12"/>
  <c r="AQ17" i="12"/>
  <c r="AS17" i="12"/>
  <c r="AR18" i="12"/>
  <c r="AM18" i="12"/>
  <c r="AG18" i="12"/>
  <c r="AB19" i="12"/>
  <c r="AB20" i="12" s="1"/>
  <c r="AB21" i="12" s="1"/>
  <c r="AB22" i="12" s="1"/>
  <c r="AB23" i="12" s="1"/>
  <c r="AB24" i="12" s="1"/>
  <c r="AB25" i="12" s="1"/>
  <c r="AB26" i="12" s="1"/>
  <c r="AB27" i="12" s="1"/>
  <c r="AB28" i="12" s="1"/>
  <c r="AB29" i="12" s="1"/>
  <c r="AB30" i="12" s="1"/>
  <c r="AB31" i="12" s="1"/>
  <c r="AB32" i="12" s="1"/>
  <c r="AB33" i="12" s="1"/>
  <c r="AL18" i="12"/>
  <c r="D57" i="7"/>
  <c r="F57" i="7" s="1"/>
  <c r="AS13" i="15" s="1"/>
  <c r="AT13" i="15" s="1"/>
  <c r="AQ13" i="11"/>
  <c r="AQ13" i="8"/>
  <c r="D59" i="7"/>
  <c r="F59" i="7" s="1"/>
  <c r="AS15" i="15" s="1"/>
  <c r="AT15" i="15" s="1"/>
  <c r="AQ15" i="11"/>
  <c r="AQ15" i="8"/>
  <c r="E72" i="7"/>
  <c r="G72" i="7" s="1"/>
  <c r="M72" i="7" s="1"/>
  <c r="AK15" i="11"/>
  <c r="AO15" i="11" s="1"/>
  <c r="AZ15" i="11" s="1"/>
  <c r="AK15" i="8"/>
  <c r="AO15" i="8" s="1"/>
  <c r="D58" i="7"/>
  <c r="F58" i="7" s="1"/>
  <c r="AS14" i="15" s="1"/>
  <c r="AT14" i="15" s="1"/>
  <c r="AQ14" i="11"/>
  <c r="AQ14" i="8"/>
  <c r="D60" i="7"/>
  <c r="F60" i="7" s="1"/>
  <c r="AS16" i="15" s="1"/>
  <c r="AT16" i="15" s="1"/>
  <c r="AQ16" i="11"/>
  <c r="AQ16" i="8"/>
  <c r="AK17" i="11"/>
  <c r="AQ17" i="11"/>
  <c r="AR18" i="11"/>
  <c r="AM18" i="11"/>
  <c r="AG18" i="11"/>
  <c r="AB19" i="11"/>
  <c r="AB20" i="11" s="1"/>
  <c r="AB21" i="11" s="1"/>
  <c r="AB22" i="11" s="1"/>
  <c r="AB23" i="11" s="1"/>
  <c r="AB24" i="11" s="1"/>
  <c r="AB25" i="11" s="1"/>
  <c r="AB26" i="11" s="1"/>
  <c r="AB27" i="11" s="1"/>
  <c r="AB28" i="11" s="1"/>
  <c r="AB29" i="11" s="1"/>
  <c r="AB30" i="11" s="1"/>
  <c r="AB31" i="11" s="1"/>
  <c r="AB32" i="11" s="1"/>
  <c r="AB33" i="11" s="1"/>
  <c r="AN18" i="11"/>
  <c r="AL18" i="11"/>
  <c r="AB18" i="8"/>
  <c r="AS17" i="8"/>
  <c r="AR17" i="8"/>
  <c r="AQ17" i="8"/>
  <c r="AN17" i="8"/>
  <c r="AL17" i="8"/>
  <c r="AK17" i="8"/>
  <c r="AM17" i="8"/>
  <c r="AD17" i="8"/>
  <c r="AE17" i="8"/>
  <c r="AG17" i="8"/>
  <c r="AH17" i="8"/>
  <c r="D43" i="7"/>
  <c r="AF13" i="15" s="1"/>
  <c r="H3" i="7"/>
  <c r="M3" i="7"/>
  <c r="C70" i="7"/>
  <c r="E70" i="7" s="1"/>
  <c r="G70" i="7" s="1"/>
  <c r="M70" i="7" s="1"/>
  <c r="J19" i="7"/>
  <c r="P9" i="8" s="1"/>
  <c r="S8" i="7"/>
  <c r="U8" i="7" s="1"/>
  <c r="B62" i="7"/>
  <c r="AQ18" i="15" s="1"/>
  <c r="D45" i="7"/>
  <c r="AF15" i="15" s="1"/>
  <c r="H5" i="7"/>
  <c r="G16" i="7" s="1"/>
  <c r="D47" i="7"/>
  <c r="AF17" i="15" s="1"/>
  <c r="H7" i="7"/>
  <c r="G18" i="7" s="1"/>
  <c r="D44" i="7"/>
  <c r="AF14" i="15" s="1"/>
  <c r="H4" i="7"/>
  <c r="G15" i="7" s="1"/>
  <c r="D46" i="7"/>
  <c r="AF16" i="15" s="1"/>
  <c r="H6" i="7"/>
  <c r="G17" i="7" s="1"/>
  <c r="D48" i="7"/>
  <c r="G19" i="7"/>
  <c r="L9" i="8" s="1"/>
  <c r="C14" i="7"/>
  <c r="C48" i="2"/>
  <c r="E16" i="7"/>
  <c r="E45" i="7"/>
  <c r="AG15" i="15" s="1"/>
  <c r="L14" i="7"/>
  <c r="K14" i="7"/>
  <c r="K17" i="7"/>
  <c r="L17" i="7"/>
  <c r="M5" i="7"/>
  <c r="J16" i="7" s="1"/>
  <c r="M7" i="7"/>
  <c r="J18" i="7" s="1"/>
  <c r="D14" i="7"/>
  <c r="F14" i="7"/>
  <c r="D17" i="7"/>
  <c r="F17" i="7"/>
  <c r="C17" i="7"/>
  <c r="D19" i="7"/>
  <c r="I9" i="8" s="1"/>
  <c r="F19" i="7"/>
  <c r="K9" i="8" s="1"/>
  <c r="C19" i="7"/>
  <c r="S4" i="7"/>
  <c r="S6" i="7"/>
  <c r="O19" i="7"/>
  <c r="W9" i="8" s="1"/>
  <c r="J14" i="7"/>
  <c r="E17" i="7"/>
  <c r="D16" i="7"/>
  <c r="F16" i="7"/>
  <c r="C16" i="7"/>
  <c r="S3" i="7"/>
  <c r="S5" i="7"/>
  <c r="S7" i="7"/>
  <c r="L15" i="7"/>
  <c r="K15" i="7"/>
  <c r="K19" i="7"/>
  <c r="Q9" i="8" s="1"/>
  <c r="L19" i="7"/>
  <c r="R9" i="8" s="1"/>
  <c r="D15" i="7"/>
  <c r="F15" i="7"/>
  <c r="C15" i="7"/>
  <c r="U4" i="7"/>
  <c r="X4" i="7" s="1"/>
  <c r="D18" i="7"/>
  <c r="F18" i="7"/>
  <c r="C18" i="7"/>
  <c r="E14" i="7"/>
  <c r="E18" i="7"/>
  <c r="J17" i="7"/>
  <c r="E15" i="7"/>
  <c r="E19" i="7"/>
  <c r="J9" i="8" s="1"/>
  <c r="C43" i="2"/>
  <c r="D43" i="2" s="1"/>
  <c r="C44" i="2"/>
  <c r="D44" i="2" s="1"/>
  <c r="D48" i="2"/>
  <c r="C8" i="3"/>
  <c r="E26" i="3"/>
  <c r="F21" i="3"/>
  <c r="F22" i="3" s="1"/>
  <c r="F23" i="3" s="1"/>
  <c r="F24" i="3" s="1"/>
  <c r="N52" i="15" l="1"/>
  <c r="AU16" i="15"/>
  <c r="BI16" i="15"/>
  <c r="BJ16" i="15"/>
  <c r="BK16" i="15"/>
  <c r="BI13" i="15"/>
  <c r="BJ13" i="15"/>
  <c r="BK13" i="15"/>
  <c r="AU13" i="15"/>
  <c r="BJ17" i="15"/>
  <c r="BK17" i="15"/>
  <c r="AU17" i="15"/>
  <c r="BI17" i="15"/>
  <c r="BJ14" i="15"/>
  <c r="BK14" i="15"/>
  <c r="AU14" i="15"/>
  <c r="BI14" i="15"/>
  <c r="AU15" i="15"/>
  <c r="BI15" i="15"/>
  <c r="BJ15" i="15"/>
  <c r="BK15" i="15"/>
  <c r="BH21" i="15"/>
  <c r="BF21" i="15"/>
  <c r="BG21" i="15"/>
  <c r="L23" i="15"/>
  <c r="AH23" i="15" s="1"/>
  <c r="AF23" i="15"/>
  <c r="H23" i="15"/>
  <c r="AD23" i="15" s="1"/>
  <c r="K23" i="15"/>
  <c r="AG23" i="15" s="1"/>
  <c r="I23" i="15"/>
  <c r="AE23" i="15" s="1"/>
  <c r="F23" i="15"/>
  <c r="AJ22" i="15"/>
  <c r="B25" i="15"/>
  <c r="A26" i="15"/>
  <c r="BD21" i="15"/>
  <c r="BE21" i="15"/>
  <c r="BC21" i="15"/>
  <c r="AO22" i="15"/>
  <c r="AM23" i="15"/>
  <c r="AK23" i="15"/>
  <c r="Q23" i="15"/>
  <c r="AL23" i="15" s="1"/>
  <c r="W23" i="15"/>
  <c r="X23" i="15"/>
  <c r="AR23" i="15" s="1"/>
  <c r="M22" i="15"/>
  <c r="BB26" i="15"/>
  <c r="BL25" i="15"/>
  <c r="E24" i="15"/>
  <c r="C24" i="15"/>
  <c r="D24" i="15"/>
  <c r="O24" i="15" s="1"/>
  <c r="R24" i="15" s="1"/>
  <c r="AQ22" i="15"/>
  <c r="Y22" i="15"/>
  <c r="S22" i="15"/>
  <c r="AT17" i="12"/>
  <c r="BA17" i="12" s="1"/>
  <c r="BM33" i="13"/>
  <c r="BL33" i="13"/>
  <c r="AN41" i="13"/>
  <c r="AI41" i="13"/>
  <c r="AN41" i="12"/>
  <c r="AI41" i="12"/>
  <c r="AN41" i="11"/>
  <c r="AI41" i="11"/>
  <c r="E40" i="12"/>
  <c r="D40" i="12"/>
  <c r="C40" i="12"/>
  <c r="BM37" i="13"/>
  <c r="BL37" i="13"/>
  <c r="BK37" i="13"/>
  <c r="M38" i="12"/>
  <c r="AD38" i="12"/>
  <c r="AJ38" i="12" s="1"/>
  <c r="AY38" i="12" s="1"/>
  <c r="AQ38" i="11"/>
  <c r="Y38" i="11"/>
  <c r="M38" i="11"/>
  <c r="BL37" i="12"/>
  <c r="BK37" i="12"/>
  <c r="BJ37" i="12"/>
  <c r="R39" i="11"/>
  <c r="AM39" i="11" s="1"/>
  <c r="Q39" i="11"/>
  <c r="AL39" i="11" s="1"/>
  <c r="P39" i="11"/>
  <c r="AK39" i="11" s="1"/>
  <c r="L39" i="12"/>
  <c r="AH39" i="12" s="1"/>
  <c r="K39" i="12"/>
  <c r="AG39" i="12" s="1"/>
  <c r="J39" i="12"/>
  <c r="AF39" i="12" s="1"/>
  <c r="I39" i="12"/>
  <c r="AE39" i="12" s="1"/>
  <c r="H39" i="12"/>
  <c r="F39" i="12"/>
  <c r="X39" i="12"/>
  <c r="AR39" i="12" s="1"/>
  <c r="W39" i="12"/>
  <c r="BL38" i="11"/>
  <c r="BK38" i="11"/>
  <c r="BJ38" i="11"/>
  <c r="AQ38" i="13"/>
  <c r="Y38" i="13"/>
  <c r="M38" i="13"/>
  <c r="AD38" i="13"/>
  <c r="AJ38" i="13" s="1"/>
  <c r="AY38" i="13" s="1"/>
  <c r="R39" i="13"/>
  <c r="AM39" i="13" s="1"/>
  <c r="Q39" i="13"/>
  <c r="AL39" i="13" s="1"/>
  <c r="P39" i="13"/>
  <c r="E40" i="11"/>
  <c r="D40" i="11"/>
  <c r="C40" i="11"/>
  <c r="E40" i="13"/>
  <c r="D40" i="13"/>
  <c r="C40" i="13"/>
  <c r="AQ38" i="12"/>
  <c r="Y38" i="12"/>
  <c r="BI38" i="11"/>
  <c r="BH38" i="11"/>
  <c r="BG38" i="11"/>
  <c r="AK38" i="13"/>
  <c r="AO38" i="13" s="1"/>
  <c r="AZ38" i="13" s="1"/>
  <c r="S38" i="13"/>
  <c r="L39" i="11"/>
  <c r="AH39" i="11" s="1"/>
  <c r="K39" i="11"/>
  <c r="AG39" i="11" s="1"/>
  <c r="J39" i="11"/>
  <c r="AF39" i="11" s="1"/>
  <c r="I39" i="11"/>
  <c r="AE39" i="11" s="1"/>
  <c r="H39" i="11"/>
  <c r="AD39" i="11" s="1"/>
  <c r="F39" i="11"/>
  <c r="X39" i="11"/>
  <c r="AR39" i="11" s="1"/>
  <c r="W39" i="11"/>
  <c r="R39" i="12"/>
  <c r="AM39" i="12" s="1"/>
  <c r="Q39" i="12"/>
  <c r="AL39" i="12" s="1"/>
  <c r="P39" i="12"/>
  <c r="AK38" i="12"/>
  <c r="AO38" i="12" s="1"/>
  <c r="AZ38" i="12" s="1"/>
  <c r="S38" i="12"/>
  <c r="BI37" i="12"/>
  <c r="BH37" i="12"/>
  <c r="BG37" i="12"/>
  <c r="BP37" i="13"/>
  <c r="BO37" i="13"/>
  <c r="BN37" i="13"/>
  <c r="S38" i="11"/>
  <c r="L39" i="13"/>
  <c r="AH39" i="13" s="1"/>
  <c r="K39" i="13"/>
  <c r="J39" i="13"/>
  <c r="AF39" i="13" s="1"/>
  <c r="I39" i="13"/>
  <c r="AE39" i="13" s="1"/>
  <c r="H39" i="13"/>
  <c r="AD39" i="13" s="1"/>
  <c r="F39" i="13"/>
  <c r="N39" i="13"/>
  <c r="X39" i="13"/>
  <c r="AR39" i="13" s="1"/>
  <c r="W39" i="13"/>
  <c r="BE38" i="13"/>
  <c r="BF38" i="13" s="1"/>
  <c r="BD39" i="13"/>
  <c r="CE41" i="13"/>
  <c r="CG40" i="13"/>
  <c r="CC45" i="13"/>
  <c r="AO15" i="13"/>
  <c r="AZ15" i="13" s="1"/>
  <c r="BP15" i="13" s="1"/>
  <c r="AN17" i="11"/>
  <c r="AO17" i="11" s="1"/>
  <c r="AZ17" i="11" s="1"/>
  <c r="AO17" i="13"/>
  <c r="AZ17" i="13" s="1"/>
  <c r="BO17" i="13" s="1"/>
  <c r="AN17" i="12"/>
  <c r="AO17" i="12" s="1"/>
  <c r="AZ17" i="12" s="1"/>
  <c r="B41" i="11"/>
  <c r="B41" i="8"/>
  <c r="B41" i="13"/>
  <c r="B41" i="12"/>
  <c r="AK38" i="8"/>
  <c r="AO38" i="8" s="1"/>
  <c r="S38" i="8"/>
  <c r="BE37" i="8"/>
  <c r="BD37" i="8"/>
  <c r="BC37" i="8"/>
  <c r="L39" i="8"/>
  <c r="AH39" i="8" s="1"/>
  <c r="K39" i="8"/>
  <c r="AG39" i="8" s="1"/>
  <c r="J39" i="8"/>
  <c r="AF39" i="8" s="1"/>
  <c r="I39" i="8"/>
  <c r="AE39" i="8" s="1"/>
  <c r="H39" i="8"/>
  <c r="F39" i="8"/>
  <c r="X39" i="8"/>
  <c r="AR39" i="8" s="1"/>
  <c r="W39" i="8"/>
  <c r="B34" i="9"/>
  <c r="C34" i="9" s="1"/>
  <c r="E34" i="9" s="1"/>
  <c r="O35" i="3"/>
  <c r="P35" i="3" s="1"/>
  <c r="N35" i="3" s="1"/>
  <c r="Q35" i="3" s="1"/>
  <c r="AQ38" i="8"/>
  <c r="Y38" i="8"/>
  <c r="E40" i="8"/>
  <c r="D40" i="8"/>
  <c r="C40" i="8"/>
  <c r="AN16" i="13"/>
  <c r="AO16" i="13" s="1"/>
  <c r="AZ16" i="13" s="1"/>
  <c r="AN16" i="12"/>
  <c r="AO16" i="12" s="1"/>
  <c r="AZ16" i="12" s="1"/>
  <c r="AN16" i="11"/>
  <c r="AO16" i="11" s="1"/>
  <c r="AZ16" i="11" s="1"/>
  <c r="AN16" i="8"/>
  <c r="AO16" i="8" s="1"/>
  <c r="AN14" i="12"/>
  <c r="AO14" i="12" s="1"/>
  <c r="AZ14" i="12" s="1"/>
  <c r="BL14" i="12" s="1"/>
  <c r="AN14" i="8"/>
  <c r="AO14" i="8" s="1"/>
  <c r="AN14" i="13"/>
  <c r="AO14" i="13" s="1"/>
  <c r="AZ14" i="13" s="1"/>
  <c r="AN14" i="11"/>
  <c r="AO14" i="11" s="1"/>
  <c r="AZ14" i="11" s="1"/>
  <c r="AN41" i="8"/>
  <c r="AI41" i="8"/>
  <c r="R39" i="8"/>
  <c r="AM39" i="8" s="1"/>
  <c r="Q39" i="8"/>
  <c r="AL39" i="8" s="1"/>
  <c r="P39" i="8"/>
  <c r="C37" i="3"/>
  <c r="D36" i="3"/>
  <c r="B36" i="3" s="1"/>
  <c r="AD38" i="8"/>
  <c r="AJ38" i="8" s="1"/>
  <c r="M38" i="8"/>
  <c r="BH37" i="8"/>
  <c r="BG37" i="8"/>
  <c r="BF37" i="8"/>
  <c r="AN18" i="13"/>
  <c r="AO18" i="13" s="1"/>
  <c r="AZ18" i="13" s="1"/>
  <c r="M75" i="7"/>
  <c r="BJ14" i="12"/>
  <c r="BK15" i="12"/>
  <c r="BH13" i="8"/>
  <c r="BF13" i="8"/>
  <c r="BG13" i="8"/>
  <c r="AO17" i="8"/>
  <c r="BF17" i="8" s="1"/>
  <c r="BL13" i="11"/>
  <c r="BJ15" i="12"/>
  <c r="BO13" i="13"/>
  <c r="BP13" i="13"/>
  <c r="BJ13" i="11"/>
  <c r="BK13" i="12"/>
  <c r="BL13" i="12"/>
  <c r="BJ13" i="12"/>
  <c r="I18" i="7"/>
  <c r="I13" i="7" s="1"/>
  <c r="I19" i="7"/>
  <c r="AF16" i="12"/>
  <c r="AF16" i="13"/>
  <c r="AF17" i="12"/>
  <c r="AF17" i="13"/>
  <c r="AG15" i="12"/>
  <c r="AG15" i="13"/>
  <c r="D62" i="7"/>
  <c r="F62" i="7" s="1"/>
  <c r="AS18" i="15" s="1"/>
  <c r="AS19" i="15" s="1"/>
  <c r="AQ18" i="13"/>
  <c r="AF13" i="12"/>
  <c r="AF13" i="13"/>
  <c r="AS14" i="12"/>
  <c r="AT14" i="12" s="1"/>
  <c r="BA14" i="12" s="1"/>
  <c r="AS14" i="13"/>
  <c r="AT14" i="13" s="1"/>
  <c r="AS15" i="12"/>
  <c r="AT15" i="12" s="1"/>
  <c r="BA15" i="12" s="1"/>
  <c r="AS15" i="13"/>
  <c r="AT15" i="13" s="1"/>
  <c r="AS17" i="11"/>
  <c r="AT17" i="11" s="1"/>
  <c r="AS17" i="13"/>
  <c r="AT17" i="13" s="1"/>
  <c r="BP17" i="13"/>
  <c r="BN17" i="13"/>
  <c r="BO15" i="13"/>
  <c r="AF14" i="12"/>
  <c r="AF14" i="13"/>
  <c r="AF15" i="12"/>
  <c r="AF15" i="13"/>
  <c r="AS16" i="12"/>
  <c r="AT16" i="12" s="1"/>
  <c r="BA16" i="12" s="1"/>
  <c r="AS16" i="13"/>
  <c r="AT16" i="13" s="1"/>
  <c r="AS13" i="12"/>
  <c r="AT13" i="12" s="1"/>
  <c r="AS13" i="13"/>
  <c r="AT13" i="13" s="1"/>
  <c r="AU14" i="12"/>
  <c r="AU16" i="12"/>
  <c r="AU15" i="12"/>
  <c r="AS18" i="12"/>
  <c r="AS19" i="12" s="1"/>
  <c r="AT19" i="12" s="1"/>
  <c r="BA19" i="12" s="1"/>
  <c r="BL15" i="11"/>
  <c r="BK15" i="11"/>
  <c r="BJ15" i="11"/>
  <c r="AQ18" i="12"/>
  <c r="AT18" i="12" s="1"/>
  <c r="BA18" i="12" s="1"/>
  <c r="BA13" i="12"/>
  <c r="AU13" i="12"/>
  <c r="AO18" i="12"/>
  <c r="AZ18" i="12" s="1"/>
  <c r="AS20" i="12"/>
  <c r="AU17" i="12"/>
  <c r="AO18" i="11"/>
  <c r="AZ18" i="11" s="1"/>
  <c r="AG15" i="8"/>
  <c r="AG15" i="11"/>
  <c r="AF16" i="8"/>
  <c r="AF16" i="11"/>
  <c r="AF14" i="8"/>
  <c r="AF14" i="11"/>
  <c r="AF17" i="8"/>
  <c r="AF17" i="11"/>
  <c r="AF15" i="8"/>
  <c r="AF15" i="11"/>
  <c r="BF16" i="8"/>
  <c r="BH16" i="8"/>
  <c r="BG16" i="8"/>
  <c r="AQ18" i="11"/>
  <c r="AS14" i="11"/>
  <c r="AT14" i="11" s="1"/>
  <c r="BA14" i="11" s="1"/>
  <c r="AS14" i="8"/>
  <c r="AT14" i="8" s="1"/>
  <c r="AS15" i="11"/>
  <c r="AS15" i="8"/>
  <c r="AT15" i="8" s="1"/>
  <c r="AF13" i="8"/>
  <c r="AF13" i="11"/>
  <c r="AS16" i="11"/>
  <c r="AT16" i="11" s="1"/>
  <c r="BA16" i="11" s="1"/>
  <c r="AS16" i="8"/>
  <c r="AT16" i="8" s="1"/>
  <c r="BF15" i="8"/>
  <c r="BH15" i="8"/>
  <c r="BG15" i="8"/>
  <c r="AT15" i="11"/>
  <c r="BA15" i="11" s="1"/>
  <c r="AS13" i="11"/>
  <c r="AT13" i="11" s="1"/>
  <c r="BA13" i="11" s="1"/>
  <c r="AS13" i="8"/>
  <c r="AT13" i="8" s="1"/>
  <c r="AT17" i="8"/>
  <c r="AU16" i="8"/>
  <c r="AB19" i="8"/>
  <c r="AB20" i="8" s="1"/>
  <c r="AB21" i="8" s="1"/>
  <c r="AB22" i="8" s="1"/>
  <c r="AB23" i="8" s="1"/>
  <c r="AB24" i="8" s="1"/>
  <c r="AB25" i="8" s="1"/>
  <c r="AB26" i="8" s="1"/>
  <c r="AB27" i="8" s="1"/>
  <c r="AB28" i="8" s="1"/>
  <c r="AB29" i="8" s="1"/>
  <c r="AB30" i="8" s="1"/>
  <c r="AB31" i="8" s="1"/>
  <c r="AB32" i="8" s="1"/>
  <c r="AB33" i="8" s="1"/>
  <c r="AR18" i="8"/>
  <c r="AQ18" i="8"/>
  <c r="AS18" i="8"/>
  <c r="AS19" i="8" s="1"/>
  <c r="AS20" i="8" s="1"/>
  <c r="AS21" i="8" s="1"/>
  <c r="AS22" i="8" s="1"/>
  <c r="AS23" i="8" s="1"/>
  <c r="AS24" i="8" s="1"/>
  <c r="AS25" i="8" s="1"/>
  <c r="AS26" i="8" s="1"/>
  <c r="AS27" i="8" s="1"/>
  <c r="AS28" i="8" s="1"/>
  <c r="AS29" i="8" s="1"/>
  <c r="AS30" i="8" s="1"/>
  <c r="AS31" i="8" s="1"/>
  <c r="AS32" i="8" s="1"/>
  <c r="AS33" i="8" s="1"/>
  <c r="AS34" i="8" s="1"/>
  <c r="AM18" i="8"/>
  <c r="AL18" i="8"/>
  <c r="AN18" i="8"/>
  <c r="AG18" i="8"/>
  <c r="W8" i="7"/>
  <c r="X8" i="7"/>
  <c r="C9" i="8" s="1"/>
  <c r="H18" i="7"/>
  <c r="H15" i="7"/>
  <c r="H16" i="7"/>
  <c r="U6" i="7"/>
  <c r="X6" i="7" s="1"/>
  <c r="H9" i="8"/>
  <c r="M9" i="8" s="1"/>
  <c r="H19" i="7"/>
  <c r="U3" i="7"/>
  <c r="Y3" i="7" s="1"/>
  <c r="G14" i="7"/>
  <c r="O18" i="7"/>
  <c r="O15" i="7"/>
  <c r="Y4" i="7"/>
  <c r="H17" i="7"/>
  <c r="Y8" i="7"/>
  <c r="D9" i="8" s="1"/>
  <c r="S9" i="8"/>
  <c r="H14" i="7"/>
  <c r="G48" i="7"/>
  <c r="I48" i="7" s="1"/>
  <c r="AI18" i="15" s="1"/>
  <c r="AJ18" i="15" s="1"/>
  <c r="G46" i="7"/>
  <c r="I46" i="7" s="1"/>
  <c r="AI16" i="15" s="1"/>
  <c r="AJ16" i="15" s="1"/>
  <c r="G44" i="7"/>
  <c r="I44" i="7" s="1"/>
  <c r="AI14" i="15" s="1"/>
  <c r="AJ14" i="15" s="1"/>
  <c r="G47" i="7"/>
  <c r="I47" i="7" s="1"/>
  <c r="AI17" i="15" s="1"/>
  <c r="AJ17" i="15" s="1"/>
  <c r="G45" i="7"/>
  <c r="I45" i="7" s="1"/>
  <c r="AI15" i="15" s="1"/>
  <c r="AJ15" i="15" s="1"/>
  <c r="G43" i="7"/>
  <c r="I43" i="7" s="1"/>
  <c r="AI13" i="15" s="1"/>
  <c r="AJ13" i="15" s="1"/>
  <c r="U5" i="7"/>
  <c r="W5" i="7" s="1"/>
  <c r="U7" i="7"/>
  <c r="W7" i="7" s="1"/>
  <c r="M19" i="7"/>
  <c r="M14" i="7"/>
  <c r="M15" i="7"/>
  <c r="O16" i="7"/>
  <c r="O14" i="7"/>
  <c r="O17" i="7"/>
  <c r="W6" i="7"/>
  <c r="M17" i="7"/>
  <c r="W4" i="7"/>
  <c r="Z4" i="7" s="1"/>
  <c r="P18" i="7"/>
  <c r="R18" i="7" s="1"/>
  <c r="P16" i="7"/>
  <c r="R16" i="7" s="1"/>
  <c r="P14" i="7"/>
  <c r="P19" i="7"/>
  <c r="P17" i="7"/>
  <c r="P15" i="7"/>
  <c r="R15" i="7" s="1"/>
  <c r="L18" i="7"/>
  <c r="K18" i="7"/>
  <c r="L16" i="7"/>
  <c r="X5" i="7"/>
  <c r="K16" i="7"/>
  <c r="M16" i="7" s="1"/>
  <c r="C9" i="3"/>
  <c r="D8" i="3"/>
  <c r="B8" i="3" s="1"/>
  <c r="O8" i="3" s="1"/>
  <c r="P8" i="3" s="1"/>
  <c r="N8" i="3" s="1"/>
  <c r="Q8" i="3" s="1"/>
  <c r="N53" i="15" l="1"/>
  <c r="BE13" i="15"/>
  <c r="BO13" i="15" s="1"/>
  <c r="BD13" i="15"/>
  <c r="BN13" i="15" s="1"/>
  <c r="BC13" i="15"/>
  <c r="BM13" i="15" s="1"/>
  <c r="AX13" i="15"/>
  <c r="BD17" i="15"/>
  <c r="BN17" i="15" s="1"/>
  <c r="BC17" i="15"/>
  <c r="BM17" i="15" s="1"/>
  <c r="BE17" i="15"/>
  <c r="BO17" i="15" s="1"/>
  <c r="AX17" i="15"/>
  <c r="BD16" i="15"/>
  <c r="BN16" i="15" s="1"/>
  <c r="BC16" i="15"/>
  <c r="BM16" i="15" s="1"/>
  <c r="BE16" i="15"/>
  <c r="BO16" i="15" s="1"/>
  <c r="AX16" i="15"/>
  <c r="BD15" i="15"/>
  <c r="BN15" i="15" s="1"/>
  <c r="BC15" i="15"/>
  <c r="BM15" i="15" s="1"/>
  <c r="BE15" i="15"/>
  <c r="BO15" i="15" s="1"/>
  <c r="AX15" i="15"/>
  <c r="BD14" i="15"/>
  <c r="BN14" i="15" s="1"/>
  <c r="BC14" i="15"/>
  <c r="BM14" i="15" s="1"/>
  <c r="BE14" i="15"/>
  <c r="BO14" i="15" s="1"/>
  <c r="AX14" i="15"/>
  <c r="BD18" i="15"/>
  <c r="BC18" i="15"/>
  <c r="BE18" i="15"/>
  <c r="AT18" i="15"/>
  <c r="AS20" i="15"/>
  <c r="AT19" i="15"/>
  <c r="L24" i="15"/>
  <c r="AH24" i="15" s="1"/>
  <c r="AF24" i="15"/>
  <c r="H24" i="15"/>
  <c r="AD24" i="15" s="1"/>
  <c r="K24" i="15"/>
  <c r="AG24" i="15" s="1"/>
  <c r="I24" i="15"/>
  <c r="AE24" i="15" s="1"/>
  <c r="F24" i="15"/>
  <c r="AO23" i="15"/>
  <c r="BH22" i="15"/>
  <c r="BF22" i="15"/>
  <c r="BG22" i="15"/>
  <c r="D25" i="15"/>
  <c r="O25" i="15" s="1"/>
  <c r="R25" i="15" s="1"/>
  <c r="E25" i="15"/>
  <c r="C25" i="15"/>
  <c r="AJ23" i="15"/>
  <c r="AM24" i="15"/>
  <c r="AK24" i="15"/>
  <c r="Q24" i="15"/>
  <c r="AL24" i="15" s="1"/>
  <c r="W24" i="15"/>
  <c r="X24" i="15"/>
  <c r="AR24" i="15" s="1"/>
  <c r="BB27" i="15"/>
  <c r="BL26" i="15"/>
  <c r="AQ23" i="15"/>
  <c r="Y23" i="15"/>
  <c r="S23" i="15"/>
  <c r="B26" i="15"/>
  <c r="A27" i="15"/>
  <c r="BD22" i="15"/>
  <c r="BE22" i="15"/>
  <c r="BC22" i="15"/>
  <c r="M23" i="15"/>
  <c r="AI15" i="13"/>
  <c r="AI14" i="13"/>
  <c r="AI13" i="13"/>
  <c r="AI17" i="13"/>
  <c r="AI16" i="13"/>
  <c r="AS35" i="8"/>
  <c r="AT34" i="8"/>
  <c r="E41" i="13"/>
  <c r="D41" i="13"/>
  <c r="C41" i="13"/>
  <c r="E41" i="11"/>
  <c r="D41" i="11"/>
  <c r="C41" i="11"/>
  <c r="AQ39" i="13"/>
  <c r="Y39" i="13"/>
  <c r="AK39" i="12"/>
  <c r="AO39" i="12" s="1"/>
  <c r="AZ39" i="12" s="1"/>
  <c r="S39" i="12"/>
  <c r="AJ39" i="11"/>
  <c r="AY39" i="11" s="1"/>
  <c r="BP38" i="13"/>
  <c r="BO38" i="13"/>
  <c r="BN38" i="13"/>
  <c r="J40" i="13"/>
  <c r="AF40" i="13" s="1"/>
  <c r="I40" i="13"/>
  <c r="AE40" i="13" s="1"/>
  <c r="H40" i="13"/>
  <c r="L40" i="13"/>
  <c r="AH40" i="13" s="1"/>
  <c r="K40" i="13"/>
  <c r="AG40" i="13" s="1"/>
  <c r="N40" i="13"/>
  <c r="F40" i="13"/>
  <c r="X40" i="13"/>
  <c r="AR40" i="13" s="1"/>
  <c r="W40" i="13"/>
  <c r="R40" i="11"/>
  <c r="AM40" i="11" s="1"/>
  <c r="Q40" i="11"/>
  <c r="AL40" i="11" s="1"/>
  <c r="P40" i="11"/>
  <c r="AK40" i="11" s="1"/>
  <c r="AK39" i="13"/>
  <c r="AO39" i="13" s="1"/>
  <c r="AZ39" i="13" s="1"/>
  <c r="S39" i="13"/>
  <c r="AQ39" i="12"/>
  <c r="Y39" i="12"/>
  <c r="AO39" i="11"/>
  <c r="AZ39" i="11" s="1"/>
  <c r="L40" i="12"/>
  <c r="AH40" i="12" s="1"/>
  <c r="K40" i="12"/>
  <c r="AG40" i="12" s="1"/>
  <c r="J40" i="12"/>
  <c r="AF40" i="12" s="1"/>
  <c r="I40" i="12"/>
  <c r="AE40" i="12" s="1"/>
  <c r="H40" i="12"/>
  <c r="F40" i="12"/>
  <c r="X40" i="12"/>
  <c r="AR40" i="12" s="1"/>
  <c r="W40" i="12"/>
  <c r="AN42" i="13"/>
  <c r="AI42" i="13"/>
  <c r="AN42" i="12"/>
  <c r="AI42" i="12"/>
  <c r="AN42" i="11"/>
  <c r="AI42" i="11"/>
  <c r="E41" i="12"/>
  <c r="D41" i="12"/>
  <c r="C41" i="12"/>
  <c r="BM38" i="13"/>
  <c r="BL38" i="13"/>
  <c r="BK38" i="13"/>
  <c r="M39" i="13"/>
  <c r="AG39" i="13"/>
  <c r="AJ39" i="13" s="1"/>
  <c r="AY39" i="13" s="1"/>
  <c r="BL38" i="12"/>
  <c r="BK38" i="12"/>
  <c r="BJ38" i="12"/>
  <c r="AQ39" i="11"/>
  <c r="Y39" i="11"/>
  <c r="M39" i="11"/>
  <c r="R40" i="13"/>
  <c r="AM40" i="13" s="1"/>
  <c r="Q40" i="13"/>
  <c r="AL40" i="13" s="1"/>
  <c r="P40" i="13"/>
  <c r="L40" i="11"/>
  <c r="AH40" i="11" s="1"/>
  <c r="K40" i="11"/>
  <c r="AG40" i="11" s="1"/>
  <c r="J40" i="11"/>
  <c r="AF40" i="11" s="1"/>
  <c r="I40" i="11"/>
  <c r="AE40" i="11" s="1"/>
  <c r="H40" i="11"/>
  <c r="AD40" i="11" s="1"/>
  <c r="AJ40" i="11" s="1"/>
  <c r="AY40" i="11" s="1"/>
  <c r="F40" i="11"/>
  <c r="X40" i="11"/>
  <c r="AR40" i="11" s="1"/>
  <c r="W40" i="11"/>
  <c r="AD39" i="12"/>
  <c r="AJ39" i="12" s="1"/>
  <c r="AY39" i="12" s="1"/>
  <c r="M39" i="12"/>
  <c r="S39" i="11"/>
  <c r="BI38" i="12"/>
  <c r="BH38" i="12"/>
  <c r="BG38" i="12"/>
  <c r="R40" i="12"/>
  <c r="AM40" i="12" s="1"/>
  <c r="Q40" i="12"/>
  <c r="AL40" i="12" s="1"/>
  <c r="P40" i="12"/>
  <c r="BE39" i="13"/>
  <c r="BD40" i="13"/>
  <c r="CC46" i="13"/>
  <c r="CE42" i="13"/>
  <c r="CG41" i="13"/>
  <c r="BK17" i="11"/>
  <c r="BL17" i="11"/>
  <c r="BJ17" i="11"/>
  <c r="BN15" i="13"/>
  <c r="BK14" i="12"/>
  <c r="BJ17" i="12"/>
  <c r="BK17" i="12"/>
  <c r="BL17" i="12"/>
  <c r="BN18" i="13"/>
  <c r="BP18" i="13"/>
  <c r="BO18" i="13"/>
  <c r="BE38" i="8"/>
  <c r="BD38" i="8"/>
  <c r="BC38" i="8"/>
  <c r="C38" i="3"/>
  <c r="D37" i="3"/>
  <c r="B37" i="3" s="1"/>
  <c r="BK14" i="11"/>
  <c r="BL14" i="11"/>
  <c r="BJ14" i="11"/>
  <c r="BH14" i="8"/>
  <c r="BF14" i="8"/>
  <c r="BG14" i="8"/>
  <c r="BL16" i="12"/>
  <c r="BK16" i="12"/>
  <c r="BJ16" i="12"/>
  <c r="L40" i="8"/>
  <c r="AH40" i="8" s="1"/>
  <c r="K40" i="8"/>
  <c r="AG40" i="8" s="1"/>
  <c r="J40" i="8"/>
  <c r="AF40" i="8" s="1"/>
  <c r="I40" i="8"/>
  <c r="AE40" i="8" s="1"/>
  <c r="H40" i="8"/>
  <c r="F40" i="8"/>
  <c r="X40" i="8"/>
  <c r="AR40" i="8" s="1"/>
  <c r="W40" i="8"/>
  <c r="AN42" i="8"/>
  <c r="AI42" i="8"/>
  <c r="AQ39" i="8"/>
  <c r="Y39" i="8"/>
  <c r="E41" i="8"/>
  <c r="D41" i="8"/>
  <c r="C41" i="8"/>
  <c r="B35" i="9"/>
  <c r="C35" i="9" s="1"/>
  <c r="E35" i="9" s="1"/>
  <c r="O36" i="3"/>
  <c r="P36" i="3" s="1"/>
  <c r="N36" i="3" s="1"/>
  <c r="Q36" i="3" s="1"/>
  <c r="AK39" i="8"/>
  <c r="AO39" i="8" s="1"/>
  <c r="S39" i="8"/>
  <c r="BP14" i="13"/>
  <c r="BN14" i="13"/>
  <c r="BO14" i="13"/>
  <c r="BL16" i="11"/>
  <c r="BJ16" i="11"/>
  <c r="BK16" i="11"/>
  <c r="BP16" i="13"/>
  <c r="BN16" i="13"/>
  <c r="BO16" i="13"/>
  <c r="R40" i="8"/>
  <c r="AM40" i="8" s="1"/>
  <c r="Q40" i="8"/>
  <c r="AL40" i="8" s="1"/>
  <c r="P40" i="8"/>
  <c r="B42" i="13"/>
  <c r="B42" i="12"/>
  <c r="B42" i="11"/>
  <c r="B42" i="8"/>
  <c r="AD39" i="8"/>
  <c r="AJ39" i="8" s="1"/>
  <c r="M39" i="8"/>
  <c r="BH38" i="8"/>
  <c r="BG38" i="8"/>
  <c r="BF38" i="8"/>
  <c r="BG17" i="8"/>
  <c r="BH17" i="8"/>
  <c r="BL18" i="11"/>
  <c r="BK18" i="11"/>
  <c r="BJ18" i="11"/>
  <c r="BA17" i="11"/>
  <c r="AU17" i="11"/>
  <c r="AU15" i="13"/>
  <c r="BA15" i="13"/>
  <c r="AU16" i="13"/>
  <c r="BA16" i="13"/>
  <c r="AS18" i="11"/>
  <c r="AS19" i="11" s="1"/>
  <c r="AS18" i="13"/>
  <c r="AS19" i="13" s="1"/>
  <c r="AI18" i="12"/>
  <c r="AJ18" i="12" s="1"/>
  <c r="AY18" i="12" s="1"/>
  <c r="BI18" i="12" s="1"/>
  <c r="AI18" i="13"/>
  <c r="AJ18" i="13" s="1"/>
  <c r="AY18" i="13" s="1"/>
  <c r="BF18" i="13" s="1"/>
  <c r="AT18" i="8"/>
  <c r="BA13" i="13"/>
  <c r="BQ13" i="13" s="1"/>
  <c r="AU13" i="13"/>
  <c r="AU17" i="13"/>
  <c r="BA17" i="13"/>
  <c r="AJ15" i="13"/>
  <c r="AY15" i="13" s="1"/>
  <c r="BF15" i="13" s="1"/>
  <c r="AJ14" i="13"/>
  <c r="AY14" i="13" s="1"/>
  <c r="BF14" i="13" s="1"/>
  <c r="AU14" i="13"/>
  <c r="BA14" i="13"/>
  <c r="AJ13" i="13"/>
  <c r="AY13" i="13" s="1"/>
  <c r="BF13" i="13" s="1"/>
  <c r="AJ17" i="13"/>
  <c r="AY17" i="13" s="1"/>
  <c r="BF17" i="13" s="1"/>
  <c r="AJ16" i="13"/>
  <c r="AY16" i="13" s="1"/>
  <c r="BF16" i="13" s="1"/>
  <c r="BG18" i="12"/>
  <c r="AI15" i="11"/>
  <c r="AI15" i="12"/>
  <c r="AJ15" i="12" s="1"/>
  <c r="AI14" i="11"/>
  <c r="AI14" i="12"/>
  <c r="AJ14" i="12" s="1"/>
  <c r="BO15" i="11"/>
  <c r="BN15" i="11"/>
  <c r="BM15" i="11"/>
  <c r="BN13" i="12"/>
  <c r="BO13" i="12"/>
  <c r="BM13" i="12"/>
  <c r="AI13" i="11"/>
  <c r="AI13" i="12"/>
  <c r="AJ13" i="12" s="1"/>
  <c r="AI17" i="11"/>
  <c r="AI17" i="12"/>
  <c r="AJ17" i="12" s="1"/>
  <c r="AI16" i="11"/>
  <c r="AI16" i="12"/>
  <c r="AJ16" i="12" s="1"/>
  <c r="BO13" i="11"/>
  <c r="BM13" i="11"/>
  <c r="BN13" i="11"/>
  <c r="BO16" i="11"/>
  <c r="BN16" i="11"/>
  <c r="BM16" i="11"/>
  <c r="BO14" i="11"/>
  <c r="BN14" i="11"/>
  <c r="BM14" i="11"/>
  <c r="BN15" i="12"/>
  <c r="BM15" i="12"/>
  <c r="BO15" i="12"/>
  <c r="BO16" i="12"/>
  <c r="BM16" i="12"/>
  <c r="BN16" i="12"/>
  <c r="BO14" i="12"/>
  <c r="BM14" i="12"/>
  <c r="BN14" i="12"/>
  <c r="AS21" i="12"/>
  <c r="AT20" i="12"/>
  <c r="BA20" i="12" s="1"/>
  <c r="AU18" i="12"/>
  <c r="BN17" i="12"/>
  <c r="BO17" i="12"/>
  <c r="BM17" i="12"/>
  <c r="AU19" i="12"/>
  <c r="AW19" i="12"/>
  <c r="BK18" i="12"/>
  <c r="BL18" i="12"/>
  <c r="BJ18" i="12"/>
  <c r="BI13" i="8"/>
  <c r="BK13" i="8"/>
  <c r="AU13" i="8"/>
  <c r="BJ13" i="8"/>
  <c r="AU16" i="11"/>
  <c r="BK14" i="8"/>
  <c r="BI14" i="8"/>
  <c r="BJ14" i="8"/>
  <c r="AU14" i="8"/>
  <c r="AU13" i="11"/>
  <c r="BI15" i="8"/>
  <c r="BJ15" i="8"/>
  <c r="BK15" i="8"/>
  <c r="AU15" i="8"/>
  <c r="J48" i="7"/>
  <c r="AI18" i="11"/>
  <c r="AJ18" i="11" s="1"/>
  <c r="BI16" i="8"/>
  <c r="BJ16" i="8"/>
  <c r="BK16" i="8"/>
  <c r="AJ13" i="11"/>
  <c r="AJ15" i="11"/>
  <c r="AY15" i="11" s="1"/>
  <c r="BB15" i="11" s="1"/>
  <c r="AJ17" i="11"/>
  <c r="AY17" i="11" s="1"/>
  <c r="AJ14" i="11"/>
  <c r="AY14" i="11" s="1"/>
  <c r="AJ16" i="11"/>
  <c r="AY16" i="11" s="1"/>
  <c r="BK18" i="8"/>
  <c r="BI18" i="8"/>
  <c r="BJ18" i="8"/>
  <c r="BI17" i="8"/>
  <c r="BJ17" i="8"/>
  <c r="BK17" i="8"/>
  <c r="AU15" i="11"/>
  <c r="AW14" i="11"/>
  <c r="AU14" i="11"/>
  <c r="J45" i="7"/>
  <c r="AI15" i="8"/>
  <c r="AJ15" i="8" s="1"/>
  <c r="J44" i="7"/>
  <c r="AI14" i="8"/>
  <c r="AJ14" i="8" s="1"/>
  <c r="J47" i="7"/>
  <c r="AI17" i="8"/>
  <c r="AJ17" i="8" s="1"/>
  <c r="BE17" i="8" s="1"/>
  <c r="J46" i="7"/>
  <c r="AI16" i="8"/>
  <c r="AJ16" i="8" s="1"/>
  <c r="AI18" i="8"/>
  <c r="BC17" i="8"/>
  <c r="BM17" i="8" s="1"/>
  <c r="AU18" i="8"/>
  <c r="AU17" i="8"/>
  <c r="J43" i="7"/>
  <c r="AI13" i="8"/>
  <c r="X3" i="7"/>
  <c r="W3" i="7"/>
  <c r="Z3" i="7"/>
  <c r="R19" i="7"/>
  <c r="X9" i="8"/>
  <c r="Y9" i="8" s="1"/>
  <c r="R14" i="7"/>
  <c r="Y7" i="7"/>
  <c r="Y6" i="7"/>
  <c r="Z6" i="7" s="1"/>
  <c r="D15" i="8"/>
  <c r="D30" i="8"/>
  <c r="D26" i="8"/>
  <c r="D22" i="8"/>
  <c r="D18" i="8"/>
  <c r="D14" i="8"/>
  <c r="D13" i="8"/>
  <c r="P13" i="8" s="1"/>
  <c r="D31" i="8"/>
  <c r="D27" i="8"/>
  <c r="D23" i="8"/>
  <c r="D19" i="8"/>
  <c r="D32" i="8"/>
  <c r="D28" i="8"/>
  <c r="D24" i="8"/>
  <c r="D20" i="8"/>
  <c r="D16" i="8"/>
  <c r="D33" i="8"/>
  <c r="D29" i="8"/>
  <c r="D25" i="8"/>
  <c r="D21" i="8"/>
  <c r="D17" i="8"/>
  <c r="E15" i="8"/>
  <c r="E13" i="8"/>
  <c r="E30" i="8"/>
  <c r="E26" i="8"/>
  <c r="E22" i="8"/>
  <c r="E18" i="8"/>
  <c r="E14" i="8"/>
  <c r="E33" i="8"/>
  <c r="E29" i="8"/>
  <c r="E25" i="8"/>
  <c r="E21" i="8"/>
  <c r="E17" i="8"/>
  <c r="E32" i="8"/>
  <c r="E28" i="8"/>
  <c r="E24" i="8"/>
  <c r="E20" i="8"/>
  <c r="E16" i="8"/>
  <c r="E31" i="8"/>
  <c r="E27" i="8"/>
  <c r="E23" i="8"/>
  <c r="E19" i="8"/>
  <c r="Y5" i="7"/>
  <c r="Z5" i="7" s="1"/>
  <c r="B9" i="8"/>
  <c r="Z8" i="7"/>
  <c r="M18" i="7"/>
  <c r="X7" i="7"/>
  <c r="Z7" i="7" s="1"/>
  <c r="R17" i="7"/>
  <c r="C10" i="3"/>
  <c r="D9" i="3"/>
  <c r="B9" i="3" s="1"/>
  <c r="O9" i="3" s="1"/>
  <c r="P9" i="3" s="1"/>
  <c r="N9" i="3" s="1"/>
  <c r="Q9" i="3" s="1"/>
  <c r="T6" i="3"/>
  <c r="T7" i="3"/>
  <c r="T8" i="3"/>
  <c r="T9" i="3"/>
  <c r="T10" i="3"/>
  <c r="T11" i="3"/>
  <c r="S7" i="3"/>
  <c r="S8" i="3"/>
  <c r="S9" i="3"/>
  <c r="S10" i="3"/>
  <c r="S11" i="3"/>
  <c r="AD8" i="2"/>
  <c r="AD9" i="2"/>
  <c r="AD10" i="2"/>
  <c r="AD11" i="2"/>
  <c r="AD12" i="2"/>
  <c r="AD13" i="2"/>
  <c r="AD14" i="2"/>
  <c r="AD15" i="2"/>
  <c r="AE15" i="2" s="1"/>
  <c r="AD16" i="2"/>
  <c r="AD17" i="2"/>
  <c r="AD18" i="2"/>
  <c r="AD19" i="2"/>
  <c r="AD20" i="2"/>
  <c r="AE8" i="2"/>
  <c r="AE9" i="2"/>
  <c r="AE10" i="2"/>
  <c r="AE11" i="2"/>
  <c r="AE12" i="2"/>
  <c r="AE13" i="2"/>
  <c r="AE14" i="2"/>
  <c r="AE16" i="2"/>
  <c r="AE17" i="2"/>
  <c r="AE18" i="2"/>
  <c r="AE19" i="2"/>
  <c r="AE20" i="2"/>
  <c r="D7" i="2"/>
  <c r="R7" i="2" s="1"/>
  <c r="B7" i="2"/>
  <c r="D6" i="2"/>
  <c r="B6" i="2"/>
  <c r="D5" i="2"/>
  <c r="B5" i="2"/>
  <c r="S24" i="15" l="1"/>
  <c r="BP13" i="15"/>
  <c r="AU19" i="15"/>
  <c r="BI19" i="15"/>
  <c r="BM19" i="15" s="1"/>
  <c r="BJ19" i="15"/>
  <c r="BN19" i="15" s="1"/>
  <c r="BK19" i="15"/>
  <c r="BO19" i="15" s="1"/>
  <c r="AX19" i="15"/>
  <c r="BJ18" i="15"/>
  <c r="BN18" i="15" s="1"/>
  <c r="BK18" i="15"/>
  <c r="BO18" i="15" s="1"/>
  <c r="AU18" i="15"/>
  <c r="BI18" i="15"/>
  <c r="BM18" i="15" s="1"/>
  <c r="BP14" i="15"/>
  <c r="BP15" i="15"/>
  <c r="BP17" i="15"/>
  <c r="AS21" i="15"/>
  <c r="AT20" i="15"/>
  <c r="AX18" i="15"/>
  <c r="BP16" i="15"/>
  <c r="D26" i="15"/>
  <c r="O26" i="15" s="1"/>
  <c r="R26" i="15" s="1"/>
  <c r="E26" i="15"/>
  <c r="C26" i="15"/>
  <c r="AO24" i="15"/>
  <c r="BD23" i="15"/>
  <c r="BE23" i="15"/>
  <c r="BC23" i="15"/>
  <c r="X25" i="15"/>
  <c r="AR25" i="15" s="1"/>
  <c r="W25" i="15"/>
  <c r="BH23" i="15"/>
  <c r="BF23" i="15"/>
  <c r="BG23" i="15"/>
  <c r="M24" i="15"/>
  <c r="B27" i="15"/>
  <c r="A28" i="15"/>
  <c r="BB28" i="15"/>
  <c r="BL27" i="15"/>
  <c r="AQ24" i="15"/>
  <c r="Y24" i="15"/>
  <c r="K25" i="15"/>
  <c r="AG25" i="15" s="1"/>
  <c r="I25" i="15"/>
  <c r="AE25" i="15" s="1"/>
  <c r="F25" i="15"/>
  <c r="L25" i="15"/>
  <c r="AH25" i="15" s="1"/>
  <c r="AF25" i="15"/>
  <c r="H25" i="15"/>
  <c r="AD25" i="15" s="1"/>
  <c r="Q25" i="15"/>
  <c r="AL25" i="15" s="1"/>
  <c r="AM25" i="15"/>
  <c r="AK25" i="15"/>
  <c r="AJ24" i="15"/>
  <c r="BL13" i="13"/>
  <c r="BM13" i="13"/>
  <c r="BK13" i="13"/>
  <c r="BJ34" i="8"/>
  <c r="BN34" i="8" s="1"/>
  <c r="AX34" i="8"/>
  <c r="BK34" i="8"/>
  <c r="BO34" i="8" s="1"/>
  <c r="BI34" i="8"/>
  <c r="BM34" i="8" s="1"/>
  <c r="AU34" i="8"/>
  <c r="AS36" i="8"/>
  <c r="AT35" i="8"/>
  <c r="E42" i="11"/>
  <c r="D42" i="11"/>
  <c r="C42" i="11"/>
  <c r="E42" i="13"/>
  <c r="D42" i="13"/>
  <c r="C42" i="13"/>
  <c r="AN43" i="13"/>
  <c r="AI43" i="13"/>
  <c r="AN43" i="12"/>
  <c r="AI43" i="12"/>
  <c r="AN43" i="11"/>
  <c r="AI43" i="11"/>
  <c r="BF39" i="13"/>
  <c r="AQ40" i="11"/>
  <c r="Y40" i="11"/>
  <c r="M40" i="11"/>
  <c r="R41" i="12"/>
  <c r="AM41" i="12" s="1"/>
  <c r="Q41" i="12"/>
  <c r="AL41" i="12" s="1"/>
  <c r="P41" i="12"/>
  <c r="AQ40" i="12"/>
  <c r="Y40" i="12"/>
  <c r="AO40" i="11"/>
  <c r="AZ40" i="11" s="1"/>
  <c r="AQ40" i="13"/>
  <c r="Y40" i="13"/>
  <c r="AD40" i="13"/>
  <c r="AJ40" i="13" s="1"/>
  <c r="AY40" i="13" s="1"/>
  <c r="M40" i="13"/>
  <c r="L41" i="11"/>
  <c r="AH41" i="11" s="1"/>
  <c r="K41" i="11"/>
  <c r="AG41" i="11" s="1"/>
  <c r="J41" i="11"/>
  <c r="AF41" i="11" s="1"/>
  <c r="I41" i="11"/>
  <c r="AE41" i="11" s="1"/>
  <c r="H41" i="11"/>
  <c r="AD41" i="11" s="1"/>
  <c r="F41" i="11"/>
  <c r="X41" i="11"/>
  <c r="AR41" i="11" s="1"/>
  <c r="W41" i="11"/>
  <c r="R41" i="13"/>
  <c r="AM41" i="13" s="1"/>
  <c r="Q41" i="13"/>
  <c r="AL41" i="13" s="1"/>
  <c r="P41" i="13"/>
  <c r="E42" i="12"/>
  <c r="D42" i="12"/>
  <c r="C42" i="12"/>
  <c r="AK40" i="12"/>
  <c r="AO40" i="12" s="1"/>
  <c r="AZ40" i="12" s="1"/>
  <c r="S40" i="12"/>
  <c r="BI39" i="12"/>
  <c r="BH39" i="12"/>
  <c r="BG39" i="12"/>
  <c r="BI40" i="11"/>
  <c r="BH40" i="11"/>
  <c r="BG40" i="11"/>
  <c r="AK40" i="13"/>
  <c r="AO40" i="13" s="1"/>
  <c r="AZ40" i="13" s="1"/>
  <c r="S40" i="13"/>
  <c r="L41" i="12"/>
  <c r="AH41" i="12" s="1"/>
  <c r="K41" i="12"/>
  <c r="AG41" i="12" s="1"/>
  <c r="J41" i="12"/>
  <c r="AF41" i="12" s="1"/>
  <c r="I41" i="12"/>
  <c r="AE41" i="12" s="1"/>
  <c r="H41" i="12"/>
  <c r="F41" i="12"/>
  <c r="X41" i="12"/>
  <c r="AR41" i="12" s="1"/>
  <c r="W41" i="12"/>
  <c r="M40" i="12"/>
  <c r="AD40" i="12"/>
  <c r="AJ40" i="12" s="1"/>
  <c r="AY40" i="12" s="1"/>
  <c r="BL39" i="11"/>
  <c r="BK39" i="11"/>
  <c r="BJ39" i="11"/>
  <c r="BP39" i="13"/>
  <c r="BO39" i="13"/>
  <c r="BN39" i="13"/>
  <c r="S40" i="11"/>
  <c r="BI39" i="11"/>
  <c r="BH39" i="11"/>
  <c r="BG39" i="11"/>
  <c r="BL39" i="12"/>
  <c r="BK39" i="12"/>
  <c r="BJ39" i="12"/>
  <c r="R41" i="11"/>
  <c r="AM41" i="11" s="1"/>
  <c r="Q41" i="11"/>
  <c r="AL41" i="11" s="1"/>
  <c r="P41" i="11"/>
  <c r="AK41" i="11" s="1"/>
  <c r="L41" i="13"/>
  <c r="AH41" i="13" s="1"/>
  <c r="K41" i="13"/>
  <c r="J41" i="13"/>
  <c r="AF41" i="13" s="1"/>
  <c r="I41" i="13"/>
  <c r="AE41" i="13" s="1"/>
  <c r="H41" i="13"/>
  <c r="AD41" i="13" s="1"/>
  <c r="F41" i="13"/>
  <c r="N41" i="13"/>
  <c r="X41" i="13"/>
  <c r="AR41" i="13" s="1"/>
  <c r="W41" i="13"/>
  <c r="BE40" i="13"/>
  <c r="BF40" i="13" s="1"/>
  <c r="BD41" i="13"/>
  <c r="CE43" i="13"/>
  <c r="CG42" i="13"/>
  <c r="CC47" i="13"/>
  <c r="BE39" i="8"/>
  <c r="BD39" i="8"/>
  <c r="BC39" i="8"/>
  <c r="BH39" i="8"/>
  <c r="BG39" i="8"/>
  <c r="BF39" i="8"/>
  <c r="AN43" i="8"/>
  <c r="AI43" i="8"/>
  <c r="R41" i="8"/>
  <c r="AM41" i="8" s="1"/>
  <c r="Q41" i="8"/>
  <c r="AL41" i="8" s="1"/>
  <c r="P41" i="8"/>
  <c r="AQ40" i="8"/>
  <c r="Y40" i="8"/>
  <c r="B36" i="9"/>
  <c r="C36" i="9" s="1"/>
  <c r="E36" i="9" s="1"/>
  <c r="O37" i="3"/>
  <c r="P37" i="3" s="1"/>
  <c r="N37" i="3" s="1"/>
  <c r="Q37" i="3" s="1"/>
  <c r="AW18" i="12"/>
  <c r="E42" i="8"/>
  <c r="D42" i="8"/>
  <c r="C42" i="8"/>
  <c r="AK40" i="8"/>
  <c r="AO40" i="8" s="1"/>
  <c r="S40" i="8"/>
  <c r="B43" i="13"/>
  <c r="B43" i="11"/>
  <c r="B43" i="8"/>
  <c r="B43" i="12"/>
  <c r="L41" i="8"/>
  <c r="AH41" i="8" s="1"/>
  <c r="K41" i="8"/>
  <c r="AG41" i="8" s="1"/>
  <c r="J41" i="8"/>
  <c r="AF41" i="8" s="1"/>
  <c r="I41" i="8"/>
  <c r="AE41" i="8" s="1"/>
  <c r="H41" i="8"/>
  <c r="F41" i="8"/>
  <c r="X41" i="8"/>
  <c r="AR41" i="8" s="1"/>
  <c r="W41" i="8"/>
  <c r="AD40" i="8"/>
  <c r="AJ40" i="8" s="1"/>
  <c r="M40" i="8"/>
  <c r="C39" i="3"/>
  <c r="D38" i="3"/>
  <c r="B38" i="3" s="1"/>
  <c r="BH18" i="12"/>
  <c r="BO17" i="8"/>
  <c r="BM16" i="13"/>
  <c r="BK16" i="13"/>
  <c r="BL16" i="13"/>
  <c r="BL15" i="13"/>
  <c r="BM15" i="13"/>
  <c r="BK15" i="13"/>
  <c r="BM18" i="13"/>
  <c r="BK18" i="13"/>
  <c r="BL18" i="13"/>
  <c r="BL17" i="13"/>
  <c r="BM17" i="13"/>
  <c r="BK17" i="13"/>
  <c r="BM14" i="13"/>
  <c r="BK14" i="13"/>
  <c r="BL14" i="13"/>
  <c r="AT18" i="13"/>
  <c r="BR14" i="13"/>
  <c r="BQ14" i="13"/>
  <c r="BS14" i="13"/>
  <c r="BB14" i="13"/>
  <c r="BV14" i="13"/>
  <c r="BU14" i="13"/>
  <c r="AW17" i="13"/>
  <c r="AW13" i="13"/>
  <c r="AS20" i="11"/>
  <c r="AT19" i="11"/>
  <c r="BS16" i="13"/>
  <c r="BB16" i="13"/>
  <c r="BR16" i="13"/>
  <c r="BQ16" i="13"/>
  <c r="BS15" i="13"/>
  <c r="BB15" i="13"/>
  <c r="BQ15" i="13"/>
  <c r="BU15" i="13" s="1"/>
  <c r="BR15" i="13"/>
  <c r="AW15" i="13"/>
  <c r="BA18" i="13"/>
  <c r="AW18" i="13"/>
  <c r="AU18" i="13"/>
  <c r="AW14" i="13"/>
  <c r="BW15" i="13"/>
  <c r="BV15" i="13"/>
  <c r="BQ17" i="13"/>
  <c r="BR17" i="13"/>
  <c r="BS17" i="13"/>
  <c r="BB17" i="13"/>
  <c r="BS13" i="13"/>
  <c r="BW13" i="13" s="1"/>
  <c r="BR13" i="13"/>
  <c r="BB13" i="13"/>
  <c r="AS20" i="13"/>
  <c r="AT19" i="13"/>
  <c r="AW16" i="13"/>
  <c r="AT18" i="11"/>
  <c r="BO17" i="11"/>
  <c r="BM17" i="11"/>
  <c r="BN17" i="11"/>
  <c r="AW15" i="11"/>
  <c r="BI16" i="11"/>
  <c r="BH16" i="11"/>
  <c r="BG16" i="11"/>
  <c r="BG17" i="11"/>
  <c r="BI17" i="11"/>
  <c r="BH17" i="11"/>
  <c r="BB17" i="11"/>
  <c r="AW13" i="11"/>
  <c r="AY13" i="11"/>
  <c r="AW18" i="11"/>
  <c r="AY18" i="11"/>
  <c r="BI14" i="11"/>
  <c r="BS14" i="11" s="1"/>
  <c r="BH14" i="11"/>
  <c r="BG14" i="11"/>
  <c r="BQ14" i="11" s="1"/>
  <c r="BG15" i="11"/>
  <c r="BI15" i="11"/>
  <c r="BH15" i="11"/>
  <c r="BB14" i="11"/>
  <c r="BB16" i="11"/>
  <c r="AY16" i="12"/>
  <c r="AW16" i="12"/>
  <c r="AY17" i="12"/>
  <c r="AW17" i="12"/>
  <c r="AY13" i="12"/>
  <c r="AW13" i="12"/>
  <c r="AY14" i="12"/>
  <c r="AW14" i="12"/>
  <c r="AY15" i="12"/>
  <c r="AW15" i="12"/>
  <c r="BN19" i="12"/>
  <c r="BR19" i="12" s="1"/>
  <c r="BO19" i="12"/>
  <c r="BS19" i="12" s="1"/>
  <c r="BM19" i="12"/>
  <c r="BQ19" i="12" s="1"/>
  <c r="BB19" i="12"/>
  <c r="AW20" i="12"/>
  <c r="AU20" i="12"/>
  <c r="BO18" i="12"/>
  <c r="BS18" i="12" s="1"/>
  <c r="BM18" i="12"/>
  <c r="BQ18" i="12" s="1"/>
  <c r="BB18" i="12"/>
  <c r="BN18" i="12"/>
  <c r="AS22" i="12"/>
  <c r="AT21" i="12"/>
  <c r="BA21" i="12" s="1"/>
  <c r="BR14" i="11"/>
  <c r="BS15" i="11"/>
  <c r="BR15" i="11"/>
  <c r="BQ15" i="11"/>
  <c r="BS16" i="11"/>
  <c r="BR16" i="11"/>
  <c r="BQ16" i="11"/>
  <c r="BR17" i="11"/>
  <c r="BQ17" i="11"/>
  <c r="AW17" i="11"/>
  <c r="BS17" i="11"/>
  <c r="AW16" i="11"/>
  <c r="BD17" i="8"/>
  <c r="BN17" i="8" s="1"/>
  <c r="AX17" i="8"/>
  <c r="BD16" i="8"/>
  <c r="BN16" i="8" s="1"/>
  <c r="BC16" i="8"/>
  <c r="BM16" i="8" s="1"/>
  <c r="AX16" i="8"/>
  <c r="BE16" i="8"/>
  <c r="BO16" i="8" s="1"/>
  <c r="BC14" i="8"/>
  <c r="BM14" i="8" s="1"/>
  <c r="BE14" i="8"/>
  <c r="BO14" i="8" s="1"/>
  <c r="AX14" i="8"/>
  <c r="BD14" i="8"/>
  <c r="BN14" i="8" s="1"/>
  <c r="BD15" i="8"/>
  <c r="BN15" i="8" s="1"/>
  <c r="BE15" i="8"/>
  <c r="BO15" i="8" s="1"/>
  <c r="BC15" i="8"/>
  <c r="BM15" i="8" s="1"/>
  <c r="AX15" i="8"/>
  <c r="AJ13" i="8"/>
  <c r="X23" i="8"/>
  <c r="AR23" i="8" s="1"/>
  <c r="W23" i="8"/>
  <c r="AQ23" i="8" s="1"/>
  <c r="W28" i="8"/>
  <c r="X28" i="8"/>
  <c r="AR28" i="8" s="1"/>
  <c r="C15" i="8"/>
  <c r="C32" i="8"/>
  <c r="C28" i="8"/>
  <c r="C24" i="8"/>
  <c r="C20" i="8"/>
  <c r="C16" i="8"/>
  <c r="C31" i="8"/>
  <c r="C27" i="8"/>
  <c r="C23" i="8"/>
  <c r="C19" i="8"/>
  <c r="E9" i="8"/>
  <c r="C13" i="8"/>
  <c r="C30" i="8"/>
  <c r="C26" i="8"/>
  <c r="C22" i="8"/>
  <c r="C18" i="8"/>
  <c r="C14" i="8"/>
  <c r="C33" i="8"/>
  <c r="C29" i="8"/>
  <c r="C25" i="8"/>
  <c r="C21" i="8"/>
  <c r="C17" i="8"/>
  <c r="X19" i="8"/>
  <c r="AR19" i="8" s="1"/>
  <c r="W19" i="8"/>
  <c r="AQ19" i="8" s="1"/>
  <c r="X27" i="8"/>
  <c r="AR27" i="8" s="1"/>
  <c r="W27" i="8"/>
  <c r="AQ27" i="8" s="1"/>
  <c r="W16" i="8"/>
  <c r="X16" i="8"/>
  <c r="W24" i="8"/>
  <c r="X24" i="8"/>
  <c r="AR24" i="8" s="1"/>
  <c r="W32" i="8"/>
  <c r="X32" i="8"/>
  <c r="AR32" i="8" s="1"/>
  <c r="X21" i="8"/>
  <c r="AR21" i="8" s="1"/>
  <c r="W21" i="8"/>
  <c r="AQ21" i="8" s="1"/>
  <c r="X29" i="8"/>
  <c r="AR29" i="8" s="1"/>
  <c r="W29" i="8"/>
  <c r="AQ29" i="8" s="1"/>
  <c r="W14" i="8"/>
  <c r="X14" i="8"/>
  <c r="W22" i="8"/>
  <c r="X22" i="8"/>
  <c r="AR22" i="8" s="1"/>
  <c r="W30" i="8"/>
  <c r="X30" i="8"/>
  <c r="AR30" i="8" s="1"/>
  <c r="X15" i="8"/>
  <c r="W15" i="8"/>
  <c r="R17" i="8"/>
  <c r="P17" i="8"/>
  <c r="Q17" i="8"/>
  <c r="R25" i="8"/>
  <c r="AM25" i="8" s="1"/>
  <c r="P25" i="8"/>
  <c r="Q25" i="8"/>
  <c r="AL25" i="8" s="1"/>
  <c r="R33" i="8"/>
  <c r="AM33" i="8" s="1"/>
  <c r="P33" i="8"/>
  <c r="AK33" i="8" s="1"/>
  <c r="Q33" i="8"/>
  <c r="AL33" i="8" s="1"/>
  <c r="R20" i="8"/>
  <c r="AM20" i="8" s="1"/>
  <c r="P20" i="8"/>
  <c r="Q20" i="8"/>
  <c r="AL20" i="8" s="1"/>
  <c r="R28" i="8"/>
  <c r="AM28" i="8" s="1"/>
  <c r="P28" i="8"/>
  <c r="AK28" i="8" s="1"/>
  <c r="Q28" i="8"/>
  <c r="AL28" i="8" s="1"/>
  <c r="Q19" i="8"/>
  <c r="AL19" i="8" s="1"/>
  <c r="R19" i="8"/>
  <c r="AM19" i="8" s="1"/>
  <c r="P19" i="8"/>
  <c r="AK19" i="8" s="1"/>
  <c r="Q27" i="8"/>
  <c r="AL27" i="8" s="1"/>
  <c r="P27" i="8"/>
  <c r="AK27" i="8" s="1"/>
  <c r="R27" i="8"/>
  <c r="AM27" i="8" s="1"/>
  <c r="R13" i="8"/>
  <c r="Q13" i="8"/>
  <c r="Q18" i="8"/>
  <c r="P18" i="8"/>
  <c r="AK18" i="8" s="1"/>
  <c r="AO18" i="8" s="1"/>
  <c r="R18" i="8"/>
  <c r="Q26" i="8"/>
  <c r="AL26" i="8" s="1"/>
  <c r="R26" i="8"/>
  <c r="AM26" i="8" s="1"/>
  <c r="P26" i="8"/>
  <c r="AK26" i="8" s="1"/>
  <c r="R15" i="8"/>
  <c r="P15" i="8"/>
  <c r="Q15" i="8"/>
  <c r="X31" i="8"/>
  <c r="AR31" i="8" s="1"/>
  <c r="W31" i="8"/>
  <c r="AQ31" i="8" s="1"/>
  <c r="W20" i="8"/>
  <c r="AQ20" i="8" s="1"/>
  <c r="X20" i="8"/>
  <c r="AR20" i="8" s="1"/>
  <c r="X17" i="8"/>
  <c r="W17" i="8"/>
  <c r="X25" i="8"/>
  <c r="AR25" i="8" s="1"/>
  <c r="W25" i="8"/>
  <c r="AQ25" i="8" s="1"/>
  <c r="X33" i="8"/>
  <c r="AR33" i="8" s="1"/>
  <c r="W33" i="8"/>
  <c r="AQ33" i="8" s="1"/>
  <c r="W18" i="8"/>
  <c r="X18" i="8"/>
  <c r="W26" i="8"/>
  <c r="AQ26" i="8" s="1"/>
  <c r="X26" i="8"/>
  <c r="AR26" i="8" s="1"/>
  <c r="W13" i="8"/>
  <c r="X13" i="8"/>
  <c r="Q21" i="8"/>
  <c r="AL21" i="8" s="1"/>
  <c r="R21" i="8"/>
  <c r="AM21" i="8" s="1"/>
  <c r="P21" i="8"/>
  <c r="AK21" i="8" s="1"/>
  <c r="Q29" i="8"/>
  <c r="AL29" i="8" s="1"/>
  <c r="P29" i="8"/>
  <c r="AK29" i="8" s="1"/>
  <c r="R29" i="8"/>
  <c r="AM29" i="8" s="1"/>
  <c r="Q16" i="8"/>
  <c r="P16" i="8"/>
  <c r="R16" i="8"/>
  <c r="Q24" i="8"/>
  <c r="AL24" i="8" s="1"/>
  <c r="R24" i="8"/>
  <c r="AM24" i="8" s="1"/>
  <c r="P24" i="8"/>
  <c r="AK24" i="8" s="1"/>
  <c r="Q32" i="8"/>
  <c r="AL32" i="8" s="1"/>
  <c r="P32" i="8"/>
  <c r="AK32" i="8" s="1"/>
  <c r="R32" i="8"/>
  <c r="AM32" i="8" s="1"/>
  <c r="R23" i="8"/>
  <c r="AM23" i="8" s="1"/>
  <c r="P23" i="8"/>
  <c r="AK23" i="8" s="1"/>
  <c r="Q23" i="8"/>
  <c r="AL23" i="8" s="1"/>
  <c r="R31" i="8"/>
  <c r="AM31" i="8" s="1"/>
  <c r="P31" i="8"/>
  <c r="AK31" i="8" s="1"/>
  <c r="Q31" i="8"/>
  <c r="AL31" i="8" s="1"/>
  <c r="R14" i="8"/>
  <c r="P14" i="8"/>
  <c r="Q14" i="8"/>
  <c r="R22" i="8"/>
  <c r="AM22" i="8" s="1"/>
  <c r="P22" i="8"/>
  <c r="AK22" i="8" s="1"/>
  <c r="Q22" i="8"/>
  <c r="AL22" i="8" s="1"/>
  <c r="R30" i="8"/>
  <c r="AM30" i="8" s="1"/>
  <c r="P30" i="8"/>
  <c r="AK30" i="8" s="1"/>
  <c r="Q30" i="8"/>
  <c r="AL30" i="8" s="1"/>
  <c r="AD6" i="2"/>
  <c r="R6" i="2"/>
  <c r="AD5" i="2"/>
  <c r="R5" i="2"/>
  <c r="AE5" i="2"/>
  <c r="AC6" i="2"/>
  <c r="Q6" i="2"/>
  <c r="AC7" i="2"/>
  <c r="Q7" i="2"/>
  <c r="AE6" i="2"/>
  <c r="AD7" i="2"/>
  <c r="C11" i="3"/>
  <c r="D10" i="3"/>
  <c r="B10" i="3" s="1"/>
  <c r="O10" i="3" s="1"/>
  <c r="P10" i="3" s="1"/>
  <c r="N10" i="3" s="1"/>
  <c r="Q10" i="3" s="1"/>
  <c r="F36" i="6"/>
  <c r="E36" i="6"/>
  <c r="D36" i="6"/>
  <c r="C36" i="6"/>
  <c r="R32" i="6"/>
  <c r="G36" i="6" s="1"/>
  <c r="Q32" i="6"/>
  <c r="P32" i="6"/>
  <c r="O32" i="6"/>
  <c r="N32" i="6"/>
  <c r="M32" i="6"/>
  <c r="L32" i="6"/>
  <c r="K32" i="6"/>
  <c r="J32" i="6"/>
  <c r="I32" i="6"/>
  <c r="H32" i="6"/>
  <c r="G32" i="6"/>
  <c r="F32" i="6"/>
  <c r="C22" i="6"/>
  <c r="E20" i="6"/>
  <c r="D20" i="6"/>
  <c r="C20" i="6"/>
  <c r="E18" i="6"/>
  <c r="D18" i="6"/>
  <c r="C18" i="6"/>
  <c r="D10" i="6"/>
  <c r="C10" i="6"/>
  <c r="C5" i="6"/>
  <c r="D4" i="6"/>
  <c r="C4" i="6"/>
  <c r="E3" i="6"/>
  <c r="D3" i="6"/>
  <c r="C3" i="6"/>
  <c r="I36" i="1"/>
  <c r="H36" i="1"/>
  <c r="G36" i="1"/>
  <c r="F36" i="1"/>
  <c r="B36" i="1"/>
  <c r="D32" i="1"/>
  <c r="E32" i="1"/>
  <c r="F32" i="1"/>
  <c r="G32" i="1"/>
  <c r="H32" i="1"/>
  <c r="I32" i="1"/>
  <c r="J32" i="1"/>
  <c r="K32" i="1"/>
  <c r="L32" i="1"/>
  <c r="M32" i="1"/>
  <c r="N32" i="1"/>
  <c r="O32" i="1"/>
  <c r="P32" i="1"/>
  <c r="Q32" i="1"/>
  <c r="R32" i="1"/>
  <c r="J36" i="1" s="1"/>
  <c r="C32" i="1"/>
  <c r="E36" i="1"/>
  <c r="D36" i="1"/>
  <c r="AO25" i="15" l="1"/>
  <c r="BH25" i="15" s="1"/>
  <c r="AJ25" i="15"/>
  <c r="BJ20" i="15"/>
  <c r="BN20" i="15" s="1"/>
  <c r="BK20" i="15"/>
  <c r="BO20" i="15" s="1"/>
  <c r="AX20" i="15"/>
  <c r="AU20" i="15"/>
  <c r="BI20" i="15"/>
  <c r="BM20" i="15" s="1"/>
  <c r="BP20" i="15" s="1"/>
  <c r="BP19" i="15"/>
  <c r="BP18" i="15"/>
  <c r="AS22" i="15"/>
  <c r="AT21" i="15"/>
  <c r="BD24" i="15"/>
  <c r="BE24" i="15"/>
  <c r="BC24" i="15"/>
  <c r="S25" i="15"/>
  <c r="D27" i="15"/>
  <c r="O27" i="15" s="1"/>
  <c r="R27" i="15" s="1"/>
  <c r="E27" i="15"/>
  <c r="C27" i="15"/>
  <c r="BH24" i="15"/>
  <c r="BF24" i="15"/>
  <c r="BG24" i="15"/>
  <c r="K26" i="15"/>
  <c r="AG26" i="15" s="1"/>
  <c r="I26" i="15"/>
  <c r="AE26" i="15" s="1"/>
  <c r="F26" i="15"/>
  <c r="L26" i="15"/>
  <c r="AH26" i="15" s="1"/>
  <c r="AF26" i="15"/>
  <c r="H26" i="15"/>
  <c r="AD26" i="15" s="1"/>
  <c r="Q26" i="15"/>
  <c r="AL26" i="15" s="1"/>
  <c r="AM26" i="15"/>
  <c r="AK26" i="15"/>
  <c r="BG25" i="15"/>
  <c r="BF25" i="15"/>
  <c r="BE25" i="15"/>
  <c r="BC25" i="15"/>
  <c r="BD25" i="15"/>
  <c r="M25" i="15"/>
  <c r="BB29" i="15"/>
  <c r="BL28" i="15"/>
  <c r="B28" i="15"/>
  <c r="A29" i="15"/>
  <c r="AQ25" i="15"/>
  <c r="Y25" i="15"/>
  <c r="X26" i="15"/>
  <c r="AR26" i="15" s="1"/>
  <c r="W26" i="15"/>
  <c r="BJ35" i="8"/>
  <c r="BN35" i="8" s="1"/>
  <c r="AX35" i="8"/>
  <c r="BK35" i="8"/>
  <c r="BO35" i="8" s="1"/>
  <c r="BI35" i="8"/>
  <c r="BM35" i="8" s="1"/>
  <c r="BP35" i="8" s="1"/>
  <c r="AU35" i="8"/>
  <c r="BP34" i="8"/>
  <c r="AS37" i="8"/>
  <c r="AT36" i="8"/>
  <c r="E43" i="12"/>
  <c r="D43" i="12"/>
  <c r="C43" i="12"/>
  <c r="E43" i="11"/>
  <c r="D43" i="11"/>
  <c r="C43" i="11"/>
  <c r="AQ41" i="13"/>
  <c r="Y41" i="13"/>
  <c r="S41" i="11"/>
  <c r="BI40" i="12"/>
  <c r="BH40" i="12"/>
  <c r="BG40" i="12"/>
  <c r="AQ41" i="12"/>
  <c r="Y41" i="12"/>
  <c r="BP40" i="13"/>
  <c r="BO40" i="13"/>
  <c r="BN40" i="13"/>
  <c r="BL40" i="12"/>
  <c r="BK40" i="12"/>
  <c r="BJ40" i="12"/>
  <c r="R42" i="12"/>
  <c r="AM42" i="12" s="1"/>
  <c r="Q42" i="12"/>
  <c r="AL42" i="12" s="1"/>
  <c r="P42" i="12"/>
  <c r="AK41" i="13"/>
  <c r="AO41" i="13" s="1"/>
  <c r="AZ41" i="13" s="1"/>
  <c r="S41" i="13"/>
  <c r="AJ41" i="11"/>
  <c r="AY41" i="11" s="1"/>
  <c r="BL40" i="11"/>
  <c r="BK40" i="11"/>
  <c r="BJ40" i="11"/>
  <c r="BM39" i="13"/>
  <c r="BL39" i="13"/>
  <c r="BK39" i="13"/>
  <c r="R42" i="13"/>
  <c r="AM42" i="13" s="1"/>
  <c r="Q42" i="13"/>
  <c r="AL42" i="13" s="1"/>
  <c r="P42" i="13"/>
  <c r="L42" i="11"/>
  <c r="AH42" i="11" s="1"/>
  <c r="K42" i="11"/>
  <c r="AG42" i="11" s="1"/>
  <c r="J42" i="11"/>
  <c r="AF42" i="11" s="1"/>
  <c r="I42" i="11"/>
  <c r="AE42" i="11" s="1"/>
  <c r="H42" i="11"/>
  <c r="AD42" i="11" s="1"/>
  <c r="AJ42" i="11" s="1"/>
  <c r="AY42" i="11" s="1"/>
  <c r="F42" i="11"/>
  <c r="X42" i="11"/>
  <c r="AR42" i="11" s="1"/>
  <c r="W42" i="11"/>
  <c r="E43" i="13"/>
  <c r="D43" i="13"/>
  <c r="C43" i="13"/>
  <c r="AN44" i="13"/>
  <c r="AI44" i="13"/>
  <c r="AN44" i="12"/>
  <c r="AI44" i="12"/>
  <c r="AN44" i="11"/>
  <c r="AI44" i="11"/>
  <c r="BM40" i="13"/>
  <c r="BL40" i="13"/>
  <c r="BK40" i="13"/>
  <c r="M41" i="13"/>
  <c r="AG41" i="13"/>
  <c r="AJ41" i="13" s="1"/>
  <c r="AY41" i="13" s="1"/>
  <c r="AO41" i="11"/>
  <c r="AZ41" i="11" s="1"/>
  <c r="AD41" i="12"/>
  <c r="AJ41" i="12" s="1"/>
  <c r="AY41" i="12" s="1"/>
  <c r="M41" i="12"/>
  <c r="L42" i="12"/>
  <c r="AH42" i="12" s="1"/>
  <c r="K42" i="12"/>
  <c r="AG42" i="12" s="1"/>
  <c r="J42" i="12"/>
  <c r="AF42" i="12" s="1"/>
  <c r="I42" i="12"/>
  <c r="AE42" i="12" s="1"/>
  <c r="H42" i="12"/>
  <c r="F42" i="12"/>
  <c r="X42" i="12"/>
  <c r="AR42" i="12" s="1"/>
  <c r="W42" i="12"/>
  <c r="AQ41" i="11"/>
  <c r="Y41" i="11"/>
  <c r="M41" i="11"/>
  <c r="AK41" i="12"/>
  <c r="AO41" i="12" s="1"/>
  <c r="AZ41" i="12" s="1"/>
  <c r="S41" i="12"/>
  <c r="J42" i="13"/>
  <c r="AF42" i="13" s="1"/>
  <c r="I42" i="13"/>
  <c r="AE42" i="13" s="1"/>
  <c r="H42" i="13"/>
  <c r="L42" i="13"/>
  <c r="AH42" i="13" s="1"/>
  <c r="K42" i="13"/>
  <c r="AG42" i="13" s="1"/>
  <c r="N42" i="13"/>
  <c r="F42" i="13"/>
  <c r="X42" i="13"/>
  <c r="AR42" i="13" s="1"/>
  <c r="W42" i="13"/>
  <c r="R42" i="11"/>
  <c r="AM42" i="11" s="1"/>
  <c r="Q42" i="11"/>
  <c r="AL42" i="11" s="1"/>
  <c r="P42" i="11"/>
  <c r="AK42" i="11" s="1"/>
  <c r="BD42" i="13"/>
  <c r="BE41" i="13"/>
  <c r="CC48" i="13"/>
  <c r="CG43" i="13"/>
  <c r="CE44" i="13"/>
  <c r="BR18" i="12"/>
  <c r="BP17" i="8"/>
  <c r="B37" i="9"/>
  <c r="C37" i="9" s="1"/>
  <c r="E37" i="9" s="1"/>
  <c r="O38" i="3"/>
  <c r="P38" i="3" s="1"/>
  <c r="N38" i="3" s="1"/>
  <c r="Q38" i="3" s="1"/>
  <c r="AQ41" i="8"/>
  <c r="Y41" i="8"/>
  <c r="L42" i="8"/>
  <c r="AH42" i="8" s="1"/>
  <c r="K42" i="8"/>
  <c r="AG42" i="8" s="1"/>
  <c r="J42" i="8"/>
  <c r="AF42" i="8" s="1"/>
  <c r="I42" i="8"/>
  <c r="AE42" i="8" s="1"/>
  <c r="H42" i="8"/>
  <c r="F42" i="8"/>
  <c r="X42" i="8"/>
  <c r="AR42" i="8" s="1"/>
  <c r="W42" i="8"/>
  <c r="B44" i="13"/>
  <c r="B44" i="12"/>
  <c r="B44" i="11"/>
  <c r="B44" i="8"/>
  <c r="C40" i="3"/>
  <c r="D39" i="3"/>
  <c r="B39" i="3" s="1"/>
  <c r="BE40" i="8"/>
  <c r="BD40" i="8"/>
  <c r="BC40" i="8"/>
  <c r="AD41" i="8"/>
  <c r="AJ41" i="8" s="1"/>
  <c r="M41" i="8"/>
  <c r="E43" i="8"/>
  <c r="D43" i="8"/>
  <c r="C43" i="8"/>
  <c r="BH40" i="8"/>
  <c r="BG40" i="8"/>
  <c r="BF40" i="8"/>
  <c r="R42" i="8"/>
  <c r="AM42" i="8" s="1"/>
  <c r="Q42" i="8"/>
  <c r="AL42" i="8" s="1"/>
  <c r="P42" i="8"/>
  <c r="AN44" i="8"/>
  <c r="AI44" i="8"/>
  <c r="AK41" i="8"/>
  <c r="AO41" i="8" s="1"/>
  <c r="S41" i="8"/>
  <c r="Y16" i="8"/>
  <c r="BF18" i="8"/>
  <c r="BH18" i="8"/>
  <c r="BG18" i="8"/>
  <c r="AS21" i="13"/>
  <c r="AT20" i="13"/>
  <c r="BX15" i="13"/>
  <c r="BS18" i="13"/>
  <c r="BW18" i="13" s="1"/>
  <c r="BB18" i="13"/>
  <c r="BR18" i="13"/>
  <c r="BV18" i="13" s="1"/>
  <c r="BQ18" i="13"/>
  <c r="BU18" i="13" s="1"/>
  <c r="BV16" i="13"/>
  <c r="BW16" i="13"/>
  <c r="AS21" i="11"/>
  <c r="AT20" i="11"/>
  <c r="BU13" i="13"/>
  <c r="BW17" i="13"/>
  <c r="BA18" i="11"/>
  <c r="AU18" i="11"/>
  <c r="BA19" i="13"/>
  <c r="AW19" i="13"/>
  <c r="AU19" i="13"/>
  <c r="BU16" i="13"/>
  <c r="BA19" i="11"/>
  <c r="AU19" i="11"/>
  <c r="AW19" i="11"/>
  <c r="BW14" i="13"/>
  <c r="BX14" i="13" s="1"/>
  <c r="BV13" i="13"/>
  <c r="BV17" i="13"/>
  <c r="BU17" i="13"/>
  <c r="BI18" i="11"/>
  <c r="BH18" i="11"/>
  <c r="BG18" i="11"/>
  <c r="BB18" i="11"/>
  <c r="BH13" i="11"/>
  <c r="BR13" i="11" s="1"/>
  <c r="BG13" i="11"/>
  <c r="BQ13" i="11" s="1"/>
  <c r="BI13" i="11"/>
  <c r="BS13" i="11" s="1"/>
  <c r="BB13" i="11"/>
  <c r="BT19" i="12"/>
  <c r="BH15" i="12"/>
  <c r="BR15" i="12" s="1"/>
  <c r="BG15" i="12"/>
  <c r="BQ15" i="12" s="1"/>
  <c r="BI15" i="12"/>
  <c r="BS15" i="12" s="1"/>
  <c r="BB15" i="12"/>
  <c r="BG14" i="12"/>
  <c r="BQ14" i="12" s="1"/>
  <c r="BI14" i="12"/>
  <c r="BS14" i="12" s="1"/>
  <c r="BH14" i="12"/>
  <c r="BR14" i="12" s="1"/>
  <c r="BB14" i="12"/>
  <c r="BI13" i="12"/>
  <c r="BS13" i="12" s="1"/>
  <c r="BH13" i="12"/>
  <c r="BR13" i="12" s="1"/>
  <c r="BG13" i="12"/>
  <c r="BQ13" i="12" s="1"/>
  <c r="BB13" i="12"/>
  <c r="BH17" i="12"/>
  <c r="BR17" i="12" s="1"/>
  <c r="BG17" i="12"/>
  <c r="BQ17" i="12" s="1"/>
  <c r="BI17" i="12"/>
  <c r="BS17" i="12" s="1"/>
  <c r="BB17" i="12"/>
  <c r="BI16" i="12"/>
  <c r="BS16" i="12" s="1"/>
  <c r="BH16" i="12"/>
  <c r="BR16" i="12" s="1"/>
  <c r="BG16" i="12"/>
  <c r="BQ16" i="12" s="1"/>
  <c r="BB16" i="12"/>
  <c r="BT18" i="12"/>
  <c r="AS23" i="12"/>
  <c r="AT22" i="12"/>
  <c r="BA22" i="12" s="1"/>
  <c r="AW21" i="12"/>
  <c r="AU21" i="12"/>
  <c r="BO20" i="12"/>
  <c r="BS20" i="12" s="1"/>
  <c r="BM20" i="12"/>
  <c r="BQ20" i="12" s="1"/>
  <c r="BB20" i="12"/>
  <c r="BN20" i="12"/>
  <c r="BR20" i="12" s="1"/>
  <c r="BT14" i="11"/>
  <c r="BT16" i="11"/>
  <c r="BT17" i="11"/>
  <c r="BT15" i="11"/>
  <c r="BE13" i="8"/>
  <c r="BO13" i="8" s="1"/>
  <c r="BC13" i="8"/>
  <c r="BM13" i="8" s="1"/>
  <c r="BD13" i="8"/>
  <c r="BN13" i="8" s="1"/>
  <c r="BP16" i="8"/>
  <c r="AX13" i="8"/>
  <c r="BP15" i="8"/>
  <c r="BP14" i="8"/>
  <c r="AO22" i="8"/>
  <c r="AO31" i="8"/>
  <c r="AO32" i="8"/>
  <c r="AO24" i="8"/>
  <c r="AT33" i="8"/>
  <c r="AU33" i="8" s="1"/>
  <c r="AT25" i="8"/>
  <c r="AU25" i="8" s="1"/>
  <c r="AT31" i="8"/>
  <c r="AU31" i="8" s="1"/>
  <c r="AO27" i="8"/>
  <c r="AO19" i="8"/>
  <c r="AO28" i="8"/>
  <c r="AO33" i="8"/>
  <c r="AT29" i="8"/>
  <c r="AU29" i="8" s="1"/>
  <c r="AT21" i="8"/>
  <c r="AU21" i="8" s="1"/>
  <c r="AT27" i="8"/>
  <c r="AT19" i="8"/>
  <c r="AT23" i="8"/>
  <c r="AO30" i="8"/>
  <c r="AO23" i="8"/>
  <c r="AO29" i="8"/>
  <c r="AO21" i="8"/>
  <c r="AT26" i="8"/>
  <c r="AT20" i="8"/>
  <c r="AO26" i="8"/>
  <c r="S20" i="8"/>
  <c r="AK20" i="8"/>
  <c r="AO20" i="8" s="1"/>
  <c r="S25" i="8"/>
  <c r="AK25" i="8"/>
  <c r="AO25" i="8" s="1"/>
  <c r="Y30" i="8"/>
  <c r="AQ30" i="8"/>
  <c r="AT30" i="8" s="1"/>
  <c r="Y22" i="8"/>
  <c r="AQ22" i="8"/>
  <c r="AT22" i="8" s="1"/>
  <c r="Y14" i="8"/>
  <c r="Y32" i="8"/>
  <c r="AQ32" i="8"/>
  <c r="AT32" i="8" s="1"/>
  <c r="Y24" i="8"/>
  <c r="AQ24" i="8"/>
  <c r="AT24" i="8" s="1"/>
  <c r="Y28" i="8"/>
  <c r="AQ28" i="8"/>
  <c r="AT28" i="8" s="1"/>
  <c r="S22" i="8"/>
  <c r="S31" i="8"/>
  <c r="S32" i="8"/>
  <c r="S24" i="8"/>
  <c r="S16" i="8"/>
  <c r="Y33" i="8"/>
  <c r="Y25" i="8"/>
  <c r="Y17" i="8"/>
  <c r="Y31" i="8"/>
  <c r="S30" i="8"/>
  <c r="S14" i="8"/>
  <c r="S23" i="8"/>
  <c r="S29" i="8"/>
  <c r="S21" i="8"/>
  <c r="Y13" i="8"/>
  <c r="Y26" i="8"/>
  <c r="Y18" i="8"/>
  <c r="Y20" i="8"/>
  <c r="S15" i="8"/>
  <c r="S26" i="8"/>
  <c r="S18" i="8"/>
  <c r="S13" i="8"/>
  <c r="S27" i="8"/>
  <c r="S19" i="8"/>
  <c r="S28" i="8"/>
  <c r="S33" i="8"/>
  <c r="S17" i="8"/>
  <c r="Y15" i="8"/>
  <c r="Y29" i="8"/>
  <c r="Y21" i="8"/>
  <c r="Y27" i="8"/>
  <c r="Y19" i="8"/>
  <c r="K17" i="8"/>
  <c r="I17" i="8"/>
  <c r="H17" i="8"/>
  <c r="L17" i="8"/>
  <c r="F17" i="8"/>
  <c r="J17" i="8"/>
  <c r="K25" i="8"/>
  <c r="AG25" i="8" s="1"/>
  <c r="I25" i="8"/>
  <c r="AE25" i="8" s="1"/>
  <c r="H25" i="8"/>
  <c r="AD25" i="8" s="1"/>
  <c r="L25" i="8"/>
  <c r="AH25" i="8" s="1"/>
  <c r="F25" i="8"/>
  <c r="J25" i="8"/>
  <c r="AF25" i="8" s="1"/>
  <c r="K33" i="8"/>
  <c r="AG33" i="8" s="1"/>
  <c r="I33" i="8"/>
  <c r="AE33" i="8" s="1"/>
  <c r="H33" i="8"/>
  <c r="AD33" i="8" s="1"/>
  <c r="L33" i="8"/>
  <c r="AH33" i="8" s="1"/>
  <c r="F33" i="8"/>
  <c r="J33" i="8"/>
  <c r="AF33" i="8" s="1"/>
  <c r="L18" i="8"/>
  <c r="AH18" i="8" s="1"/>
  <c r="J18" i="8"/>
  <c r="AF18" i="8" s="1"/>
  <c r="H18" i="8"/>
  <c r="AD18" i="8" s="1"/>
  <c r="K18" i="8"/>
  <c r="F18" i="8"/>
  <c r="I18" i="8"/>
  <c r="AE18" i="8" s="1"/>
  <c r="L26" i="8"/>
  <c r="AH26" i="8" s="1"/>
  <c r="J26" i="8"/>
  <c r="AF26" i="8" s="1"/>
  <c r="I26" i="8"/>
  <c r="AE26" i="8" s="1"/>
  <c r="K26" i="8"/>
  <c r="AG26" i="8" s="1"/>
  <c r="F26" i="8"/>
  <c r="H26" i="8"/>
  <c r="F13" i="8"/>
  <c r="L13" i="8"/>
  <c r="H13" i="8"/>
  <c r="I13" i="8"/>
  <c r="J13" i="8"/>
  <c r="K13" i="8"/>
  <c r="L19" i="8"/>
  <c r="AH19" i="8" s="1"/>
  <c r="J19" i="8"/>
  <c r="AF19" i="8" s="1"/>
  <c r="F19" i="8"/>
  <c r="K19" i="8"/>
  <c r="AG19" i="8" s="1"/>
  <c r="H19" i="8"/>
  <c r="AD19" i="8" s="1"/>
  <c r="I19" i="8"/>
  <c r="AE19" i="8" s="1"/>
  <c r="L27" i="8"/>
  <c r="AH27" i="8" s="1"/>
  <c r="J27" i="8"/>
  <c r="AF27" i="8" s="1"/>
  <c r="F27" i="8"/>
  <c r="K27" i="8"/>
  <c r="AG27" i="8" s="1"/>
  <c r="H27" i="8"/>
  <c r="AD27" i="8" s="1"/>
  <c r="I27" i="8"/>
  <c r="AE27" i="8" s="1"/>
  <c r="K16" i="8"/>
  <c r="I16" i="8"/>
  <c r="F16" i="8"/>
  <c r="J16" i="8"/>
  <c r="H16" i="8"/>
  <c r="L16" i="8"/>
  <c r="K24" i="8"/>
  <c r="AG24" i="8" s="1"/>
  <c r="H24" i="8"/>
  <c r="AD24" i="8" s="1"/>
  <c r="J24" i="8"/>
  <c r="AF24" i="8" s="1"/>
  <c r="F24" i="8"/>
  <c r="L24" i="8"/>
  <c r="AH24" i="8" s="1"/>
  <c r="I24" i="8"/>
  <c r="AE24" i="8" s="1"/>
  <c r="K32" i="8"/>
  <c r="AG32" i="8" s="1"/>
  <c r="H32" i="8"/>
  <c r="AD32" i="8" s="1"/>
  <c r="F32" i="8"/>
  <c r="L32" i="8"/>
  <c r="AH32" i="8" s="1"/>
  <c r="J32" i="8"/>
  <c r="AF32" i="8" s="1"/>
  <c r="I32" i="8"/>
  <c r="AE32" i="8" s="1"/>
  <c r="Y23" i="8"/>
  <c r="K21" i="8"/>
  <c r="AG21" i="8" s="1"/>
  <c r="I21" i="8"/>
  <c r="AE21" i="8" s="1"/>
  <c r="H21" i="8"/>
  <c r="AD21" i="8" s="1"/>
  <c r="J21" i="8"/>
  <c r="AF21" i="8" s="1"/>
  <c r="L21" i="8"/>
  <c r="AH21" i="8" s="1"/>
  <c r="F21" i="8"/>
  <c r="K29" i="8"/>
  <c r="AG29" i="8" s="1"/>
  <c r="I29" i="8"/>
  <c r="AE29" i="8" s="1"/>
  <c r="H29" i="8"/>
  <c r="AD29" i="8" s="1"/>
  <c r="J29" i="8"/>
  <c r="AF29" i="8" s="1"/>
  <c r="L29" i="8"/>
  <c r="AH29" i="8" s="1"/>
  <c r="F29" i="8"/>
  <c r="L14" i="8"/>
  <c r="J14" i="8"/>
  <c r="H14" i="8"/>
  <c r="I14" i="8"/>
  <c r="K14" i="8"/>
  <c r="F14" i="8"/>
  <c r="L22" i="8"/>
  <c r="AH22" i="8" s="1"/>
  <c r="J22" i="8"/>
  <c r="AF22" i="8" s="1"/>
  <c r="I22" i="8"/>
  <c r="AE22" i="8" s="1"/>
  <c r="H22" i="8"/>
  <c r="AD22" i="8" s="1"/>
  <c r="K22" i="8"/>
  <c r="AG22" i="8" s="1"/>
  <c r="F22" i="8"/>
  <c r="L30" i="8"/>
  <c r="AH30" i="8" s="1"/>
  <c r="J30" i="8"/>
  <c r="AF30" i="8" s="1"/>
  <c r="I30" i="8"/>
  <c r="AE30" i="8" s="1"/>
  <c r="H30" i="8"/>
  <c r="AD30" i="8" s="1"/>
  <c r="K30" i="8"/>
  <c r="AG30" i="8" s="1"/>
  <c r="F30" i="8"/>
  <c r="L23" i="8"/>
  <c r="AH23" i="8" s="1"/>
  <c r="J23" i="8"/>
  <c r="AF23" i="8" s="1"/>
  <c r="F23" i="8"/>
  <c r="I23" i="8"/>
  <c r="AE23" i="8" s="1"/>
  <c r="K23" i="8"/>
  <c r="AG23" i="8" s="1"/>
  <c r="H23" i="8"/>
  <c r="AD23" i="8" s="1"/>
  <c r="L31" i="8"/>
  <c r="AH31" i="8" s="1"/>
  <c r="J31" i="8"/>
  <c r="AF31" i="8" s="1"/>
  <c r="F31" i="8"/>
  <c r="I31" i="8"/>
  <c r="AE31" i="8" s="1"/>
  <c r="K31" i="8"/>
  <c r="AG31" i="8" s="1"/>
  <c r="H31" i="8"/>
  <c r="AD31" i="8" s="1"/>
  <c r="K20" i="8"/>
  <c r="AG20" i="8" s="1"/>
  <c r="H20" i="8"/>
  <c r="AD20" i="8" s="1"/>
  <c r="F20" i="8"/>
  <c r="L20" i="8"/>
  <c r="AH20" i="8" s="1"/>
  <c r="I20" i="8"/>
  <c r="AE20" i="8" s="1"/>
  <c r="J20" i="8"/>
  <c r="AF20" i="8" s="1"/>
  <c r="K28" i="8"/>
  <c r="AG28" i="8" s="1"/>
  <c r="H28" i="8"/>
  <c r="AD28" i="8" s="1"/>
  <c r="F28" i="8"/>
  <c r="L28" i="8"/>
  <c r="AH28" i="8" s="1"/>
  <c r="J28" i="8"/>
  <c r="AF28" i="8" s="1"/>
  <c r="I28" i="8"/>
  <c r="AE28" i="8" s="1"/>
  <c r="L15" i="8"/>
  <c r="J15" i="8"/>
  <c r="F15" i="8"/>
  <c r="K15" i="8"/>
  <c r="I15" i="8"/>
  <c r="H15" i="8"/>
  <c r="AE7" i="2"/>
  <c r="C12" i="3"/>
  <c r="D11" i="3"/>
  <c r="B11" i="3" s="1"/>
  <c r="O11" i="3" s="1"/>
  <c r="P11" i="3" s="1"/>
  <c r="N11" i="3" s="1"/>
  <c r="Q11" i="3" s="1"/>
  <c r="C32" i="6"/>
  <c r="E32" i="6"/>
  <c r="D32" i="6"/>
  <c r="C36" i="1"/>
  <c r="AJ26" i="15" l="1"/>
  <c r="AO26" i="15"/>
  <c r="BR17" i="8"/>
  <c r="BX17" i="8" s="1"/>
  <c r="BR14" i="8"/>
  <c r="BS19" i="8"/>
  <c r="BT14" i="8"/>
  <c r="BT15" i="8"/>
  <c r="AS23" i="15"/>
  <c r="AT22" i="15"/>
  <c r="BR15" i="8"/>
  <c r="BR16" i="8"/>
  <c r="BS18" i="8"/>
  <c r="AU21" i="15"/>
  <c r="BI21" i="15"/>
  <c r="BM21" i="15" s="1"/>
  <c r="BJ21" i="15"/>
  <c r="BN21" i="15" s="1"/>
  <c r="BK21" i="15"/>
  <c r="BO21" i="15" s="1"/>
  <c r="AX21" i="15"/>
  <c r="B29" i="15"/>
  <c r="A30" i="15"/>
  <c r="BG26" i="15"/>
  <c r="BH26" i="15"/>
  <c r="BF26" i="15"/>
  <c r="BE26" i="15"/>
  <c r="BC26" i="15"/>
  <c r="BD26" i="15"/>
  <c r="M26" i="15"/>
  <c r="X27" i="15"/>
  <c r="AR27" i="15" s="1"/>
  <c r="W27" i="15"/>
  <c r="AQ26" i="15"/>
  <c r="Y26" i="15"/>
  <c r="D28" i="15"/>
  <c r="O28" i="15" s="1"/>
  <c r="R28" i="15" s="1"/>
  <c r="E28" i="15"/>
  <c r="C28" i="15"/>
  <c r="BB30" i="15"/>
  <c r="BL29" i="15"/>
  <c r="S26" i="15"/>
  <c r="K27" i="15"/>
  <c r="AG27" i="15" s="1"/>
  <c r="I27" i="15"/>
  <c r="AE27" i="15" s="1"/>
  <c r="F27" i="15"/>
  <c r="L27" i="15"/>
  <c r="AH27" i="15" s="1"/>
  <c r="AF27" i="15"/>
  <c r="H27" i="15"/>
  <c r="AD27" i="15" s="1"/>
  <c r="Q27" i="15"/>
  <c r="AL27" i="15" s="1"/>
  <c r="AM27" i="15"/>
  <c r="AK27" i="15"/>
  <c r="BK36" i="8"/>
  <c r="BO36" i="8" s="1"/>
  <c r="AU36" i="8"/>
  <c r="BI36" i="8"/>
  <c r="BM36" i="8" s="1"/>
  <c r="AX36" i="8"/>
  <c r="BJ36" i="8"/>
  <c r="BN36" i="8" s="1"/>
  <c r="AS38" i="8"/>
  <c r="AT37" i="8"/>
  <c r="E44" i="12"/>
  <c r="D44" i="12"/>
  <c r="C44" i="12"/>
  <c r="S42" i="11"/>
  <c r="BL41" i="12"/>
  <c r="BK41" i="12"/>
  <c r="BJ41" i="12"/>
  <c r="M42" i="12"/>
  <c r="AD42" i="12"/>
  <c r="AJ42" i="12" s="1"/>
  <c r="AY42" i="12" s="1"/>
  <c r="BL41" i="11"/>
  <c r="BK41" i="11"/>
  <c r="BJ41" i="11"/>
  <c r="L43" i="13"/>
  <c r="AH43" i="13" s="1"/>
  <c r="K43" i="13"/>
  <c r="J43" i="13"/>
  <c r="AF43" i="13" s="1"/>
  <c r="I43" i="13"/>
  <c r="AE43" i="13" s="1"/>
  <c r="H43" i="13"/>
  <c r="AD43" i="13" s="1"/>
  <c r="F43" i="13"/>
  <c r="N43" i="13"/>
  <c r="X43" i="13"/>
  <c r="AR43" i="13" s="1"/>
  <c r="W43" i="13"/>
  <c r="BI42" i="11"/>
  <c r="BH42" i="11"/>
  <c r="BG42" i="11"/>
  <c r="AK42" i="13"/>
  <c r="AO42" i="13" s="1"/>
  <c r="AZ42" i="13" s="1"/>
  <c r="S42" i="13"/>
  <c r="BI41" i="11"/>
  <c r="BH41" i="11"/>
  <c r="BG41" i="11"/>
  <c r="BP41" i="13"/>
  <c r="BO41" i="13"/>
  <c r="BN41" i="13"/>
  <c r="R43" i="11"/>
  <c r="AM43" i="11" s="1"/>
  <c r="Q43" i="11"/>
  <c r="AL43" i="11" s="1"/>
  <c r="P43" i="11"/>
  <c r="AK43" i="11" s="1"/>
  <c r="AO43" i="11" s="1"/>
  <c r="AZ43" i="11" s="1"/>
  <c r="L43" i="12"/>
  <c r="AH43" i="12" s="1"/>
  <c r="K43" i="12"/>
  <c r="AG43" i="12" s="1"/>
  <c r="J43" i="12"/>
  <c r="AF43" i="12" s="1"/>
  <c r="I43" i="12"/>
  <c r="AE43" i="12" s="1"/>
  <c r="H43" i="12"/>
  <c r="F43" i="12"/>
  <c r="X43" i="12"/>
  <c r="AR43" i="12" s="1"/>
  <c r="W43" i="12"/>
  <c r="E44" i="11"/>
  <c r="D44" i="11"/>
  <c r="C44" i="11"/>
  <c r="E44" i="13"/>
  <c r="D44" i="13"/>
  <c r="C44" i="13"/>
  <c r="AN45" i="13"/>
  <c r="AI45" i="13"/>
  <c r="AN45" i="12"/>
  <c r="AI45" i="12"/>
  <c r="AN45" i="11"/>
  <c r="AI45" i="11"/>
  <c r="BF41" i="13"/>
  <c r="AO42" i="11"/>
  <c r="AZ42" i="11" s="1"/>
  <c r="AQ42" i="13"/>
  <c r="Y42" i="13"/>
  <c r="M42" i="13"/>
  <c r="AD42" i="13"/>
  <c r="AJ42" i="13" s="1"/>
  <c r="AY42" i="13" s="1"/>
  <c r="AQ42" i="12"/>
  <c r="Y42" i="12"/>
  <c r="BI41" i="12"/>
  <c r="BH41" i="12"/>
  <c r="BG41" i="12"/>
  <c r="R43" i="13"/>
  <c r="AM43" i="13" s="1"/>
  <c r="Q43" i="13"/>
  <c r="AL43" i="13" s="1"/>
  <c r="P43" i="13"/>
  <c r="AQ42" i="11"/>
  <c r="Y42" i="11"/>
  <c r="M42" i="11"/>
  <c r="AK42" i="12"/>
  <c r="AO42" i="12" s="1"/>
  <c r="AZ42" i="12" s="1"/>
  <c r="S42" i="12"/>
  <c r="L43" i="11"/>
  <c r="AH43" i="11" s="1"/>
  <c r="K43" i="11"/>
  <c r="AG43" i="11" s="1"/>
  <c r="J43" i="11"/>
  <c r="AF43" i="11" s="1"/>
  <c r="I43" i="11"/>
  <c r="AE43" i="11" s="1"/>
  <c r="H43" i="11"/>
  <c r="AD43" i="11" s="1"/>
  <c r="F43" i="11"/>
  <c r="X43" i="11"/>
  <c r="AR43" i="11" s="1"/>
  <c r="W43" i="11"/>
  <c r="R43" i="12"/>
  <c r="AM43" i="12" s="1"/>
  <c r="Q43" i="12"/>
  <c r="AL43" i="12" s="1"/>
  <c r="P43" i="12"/>
  <c r="BD43" i="13"/>
  <c r="BE42" i="13"/>
  <c r="BF42" i="13" s="1"/>
  <c r="CE45" i="13"/>
  <c r="CG44" i="13"/>
  <c r="AJ33" i="8"/>
  <c r="AK42" i="8"/>
  <c r="AO42" i="8" s="1"/>
  <c r="S42" i="8"/>
  <c r="L43" i="8"/>
  <c r="AH43" i="8" s="1"/>
  <c r="K43" i="8"/>
  <c r="AG43" i="8" s="1"/>
  <c r="J43" i="8"/>
  <c r="AF43" i="8" s="1"/>
  <c r="I43" i="8"/>
  <c r="AE43" i="8" s="1"/>
  <c r="H43" i="8"/>
  <c r="F43" i="8"/>
  <c r="X43" i="8"/>
  <c r="AR43" i="8" s="1"/>
  <c r="W43" i="8"/>
  <c r="BE41" i="8"/>
  <c r="BD41" i="8"/>
  <c r="BC41" i="8"/>
  <c r="B38" i="9"/>
  <c r="C38" i="9" s="1"/>
  <c r="E38" i="9" s="1"/>
  <c r="O39" i="3"/>
  <c r="P39" i="3" s="1"/>
  <c r="N39" i="3" s="1"/>
  <c r="Q39" i="3" s="1"/>
  <c r="AD42" i="8"/>
  <c r="AJ42" i="8" s="1"/>
  <c r="M42" i="8"/>
  <c r="AN45" i="8"/>
  <c r="AI45" i="8"/>
  <c r="BH41" i="8"/>
  <c r="BG41" i="8"/>
  <c r="BF41" i="8"/>
  <c r="R43" i="8"/>
  <c r="AM43" i="8" s="1"/>
  <c r="Q43" i="8"/>
  <c r="AL43" i="8" s="1"/>
  <c r="P43" i="8"/>
  <c r="C41" i="3"/>
  <c r="D40" i="3"/>
  <c r="B40" i="3" s="1"/>
  <c r="E44" i="8"/>
  <c r="D44" i="8"/>
  <c r="C44" i="8"/>
  <c r="AQ42" i="8"/>
  <c r="Y42" i="8"/>
  <c r="B45" i="11"/>
  <c r="B45" i="8"/>
  <c r="B45" i="13"/>
  <c r="B45" i="12"/>
  <c r="BG25" i="8"/>
  <c r="BF25" i="8"/>
  <c r="BH25" i="8"/>
  <c r="BF26" i="8"/>
  <c r="BG26" i="8"/>
  <c r="BH26" i="8"/>
  <c r="BF30" i="8"/>
  <c r="BG30" i="8"/>
  <c r="BH30" i="8"/>
  <c r="BH28" i="8"/>
  <c r="BF28" i="8"/>
  <c r="BG28" i="8"/>
  <c r="BH24" i="8"/>
  <c r="BF24" i="8"/>
  <c r="BG24" i="8"/>
  <c r="BG21" i="8"/>
  <c r="BF21" i="8"/>
  <c r="BH21" i="8"/>
  <c r="BF23" i="8"/>
  <c r="BH23" i="8"/>
  <c r="BG23" i="8"/>
  <c r="BG33" i="8"/>
  <c r="BF33" i="8"/>
  <c r="BH33" i="8"/>
  <c r="BF19" i="8"/>
  <c r="BH19" i="8"/>
  <c r="BG19" i="8"/>
  <c r="BH32" i="8"/>
  <c r="BF32" i="8"/>
  <c r="BG32" i="8"/>
  <c r="BF22" i="8"/>
  <c r="BG22" i="8"/>
  <c r="BH22" i="8"/>
  <c r="BH20" i="8"/>
  <c r="BF20" i="8"/>
  <c r="BG20" i="8"/>
  <c r="BG29" i="8"/>
  <c r="BF29" i="8"/>
  <c r="BH29" i="8"/>
  <c r="BF27" i="8"/>
  <c r="BH27" i="8"/>
  <c r="BG27" i="8"/>
  <c r="BF31" i="8"/>
  <c r="BH31" i="8"/>
  <c r="BG31" i="8"/>
  <c r="CB14" i="8"/>
  <c r="BX14" i="8"/>
  <c r="BX15" i="8"/>
  <c r="CB15" i="8"/>
  <c r="BX16" i="8"/>
  <c r="BT13" i="12"/>
  <c r="BX16" i="13"/>
  <c r="BX17" i="13"/>
  <c r="AS22" i="11"/>
  <c r="AT21" i="11"/>
  <c r="AU20" i="13"/>
  <c r="BA20" i="13"/>
  <c r="AW20" i="13"/>
  <c r="BT13" i="11"/>
  <c r="BO19" i="11"/>
  <c r="BS19" i="11" s="1"/>
  <c r="BM19" i="11"/>
  <c r="BQ19" i="11" s="1"/>
  <c r="BB19" i="11"/>
  <c r="BN19" i="11"/>
  <c r="BR19" i="11" s="1"/>
  <c r="BS19" i="13"/>
  <c r="BW19" i="13" s="1"/>
  <c r="BB19" i="13"/>
  <c r="BQ19" i="13"/>
  <c r="BU19" i="13" s="1"/>
  <c r="BR19" i="13"/>
  <c r="BV19" i="13" s="1"/>
  <c r="BO18" i="11"/>
  <c r="BS18" i="11" s="1"/>
  <c r="BM18" i="11"/>
  <c r="BQ18" i="11" s="1"/>
  <c r="BN18" i="11"/>
  <c r="BR18" i="11" s="1"/>
  <c r="BX13" i="13"/>
  <c r="BA20" i="11"/>
  <c r="AW20" i="11"/>
  <c r="AU20" i="11"/>
  <c r="BX18" i="13"/>
  <c r="AS22" i="13"/>
  <c r="AT21" i="13"/>
  <c r="BT16" i="12"/>
  <c r="BT14" i="12"/>
  <c r="BT17" i="12"/>
  <c r="BT15" i="12"/>
  <c r="BT20" i="12"/>
  <c r="AS24" i="12"/>
  <c r="AT23" i="12"/>
  <c r="BA23" i="12" s="1"/>
  <c r="BO21" i="12"/>
  <c r="BS21" i="12" s="1"/>
  <c r="BM21" i="12"/>
  <c r="BQ21" i="12" s="1"/>
  <c r="BB21" i="12"/>
  <c r="BN21" i="12"/>
  <c r="BR21" i="12" s="1"/>
  <c r="AU22" i="12"/>
  <c r="AW22" i="12"/>
  <c r="BJ28" i="8"/>
  <c r="BI28" i="8"/>
  <c r="BK28" i="8"/>
  <c r="BI24" i="8"/>
  <c r="BJ24" i="8"/>
  <c r="BK24" i="8"/>
  <c r="BI32" i="8"/>
  <c r="BJ32" i="8"/>
  <c r="BK32" i="8"/>
  <c r="BI20" i="8"/>
  <c r="BJ20" i="8"/>
  <c r="BK20" i="8"/>
  <c r="BI23" i="8"/>
  <c r="BJ23" i="8"/>
  <c r="BK23" i="8"/>
  <c r="BI27" i="8"/>
  <c r="BJ27" i="8"/>
  <c r="BK27" i="8"/>
  <c r="BI21" i="8"/>
  <c r="BJ21" i="8"/>
  <c r="BK21" i="8"/>
  <c r="BI31" i="8"/>
  <c r="BJ31" i="8"/>
  <c r="BK31" i="8"/>
  <c r="BI33" i="8"/>
  <c r="BJ33" i="8"/>
  <c r="BK33" i="8"/>
  <c r="BK22" i="8"/>
  <c r="BI22" i="8"/>
  <c r="BJ22" i="8"/>
  <c r="BK30" i="8"/>
  <c r="BI30" i="8"/>
  <c r="BJ30" i="8"/>
  <c r="BI26" i="8"/>
  <c r="BK26" i="8"/>
  <c r="BJ26" i="8"/>
  <c r="BI19" i="8"/>
  <c r="BJ19" i="8"/>
  <c r="BK19" i="8"/>
  <c r="BI29" i="8"/>
  <c r="BJ29" i="8"/>
  <c r="BK29" i="8"/>
  <c r="BI25" i="8"/>
  <c r="BJ25" i="8"/>
  <c r="BK25" i="8"/>
  <c r="BP13" i="8"/>
  <c r="AJ27" i="8"/>
  <c r="AJ19" i="8"/>
  <c r="AJ18" i="8"/>
  <c r="AX33" i="8"/>
  <c r="AJ25" i="8"/>
  <c r="AX25" i="8" s="1"/>
  <c r="AJ29" i="8"/>
  <c r="AJ21" i="8"/>
  <c r="AJ32" i="8"/>
  <c r="AJ24" i="8"/>
  <c r="AU28" i="8"/>
  <c r="AU24" i="8"/>
  <c r="AU32" i="8"/>
  <c r="AU26" i="8"/>
  <c r="AU19" i="8"/>
  <c r="AJ28" i="8"/>
  <c r="AJ20" i="8"/>
  <c r="AJ31" i="8"/>
  <c r="AJ23" i="8"/>
  <c r="AJ30" i="8"/>
  <c r="AJ22" i="8"/>
  <c r="AU22" i="8"/>
  <c r="AU30" i="8"/>
  <c r="AU20" i="8"/>
  <c r="AU23" i="8"/>
  <c r="AU27" i="8"/>
  <c r="M26" i="8"/>
  <c r="AD26" i="8"/>
  <c r="AJ26" i="8" s="1"/>
  <c r="M15" i="8"/>
  <c r="M28" i="8"/>
  <c r="M20" i="8"/>
  <c r="M31" i="8"/>
  <c r="M23" i="8"/>
  <c r="M30" i="8"/>
  <c r="M22" i="8"/>
  <c r="M16" i="8"/>
  <c r="M27" i="8"/>
  <c r="M19" i="8"/>
  <c r="M13" i="8"/>
  <c r="M18" i="8"/>
  <c r="M33" i="8"/>
  <c r="M25" i="8"/>
  <c r="M17" i="8"/>
  <c r="M14" i="8"/>
  <c r="M29" i="8"/>
  <c r="M21" i="8"/>
  <c r="M32" i="8"/>
  <c r="M24" i="8"/>
  <c r="C13" i="3"/>
  <c r="D12" i="3"/>
  <c r="B12" i="3" s="1"/>
  <c r="O12" i="3" s="1"/>
  <c r="P12" i="3" s="1"/>
  <c r="N12" i="3" s="1"/>
  <c r="Q12" i="3" s="1"/>
  <c r="BS15" i="8" l="1"/>
  <c r="BZ15" i="8" s="1"/>
  <c r="BS14" i="8"/>
  <c r="BZ14" i="8" s="1"/>
  <c r="BT18" i="8"/>
  <c r="BT13" i="8"/>
  <c r="BR13" i="8"/>
  <c r="BT17" i="8"/>
  <c r="CB17" i="8" s="1"/>
  <c r="BS13" i="8"/>
  <c r="BP21" i="15"/>
  <c r="BJ22" i="15"/>
  <c r="BN22" i="15" s="1"/>
  <c r="BK22" i="15"/>
  <c r="BO22" i="15" s="1"/>
  <c r="AX22" i="15"/>
  <c r="AU22" i="15"/>
  <c r="BI22" i="15"/>
  <c r="BM22" i="15" s="1"/>
  <c r="BS20" i="8"/>
  <c r="BS17" i="8"/>
  <c r="BZ17" i="8" s="1"/>
  <c r="BS16" i="8"/>
  <c r="BZ16" i="8" s="1"/>
  <c r="BT16" i="8"/>
  <c r="CB16" i="8" s="1"/>
  <c r="AS24" i="15"/>
  <c r="AT23" i="15"/>
  <c r="AO27" i="15"/>
  <c r="AJ27" i="15"/>
  <c r="M27" i="15"/>
  <c r="BB31" i="15"/>
  <c r="BL30" i="15"/>
  <c r="X28" i="15"/>
  <c r="AR28" i="15" s="1"/>
  <c r="W28" i="15"/>
  <c r="B30" i="15"/>
  <c r="A31" i="15"/>
  <c r="S27" i="15"/>
  <c r="K28" i="15"/>
  <c r="AG28" i="15" s="1"/>
  <c r="I28" i="15"/>
  <c r="AE28" i="15" s="1"/>
  <c r="F28" i="15"/>
  <c r="L28" i="15"/>
  <c r="AH28" i="15" s="1"/>
  <c r="AF28" i="15"/>
  <c r="H28" i="15"/>
  <c r="AD28" i="15" s="1"/>
  <c r="Q28" i="15"/>
  <c r="AL28" i="15" s="1"/>
  <c r="AM28" i="15"/>
  <c r="AK28" i="15"/>
  <c r="AQ27" i="15"/>
  <c r="Y27" i="15"/>
  <c r="D29" i="15"/>
  <c r="O29" i="15" s="1"/>
  <c r="R29" i="15" s="1"/>
  <c r="E29" i="15"/>
  <c r="C29" i="15"/>
  <c r="BK37" i="8"/>
  <c r="BO37" i="8" s="1"/>
  <c r="BI37" i="8"/>
  <c r="BM37" i="8" s="1"/>
  <c r="AU37" i="8"/>
  <c r="BJ37" i="8"/>
  <c r="BN37" i="8" s="1"/>
  <c r="AX37" i="8"/>
  <c r="BP36" i="8"/>
  <c r="AS39" i="8"/>
  <c r="AT38" i="8"/>
  <c r="E45" i="12"/>
  <c r="D45" i="12"/>
  <c r="C45" i="12"/>
  <c r="AQ43" i="11"/>
  <c r="Y43" i="11"/>
  <c r="M43" i="11"/>
  <c r="BL42" i="12"/>
  <c r="BK42" i="12"/>
  <c r="BJ42" i="12"/>
  <c r="AK43" i="13"/>
  <c r="AO43" i="13" s="1"/>
  <c r="AZ43" i="13" s="1"/>
  <c r="S43" i="13"/>
  <c r="BM41" i="13"/>
  <c r="BL41" i="13"/>
  <c r="BK41" i="13"/>
  <c r="R44" i="13"/>
  <c r="AM44" i="13" s="1"/>
  <c r="Q44" i="13"/>
  <c r="AL44" i="13" s="1"/>
  <c r="P44" i="13"/>
  <c r="L44" i="11"/>
  <c r="AH44" i="11" s="1"/>
  <c r="K44" i="11"/>
  <c r="AG44" i="11" s="1"/>
  <c r="J44" i="11"/>
  <c r="AF44" i="11" s="1"/>
  <c r="I44" i="11"/>
  <c r="AE44" i="11" s="1"/>
  <c r="H44" i="11"/>
  <c r="AD44" i="11" s="1"/>
  <c r="F44" i="11"/>
  <c r="X44" i="11"/>
  <c r="AR44" i="11" s="1"/>
  <c r="W44" i="11"/>
  <c r="AD43" i="12"/>
  <c r="AJ43" i="12" s="1"/>
  <c r="AY43" i="12" s="1"/>
  <c r="M43" i="12"/>
  <c r="S43" i="11"/>
  <c r="M43" i="13"/>
  <c r="AG43" i="13"/>
  <c r="BI42" i="12"/>
  <c r="BH42" i="12"/>
  <c r="BG42" i="12"/>
  <c r="L44" i="12"/>
  <c r="AH44" i="12" s="1"/>
  <c r="K44" i="12"/>
  <c r="AG44" i="12" s="1"/>
  <c r="J44" i="12"/>
  <c r="AF44" i="12" s="1"/>
  <c r="I44" i="12"/>
  <c r="AE44" i="12" s="1"/>
  <c r="H44" i="12"/>
  <c r="F44" i="12"/>
  <c r="X44" i="12"/>
  <c r="AR44" i="12" s="1"/>
  <c r="W44" i="12"/>
  <c r="E45" i="13"/>
  <c r="D45" i="13"/>
  <c r="C45" i="13"/>
  <c r="E45" i="11"/>
  <c r="D45" i="11"/>
  <c r="C45" i="11"/>
  <c r="AN46" i="13"/>
  <c r="AI46" i="13"/>
  <c r="AN46" i="12"/>
  <c r="AI46" i="12"/>
  <c r="AN46" i="11"/>
  <c r="AI46" i="11"/>
  <c r="BM42" i="13"/>
  <c r="BL42" i="13"/>
  <c r="BK42" i="13"/>
  <c r="AK43" i="12"/>
  <c r="AO43" i="12" s="1"/>
  <c r="AZ43" i="12" s="1"/>
  <c r="S43" i="12"/>
  <c r="AJ43" i="11"/>
  <c r="AY43" i="11" s="1"/>
  <c r="BL42" i="11"/>
  <c r="BK42" i="11"/>
  <c r="BJ42" i="11"/>
  <c r="J44" i="13"/>
  <c r="AF44" i="13" s="1"/>
  <c r="I44" i="13"/>
  <c r="AE44" i="13" s="1"/>
  <c r="H44" i="13"/>
  <c r="L44" i="13"/>
  <c r="AH44" i="13" s="1"/>
  <c r="K44" i="13"/>
  <c r="AG44" i="13" s="1"/>
  <c r="N44" i="13"/>
  <c r="F44" i="13"/>
  <c r="X44" i="13"/>
  <c r="AR44" i="13" s="1"/>
  <c r="W44" i="13"/>
  <c r="R44" i="11"/>
  <c r="AM44" i="11" s="1"/>
  <c r="Q44" i="11"/>
  <c r="AL44" i="11" s="1"/>
  <c r="P44" i="11"/>
  <c r="AK44" i="11" s="1"/>
  <c r="AO44" i="11" s="1"/>
  <c r="AZ44" i="11" s="1"/>
  <c r="AQ43" i="12"/>
  <c r="Y43" i="12"/>
  <c r="BL43" i="11"/>
  <c r="BK43" i="11"/>
  <c r="BJ43" i="11"/>
  <c r="BP42" i="13"/>
  <c r="BO42" i="13"/>
  <c r="BN42" i="13"/>
  <c r="AQ43" i="13"/>
  <c r="Y43" i="13"/>
  <c r="AJ43" i="13"/>
  <c r="AY43" i="13" s="1"/>
  <c r="R44" i="12"/>
  <c r="AM44" i="12" s="1"/>
  <c r="Q44" i="12"/>
  <c r="AL44" i="12" s="1"/>
  <c r="P44" i="12"/>
  <c r="BD44" i="13"/>
  <c r="BE43" i="13"/>
  <c r="BF43" i="13" s="1"/>
  <c r="CE46" i="13"/>
  <c r="CG45" i="13"/>
  <c r="E45" i="8"/>
  <c r="D45" i="8"/>
  <c r="C45" i="8"/>
  <c r="L44" i="8"/>
  <c r="AH44" i="8" s="1"/>
  <c r="K44" i="8"/>
  <c r="AG44" i="8" s="1"/>
  <c r="J44" i="8"/>
  <c r="AF44" i="8" s="1"/>
  <c r="I44" i="8"/>
  <c r="AE44" i="8" s="1"/>
  <c r="H44" i="8"/>
  <c r="F44" i="8"/>
  <c r="X44" i="8"/>
  <c r="AR44" i="8" s="1"/>
  <c r="W44" i="8"/>
  <c r="C42" i="3"/>
  <c r="D41" i="3"/>
  <c r="B41" i="3" s="1"/>
  <c r="B46" i="13"/>
  <c r="B46" i="12"/>
  <c r="B46" i="11"/>
  <c r="B46" i="8"/>
  <c r="AQ43" i="8"/>
  <c r="Y43" i="8"/>
  <c r="R44" i="8"/>
  <c r="AM44" i="8" s="1"/>
  <c r="Q44" i="8"/>
  <c r="AL44" i="8" s="1"/>
  <c r="P44" i="8"/>
  <c r="B39" i="9"/>
  <c r="C39" i="9" s="1"/>
  <c r="E39" i="9" s="1"/>
  <c r="O40" i="3"/>
  <c r="P40" i="3" s="1"/>
  <c r="N40" i="3" s="1"/>
  <c r="Q40" i="3" s="1"/>
  <c r="AK43" i="8"/>
  <c r="AO43" i="8" s="1"/>
  <c r="S43" i="8"/>
  <c r="BE42" i="8"/>
  <c r="BD42" i="8"/>
  <c r="BC42" i="8"/>
  <c r="AN46" i="8"/>
  <c r="AI46" i="8"/>
  <c r="M43" i="8"/>
  <c r="AD43" i="8"/>
  <c r="AJ43" i="8" s="1"/>
  <c r="BH42" i="8"/>
  <c r="BG42" i="8"/>
  <c r="BF42" i="8"/>
  <c r="CB13" i="8"/>
  <c r="BZ13" i="8"/>
  <c r="BX13" i="8"/>
  <c r="BT18" i="11"/>
  <c r="BX19" i="13"/>
  <c r="BA21" i="13"/>
  <c r="AW21" i="13"/>
  <c r="AU21" i="13"/>
  <c r="BT19" i="11"/>
  <c r="AT22" i="11"/>
  <c r="AS23" i="11"/>
  <c r="AS23" i="13"/>
  <c r="AT22" i="13"/>
  <c r="BO20" i="11"/>
  <c r="BS20" i="11" s="1"/>
  <c r="BM20" i="11"/>
  <c r="BQ20" i="11" s="1"/>
  <c r="BN20" i="11"/>
  <c r="BR20" i="11" s="1"/>
  <c r="BB20" i="11"/>
  <c r="BR20" i="13"/>
  <c r="BV20" i="13" s="1"/>
  <c r="BQ20" i="13"/>
  <c r="BU20" i="13" s="1"/>
  <c r="BS20" i="13"/>
  <c r="BW20" i="13" s="1"/>
  <c r="BB20" i="13"/>
  <c r="BA21" i="11"/>
  <c r="AU21" i="11"/>
  <c r="AW21" i="11"/>
  <c r="BN22" i="12"/>
  <c r="BR22" i="12" s="1"/>
  <c r="BO22" i="12"/>
  <c r="BS22" i="12" s="1"/>
  <c r="BM22" i="12"/>
  <c r="BQ22" i="12" s="1"/>
  <c r="BB22" i="12"/>
  <c r="AS25" i="12"/>
  <c r="AT24" i="12"/>
  <c r="BA24" i="12" s="1"/>
  <c r="BT21" i="12"/>
  <c r="AW23" i="12"/>
  <c r="AU23" i="12"/>
  <c r="AX26" i="8"/>
  <c r="BC26" i="8"/>
  <c r="BM26" i="8" s="1"/>
  <c r="BD26" i="8"/>
  <c r="BN26" i="8" s="1"/>
  <c r="BE26" i="8"/>
  <c r="BO26" i="8" s="1"/>
  <c r="AX30" i="8"/>
  <c r="BC30" i="8"/>
  <c r="BM30" i="8" s="1"/>
  <c r="BE30" i="8"/>
  <c r="BO30" i="8" s="1"/>
  <c r="BD30" i="8"/>
  <c r="BN30" i="8" s="1"/>
  <c r="AX31" i="8"/>
  <c r="BE31" i="8"/>
  <c r="BO31" i="8" s="1"/>
  <c r="BD31" i="8"/>
  <c r="BN31" i="8" s="1"/>
  <c r="BC31" i="8"/>
  <c r="BM31" i="8" s="1"/>
  <c r="AX28" i="8"/>
  <c r="BE28" i="8"/>
  <c r="BO28" i="8" s="1"/>
  <c r="BD28" i="8"/>
  <c r="BN28" i="8" s="1"/>
  <c r="BC28" i="8"/>
  <c r="BM28" i="8" s="1"/>
  <c r="AX24" i="8"/>
  <c r="BE24" i="8"/>
  <c r="BO24" i="8" s="1"/>
  <c r="BC24" i="8"/>
  <c r="BM24" i="8" s="1"/>
  <c r="BD24" i="8"/>
  <c r="BN24" i="8" s="1"/>
  <c r="AX21" i="8"/>
  <c r="BC21" i="8"/>
  <c r="BM21" i="8" s="1"/>
  <c r="BE21" i="8"/>
  <c r="BO21" i="8" s="1"/>
  <c r="BD21" i="8"/>
  <c r="BN21" i="8" s="1"/>
  <c r="BC25" i="8"/>
  <c r="BM25" i="8" s="1"/>
  <c r="BE25" i="8"/>
  <c r="BO25" i="8" s="1"/>
  <c r="BD25" i="8"/>
  <c r="BN25" i="8" s="1"/>
  <c r="AX18" i="8"/>
  <c r="BC18" i="8"/>
  <c r="BM18" i="8" s="1"/>
  <c r="BD18" i="8"/>
  <c r="BN18" i="8" s="1"/>
  <c r="BE18" i="8"/>
  <c r="BO18" i="8" s="1"/>
  <c r="BC27" i="8"/>
  <c r="BM27" i="8" s="1"/>
  <c r="BE27" i="8"/>
  <c r="BO27" i="8" s="1"/>
  <c r="BD27" i="8"/>
  <c r="BN27" i="8" s="1"/>
  <c r="AX27" i="8"/>
  <c r="BC22" i="8"/>
  <c r="BM22" i="8" s="1"/>
  <c r="BD22" i="8"/>
  <c r="BN22" i="8" s="1"/>
  <c r="BE22" i="8"/>
  <c r="BO22" i="8" s="1"/>
  <c r="AX23" i="8"/>
  <c r="BE23" i="8"/>
  <c r="BO23" i="8" s="1"/>
  <c r="BD23" i="8"/>
  <c r="BN23" i="8" s="1"/>
  <c r="BC23" i="8"/>
  <c r="BM23" i="8" s="1"/>
  <c r="BE20" i="8"/>
  <c r="BO20" i="8" s="1"/>
  <c r="BC20" i="8"/>
  <c r="BM20" i="8" s="1"/>
  <c r="BD20" i="8"/>
  <c r="BN20" i="8" s="1"/>
  <c r="AX32" i="8"/>
  <c r="BE32" i="8"/>
  <c r="BO32" i="8" s="1"/>
  <c r="BC32" i="8"/>
  <c r="BM32" i="8" s="1"/>
  <c r="BD32" i="8"/>
  <c r="BN32" i="8" s="1"/>
  <c r="AX29" i="8"/>
  <c r="BC29" i="8"/>
  <c r="BM29" i="8" s="1"/>
  <c r="BE29" i="8"/>
  <c r="BO29" i="8" s="1"/>
  <c r="BD29" i="8"/>
  <c r="BN29" i="8" s="1"/>
  <c r="AX22" i="8"/>
  <c r="BC33" i="8"/>
  <c r="BM33" i="8" s="1"/>
  <c r="BE33" i="8"/>
  <c r="BO33" i="8" s="1"/>
  <c r="BD33" i="8"/>
  <c r="BN33" i="8" s="1"/>
  <c r="AX19" i="8"/>
  <c r="BC19" i="8"/>
  <c r="BM19" i="8" s="1"/>
  <c r="BE19" i="8"/>
  <c r="BO19" i="8" s="1"/>
  <c r="BD19" i="8"/>
  <c r="BN19" i="8" s="1"/>
  <c r="AX20" i="8"/>
  <c r="C14" i="3"/>
  <c r="D13" i="3"/>
  <c r="B13" i="3" s="1"/>
  <c r="O13" i="3" s="1"/>
  <c r="P13" i="3" s="1"/>
  <c r="N13" i="3" s="1"/>
  <c r="Q13" i="3" s="1"/>
  <c r="AJ28" i="15" l="1"/>
  <c r="BP22" i="15"/>
  <c r="AO28" i="15"/>
  <c r="BS21" i="8"/>
  <c r="BR19" i="8"/>
  <c r="BT19" i="8"/>
  <c r="AS25" i="15"/>
  <c r="AT24" i="15"/>
  <c r="BR18" i="8"/>
  <c r="AU23" i="15"/>
  <c r="BI23" i="15"/>
  <c r="BM23" i="15" s="1"/>
  <c r="BJ23" i="15"/>
  <c r="BN23" i="15" s="1"/>
  <c r="BK23" i="15"/>
  <c r="BO23" i="15" s="1"/>
  <c r="AX23" i="15"/>
  <c r="K29" i="15"/>
  <c r="AG29" i="15" s="1"/>
  <c r="I29" i="15"/>
  <c r="AE29" i="15" s="1"/>
  <c r="F29" i="15"/>
  <c r="L29" i="15"/>
  <c r="AH29" i="15" s="1"/>
  <c r="AF29" i="15"/>
  <c r="H29" i="15"/>
  <c r="AD29" i="15" s="1"/>
  <c r="Q29" i="15"/>
  <c r="AL29" i="15" s="1"/>
  <c r="AM29" i="15"/>
  <c r="AK29" i="15"/>
  <c r="S28" i="15"/>
  <c r="B31" i="15"/>
  <c r="A32" i="15"/>
  <c r="AQ28" i="15"/>
  <c r="Y28" i="15"/>
  <c r="BG27" i="15"/>
  <c r="BH27" i="15"/>
  <c r="BF27" i="15"/>
  <c r="X29" i="15"/>
  <c r="AR29" i="15" s="1"/>
  <c r="W29" i="15"/>
  <c r="BG28" i="15"/>
  <c r="BH28" i="15"/>
  <c r="BF28" i="15"/>
  <c r="BE28" i="15"/>
  <c r="BC28" i="15"/>
  <c r="BD28" i="15"/>
  <c r="M28" i="15"/>
  <c r="D30" i="15"/>
  <c r="O30" i="15" s="1"/>
  <c r="R30" i="15" s="1"/>
  <c r="E30" i="15"/>
  <c r="C30" i="15"/>
  <c r="BB32" i="15"/>
  <c r="BL31" i="15"/>
  <c r="BE27" i="15"/>
  <c r="BC27" i="15"/>
  <c r="BD27" i="15"/>
  <c r="AS40" i="8"/>
  <c r="AT39" i="8"/>
  <c r="BP37" i="8"/>
  <c r="BJ38" i="8"/>
  <c r="BN38" i="8" s="1"/>
  <c r="AX38" i="8"/>
  <c r="BK38" i="8"/>
  <c r="BO38" i="8" s="1"/>
  <c r="BI38" i="8"/>
  <c r="BM38" i="8" s="1"/>
  <c r="AU38" i="8"/>
  <c r="AN47" i="13"/>
  <c r="AI47" i="13"/>
  <c r="AN47" i="12"/>
  <c r="AI47" i="12"/>
  <c r="AN47" i="11"/>
  <c r="AI47" i="11"/>
  <c r="E46" i="12"/>
  <c r="D46" i="12"/>
  <c r="C46" i="12"/>
  <c r="BM43" i="13"/>
  <c r="BL43" i="13"/>
  <c r="BK43" i="13"/>
  <c r="AK44" i="12"/>
  <c r="AO44" i="12" s="1"/>
  <c r="AZ44" i="12" s="1"/>
  <c r="S44" i="12"/>
  <c r="E46" i="11"/>
  <c r="D46" i="11"/>
  <c r="C46" i="11"/>
  <c r="E46" i="13"/>
  <c r="D46" i="13"/>
  <c r="C46" i="13"/>
  <c r="BL44" i="11"/>
  <c r="BK44" i="11"/>
  <c r="BJ44" i="11"/>
  <c r="AQ44" i="13"/>
  <c r="Y44" i="13"/>
  <c r="AD44" i="13"/>
  <c r="AJ44" i="13" s="1"/>
  <c r="AY44" i="13" s="1"/>
  <c r="M44" i="13"/>
  <c r="BI43" i="11"/>
  <c r="BH43" i="11"/>
  <c r="BG43" i="11"/>
  <c r="BL43" i="12"/>
  <c r="BK43" i="12"/>
  <c r="BJ43" i="12"/>
  <c r="L45" i="11"/>
  <c r="AH45" i="11" s="1"/>
  <c r="K45" i="11"/>
  <c r="AG45" i="11" s="1"/>
  <c r="J45" i="11"/>
  <c r="AF45" i="11" s="1"/>
  <c r="I45" i="11"/>
  <c r="AE45" i="11" s="1"/>
  <c r="H45" i="11"/>
  <c r="AD45" i="11" s="1"/>
  <c r="AJ45" i="11" s="1"/>
  <c r="AY45" i="11" s="1"/>
  <c r="F45" i="11"/>
  <c r="X45" i="11"/>
  <c r="AR45" i="11" s="1"/>
  <c r="W45" i="11"/>
  <c r="R45" i="13"/>
  <c r="AM45" i="13" s="1"/>
  <c r="Q45" i="13"/>
  <c r="AL45" i="13" s="1"/>
  <c r="P45" i="13"/>
  <c r="AQ44" i="12"/>
  <c r="Y44" i="12"/>
  <c r="AQ44" i="11"/>
  <c r="Y44" i="11"/>
  <c r="M44" i="11"/>
  <c r="BP43" i="13"/>
  <c r="BO43" i="13"/>
  <c r="BN43" i="13"/>
  <c r="R45" i="12"/>
  <c r="AM45" i="12" s="1"/>
  <c r="Q45" i="12"/>
  <c r="AL45" i="12" s="1"/>
  <c r="P45" i="12"/>
  <c r="S44" i="11"/>
  <c r="R45" i="11"/>
  <c r="AM45" i="11" s="1"/>
  <c r="Q45" i="11"/>
  <c r="AL45" i="11" s="1"/>
  <c r="P45" i="11"/>
  <c r="AK45" i="11" s="1"/>
  <c r="AO45" i="11" s="1"/>
  <c r="AZ45" i="11" s="1"/>
  <c r="L45" i="13"/>
  <c r="AH45" i="13" s="1"/>
  <c r="K45" i="13"/>
  <c r="J45" i="13"/>
  <c r="AF45" i="13" s="1"/>
  <c r="I45" i="13"/>
  <c r="AE45" i="13" s="1"/>
  <c r="H45" i="13"/>
  <c r="AD45" i="13" s="1"/>
  <c r="F45" i="13"/>
  <c r="N45" i="13"/>
  <c r="X45" i="13"/>
  <c r="AR45" i="13" s="1"/>
  <c r="W45" i="13"/>
  <c r="M44" i="12"/>
  <c r="AD44" i="12"/>
  <c r="AJ44" i="12" s="1"/>
  <c r="AY44" i="12" s="1"/>
  <c r="BI43" i="12"/>
  <c r="BH43" i="12"/>
  <c r="BG43" i="12"/>
  <c r="AJ44" i="11"/>
  <c r="AY44" i="11" s="1"/>
  <c r="AK44" i="13"/>
  <c r="AO44" i="13" s="1"/>
  <c r="AZ44" i="13" s="1"/>
  <c r="S44" i="13"/>
  <c r="L45" i="12"/>
  <c r="AH45" i="12" s="1"/>
  <c r="K45" i="12"/>
  <c r="AG45" i="12" s="1"/>
  <c r="J45" i="12"/>
  <c r="AF45" i="12" s="1"/>
  <c r="I45" i="12"/>
  <c r="AE45" i="12" s="1"/>
  <c r="H45" i="12"/>
  <c r="F45" i="12"/>
  <c r="X45" i="12"/>
  <c r="AR45" i="12" s="1"/>
  <c r="W45" i="12"/>
  <c r="BD45" i="13"/>
  <c r="BE44" i="13"/>
  <c r="BF44" i="13" s="1"/>
  <c r="CE47" i="13"/>
  <c r="CG46" i="13"/>
  <c r="BE43" i="8"/>
  <c r="BD43" i="8"/>
  <c r="BC43" i="8"/>
  <c r="BH43" i="8"/>
  <c r="BG43" i="8"/>
  <c r="BF43" i="8"/>
  <c r="AN47" i="8"/>
  <c r="AI47" i="8"/>
  <c r="E46" i="8"/>
  <c r="D46" i="8"/>
  <c r="C46" i="8"/>
  <c r="C43" i="3"/>
  <c r="D42" i="3"/>
  <c r="B42" i="3" s="1"/>
  <c r="AD44" i="8"/>
  <c r="AJ44" i="8" s="1"/>
  <c r="M44" i="8"/>
  <c r="R45" i="8"/>
  <c r="AM45" i="8" s="1"/>
  <c r="Q45" i="8"/>
  <c r="AL45" i="8" s="1"/>
  <c r="P45" i="8"/>
  <c r="B47" i="13"/>
  <c r="B47" i="11"/>
  <c r="B47" i="8"/>
  <c r="B47" i="12"/>
  <c r="AK44" i="8"/>
  <c r="AO44" i="8" s="1"/>
  <c r="S44" i="8"/>
  <c r="B40" i="9"/>
  <c r="C40" i="9" s="1"/>
  <c r="E40" i="9" s="1"/>
  <c r="O41" i="3"/>
  <c r="P41" i="3" s="1"/>
  <c r="N41" i="3" s="1"/>
  <c r="Q41" i="3" s="1"/>
  <c r="AQ44" i="8"/>
  <c r="Y44" i="8"/>
  <c r="L45" i="8"/>
  <c r="AH45" i="8" s="1"/>
  <c r="K45" i="8"/>
  <c r="AG45" i="8" s="1"/>
  <c r="J45" i="8"/>
  <c r="AF45" i="8" s="1"/>
  <c r="I45" i="8"/>
  <c r="AE45" i="8" s="1"/>
  <c r="H45" i="8"/>
  <c r="F45" i="8"/>
  <c r="X45" i="8"/>
  <c r="AR45" i="8" s="1"/>
  <c r="W45" i="8"/>
  <c r="BT20" i="11"/>
  <c r="BX20" i="13"/>
  <c r="AU22" i="13"/>
  <c r="BA22" i="13"/>
  <c r="AW22" i="13"/>
  <c r="AS24" i="11"/>
  <c r="AT23" i="11"/>
  <c r="BO21" i="11"/>
  <c r="BS21" i="11" s="1"/>
  <c r="BM21" i="11"/>
  <c r="BQ21" i="11" s="1"/>
  <c r="BB21" i="11"/>
  <c r="BN21" i="11"/>
  <c r="BR21" i="11" s="1"/>
  <c r="AS24" i="13"/>
  <c r="AT23" i="13"/>
  <c r="BA22" i="11"/>
  <c r="AU22" i="11"/>
  <c r="AW22" i="11"/>
  <c r="BQ21" i="13"/>
  <c r="BU21" i="13" s="1"/>
  <c r="BR21" i="13"/>
  <c r="BV21" i="13" s="1"/>
  <c r="BS21" i="13"/>
  <c r="BW21" i="13" s="1"/>
  <c r="BB21" i="13"/>
  <c r="BT22" i="12"/>
  <c r="AU24" i="12"/>
  <c r="AW24" i="12"/>
  <c r="BO23" i="12"/>
  <c r="BS23" i="12" s="1"/>
  <c r="BM23" i="12"/>
  <c r="BQ23" i="12" s="1"/>
  <c r="BB23" i="12"/>
  <c r="BN23" i="12"/>
  <c r="BR23" i="12" s="1"/>
  <c r="AS26" i="12"/>
  <c r="AT25" i="12"/>
  <c r="BA25" i="12" s="1"/>
  <c r="BP24" i="8"/>
  <c r="BP19" i="8"/>
  <c r="BP32" i="8"/>
  <c r="BP20" i="8"/>
  <c r="BP23" i="8"/>
  <c r="BP22" i="8"/>
  <c r="BP27" i="8"/>
  <c r="BP21" i="8"/>
  <c r="BP28" i="8"/>
  <c r="BP31" i="8"/>
  <c r="BP30" i="8"/>
  <c r="BP26" i="8"/>
  <c r="BP33" i="8"/>
  <c r="BP29" i="8"/>
  <c r="BP18" i="8"/>
  <c r="BP25" i="8"/>
  <c r="C15" i="3"/>
  <c r="D14" i="3"/>
  <c r="B14" i="3" s="1"/>
  <c r="O14" i="3" s="1"/>
  <c r="P14" i="3" s="1"/>
  <c r="N14" i="3" s="1"/>
  <c r="Q14" i="3" s="1"/>
  <c r="AO29" i="15" l="1"/>
  <c r="AJ29" i="15"/>
  <c r="BS22" i="8"/>
  <c r="BR20" i="8"/>
  <c r="BP23" i="15"/>
  <c r="AS26" i="15"/>
  <c r="AT25" i="15"/>
  <c r="BT20" i="8"/>
  <c r="AU24" i="15"/>
  <c r="BI24" i="15"/>
  <c r="BM24" i="15" s="1"/>
  <c r="BJ24" i="15"/>
  <c r="BN24" i="15" s="1"/>
  <c r="BK24" i="15"/>
  <c r="BO24" i="15" s="1"/>
  <c r="AX24" i="15"/>
  <c r="BB33" i="15"/>
  <c r="BL32" i="15"/>
  <c r="X30" i="15"/>
  <c r="AR30" i="15" s="1"/>
  <c r="W30" i="15"/>
  <c r="B32" i="15"/>
  <c r="A33" i="15"/>
  <c r="S29" i="15"/>
  <c r="K30" i="15"/>
  <c r="AG30" i="15" s="1"/>
  <c r="I30" i="15"/>
  <c r="AE30" i="15" s="1"/>
  <c r="F30" i="15"/>
  <c r="L30" i="15"/>
  <c r="AH30" i="15" s="1"/>
  <c r="AF30" i="15"/>
  <c r="H30" i="15"/>
  <c r="AD30" i="15" s="1"/>
  <c r="AJ30" i="15" s="1"/>
  <c r="Q30" i="15"/>
  <c r="AL30" i="15" s="1"/>
  <c r="AM30" i="15"/>
  <c r="AK30" i="15"/>
  <c r="AQ29" i="15"/>
  <c r="Y29" i="15"/>
  <c r="D31" i="15"/>
  <c r="O31" i="15" s="1"/>
  <c r="R31" i="15" s="1"/>
  <c r="E31" i="15"/>
  <c r="C31" i="15"/>
  <c r="BG29" i="15"/>
  <c r="BH29" i="15"/>
  <c r="BF29" i="15"/>
  <c r="BE29" i="15"/>
  <c r="BC29" i="15"/>
  <c r="BD29" i="15"/>
  <c r="M29" i="15"/>
  <c r="BP38" i="8"/>
  <c r="AS41" i="8"/>
  <c r="AT40" i="8"/>
  <c r="BJ39" i="8"/>
  <c r="BN39" i="8" s="1"/>
  <c r="AX39" i="8"/>
  <c r="BK39" i="8"/>
  <c r="BO39" i="8" s="1"/>
  <c r="BI39" i="8"/>
  <c r="BM39" i="8" s="1"/>
  <c r="BP39" i="8" s="1"/>
  <c r="AU39" i="8"/>
  <c r="AN48" i="13"/>
  <c r="AI48" i="13"/>
  <c r="AN48" i="12"/>
  <c r="AI48" i="12"/>
  <c r="AN48" i="11"/>
  <c r="AI48" i="11"/>
  <c r="E47" i="13"/>
  <c r="D47" i="13"/>
  <c r="C47" i="13"/>
  <c r="BM44" i="13"/>
  <c r="BL44" i="13"/>
  <c r="BK44" i="13"/>
  <c r="AQ45" i="12"/>
  <c r="Y45" i="12"/>
  <c r="BP44" i="13"/>
  <c r="BO44" i="13"/>
  <c r="BN44" i="13"/>
  <c r="BI44" i="12"/>
  <c r="BH44" i="12"/>
  <c r="BG44" i="12"/>
  <c r="AQ45" i="13"/>
  <c r="Y45" i="13"/>
  <c r="S45" i="11"/>
  <c r="AQ45" i="11"/>
  <c r="Y45" i="11"/>
  <c r="M45" i="11"/>
  <c r="R46" i="13"/>
  <c r="AM46" i="13" s="1"/>
  <c r="Q46" i="13"/>
  <c r="AL46" i="13" s="1"/>
  <c r="P46" i="13"/>
  <c r="L46" i="11"/>
  <c r="AH46" i="11" s="1"/>
  <c r="K46" i="11"/>
  <c r="AG46" i="11" s="1"/>
  <c r="J46" i="11"/>
  <c r="AF46" i="11" s="1"/>
  <c r="I46" i="11"/>
  <c r="AE46" i="11" s="1"/>
  <c r="H46" i="11"/>
  <c r="AD46" i="11" s="1"/>
  <c r="AJ46" i="11" s="1"/>
  <c r="AY46" i="11" s="1"/>
  <c r="F46" i="11"/>
  <c r="X46" i="11"/>
  <c r="AR46" i="11" s="1"/>
  <c r="W46" i="11"/>
  <c r="R46" i="12"/>
  <c r="AM46" i="12" s="1"/>
  <c r="Q46" i="12"/>
  <c r="AL46" i="12" s="1"/>
  <c r="P46" i="12"/>
  <c r="E47" i="12"/>
  <c r="D47" i="12"/>
  <c r="C47" i="12"/>
  <c r="E47" i="11"/>
  <c r="D47" i="11"/>
  <c r="C47" i="11"/>
  <c r="AD45" i="12"/>
  <c r="AJ45" i="12" s="1"/>
  <c r="AY45" i="12" s="1"/>
  <c r="M45" i="12"/>
  <c r="BI44" i="11"/>
  <c r="BH44" i="11"/>
  <c r="BG44" i="11"/>
  <c r="M45" i="13"/>
  <c r="AG45" i="13"/>
  <c r="AJ45" i="13" s="1"/>
  <c r="AY45" i="13" s="1"/>
  <c r="BL45" i="11"/>
  <c r="BK45" i="11"/>
  <c r="BJ45" i="11"/>
  <c r="AK45" i="12"/>
  <c r="AO45" i="12" s="1"/>
  <c r="AZ45" i="12" s="1"/>
  <c r="S45" i="12"/>
  <c r="AK45" i="13"/>
  <c r="AO45" i="13" s="1"/>
  <c r="AZ45" i="13" s="1"/>
  <c r="S45" i="13"/>
  <c r="BI45" i="11"/>
  <c r="BH45" i="11"/>
  <c r="BG45" i="11"/>
  <c r="J46" i="13"/>
  <c r="AF46" i="13" s="1"/>
  <c r="I46" i="13"/>
  <c r="AE46" i="13" s="1"/>
  <c r="H46" i="13"/>
  <c r="L46" i="13"/>
  <c r="AH46" i="13" s="1"/>
  <c r="K46" i="13"/>
  <c r="AG46" i="13" s="1"/>
  <c r="N46" i="13"/>
  <c r="F46" i="13"/>
  <c r="X46" i="13"/>
  <c r="AR46" i="13" s="1"/>
  <c r="W46" i="13"/>
  <c r="R46" i="11"/>
  <c r="AM46" i="11" s="1"/>
  <c r="Q46" i="11"/>
  <c r="AL46" i="11" s="1"/>
  <c r="P46" i="11"/>
  <c r="AK46" i="11" s="1"/>
  <c r="BL44" i="12"/>
  <c r="BK44" i="12"/>
  <c r="BJ44" i="12"/>
  <c r="L46" i="12"/>
  <c r="AH46" i="12" s="1"/>
  <c r="K46" i="12"/>
  <c r="AG46" i="12" s="1"/>
  <c r="J46" i="12"/>
  <c r="AF46" i="12" s="1"/>
  <c r="I46" i="12"/>
  <c r="AE46" i="12" s="1"/>
  <c r="H46" i="12"/>
  <c r="F46" i="12"/>
  <c r="X46" i="12"/>
  <c r="AR46" i="12" s="1"/>
  <c r="W46" i="12"/>
  <c r="BD46" i="13"/>
  <c r="BE45" i="13"/>
  <c r="CE48" i="13"/>
  <c r="CG48" i="13" s="1"/>
  <c r="CG47" i="13"/>
  <c r="M45" i="8"/>
  <c r="AD45" i="8"/>
  <c r="AJ45" i="8" s="1"/>
  <c r="AQ45" i="8"/>
  <c r="Y45" i="8"/>
  <c r="B48" i="13"/>
  <c r="B48" i="12"/>
  <c r="B48" i="11"/>
  <c r="B48" i="8"/>
  <c r="B41" i="9"/>
  <c r="C41" i="9" s="1"/>
  <c r="E41" i="9" s="1"/>
  <c r="O42" i="3"/>
  <c r="P42" i="3" s="1"/>
  <c r="N42" i="3" s="1"/>
  <c r="Q42" i="3" s="1"/>
  <c r="L46" i="8"/>
  <c r="AH46" i="8" s="1"/>
  <c r="K46" i="8"/>
  <c r="AG46" i="8" s="1"/>
  <c r="J46" i="8"/>
  <c r="AF46" i="8" s="1"/>
  <c r="I46" i="8"/>
  <c r="AE46" i="8" s="1"/>
  <c r="H46" i="8"/>
  <c r="F46" i="8"/>
  <c r="X46" i="8"/>
  <c r="AR46" i="8" s="1"/>
  <c r="W46" i="8"/>
  <c r="AN48" i="8"/>
  <c r="AI48" i="8"/>
  <c r="BH44" i="8"/>
  <c r="BG44" i="8"/>
  <c r="BF44" i="8"/>
  <c r="E47" i="8"/>
  <c r="D47" i="8"/>
  <c r="C47" i="8"/>
  <c r="AK45" i="8"/>
  <c r="AO45" i="8" s="1"/>
  <c r="S45" i="8"/>
  <c r="BE44" i="8"/>
  <c r="BD44" i="8"/>
  <c r="BC44" i="8"/>
  <c r="C44" i="3"/>
  <c r="D43" i="3"/>
  <c r="B43" i="3" s="1"/>
  <c r="R46" i="8"/>
  <c r="AM46" i="8" s="1"/>
  <c r="Q46" i="8"/>
  <c r="AL46" i="8" s="1"/>
  <c r="P46" i="8"/>
  <c r="BZ21" i="8"/>
  <c r="BZ22" i="8"/>
  <c r="BX20" i="8"/>
  <c r="CB20" i="8"/>
  <c r="BZ20" i="8"/>
  <c r="CB19" i="8"/>
  <c r="BZ19" i="8"/>
  <c r="BX19" i="8"/>
  <c r="CB18" i="8"/>
  <c r="BZ18" i="8"/>
  <c r="BX18" i="8"/>
  <c r="BO22" i="11"/>
  <c r="BS22" i="11" s="1"/>
  <c r="BM22" i="11"/>
  <c r="BQ22" i="11" s="1"/>
  <c r="BN22" i="11"/>
  <c r="BR22" i="11" s="1"/>
  <c r="BB22" i="11"/>
  <c r="AS25" i="13"/>
  <c r="AT24" i="13"/>
  <c r="AS25" i="11"/>
  <c r="AT24" i="11"/>
  <c r="BS22" i="13"/>
  <c r="BW22" i="13" s="1"/>
  <c r="BB22" i="13"/>
  <c r="BR22" i="13"/>
  <c r="BV22" i="13" s="1"/>
  <c r="BQ22" i="13"/>
  <c r="BU22" i="13" s="1"/>
  <c r="BX21" i="13"/>
  <c r="AW23" i="13"/>
  <c r="AU23" i="13"/>
  <c r="BA23" i="13"/>
  <c r="BT21" i="11"/>
  <c r="BA23" i="11"/>
  <c r="AU23" i="11"/>
  <c r="AW23" i="11"/>
  <c r="AW25" i="12"/>
  <c r="AU25" i="12"/>
  <c r="AS27" i="12"/>
  <c r="AT26" i="12"/>
  <c r="BA26" i="12" s="1"/>
  <c r="BT23" i="12"/>
  <c r="BN24" i="12"/>
  <c r="BR24" i="12" s="1"/>
  <c r="BO24" i="12"/>
  <c r="BS24" i="12" s="1"/>
  <c r="BM24" i="12"/>
  <c r="BQ24" i="12" s="1"/>
  <c r="BB24" i="12"/>
  <c r="C16" i="3"/>
  <c r="D15" i="3"/>
  <c r="B15" i="3" s="1"/>
  <c r="O15" i="3" s="1"/>
  <c r="P15" i="3" s="1"/>
  <c r="N15" i="3" s="1"/>
  <c r="Q15" i="3" s="1"/>
  <c r="AO30" i="15" l="1"/>
  <c r="BS23" i="8"/>
  <c r="BZ23" i="8" s="1"/>
  <c r="BR21" i="8"/>
  <c r="BX21" i="8" s="1"/>
  <c r="BT21" i="8"/>
  <c r="CB21" i="8" s="1"/>
  <c r="AS27" i="15"/>
  <c r="AT26" i="15"/>
  <c r="BP24" i="15"/>
  <c r="BK25" i="15"/>
  <c r="BO25" i="15" s="1"/>
  <c r="AX25" i="15"/>
  <c r="AU25" i="15"/>
  <c r="BI25" i="15"/>
  <c r="BM25" i="15" s="1"/>
  <c r="BJ25" i="15"/>
  <c r="BN25" i="15" s="1"/>
  <c r="X31" i="15"/>
  <c r="AR31" i="15" s="1"/>
  <c r="W31" i="15"/>
  <c r="S30" i="15"/>
  <c r="B33" i="15"/>
  <c r="A34" i="15"/>
  <c r="AQ30" i="15"/>
  <c r="Y30" i="15"/>
  <c r="K31" i="15"/>
  <c r="AG31" i="15" s="1"/>
  <c r="I31" i="15"/>
  <c r="AE31" i="15" s="1"/>
  <c r="F31" i="15"/>
  <c r="L31" i="15"/>
  <c r="AH31" i="15" s="1"/>
  <c r="AF31" i="15"/>
  <c r="H31" i="15"/>
  <c r="AD31" i="15" s="1"/>
  <c r="Q31" i="15"/>
  <c r="AL31" i="15" s="1"/>
  <c r="AM31" i="15"/>
  <c r="AK31" i="15"/>
  <c r="BG30" i="15"/>
  <c r="BH30" i="15"/>
  <c r="BF30" i="15"/>
  <c r="BE30" i="15"/>
  <c r="BC30" i="15"/>
  <c r="BD30" i="15"/>
  <c r="M30" i="15"/>
  <c r="D32" i="15"/>
  <c r="O32" i="15" s="1"/>
  <c r="R32" i="15" s="1"/>
  <c r="E32" i="15"/>
  <c r="C32" i="15"/>
  <c r="BB34" i="15"/>
  <c r="BL33" i="15"/>
  <c r="BK40" i="8"/>
  <c r="BO40" i="8" s="1"/>
  <c r="AU40" i="8"/>
  <c r="BI40" i="8"/>
  <c r="BM40" i="8" s="1"/>
  <c r="AX40" i="8"/>
  <c r="BJ40" i="8"/>
  <c r="BN40" i="8" s="1"/>
  <c r="AS42" i="8"/>
  <c r="AT41" i="8"/>
  <c r="E48" i="12"/>
  <c r="D48" i="12"/>
  <c r="C48" i="12"/>
  <c r="BF45" i="13"/>
  <c r="AQ46" i="12"/>
  <c r="Y46" i="12"/>
  <c r="AO46" i="11"/>
  <c r="AZ46" i="11" s="1"/>
  <c r="AQ46" i="13"/>
  <c r="Y46" i="13"/>
  <c r="M46" i="13"/>
  <c r="AD46" i="13"/>
  <c r="AJ46" i="13" s="1"/>
  <c r="AY46" i="13" s="1"/>
  <c r="BP45" i="13"/>
  <c r="BO45" i="13"/>
  <c r="BN45" i="13"/>
  <c r="BI45" i="12"/>
  <c r="BH45" i="12"/>
  <c r="BG45" i="12"/>
  <c r="R47" i="11"/>
  <c r="AM47" i="11" s="1"/>
  <c r="Q47" i="11"/>
  <c r="AL47" i="11" s="1"/>
  <c r="P47" i="11"/>
  <c r="AK47" i="11" s="1"/>
  <c r="AO47" i="11" s="1"/>
  <c r="AZ47" i="11" s="1"/>
  <c r="L47" i="12"/>
  <c r="AH47" i="12" s="1"/>
  <c r="K47" i="12"/>
  <c r="AG47" i="12" s="1"/>
  <c r="J47" i="12"/>
  <c r="AF47" i="12" s="1"/>
  <c r="I47" i="12"/>
  <c r="AE47" i="12" s="1"/>
  <c r="H47" i="12"/>
  <c r="F47" i="12"/>
  <c r="X47" i="12"/>
  <c r="AR47" i="12" s="1"/>
  <c r="W47" i="12"/>
  <c r="AQ46" i="11"/>
  <c r="Y46" i="11"/>
  <c r="M46" i="11"/>
  <c r="R47" i="13"/>
  <c r="AM47" i="13" s="1"/>
  <c r="Q47" i="13"/>
  <c r="AL47" i="13" s="1"/>
  <c r="P47" i="13"/>
  <c r="AN49" i="13"/>
  <c r="AI49" i="13"/>
  <c r="AN49" i="12"/>
  <c r="AI49" i="12"/>
  <c r="AN49" i="11"/>
  <c r="AI49" i="11"/>
  <c r="E48" i="11"/>
  <c r="D48" i="11"/>
  <c r="C48" i="11"/>
  <c r="E48" i="13"/>
  <c r="D48" i="13"/>
  <c r="C48" i="13"/>
  <c r="M46" i="12"/>
  <c r="AD46" i="12"/>
  <c r="AJ46" i="12" s="1"/>
  <c r="AY46" i="12" s="1"/>
  <c r="S46" i="11"/>
  <c r="BL45" i="12"/>
  <c r="BK45" i="12"/>
  <c r="BJ45" i="12"/>
  <c r="L47" i="11"/>
  <c r="AH47" i="11" s="1"/>
  <c r="K47" i="11"/>
  <c r="AG47" i="11" s="1"/>
  <c r="J47" i="11"/>
  <c r="AF47" i="11" s="1"/>
  <c r="I47" i="11"/>
  <c r="AE47" i="11" s="1"/>
  <c r="H47" i="11"/>
  <c r="AD47" i="11" s="1"/>
  <c r="F47" i="11"/>
  <c r="X47" i="11"/>
  <c r="AR47" i="11" s="1"/>
  <c r="W47" i="11"/>
  <c r="R47" i="12"/>
  <c r="AM47" i="12" s="1"/>
  <c r="Q47" i="12"/>
  <c r="AL47" i="12" s="1"/>
  <c r="P47" i="12"/>
  <c r="AK46" i="12"/>
  <c r="AO46" i="12" s="1"/>
  <c r="AZ46" i="12" s="1"/>
  <c r="S46" i="12"/>
  <c r="BI46" i="11"/>
  <c r="BH46" i="11"/>
  <c r="BG46" i="11"/>
  <c r="AK46" i="13"/>
  <c r="AO46" i="13" s="1"/>
  <c r="AZ46" i="13" s="1"/>
  <c r="S46" i="13"/>
  <c r="L47" i="13"/>
  <c r="AH47" i="13" s="1"/>
  <c r="K47" i="13"/>
  <c r="J47" i="13"/>
  <c r="AF47" i="13" s="1"/>
  <c r="I47" i="13"/>
  <c r="AE47" i="13" s="1"/>
  <c r="H47" i="13"/>
  <c r="AD47" i="13" s="1"/>
  <c r="F47" i="13"/>
  <c r="N47" i="13"/>
  <c r="X47" i="13"/>
  <c r="AR47" i="13" s="1"/>
  <c r="W47" i="13"/>
  <c r="BD47" i="13"/>
  <c r="BE46" i="13"/>
  <c r="BF46" i="13" s="1"/>
  <c r="B42" i="9"/>
  <c r="C42" i="9" s="1"/>
  <c r="E42" i="9" s="1"/>
  <c r="O43" i="3"/>
  <c r="P43" i="3" s="1"/>
  <c r="N43" i="3" s="1"/>
  <c r="Q43" i="3" s="1"/>
  <c r="BH45" i="8"/>
  <c r="BG45" i="8"/>
  <c r="BF45" i="8"/>
  <c r="R47" i="8"/>
  <c r="AM47" i="8" s="1"/>
  <c r="Q47" i="8"/>
  <c r="AL47" i="8" s="1"/>
  <c r="P47" i="8"/>
  <c r="AQ46" i="8"/>
  <c r="Y46" i="8"/>
  <c r="B49" i="11"/>
  <c r="B49" i="8"/>
  <c r="B49" i="13"/>
  <c r="B49" i="12"/>
  <c r="E48" i="8"/>
  <c r="D48" i="8"/>
  <c r="C48" i="8"/>
  <c r="BE45" i="8"/>
  <c r="BD45" i="8"/>
  <c r="BC45" i="8"/>
  <c r="AK46" i="8"/>
  <c r="AO46" i="8" s="1"/>
  <c r="S46" i="8"/>
  <c r="C45" i="3"/>
  <c r="D44" i="3"/>
  <c r="B44" i="3" s="1"/>
  <c r="L47" i="8"/>
  <c r="AH47" i="8" s="1"/>
  <c r="K47" i="8"/>
  <c r="AG47" i="8" s="1"/>
  <c r="J47" i="8"/>
  <c r="AF47" i="8" s="1"/>
  <c r="I47" i="8"/>
  <c r="AE47" i="8" s="1"/>
  <c r="H47" i="8"/>
  <c r="F47" i="8"/>
  <c r="X47" i="8"/>
  <c r="AR47" i="8" s="1"/>
  <c r="W47" i="8"/>
  <c r="AD46" i="8"/>
  <c r="AJ46" i="8" s="1"/>
  <c r="M46" i="8"/>
  <c r="AN49" i="8"/>
  <c r="AI49" i="8"/>
  <c r="BX22" i="13"/>
  <c r="BO23" i="11"/>
  <c r="BS23" i="11" s="1"/>
  <c r="BM23" i="11"/>
  <c r="BQ23" i="11" s="1"/>
  <c r="BB23" i="11"/>
  <c r="BN23" i="11"/>
  <c r="BR23" i="11" s="1"/>
  <c r="BQ23" i="13"/>
  <c r="BU23" i="13" s="1"/>
  <c r="BR23" i="13"/>
  <c r="BV23" i="13" s="1"/>
  <c r="BS23" i="13"/>
  <c r="BW23" i="13" s="1"/>
  <c r="BB23" i="13"/>
  <c r="BA24" i="11"/>
  <c r="AW24" i="11"/>
  <c r="AU24" i="11"/>
  <c r="AU24" i="13"/>
  <c r="BA24" i="13"/>
  <c r="AW24" i="13"/>
  <c r="BT22" i="11"/>
  <c r="AT25" i="11"/>
  <c r="AS26" i="11"/>
  <c r="AS26" i="13"/>
  <c r="AT25" i="13"/>
  <c r="BT24" i="12"/>
  <c r="AS28" i="12"/>
  <c r="AT27" i="12"/>
  <c r="BA27" i="12" s="1"/>
  <c r="BO25" i="12"/>
  <c r="BS25" i="12" s="1"/>
  <c r="BM25" i="12"/>
  <c r="BQ25" i="12" s="1"/>
  <c r="BB25" i="12"/>
  <c r="BN25" i="12"/>
  <c r="BR25" i="12" s="1"/>
  <c r="AU26" i="12"/>
  <c r="AW26" i="12"/>
  <c r="C17" i="3"/>
  <c r="D16" i="3"/>
  <c r="B16" i="3" s="1"/>
  <c r="O16" i="3" s="1"/>
  <c r="P16" i="3" s="1"/>
  <c r="N16" i="3" s="1"/>
  <c r="Q16" i="3" s="1"/>
  <c r="AO31" i="15" l="1"/>
  <c r="AJ31" i="15"/>
  <c r="BP25" i="15"/>
  <c r="BR22" i="8"/>
  <c r="BX22" i="8" s="1"/>
  <c r="AS28" i="15"/>
  <c r="AT27" i="15"/>
  <c r="BS24" i="8"/>
  <c r="BZ24" i="8" s="1"/>
  <c r="BT22" i="8"/>
  <c r="CB22" i="8" s="1"/>
  <c r="BK26" i="15"/>
  <c r="BO26" i="15" s="1"/>
  <c r="AX26" i="15"/>
  <c r="AU26" i="15"/>
  <c r="BI26" i="15"/>
  <c r="BM26" i="15" s="1"/>
  <c r="BJ26" i="15"/>
  <c r="BN26" i="15" s="1"/>
  <c r="Q32" i="15"/>
  <c r="AL32" i="15" s="1"/>
  <c r="AM32" i="15"/>
  <c r="AK32" i="15"/>
  <c r="BB35" i="15"/>
  <c r="BL34" i="15"/>
  <c r="X32" i="15"/>
  <c r="AR32" i="15" s="1"/>
  <c r="W32" i="15"/>
  <c r="S31" i="15"/>
  <c r="B34" i="15"/>
  <c r="A35" i="15"/>
  <c r="AQ31" i="15"/>
  <c r="Y31" i="15"/>
  <c r="K32" i="15"/>
  <c r="AG32" i="15" s="1"/>
  <c r="I32" i="15"/>
  <c r="AE32" i="15" s="1"/>
  <c r="F32" i="15"/>
  <c r="L32" i="15"/>
  <c r="AH32" i="15" s="1"/>
  <c r="AF32" i="15"/>
  <c r="H32" i="15"/>
  <c r="AD32" i="15" s="1"/>
  <c r="BG31" i="15"/>
  <c r="BH31" i="15"/>
  <c r="BF31" i="15"/>
  <c r="BE31" i="15"/>
  <c r="BC31" i="15"/>
  <c r="BD31" i="15"/>
  <c r="M31" i="15"/>
  <c r="D33" i="15"/>
  <c r="O33" i="15" s="1"/>
  <c r="R33" i="15" s="1"/>
  <c r="E33" i="15"/>
  <c r="C33" i="15"/>
  <c r="AS43" i="8"/>
  <c r="AT42" i="8"/>
  <c r="BJ41" i="8"/>
  <c r="BN41" i="8" s="1"/>
  <c r="AX41" i="8"/>
  <c r="BK41" i="8"/>
  <c r="BO41" i="8" s="1"/>
  <c r="BI41" i="8"/>
  <c r="BM41" i="8" s="1"/>
  <c r="AU41" i="8"/>
  <c r="BP40" i="8"/>
  <c r="E49" i="12"/>
  <c r="D49" i="12"/>
  <c r="C49" i="12"/>
  <c r="M47" i="13"/>
  <c r="AG47" i="13"/>
  <c r="BP46" i="13"/>
  <c r="BO46" i="13"/>
  <c r="BN46" i="13"/>
  <c r="AK47" i="12"/>
  <c r="AO47" i="12" s="1"/>
  <c r="AZ47" i="12" s="1"/>
  <c r="S47" i="12"/>
  <c r="AJ47" i="11"/>
  <c r="AY47" i="11" s="1"/>
  <c r="R48" i="13"/>
  <c r="AM48" i="13" s="1"/>
  <c r="Q48" i="13"/>
  <c r="AL48" i="13" s="1"/>
  <c r="P48" i="13"/>
  <c r="L48" i="11"/>
  <c r="AH48" i="11" s="1"/>
  <c r="K48" i="11"/>
  <c r="AG48" i="11" s="1"/>
  <c r="J48" i="11"/>
  <c r="AF48" i="11" s="1"/>
  <c r="I48" i="11"/>
  <c r="AE48" i="11" s="1"/>
  <c r="H48" i="11"/>
  <c r="AD48" i="11" s="1"/>
  <c r="AJ48" i="11" s="1"/>
  <c r="AY48" i="11" s="1"/>
  <c r="F48" i="11"/>
  <c r="X48" i="11"/>
  <c r="AR48" i="11" s="1"/>
  <c r="W48" i="11"/>
  <c r="AD47" i="12"/>
  <c r="AJ47" i="12" s="1"/>
  <c r="AY47" i="12" s="1"/>
  <c r="M47" i="12"/>
  <c r="S47" i="11"/>
  <c r="BM45" i="13"/>
  <c r="BL45" i="13"/>
  <c r="BK45" i="13"/>
  <c r="R48" i="12"/>
  <c r="AM48" i="12" s="1"/>
  <c r="Q48" i="12"/>
  <c r="AL48" i="12" s="1"/>
  <c r="P48" i="12"/>
  <c r="E49" i="13"/>
  <c r="D49" i="13"/>
  <c r="C49" i="13"/>
  <c r="E49" i="11"/>
  <c r="D49" i="11"/>
  <c r="C49" i="11"/>
  <c r="AN50" i="13"/>
  <c r="AI50" i="13"/>
  <c r="AN50" i="12"/>
  <c r="AI50" i="12"/>
  <c r="AN50" i="11"/>
  <c r="AI50" i="11"/>
  <c r="BM46" i="13"/>
  <c r="BL46" i="13"/>
  <c r="BK46" i="13"/>
  <c r="AQ47" i="13"/>
  <c r="Y47" i="13"/>
  <c r="AJ47" i="13"/>
  <c r="AY47" i="13" s="1"/>
  <c r="BL46" i="12"/>
  <c r="BK46" i="12"/>
  <c r="BJ46" i="12"/>
  <c r="AQ47" i="11"/>
  <c r="Y47" i="11"/>
  <c r="M47" i="11"/>
  <c r="BI46" i="12"/>
  <c r="BH46" i="12"/>
  <c r="BG46" i="12"/>
  <c r="J48" i="13"/>
  <c r="AF48" i="13" s="1"/>
  <c r="I48" i="13"/>
  <c r="AE48" i="13" s="1"/>
  <c r="H48" i="13"/>
  <c r="L48" i="13"/>
  <c r="AH48" i="13" s="1"/>
  <c r="K48" i="13"/>
  <c r="AG48" i="13" s="1"/>
  <c r="N48" i="13"/>
  <c r="F48" i="13"/>
  <c r="X48" i="13"/>
  <c r="AR48" i="13" s="1"/>
  <c r="W48" i="13"/>
  <c r="R48" i="11"/>
  <c r="AM48" i="11" s="1"/>
  <c r="Q48" i="11"/>
  <c r="AL48" i="11" s="1"/>
  <c r="P48" i="11"/>
  <c r="AK48" i="11" s="1"/>
  <c r="AO48" i="11" s="1"/>
  <c r="AZ48" i="11" s="1"/>
  <c r="AK47" i="13"/>
  <c r="AO47" i="13" s="1"/>
  <c r="AZ47" i="13" s="1"/>
  <c r="S47" i="13"/>
  <c r="AQ47" i="12"/>
  <c r="Y47" i="12"/>
  <c r="BL47" i="11"/>
  <c r="BK47" i="11"/>
  <c r="BJ47" i="11"/>
  <c r="BL46" i="11"/>
  <c r="BK46" i="11"/>
  <c r="BJ46" i="11"/>
  <c r="L48" i="12"/>
  <c r="AH48" i="12" s="1"/>
  <c r="K48" i="12"/>
  <c r="AG48" i="12" s="1"/>
  <c r="J48" i="12"/>
  <c r="AF48" i="12" s="1"/>
  <c r="I48" i="12"/>
  <c r="AE48" i="12" s="1"/>
  <c r="H48" i="12"/>
  <c r="F48" i="12"/>
  <c r="X48" i="12"/>
  <c r="AR48" i="12" s="1"/>
  <c r="W48" i="12"/>
  <c r="BD48" i="13"/>
  <c r="BE47" i="13"/>
  <c r="BF47" i="13" s="1"/>
  <c r="BE46" i="8"/>
  <c r="BD46" i="8"/>
  <c r="BC46" i="8"/>
  <c r="M47" i="8"/>
  <c r="AD47" i="8"/>
  <c r="AJ47" i="8" s="1"/>
  <c r="C46" i="3"/>
  <c r="D46" i="3" s="1"/>
  <c r="B46" i="3" s="1"/>
  <c r="D45" i="3"/>
  <c r="B45" i="3" s="1"/>
  <c r="BH46" i="8"/>
  <c r="BG46" i="8"/>
  <c r="BF46" i="8"/>
  <c r="L48" i="8"/>
  <c r="AH48" i="8" s="1"/>
  <c r="K48" i="8"/>
  <c r="AG48" i="8" s="1"/>
  <c r="J48" i="8"/>
  <c r="AF48" i="8" s="1"/>
  <c r="I48" i="8"/>
  <c r="AE48" i="8" s="1"/>
  <c r="H48" i="8"/>
  <c r="F48" i="8"/>
  <c r="X48" i="8"/>
  <c r="AR48" i="8" s="1"/>
  <c r="W48" i="8"/>
  <c r="AN50" i="8"/>
  <c r="AI50" i="8"/>
  <c r="AQ47" i="8"/>
  <c r="Y47" i="8"/>
  <c r="B43" i="9"/>
  <c r="C43" i="9" s="1"/>
  <c r="E43" i="9" s="1"/>
  <c r="O44" i="3"/>
  <c r="P44" i="3" s="1"/>
  <c r="N44" i="3" s="1"/>
  <c r="Q44" i="3" s="1"/>
  <c r="R48" i="8"/>
  <c r="AM48" i="8" s="1"/>
  <c r="Q48" i="8"/>
  <c r="AL48" i="8" s="1"/>
  <c r="P48" i="8"/>
  <c r="E49" i="8"/>
  <c r="D49" i="8"/>
  <c r="C49" i="8"/>
  <c r="AK47" i="8"/>
  <c r="AO47" i="8" s="1"/>
  <c r="S47" i="8"/>
  <c r="B50" i="13"/>
  <c r="B50" i="12"/>
  <c r="B50" i="11"/>
  <c r="B50" i="8"/>
  <c r="AS27" i="13"/>
  <c r="AT26" i="13"/>
  <c r="BA25" i="11"/>
  <c r="AW25" i="11"/>
  <c r="AU25" i="11"/>
  <c r="BT23" i="11"/>
  <c r="AW25" i="13"/>
  <c r="AU25" i="13"/>
  <c r="BA25" i="13"/>
  <c r="AT26" i="11"/>
  <c r="AS27" i="11"/>
  <c r="BR24" i="13"/>
  <c r="BV24" i="13" s="1"/>
  <c r="BQ24" i="13"/>
  <c r="BU24" i="13" s="1"/>
  <c r="BS24" i="13"/>
  <c r="BW24" i="13" s="1"/>
  <c r="BB24" i="13"/>
  <c r="BN24" i="11"/>
  <c r="BR24" i="11" s="1"/>
  <c r="BB24" i="11"/>
  <c r="BO24" i="11"/>
  <c r="BS24" i="11" s="1"/>
  <c r="BM24" i="11"/>
  <c r="BQ24" i="11" s="1"/>
  <c r="BX23" i="13"/>
  <c r="BT25" i="12"/>
  <c r="AW27" i="12"/>
  <c r="AU27" i="12"/>
  <c r="BN26" i="12"/>
  <c r="BR26" i="12" s="1"/>
  <c r="BO26" i="12"/>
  <c r="BS26" i="12" s="1"/>
  <c r="BM26" i="12"/>
  <c r="BQ26" i="12" s="1"/>
  <c r="BB26" i="12"/>
  <c r="AS29" i="12"/>
  <c r="AT28" i="12"/>
  <c r="BA28" i="12" s="1"/>
  <c r="C18" i="3"/>
  <c r="D17" i="3"/>
  <c r="B17" i="3" s="1"/>
  <c r="O17" i="3" s="1"/>
  <c r="P17" i="3" s="1"/>
  <c r="N17" i="3" s="1"/>
  <c r="Q17" i="3" s="1"/>
  <c r="AO32" i="15" l="1"/>
  <c r="AJ32" i="15"/>
  <c r="BE32" i="15" s="1"/>
  <c r="BS25" i="8"/>
  <c r="BZ25" i="8" s="1"/>
  <c r="AS29" i="15"/>
  <c r="AT28" i="15"/>
  <c r="BT23" i="8"/>
  <c r="CB23" i="8" s="1"/>
  <c r="BR23" i="8"/>
  <c r="BX23" i="8" s="1"/>
  <c r="BP41" i="8"/>
  <c r="BP26" i="15"/>
  <c r="BK27" i="15"/>
  <c r="BO27" i="15" s="1"/>
  <c r="AX27" i="15"/>
  <c r="AU27" i="15"/>
  <c r="BI27" i="15"/>
  <c r="BM27" i="15" s="1"/>
  <c r="BJ27" i="15"/>
  <c r="BN27" i="15" s="1"/>
  <c r="X33" i="15"/>
  <c r="AR33" i="15" s="1"/>
  <c r="W33" i="15"/>
  <c r="BD32" i="15"/>
  <c r="M32" i="15"/>
  <c r="D34" i="15"/>
  <c r="O34" i="15" s="1"/>
  <c r="R34" i="15" s="1"/>
  <c r="E34" i="15"/>
  <c r="C34" i="15"/>
  <c r="BB36" i="15"/>
  <c r="BL35" i="15"/>
  <c r="S32" i="15"/>
  <c r="K33" i="15"/>
  <c r="AG33" i="15" s="1"/>
  <c r="I33" i="15"/>
  <c r="AE33" i="15" s="1"/>
  <c r="F33" i="15"/>
  <c r="L33" i="15"/>
  <c r="AH33" i="15" s="1"/>
  <c r="AF33" i="15"/>
  <c r="H33" i="15"/>
  <c r="AD33" i="15" s="1"/>
  <c r="Q33" i="15"/>
  <c r="AL33" i="15" s="1"/>
  <c r="AM33" i="15"/>
  <c r="AK33" i="15"/>
  <c r="B35" i="15"/>
  <c r="A36" i="15"/>
  <c r="AQ32" i="15"/>
  <c r="Y32" i="15"/>
  <c r="BG32" i="15"/>
  <c r="BH32" i="15"/>
  <c r="BF32" i="15"/>
  <c r="BJ42" i="8"/>
  <c r="BN42" i="8" s="1"/>
  <c r="AX42" i="8"/>
  <c r="BK42" i="8"/>
  <c r="BO42" i="8" s="1"/>
  <c r="BI42" i="8"/>
  <c r="BM42" i="8" s="1"/>
  <c r="BP42" i="8" s="1"/>
  <c r="AU42" i="8"/>
  <c r="AS44" i="8"/>
  <c r="AT43" i="8"/>
  <c r="E50" i="12"/>
  <c r="D50" i="12"/>
  <c r="C50" i="12"/>
  <c r="M48" i="12"/>
  <c r="AD48" i="12"/>
  <c r="AJ48" i="12" s="1"/>
  <c r="AY48" i="12" s="1"/>
  <c r="BL48" i="11"/>
  <c r="BK48" i="11"/>
  <c r="BJ48" i="11"/>
  <c r="AQ48" i="13"/>
  <c r="Y48" i="13"/>
  <c r="AD48" i="13"/>
  <c r="AJ48" i="13" s="1"/>
  <c r="AY48" i="13" s="1"/>
  <c r="M48" i="13"/>
  <c r="L49" i="11"/>
  <c r="AH49" i="11" s="1"/>
  <c r="K49" i="11"/>
  <c r="AG49" i="11" s="1"/>
  <c r="J49" i="11"/>
  <c r="AF49" i="11" s="1"/>
  <c r="I49" i="11"/>
  <c r="AE49" i="11" s="1"/>
  <c r="H49" i="11"/>
  <c r="AD49" i="11" s="1"/>
  <c r="AJ49" i="11" s="1"/>
  <c r="AY49" i="11" s="1"/>
  <c r="F49" i="11"/>
  <c r="X49" i="11"/>
  <c r="AR49" i="11" s="1"/>
  <c r="W49" i="11"/>
  <c r="R49" i="13"/>
  <c r="AM49" i="13" s="1"/>
  <c r="Q49" i="13"/>
  <c r="AL49" i="13" s="1"/>
  <c r="P49" i="13"/>
  <c r="AK48" i="12"/>
  <c r="AO48" i="12" s="1"/>
  <c r="AZ48" i="12" s="1"/>
  <c r="S48" i="12"/>
  <c r="BI47" i="12"/>
  <c r="BH47" i="12"/>
  <c r="BG47" i="12"/>
  <c r="AQ48" i="11"/>
  <c r="Y48" i="11"/>
  <c r="M48" i="11"/>
  <c r="BI47" i="11"/>
  <c r="BH47" i="11"/>
  <c r="BG47" i="11"/>
  <c r="BL47" i="12"/>
  <c r="BK47" i="12"/>
  <c r="BJ47" i="12"/>
  <c r="R49" i="12"/>
  <c r="AM49" i="12" s="1"/>
  <c r="Q49" i="12"/>
  <c r="AL49" i="12" s="1"/>
  <c r="P49" i="12"/>
  <c r="E50" i="11"/>
  <c r="D50" i="11"/>
  <c r="C50" i="11"/>
  <c r="E50" i="13"/>
  <c r="D50" i="13"/>
  <c r="C50" i="13"/>
  <c r="AN51" i="13"/>
  <c r="AI51" i="13"/>
  <c r="AN51" i="12"/>
  <c r="AI51" i="12"/>
  <c r="AN51" i="11"/>
  <c r="AI51" i="11"/>
  <c r="BM47" i="13"/>
  <c r="BL47" i="13"/>
  <c r="BK47" i="13"/>
  <c r="AQ48" i="12"/>
  <c r="Y48" i="12"/>
  <c r="BP47" i="13"/>
  <c r="BO47" i="13"/>
  <c r="BN47" i="13"/>
  <c r="S48" i="11"/>
  <c r="R49" i="11"/>
  <c r="AM49" i="11" s="1"/>
  <c r="Q49" i="11"/>
  <c r="AL49" i="11" s="1"/>
  <c r="P49" i="11"/>
  <c r="AK49" i="11" s="1"/>
  <c r="AO49" i="11" s="1"/>
  <c r="AZ49" i="11" s="1"/>
  <c r="L49" i="13"/>
  <c r="AH49" i="13" s="1"/>
  <c r="K49" i="13"/>
  <c r="J49" i="13"/>
  <c r="AF49" i="13" s="1"/>
  <c r="I49" i="13"/>
  <c r="AE49" i="13" s="1"/>
  <c r="H49" i="13"/>
  <c r="AD49" i="13" s="1"/>
  <c r="F49" i="13"/>
  <c r="N49" i="13"/>
  <c r="X49" i="13"/>
  <c r="AR49" i="13" s="1"/>
  <c r="W49" i="13"/>
  <c r="BI48" i="11"/>
  <c r="BH48" i="11"/>
  <c r="BG48" i="11"/>
  <c r="AK48" i="13"/>
  <c r="AO48" i="13" s="1"/>
  <c r="AZ48" i="13" s="1"/>
  <c r="S48" i="13"/>
  <c r="L49" i="12"/>
  <c r="AH49" i="12" s="1"/>
  <c r="K49" i="12"/>
  <c r="AG49" i="12" s="1"/>
  <c r="J49" i="12"/>
  <c r="AF49" i="12" s="1"/>
  <c r="I49" i="12"/>
  <c r="AE49" i="12" s="1"/>
  <c r="H49" i="12"/>
  <c r="F49" i="12"/>
  <c r="X49" i="12"/>
  <c r="AR49" i="12" s="1"/>
  <c r="W49" i="12"/>
  <c r="BD49" i="13"/>
  <c r="BE48" i="13"/>
  <c r="BF48" i="13" s="1"/>
  <c r="BH47" i="8"/>
  <c r="BG47" i="8"/>
  <c r="BF47" i="8"/>
  <c r="R49" i="8"/>
  <c r="AM49" i="8" s="1"/>
  <c r="Q49" i="8"/>
  <c r="AL49" i="8" s="1"/>
  <c r="P49" i="8"/>
  <c r="AK48" i="8"/>
  <c r="AO48" i="8" s="1"/>
  <c r="S48" i="8"/>
  <c r="AN51" i="8"/>
  <c r="AI51" i="8"/>
  <c r="AD48" i="8"/>
  <c r="AJ48" i="8" s="1"/>
  <c r="M48" i="8"/>
  <c r="B45" i="9"/>
  <c r="C45" i="9" s="1"/>
  <c r="E45" i="9" s="1"/>
  <c r="O46" i="3"/>
  <c r="P46" i="3" s="1"/>
  <c r="N46" i="3" s="1"/>
  <c r="Q46" i="3" s="1"/>
  <c r="E50" i="8"/>
  <c r="D50" i="8"/>
  <c r="C50" i="8"/>
  <c r="L49" i="8"/>
  <c r="AH49" i="8" s="1"/>
  <c r="K49" i="8"/>
  <c r="AG49" i="8" s="1"/>
  <c r="J49" i="8"/>
  <c r="AF49" i="8" s="1"/>
  <c r="I49" i="8"/>
  <c r="AE49" i="8" s="1"/>
  <c r="H49" i="8"/>
  <c r="F49" i="8"/>
  <c r="X49" i="8"/>
  <c r="AR49" i="8" s="1"/>
  <c r="W49" i="8"/>
  <c r="B51" i="13"/>
  <c r="B51" i="11"/>
  <c r="B51" i="8"/>
  <c r="B51" i="12"/>
  <c r="AQ48" i="8"/>
  <c r="Y48" i="8"/>
  <c r="B44" i="9"/>
  <c r="C44" i="9" s="1"/>
  <c r="E44" i="9" s="1"/>
  <c r="O45" i="3"/>
  <c r="P45" i="3" s="1"/>
  <c r="N45" i="3" s="1"/>
  <c r="Q45" i="3" s="1"/>
  <c r="BE47" i="8"/>
  <c r="BD47" i="8"/>
  <c r="BC47" i="8"/>
  <c r="BA26" i="11"/>
  <c r="AW26" i="11"/>
  <c r="AU26" i="11"/>
  <c r="AU26" i="13"/>
  <c r="BA26" i="13"/>
  <c r="AW26" i="13"/>
  <c r="BT24" i="11"/>
  <c r="BX24" i="13"/>
  <c r="AS28" i="11"/>
  <c r="AT27" i="11"/>
  <c r="BS25" i="13"/>
  <c r="BW25" i="13" s="1"/>
  <c r="BB25" i="13"/>
  <c r="BQ25" i="13"/>
  <c r="BU25" i="13" s="1"/>
  <c r="BR25" i="13"/>
  <c r="BV25" i="13" s="1"/>
  <c r="BO25" i="11"/>
  <c r="BS25" i="11" s="1"/>
  <c r="BM25" i="11"/>
  <c r="BQ25" i="11" s="1"/>
  <c r="BN25" i="11"/>
  <c r="BR25" i="11" s="1"/>
  <c r="BB25" i="11"/>
  <c r="AS28" i="13"/>
  <c r="AT27" i="13"/>
  <c r="BT26" i="12"/>
  <c r="AS30" i="12"/>
  <c r="AT29" i="12"/>
  <c r="BA29" i="12" s="1"/>
  <c r="AU28" i="12"/>
  <c r="AW28" i="12"/>
  <c r="BO27" i="12"/>
  <c r="BS27" i="12" s="1"/>
  <c r="BM27" i="12"/>
  <c r="BQ27" i="12" s="1"/>
  <c r="BN27" i="12"/>
  <c r="BR27" i="12" s="1"/>
  <c r="BB27" i="12"/>
  <c r="C19" i="3"/>
  <c r="D18" i="3"/>
  <c r="B18" i="3" s="1"/>
  <c r="O18" i="3" s="1"/>
  <c r="P18" i="3" s="1"/>
  <c r="N18" i="3" s="1"/>
  <c r="Q18" i="3" s="1"/>
  <c r="BC32" i="15" l="1"/>
  <c r="AJ33" i="15"/>
  <c r="AO33" i="15"/>
  <c r="BP27" i="15"/>
  <c r="BT24" i="8"/>
  <c r="CB24" i="8" s="1"/>
  <c r="AS30" i="15"/>
  <c r="AT29" i="15"/>
  <c r="BS26" i="8"/>
  <c r="BZ26" i="8" s="1"/>
  <c r="BR24" i="8"/>
  <c r="BX24" i="8" s="1"/>
  <c r="BI28" i="15"/>
  <c r="BM28" i="15" s="1"/>
  <c r="BJ28" i="15"/>
  <c r="BN28" i="15" s="1"/>
  <c r="BK28" i="15"/>
  <c r="BO28" i="15" s="1"/>
  <c r="AX28" i="15"/>
  <c r="AU28" i="15"/>
  <c r="A37" i="15"/>
  <c r="B36" i="15"/>
  <c r="S33" i="15"/>
  <c r="BB37" i="15"/>
  <c r="BL36" i="15"/>
  <c r="X34" i="15"/>
  <c r="AR34" i="15" s="1"/>
  <c r="W34" i="15"/>
  <c r="D35" i="15"/>
  <c r="O35" i="15" s="1"/>
  <c r="R35" i="15" s="1"/>
  <c r="E35" i="15"/>
  <c r="C35" i="15"/>
  <c r="BG33" i="15"/>
  <c r="BH33" i="15"/>
  <c r="BF33" i="15"/>
  <c r="BE33" i="15"/>
  <c r="BC33" i="15"/>
  <c r="BD33" i="15"/>
  <c r="M33" i="15"/>
  <c r="K34" i="15"/>
  <c r="AG34" i="15" s="1"/>
  <c r="I34" i="15"/>
  <c r="AE34" i="15" s="1"/>
  <c r="F34" i="15"/>
  <c r="L34" i="15"/>
  <c r="AH34" i="15" s="1"/>
  <c r="AF34" i="15"/>
  <c r="H34" i="15"/>
  <c r="AD34" i="15" s="1"/>
  <c r="Q34" i="15"/>
  <c r="AL34" i="15" s="1"/>
  <c r="AM34" i="15"/>
  <c r="AK34" i="15"/>
  <c r="AQ33" i="15"/>
  <c r="Y33" i="15"/>
  <c r="BJ43" i="8"/>
  <c r="BN43" i="8" s="1"/>
  <c r="AX43" i="8"/>
  <c r="BK43" i="8"/>
  <c r="BO43" i="8" s="1"/>
  <c r="BI43" i="8"/>
  <c r="BM43" i="8" s="1"/>
  <c r="BP43" i="8" s="1"/>
  <c r="AU43" i="8"/>
  <c r="AS45" i="8"/>
  <c r="AT44" i="8"/>
  <c r="C51" i="12"/>
  <c r="E51" i="12"/>
  <c r="D51" i="12"/>
  <c r="E51" i="11"/>
  <c r="D51" i="11"/>
  <c r="C51" i="11"/>
  <c r="BM48" i="13"/>
  <c r="BL48" i="13"/>
  <c r="BK48" i="13"/>
  <c r="AQ49" i="12"/>
  <c r="Y49" i="12"/>
  <c r="M49" i="13"/>
  <c r="AG49" i="13"/>
  <c r="BL49" i="11"/>
  <c r="BK49" i="11"/>
  <c r="BJ49" i="11"/>
  <c r="J50" i="13"/>
  <c r="AF50" i="13" s="1"/>
  <c r="I50" i="13"/>
  <c r="AE50" i="13" s="1"/>
  <c r="H50" i="13"/>
  <c r="L50" i="13"/>
  <c r="AH50" i="13" s="1"/>
  <c r="K50" i="13"/>
  <c r="AG50" i="13" s="1"/>
  <c r="N50" i="13"/>
  <c r="F50" i="13"/>
  <c r="X50" i="13"/>
  <c r="AR50" i="13" s="1"/>
  <c r="W50" i="13"/>
  <c r="R50" i="11"/>
  <c r="AM50" i="11" s="1"/>
  <c r="Q50" i="11"/>
  <c r="AL50" i="11" s="1"/>
  <c r="P50" i="11"/>
  <c r="AK50" i="11" s="1"/>
  <c r="AK49" i="12"/>
  <c r="AO49" i="12" s="1"/>
  <c r="AZ49" i="12" s="1"/>
  <c r="S49" i="12"/>
  <c r="AK49" i="13"/>
  <c r="AO49" i="13" s="1"/>
  <c r="AZ49" i="13" s="1"/>
  <c r="S49" i="13"/>
  <c r="BI49" i="11"/>
  <c r="BH49" i="11"/>
  <c r="BG49" i="11"/>
  <c r="BI48" i="12"/>
  <c r="BH48" i="12"/>
  <c r="BG48" i="12"/>
  <c r="L50" i="12"/>
  <c r="AH50" i="12" s="1"/>
  <c r="K50" i="12"/>
  <c r="AG50" i="12" s="1"/>
  <c r="J50" i="12"/>
  <c r="AF50" i="12" s="1"/>
  <c r="I50" i="12"/>
  <c r="AE50" i="12" s="1"/>
  <c r="H50" i="12"/>
  <c r="F50" i="12"/>
  <c r="X50" i="12"/>
  <c r="AR50" i="12" s="1"/>
  <c r="W50" i="12"/>
  <c r="AN52" i="13"/>
  <c r="AI52" i="13"/>
  <c r="AN52" i="12"/>
  <c r="AI52" i="12"/>
  <c r="AN52" i="11"/>
  <c r="AI52" i="11"/>
  <c r="E51" i="13"/>
  <c r="D51" i="13"/>
  <c r="C51" i="13"/>
  <c r="AN53" i="13"/>
  <c r="AI53" i="13"/>
  <c r="AN53" i="12"/>
  <c r="AI53" i="12"/>
  <c r="AN53" i="11"/>
  <c r="AI53" i="11"/>
  <c r="AD49" i="12"/>
  <c r="AJ49" i="12" s="1"/>
  <c r="AY49" i="12" s="1"/>
  <c r="M49" i="12"/>
  <c r="BP48" i="13"/>
  <c r="BO48" i="13"/>
  <c r="BN48" i="13"/>
  <c r="AQ49" i="13"/>
  <c r="Y49" i="13"/>
  <c r="AJ49" i="13"/>
  <c r="AY49" i="13" s="1"/>
  <c r="S49" i="11"/>
  <c r="R50" i="13"/>
  <c r="AM50" i="13" s="1"/>
  <c r="Q50" i="13"/>
  <c r="AL50" i="13" s="1"/>
  <c r="P50" i="13"/>
  <c r="L50" i="11"/>
  <c r="AH50" i="11" s="1"/>
  <c r="K50" i="11"/>
  <c r="AG50" i="11" s="1"/>
  <c r="J50" i="11"/>
  <c r="AF50" i="11" s="1"/>
  <c r="I50" i="11"/>
  <c r="AE50" i="11" s="1"/>
  <c r="H50" i="11"/>
  <c r="AD50" i="11" s="1"/>
  <c r="AJ50" i="11" s="1"/>
  <c r="AY50" i="11" s="1"/>
  <c r="F50" i="11"/>
  <c r="X50" i="11"/>
  <c r="AR50" i="11" s="1"/>
  <c r="W50" i="11"/>
  <c r="BL48" i="12"/>
  <c r="BK48" i="12"/>
  <c r="BJ48" i="12"/>
  <c r="AQ49" i="11"/>
  <c r="Y49" i="11"/>
  <c r="M49" i="11"/>
  <c r="R50" i="12"/>
  <c r="AM50" i="12" s="1"/>
  <c r="Q50" i="12"/>
  <c r="AL50" i="12" s="1"/>
  <c r="P50" i="12"/>
  <c r="BD50" i="13"/>
  <c r="BE49" i="13"/>
  <c r="BF49" i="13" s="1"/>
  <c r="B52" i="12"/>
  <c r="B52" i="13"/>
  <c r="B52" i="11"/>
  <c r="B52" i="8"/>
  <c r="AQ49" i="8"/>
  <c r="Y49" i="8"/>
  <c r="L50" i="8"/>
  <c r="AH50" i="8" s="1"/>
  <c r="K50" i="8"/>
  <c r="AG50" i="8" s="1"/>
  <c r="J50" i="8"/>
  <c r="AF50" i="8" s="1"/>
  <c r="I50" i="8"/>
  <c r="AE50" i="8" s="1"/>
  <c r="H50" i="8"/>
  <c r="F50" i="8"/>
  <c r="X50" i="8"/>
  <c r="AR50" i="8" s="1"/>
  <c r="W50" i="8"/>
  <c r="B53" i="13"/>
  <c r="B53" i="11"/>
  <c r="B53" i="8"/>
  <c r="B53" i="12"/>
  <c r="AK49" i="8"/>
  <c r="AO49" i="8" s="1"/>
  <c r="S49" i="8"/>
  <c r="AN52" i="8"/>
  <c r="AI52" i="8"/>
  <c r="E51" i="8"/>
  <c r="D51" i="8"/>
  <c r="C51" i="8"/>
  <c r="M49" i="8"/>
  <c r="AD49" i="8"/>
  <c r="AJ49" i="8" s="1"/>
  <c r="R50" i="8"/>
  <c r="AM50" i="8" s="1"/>
  <c r="Q50" i="8"/>
  <c r="AL50" i="8" s="1"/>
  <c r="P50" i="8"/>
  <c r="AN53" i="8"/>
  <c r="AI53" i="8"/>
  <c r="BE48" i="8"/>
  <c r="BD48" i="8"/>
  <c r="BC48" i="8"/>
  <c r="BH48" i="8"/>
  <c r="BG48" i="8"/>
  <c r="BF48" i="8"/>
  <c r="BT27" i="12"/>
  <c r="BX25" i="13"/>
  <c r="AW27" i="13"/>
  <c r="AU27" i="13"/>
  <c r="BA27" i="13"/>
  <c r="BT25" i="11"/>
  <c r="BA27" i="11"/>
  <c r="AW27" i="11"/>
  <c r="AU27" i="11"/>
  <c r="AS29" i="13"/>
  <c r="AT28" i="13"/>
  <c r="AT28" i="11"/>
  <c r="AS29" i="11"/>
  <c r="BR26" i="13"/>
  <c r="BV26" i="13" s="1"/>
  <c r="BQ26" i="13"/>
  <c r="BU26" i="13" s="1"/>
  <c r="BS26" i="13"/>
  <c r="BW26" i="13" s="1"/>
  <c r="BB26" i="13"/>
  <c r="BN26" i="11"/>
  <c r="BR26" i="11" s="1"/>
  <c r="BB26" i="11"/>
  <c r="BO26" i="11"/>
  <c r="BS26" i="11" s="1"/>
  <c r="BM26" i="11"/>
  <c r="BQ26" i="11" s="1"/>
  <c r="AW29" i="12"/>
  <c r="AU29" i="12"/>
  <c r="BN28" i="12"/>
  <c r="BR28" i="12" s="1"/>
  <c r="BO28" i="12"/>
  <c r="BS28" i="12" s="1"/>
  <c r="BM28" i="12"/>
  <c r="BQ28" i="12" s="1"/>
  <c r="BB28" i="12"/>
  <c r="AS31" i="12"/>
  <c r="AT30" i="12"/>
  <c r="BA30" i="12" s="1"/>
  <c r="C20" i="3"/>
  <c r="D19" i="3"/>
  <c r="B19" i="3" s="1"/>
  <c r="O19" i="3" s="1"/>
  <c r="P19" i="3" s="1"/>
  <c r="N19" i="3" s="1"/>
  <c r="Q19" i="3" s="1"/>
  <c r="AO34" i="15" l="1"/>
  <c r="AJ34" i="15"/>
  <c r="BE34" i="15" s="1"/>
  <c r="BR25" i="8"/>
  <c r="BX25" i="8" s="1"/>
  <c r="BT25" i="8"/>
  <c r="CB25" i="8" s="1"/>
  <c r="BP28" i="15"/>
  <c r="BI29" i="15"/>
  <c r="BM29" i="15" s="1"/>
  <c r="BJ29" i="15"/>
  <c r="BN29" i="15" s="1"/>
  <c r="BK29" i="15"/>
  <c r="BO29" i="15" s="1"/>
  <c r="AX29" i="15"/>
  <c r="AU29" i="15"/>
  <c r="BS27" i="8"/>
  <c r="BZ27" i="8" s="1"/>
  <c r="AS31" i="15"/>
  <c r="AT30" i="15"/>
  <c r="BG34" i="15"/>
  <c r="BH34" i="15"/>
  <c r="BF34" i="15"/>
  <c r="BC34" i="15"/>
  <c r="BD34" i="15"/>
  <c r="M34" i="15"/>
  <c r="K35" i="15"/>
  <c r="AG35" i="15" s="1"/>
  <c r="I35" i="15"/>
  <c r="AE35" i="15" s="1"/>
  <c r="F35" i="15"/>
  <c r="L35" i="15"/>
  <c r="AH35" i="15" s="1"/>
  <c r="AF35" i="15"/>
  <c r="H35" i="15"/>
  <c r="AD35" i="15" s="1"/>
  <c r="Q35" i="15"/>
  <c r="AL35" i="15" s="1"/>
  <c r="AM35" i="15"/>
  <c r="AK35" i="15"/>
  <c r="AQ34" i="15"/>
  <c r="Y34" i="15"/>
  <c r="D36" i="15"/>
  <c r="O36" i="15" s="1"/>
  <c r="R36" i="15" s="1"/>
  <c r="E36" i="15"/>
  <c r="C36" i="15"/>
  <c r="S34" i="15"/>
  <c r="X35" i="15"/>
  <c r="AR35" i="15" s="1"/>
  <c r="W35" i="15"/>
  <c r="BB38" i="15"/>
  <c r="BL37" i="15"/>
  <c r="B37" i="15"/>
  <c r="A38" i="15"/>
  <c r="AU44" i="8"/>
  <c r="BJ44" i="8"/>
  <c r="BN44" i="8" s="1"/>
  <c r="AX44" i="8"/>
  <c r="BK44" i="8"/>
  <c r="BO44" i="8" s="1"/>
  <c r="BI44" i="8"/>
  <c r="BM44" i="8" s="1"/>
  <c r="AS46" i="8"/>
  <c r="AT45" i="8"/>
  <c r="E53" i="13"/>
  <c r="D53" i="13"/>
  <c r="C53" i="13"/>
  <c r="E52" i="11"/>
  <c r="D52" i="11"/>
  <c r="C52" i="11"/>
  <c r="E52" i="12"/>
  <c r="D52" i="12"/>
  <c r="C52" i="12"/>
  <c r="BM49" i="13"/>
  <c r="BL49" i="13"/>
  <c r="BK49" i="13"/>
  <c r="AK50" i="12"/>
  <c r="AO50" i="12" s="1"/>
  <c r="AZ50" i="12" s="1"/>
  <c r="S50" i="12"/>
  <c r="BI50" i="11"/>
  <c r="BH50" i="11"/>
  <c r="BG50" i="11"/>
  <c r="AK50" i="13"/>
  <c r="AO50" i="13" s="1"/>
  <c r="AZ50" i="13" s="1"/>
  <c r="S50" i="13"/>
  <c r="L51" i="13"/>
  <c r="AH51" i="13" s="1"/>
  <c r="K51" i="13"/>
  <c r="J51" i="13"/>
  <c r="AF51" i="13" s="1"/>
  <c r="I51" i="13"/>
  <c r="AE51" i="13" s="1"/>
  <c r="H51" i="13"/>
  <c r="AD51" i="13" s="1"/>
  <c r="F51" i="13"/>
  <c r="N51" i="13"/>
  <c r="X51" i="13"/>
  <c r="AR51" i="13" s="1"/>
  <c r="W51" i="13"/>
  <c r="M50" i="12"/>
  <c r="AD50" i="12"/>
  <c r="AJ50" i="12" s="1"/>
  <c r="AY50" i="12" s="1"/>
  <c r="BP49" i="13"/>
  <c r="BO49" i="13"/>
  <c r="BN49" i="13"/>
  <c r="BL49" i="12"/>
  <c r="BK49" i="12"/>
  <c r="BJ49" i="12"/>
  <c r="S50" i="11"/>
  <c r="L51" i="11"/>
  <c r="AH51" i="11" s="1"/>
  <c r="K51" i="11"/>
  <c r="AG51" i="11" s="1"/>
  <c r="J51" i="11"/>
  <c r="AF51" i="11" s="1"/>
  <c r="I51" i="11"/>
  <c r="AE51" i="11" s="1"/>
  <c r="H51" i="11"/>
  <c r="AD51" i="11" s="1"/>
  <c r="F51" i="11"/>
  <c r="X51" i="11"/>
  <c r="AR51" i="11" s="1"/>
  <c r="W51" i="11"/>
  <c r="X51" i="12"/>
  <c r="AR51" i="12" s="1"/>
  <c r="W51" i="12"/>
  <c r="E53" i="12"/>
  <c r="D53" i="12"/>
  <c r="C53" i="12"/>
  <c r="E53" i="11"/>
  <c r="D53" i="11"/>
  <c r="C53" i="11"/>
  <c r="E52" i="13"/>
  <c r="D52" i="13"/>
  <c r="C52" i="13"/>
  <c r="AQ50" i="11"/>
  <c r="Y50" i="11"/>
  <c r="M50" i="11"/>
  <c r="BI49" i="12"/>
  <c r="BH49" i="12"/>
  <c r="BG49" i="12"/>
  <c r="R51" i="13"/>
  <c r="AM51" i="13" s="1"/>
  <c r="Q51" i="13"/>
  <c r="AL51" i="13" s="1"/>
  <c r="P51" i="13"/>
  <c r="AQ50" i="12"/>
  <c r="Y50" i="12"/>
  <c r="AO50" i="11"/>
  <c r="AZ50" i="11" s="1"/>
  <c r="AQ50" i="13"/>
  <c r="Y50" i="13"/>
  <c r="M50" i="13"/>
  <c r="AD50" i="13"/>
  <c r="AJ50" i="13" s="1"/>
  <c r="AY50" i="13" s="1"/>
  <c r="R51" i="11"/>
  <c r="AM51" i="11" s="1"/>
  <c r="Q51" i="11"/>
  <c r="AL51" i="11" s="1"/>
  <c r="P51" i="11"/>
  <c r="AK51" i="11" s="1"/>
  <c r="R51" i="12"/>
  <c r="AM51" i="12" s="1"/>
  <c r="Q51" i="12"/>
  <c r="AL51" i="12" s="1"/>
  <c r="P51" i="12"/>
  <c r="L51" i="12"/>
  <c r="AH51" i="12" s="1"/>
  <c r="K51" i="12"/>
  <c r="AG51" i="12" s="1"/>
  <c r="J51" i="12"/>
  <c r="AF51" i="12" s="1"/>
  <c r="I51" i="12"/>
  <c r="AE51" i="12" s="1"/>
  <c r="H51" i="12"/>
  <c r="F51" i="12"/>
  <c r="BD51" i="13"/>
  <c r="BE50" i="13"/>
  <c r="BF50" i="13" s="1"/>
  <c r="AK50" i="8"/>
  <c r="AO50" i="8" s="1"/>
  <c r="S50" i="8"/>
  <c r="R51" i="8"/>
  <c r="AM51" i="8" s="1"/>
  <c r="Q51" i="8"/>
  <c r="AL51" i="8" s="1"/>
  <c r="P51" i="8"/>
  <c r="BH49" i="8"/>
  <c r="BG49" i="8"/>
  <c r="BF49" i="8"/>
  <c r="E53" i="8"/>
  <c r="D53" i="8"/>
  <c r="C53" i="8"/>
  <c r="AD50" i="8"/>
  <c r="AJ50" i="8" s="1"/>
  <c r="M50" i="8"/>
  <c r="BE49" i="8"/>
  <c r="BD49" i="8"/>
  <c r="BC49" i="8"/>
  <c r="L51" i="8"/>
  <c r="AH51" i="8" s="1"/>
  <c r="K51" i="8"/>
  <c r="AG51" i="8" s="1"/>
  <c r="J51" i="8"/>
  <c r="AF51" i="8" s="1"/>
  <c r="I51" i="8"/>
  <c r="AE51" i="8" s="1"/>
  <c r="H51" i="8"/>
  <c r="F51" i="8"/>
  <c r="X51" i="8"/>
  <c r="AR51" i="8" s="1"/>
  <c r="W51" i="8"/>
  <c r="AQ50" i="8"/>
  <c r="Y50" i="8"/>
  <c r="E52" i="8"/>
  <c r="D52" i="8"/>
  <c r="C52" i="8"/>
  <c r="BT26" i="11"/>
  <c r="BA28" i="11"/>
  <c r="AW28" i="11"/>
  <c r="AU28" i="11"/>
  <c r="AS30" i="13"/>
  <c r="AT29" i="13"/>
  <c r="BX26" i="13"/>
  <c r="AT29" i="11"/>
  <c r="AS30" i="11"/>
  <c r="BA28" i="13"/>
  <c r="AW28" i="13"/>
  <c r="AU28" i="13"/>
  <c r="BO27" i="11"/>
  <c r="BS27" i="11" s="1"/>
  <c r="BM27" i="11"/>
  <c r="BQ27" i="11" s="1"/>
  <c r="BN27" i="11"/>
  <c r="BR27" i="11" s="1"/>
  <c r="BB27" i="11"/>
  <c r="BS27" i="13"/>
  <c r="BW27" i="13" s="1"/>
  <c r="BB27" i="13"/>
  <c r="BQ27" i="13"/>
  <c r="BU27" i="13" s="1"/>
  <c r="BR27" i="13"/>
  <c r="BV27" i="13" s="1"/>
  <c r="BT28" i="12"/>
  <c r="AS32" i="12"/>
  <c r="AT31" i="12"/>
  <c r="BA31" i="12" s="1"/>
  <c r="BO29" i="12"/>
  <c r="BS29" i="12" s="1"/>
  <c r="BM29" i="12"/>
  <c r="BQ29" i="12" s="1"/>
  <c r="BB29" i="12"/>
  <c r="BN29" i="12"/>
  <c r="BR29" i="12" s="1"/>
  <c r="AU30" i="12"/>
  <c r="AW30" i="12"/>
  <c r="C21" i="3"/>
  <c r="D20" i="3"/>
  <c r="B20" i="3" s="1"/>
  <c r="O20" i="3" s="1"/>
  <c r="P20" i="3" s="1"/>
  <c r="N20" i="3" s="1"/>
  <c r="Q20" i="3" s="1"/>
  <c r="AO35" i="15" l="1"/>
  <c r="AJ35" i="15"/>
  <c r="BS28" i="8"/>
  <c r="BZ28" i="8" s="1"/>
  <c r="BT26" i="8"/>
  <c r="CB26" i="8" s="1"/>
  <c r="BR26" i="8"/>
  <c r="BX26" i="8" s="1"/>
  <c r="BP44" i="8"/>
  <c r="AS32" i="15"/>
  <c r="AT31" i="15"/>
  <c r="BP29" i="15"/>
  <c r="BK30" i="15"/>
  <c r="BO30" i="15" s="1"/>
  <c r="AX30" i="15"/>
  <c r="AU30" i="15"/>
  <c r="BI30" i="15"/>
  <c r="BM30" i="15" s="1"/>
  <c r="BJ30" i="15"/>
  <c r="BN30" i="15" s="1"/>
  <c r="B38" i="15"/>
  <c r="A39" i="15"/>
  <c r="BB39" i="15"/>
  <c r="BL38" i="15"/>
  <c r="K36" i="15"/>
  <c r="AG36" i="15" s="1"/>
  <c r="I36" i="15"/>
  <c r="AE36" i="15" s="1"/>
  <c r="F36" i="15"/>
  <c r="L36" i="15"/>
  <c r="AH36" i="15" s="1"/>
  <c r="AF36" i="15"/>
  <c r="H36" i="15"/>
  <c r="AD36" i="15" s="1"/>
  <c r="Q36" i="15"/>
  <c r="AL36" i="15" s="1"/>
  <c r="AM36" i="15"/>
  <c r="AK36" i="15"/>
  <c r="S35" i="15"/>
  <c r="D37" i="15"/>
  <c r="O37" i="15" s="1"/>
  <c r="R37" i="15" s="1"/>
  <c r="E37" i="15"/>
  <c r="C37" i="15"/>
  <c r="AQ35" i="15"/>
  <c r="Y35" i="15"/>
  <c r="X36" i="15"/>
  <c r="AR36" i="15" s="1"/>
  <c r="W36" i="15"/>
  <c r="BG35" i="15"/>
  <c r="BH35" i="15"/>
  <c r="BF35" i="15"/>
  <c r="BE35" i="15"/>
  <c r="BC35" i="15"/>
  <c r="BD35" i="15"/>
  <c r="M35" i="15"/>
  <c r="AS47" i="8"/>
  <c r="AT46" i="8"/>
  <c r="BJ45" i="8"/>
  <c r="BN45" i="8" s="1"/>
  <c r="AX45" i="8"/>
  <c r="BK45" i="8"/>
  <c r="BO45" i="8" s="1"/>
  <c r="BI45" i="8"/>
  <c r="BM45" i="8" s="1"/>
  <c r="BP45" i="8" s="1"/>
  <c r="AU45" i="8"/>
  <c r="BM50" i="13"/>
  <c r="BL50" i="13"/>
  <c r="BK50" i="13"/>
  <c r="AK51" i="12"/>
  <c r="AO51" i="12" s="1"/>
  <c r="AZ51" i="12" s="1"/>
  <c r="S51" i="12"/>
  <c r="S51" i="11"/>
  <c r="R52" i="13"/>
  <c r="AM52" i="13" s="1"/>
  <c r="Q52" i="13"/>
  <c r="AL52" i="13" s="1"/>
  <c r="P52" i="13"/>
  <c r="L53" i="11"/>
  <c r="AH53" i="11" s="1"/>
  <c r="K53" i="11"/>
  <c r="AG53" i="11" s="1"/>
  <c r="J53" i="11"/>
  <c r="AF53" i="11" s="1"/>
  <c r="I53" i="11"/>
  <c r="AE53" i="11" s="1"/>
  <c r="H53" i="11"/>
  <c r="AD53" i="11" s="1"/>
  <c r="AJ53" i="11" s="1"/>
  <c r="AY53" i="11" s="1"/>
  <c r="F53" i="11"/>
  <c r="X53" i="11"/>
  <c r="AR53" i="11" s="1"/>
  <c r="W53" i="11"/>
  <c r="R53" i="12"/>
  <c r="AM53" i="12" s="1"/>
  <c r="Q53" i="12"/>
  <c r="AL53" i="12" s="1"/>
  <c r="P53" i="12"/>
  <c r="AQ51" i="12"/>
  <c r="Y51" i="12"/>
  <c r="AQ51" i="11"/>
  <c r="Y51" i="11"/>
  <c r="M51" i="11"/>
  <c r="BI50" i="12"/>
  <c r="BH50" i="12"/>
  <c r="BG50" i="12"/>
  <c r="AQ51" i="13"/>
  <c r="Y51" i="13"/>
  <c r="BP50" i="13"/>
  <c r="BO50" i="13"/>
  <c r="BN50" i="13"/>
  <c r="BL50" i="12"/>
  <c r="BK50" i="12"/>
  <c r="BJ50" i="12"/>
  <c r="L52" i="12"/>
  <c r="AH52" i="12" s="1"/>
  <c r="K52" i="12"/>
  <c r="AG52" i="12" s="1"/>
  <c r="J52" i="12"/>
  <c r="AF52" i="12" s="1"/>
  <c r="I52" i="12"/>
  <c r="AE52" i="12" s="1"/>
  <c r="H52" i="12"/>
  <c r="F52" i="12"/>
  <c r="X52" i="12"/>
  <c r="AR52" i="12" s="1"/>
  <c r="W52" i="12"/>
  <c r="R52" i="11"/>
  <c r="AM52" i="11" s="1"/>
  <c r="Q52" i="11"/>
  <c r="AL52" i="11" s="1"/>
  <c r="P52" i="11"/>
  <c r="AK52" i="11" s="1"/>
  <c r="L53" i="13"/>
  <c r="AH53" i="13" s="1"/>
  <c r="K53" i="13"/>
  <c r="J53" i="13"/>
  <c r="AF53" i="13" s="1"/>
  <c r="I53" i="13"/>
  <c r="AE53" i="13" s="1"/>
  <c r="H53" i="13"/>
  <c r="AD53" i="13" s="1"/>
  <c r="F53" i="13"/>
  <c r="N53" i="13"/>
  <c r="X53" i="13"/>
  <c r="AR53" i="13" s="1"/>
  <c r="W53" i="13"/>
  <c r="AD51" i="12"/>
  <c r="AJ51" i="12" s="1"/>
  <c r="AY51" i="12" s="1"/>
  <c r="M51" i="12"/>
  <c r="AO51" i="11"/>
  <c r="AZ51" i="11" s="1"/>
  <c r="BL50" i="11"/>
  <c r="BK50" i="11"/>
  <c r="BJ50" i="11"/>
  <c r="AK51" i="13"/>
  <c r="AO51" i="13" s="1"/>
  <c r="AZ51" i="13" s="1"/>
  <c r="S51" i="13"/>
  <c r="J52" i="13"/>
  <c r="AF52" i="13" s="1"/>
  <c r="I52" i="13"/>
  <c r="AE52" i="13" s="1"/>
  <c r="H52" i="13"/>
  <c r="L52" i="13"/>
  <c r="AH52" i="13" s="1"/>
  <c r="K52" i="13"/>
  <c r="AG52" i="13" s="1"/>
  <c r="N52" i="13"/>
  <c r="F52" i="13"/>
  <c r="X52" i="13"/>
  <c r="AR52" i="13" s="1"/>
  <c r="W52" i="13"/>
  <c r="R53" i="11"/>
  <c r="AM53" i="11" s="1"/>
  <c r="Q53" i="11"/>
  <c r="AL53" i="11" s="1"/>
  <c r="P53" i="11"/>
  <c r="AK53" i="11" s="1"/>
  <c r="AO53" i="11" s="1"/>
  <c r="AZ53" i="11" s="1"/>
  <c r="L53" i="12"/>
  <c r="AH53" i="12" s="1"/>
  <c r="K53" i="12"/>
  <c r="AG53" i="12" s="1"/>
  <c r="J53" i="12"/>
  <c r="AF53" i="12" s="1"/>
  <c r="I53" i="12"/>
  <c r="AE53" i="12" s="1"/>
  <c r="H53" i="12"/>
  <c r="F53" i="12"/>
  <c r="X53" i="12"/>
  <c r="AR53" i="12" s="1"/>
  <c r="W53" i="12"/>
  <c r="AJ51" i="11"/>
  <c r="AY51" i="11" s="1"/>
  <c r="M51" i="13"/>
  <c r="AG51" i="13"/>
  <c r="AJ51" i="13" s="1"/>
  <c r="AY51" i="13" s="1"/>
  <c r="R52" i="12"/>
  <c r="AM52" i="12" s="1"/>
  <c r="Q52" i="12"/>
  <c r="AL52" i="12" s="1"/>
  <c r="P52" i="12"/>
  <c r="L52" i="11"/>
  <c r="AH52" i="11" s="1"/>
  <c r="K52" i="11"/>
  <c r="AG52" i="11" s="1"/>
  <c r="J52" i="11"/>
  <c r="AF52" i="11" s="1"/>
  <c r="I52" i="11"/>
  <c r="AE52" i="11" s="1"/>
  <c r="H52" i="11"/>
  <c r="AD52" i="11" s="1"/>
  <c r="AJ52" i="11" s="1"/>
  <c r="AY52" i="11" s="1"/>
  <c r="F52" i="11"/>
  <c r="X52" i="11"/>
  <c r="AR52" i="11" s="1"/>
  <c r="W52" i="11"/>
  <c r="R53" i="13"/>
  <c r="AM53" i="13" s="1"/>
  <c r="Q53" i="13"/>
  <c r="AL53" i="13" s="1"/>
  <c r="P53" i="13"/>
  <c r="BD52" i="13"/>
  <c r="BE51" i="13"/>
  <c r="L52" i="8"/>
  <c r="AH52" i="8" s="1"/>
  <c r="K52" i="8"/>
  <c r="AG52" i="8" s="1"/>
  <c r="J52" i="8"/>
  <c r="AF52" i="8" s="1"/>
  <c r="I52" i="8"/>
  <c r="AE52" i="8" s="1"/>
  <c r="H52" i="8"/>
  <c r="F52" i="8"/>
  <c r="X52" i="8"/>
  <c r="AR52" i="8" s="1"/>
  <c r="W52" i="8"/>
  <c r="M51" i="8"/>
  <c r="AD51" i="8"/>
  <c r="AJ51" i="8" s="1"/>
  <c r="L53" i="8"/>
  <c r="AH53" i="8" s="1"/>
  <c r="K53" i="8"/>
  <c r="AG53" i="8" s="1"/>
  <c r="J53" i="8"/>
  <c r="AF53" i="8" s="1"/>
  <c r="I53" i="8"/>
  <c r="AE53" i="8" s="1"/>
  <c r="H53" i="8"/>
  <c r="F53" i="8"/>
  <c r="X53" i="8"/>
  <c r="AR53" i="8" s="1"/>
  <c r="W53" i="8"/>
  <c r="AK51" i="8"/>
  <c r="AO51" i="8" s="1"/>
  <c r="S51" i="8"/>
  <c r="BH50" i="8"/>
  <c r="BG50" i="8"/>
  <c r="BF50" i="8"/>
  <c r="R52" i="8"/>
  <c r="AM52" i="8" s="1"/>
  <c r="Q52" i="8"/>
  <c r="AL52" i="8" s="1"/>
  <c r="P52" i="8"/>
  <c r="AQ51" i="8"/>
  <c r="Y51" i="8"/>
  <c r="BE50" i="8"/>
  <c r="BD50" i="8"/>
  <c r="BC50" i="8"/>
  <c r="R53" i="8"/>
  <c r="AM53" i="8" s="1"/>
  <c r="Q53" i="8"/>
  <c r="AL53" i="8" s="1"/>
  <c r="P53" i="8"/>
  <c r="BX27" i="13"/>
  <c r="AS31" i="11"/>
  <c r="AT30" i="11"/>
  <c r="AS31" i="13"/>
  <c r="AT30" i="13"/>
  <c r="BT27" i="11"/>
  <c r="BS28" i="13"/>
  <c r="BW28" i="13" s="1"/>
  <c r="BB28" i="13"/>
  <c r="BQ28" i="13"/>
  <c r="BU28" i="13" s="1"/>
  <c r="BR28" i="13"/>
  <c r="BV28" i="13" s="1"/>
  <c r="BA29" i="11"/>
  <c r="AU29" i="11"/>
  <c r="AW29" i="11"/>
  <c r="BA29" i="13"/>
  <c r="AW29" i="13"/>
  <c r="AU29" i="13"/>
  <c r="BN28" i="11"/>
  <c r="BR28" i="11" s="1"/>
  <c r="BB28" i="11"/>
  <c r="BO28" i="11"/>
  <c r="BS28" i="11" s="1"/>
  <c r="BM28" i="11"/>
  <c r="BQ28" i="11" s="1"/>
  <c r="BT29" i="12"/>
  <c r="AW31" i="12"/>
  <c r="AU31" i="12"/>
  <c r="BN30" i="12"/>
  <c r="BR30" i="12" s="1"/>
  <c r="BO30" i="12"/>
  <c r="BS30" i="12" s="1"/>
  <c r="BM30" i="12"/>
  <c r="BQ30" i="12" s="1"/>
  <c r="BB30" i="12"/>
  <c r="AS33" i="12"/>
  <c r="AT32" i="12"/>
  <c r="BA32" i="12" s="1"/>
  <c r="C22" i="3"/>
  <c r="D21" i="3"/>
  <c r="B21" i="3" s="1"/>
  <c r="O21" i="3" s="1"/>
  <c r="P21" i="3" s="1"/>
  <c r="N21" i="3" s="1"/>
  <c r="Q21" i="3" s="1"/>
  <c r="BP30" i="15" l="1"/>
  <c r="AJ36" i="15"/>
  <c r="AO36" i="15"/>
  <c r="BR27" i="8"/>
  <c r="BX27" i="8" s="1"/>
  <c r="AS33" i="15"/>
  <c r="AT32" i="15"/>
  <c r="BS29" i="8"/>
  <c r="BZ29" i="8" s="1"/>
  <c r="BT27" i="8"/>
  <c r="CB27" i="8" s="1"/>
  <c r="BI31" i="15"/>
  <c r="BM31" i="15" s="1"/>
  <c r="BJ31" i="15"/>
  <c r="BN31" i="15" s="1"/>
  <c r="BK31" i="15"/>
  <c r="BO31" i="15" s="1"/>
  <c r="AX31" i="15"/>
  <c r="AU31" i="15"/>
  <c r="X37" i="15"/>
  <c r="AR37" i="15" s="1"/>
  <c r="W37" i="15"/>
  <c r="S36" i="15"/>
  <c r="B39" i="15"/>
  <c r="A40" i="15"/>
  <c r="AQ36" i="15"/>
  <c r="Y36" i="15"/>
  <c r="K37" i="15"/>
  <c r="AG37" i="15" s="1"/>
  <c r="I37" i="15"/>
  <c r="AE37" i="15" s="1"/>
  <c r="F37" i="15"/>
  <c r="L37" i="15"/>
  <c r="AH37" i="15" s="1"/>
  <c r="AF37" i="15"/>
  <c r="H37" i="15"/>
  <c r="AD37" i="15" s="1"/>
  <c r="Q37" i="15"/>
  <c r="AL37" i="15" s="1"/>
  <c r="AM37" i="15"/>
  <c r="AK37" i="15"/>
  <c r="BG36" i="15"/>
  <c r="BH36" i="15"/>
  <c r="BF36" i="15"/>
  <c r="BE36" i="15"/>
  <c r="BC36" i="15"/>
  <c r="BD36" i="15"/>
  <c r="M36" i="15"/>
  <c r="BB40" i="15"/>
  <c r="BL39" i="15"/>
  <c r="D38" i="15"/>
  <c r="O38" i="15" s="1"/>
  <c r="R38" i="15" s="1"/>
  <c r="E38" i="15"/>
  <c r="C38" i="15"/>
  <c r="BK46" i="8"/>
  <c r="BO46" i="8" s="1"/>
  <c r="BI46" i="8"/>
  <c r="BM46" i="8" s="1"/>
  <c r="AU46" i="8"/>
  <c r="BJ46" i="8"/>
  <c r="BN46" i="8" s="1"/>
  <c r="AX46" i="8"/>
  <c r="AT33" i="12"/>
  <c r="BA33" i="12" s="1"/>
  <c r="AS34" i="12"/>
  <c r="AS48" i="8"/>
  <c r="AT47" i="8"/>
  <c r="BF51" i="13"/>
  <c r="AK53" i="13"/>
  <c r="AO53" i="13" s="1"/>
  <c r="AZ53" i="13" s="1"/>
  <c r="S53" i="13"/>
  <c r="BI52" i="11"/>
  <c r="BH52" i="11"/>
  <c r="BG52" i="11"/>
  <c r="AK52" i="12"/>
  <c r="AO52" i="12" s="1"/>
  <c r="AZ52" i="12" s="1"/>
  <c r="S52" i="12"/>
  <c r="AQ53" i="12"/>
  <c r="Y53" i="12"/>
  <c r="BL53" i="11"/>
  <c r="BK53" i="11"/>
  <c r="BJ53" i="11"/>
  <c r="AQ52" i="13"/>
  <c r="Y52" i="13"/>
  <c r="AD52" i="13"/>
  <c r="AJ52" i="13" s="1"/>
  <c r="AY52" i="13" s="1"/>
  <c r="M52" i="13"/>
  <c r="AQ53" i="13"/>
  <c r="Y53" i="13"/>
  <c r="S52" i="11"/>
  <c r="M52" i="12"/>
  <c r="AD52" i="12"/>
  <c r="AJ52" i="12" s="1"/>
  <c r="AY52" i="12" s="1"/>
  <c r="AK53" i="12"/>
  <c r="AO53" i="12" s="1"/>
  <c r="AZ53" i="12" s="1"/>
  <c r="S53" i="12"/>
  <c r="BI53" i="11"/>
  <c r="BH53" i="11"/>
  <c r="BG53" i="11"/>
  <c r="AK52" i="13"/>
  <c r="AO52" i="13" s="1"/>
  <c r="AZ52" i="13" s="1"/>
  <c r="S52" i="13"/>
  <c r="BL51" i="12"/>
  <c r="BK51" i="12"/>
  <c r="BJ51" i="12"/>
  <c r="AQ52" i="11"/>
  <c r="Y52" i="11"/>
  <c r="M52" i="11"/>
  <c r="BI51" i="11"/>
  <c r="BH51" i="11"/>
  <c r="BG51" i="11"/>
  <c r="AD53" i="12"/>
  <c r="AJ53" i="12" s="1"/>
  <c r="AY53" i="12" s="1"/>
  <c r="M53" i="12"/>
  <c r="S53" i="11"/>
  <c r="BP51" i="13"/>
  <c r="BO51" i="13"/>
  <c r="BN51" i="13"/>
  <c r="BL51" i="11"/>
  <c r="BK51" i="11"/>
  <c r="BJ51" i="11"/>
  <c r="BI51" i="12"/>
  <c r="BH51" i="12"/>
  <c r="BG51" i="12"/>
  <c r="M53" i="13"/>
  <c r="AG53" i="13"/>
  <c r="AJ53" i="13" s="1"/>
  <c r="AY53" i="13" s="1"/>
  <c r="AO52" i="11"/>
  <c r="AZ52" i="11" s="1"/>
  <c r="AQ52" i="12"/>
  <c r="Y52" i="12"/>
  <c r="AQ53" i="11"/>
  <c r="Y53" i="11"/>
  <c r="M53" i="11"/>
  <c r="BD53" i="13"/>
  <c r="BE53" i="13" s="1"/>
  <c r="BE52" i="13"/>
  <c r="BF52" i="13" s="1"/>
  <c r="BH51" i="8"/>
  <c r="BG51" i="8"/>
  <c r="BF51" i="8"/>
  <c r="M53" i="8"/>
  <c r="AD53" i="8"/>
  <c r="AJ53" i="8" s="1"/>
  <c r="AQ52" i="8"/>
  <c r="Y52" i="8"/>
  <c r="AK53" i="8"/>
  <c r="AO53" i="8" s="1"/>
  <c r="S53" i="8"/>
  <c r="AK52" i="8"/>
  <c r="AO52" i="8" s="1"/>
  <c r="S52" i="8"/>
  <c r="AQ53" i="8"/>
  <c r="Y53" i="8"/>
  <c r="BE51" i="8"/>
  <c r="BD51" i="8"/>
  <c r="BC51" i="8"/>
  <c r="AD52" i="8"/>
  <c r="AJ52" i="8" s="1"/>
  <c r="M52" i="8"/>
  <c r="BT28" i="11"/>
  <c r="BR29" i="13"/>
  <c r="BV29" i="13" s="1"/>
  <c r="BQ29" i="13"/>
  <c r="BU29" i="13" s="1"/>
  <c r="BS29" i="13"/>
  <c r="BW29" i="13" s="1"/>
  <c r="BB29" i="13"/>
  <c r="AS32" i="13"/>
  <c r="AT31" i="13"/>
  <c r="AS32" i="11"/>
  <c r="AT31" i="11"/>
  <c r="BN29" i="11"/>
  <c r="BR29" i="11" s="1"/>
  <c r="BB29" i="11"/>
  <c r="BO29" i="11"/>
  <c r="BS29" i="11" s="1"/>
  <c r="BM29" i="11"/>
  <c r="BQ29" i="11" s="1"/>
  <c r="BX28" i="13"/>
  <c r="AW30" i="13"/>
  <c r="AU30" i="13"/>
  <c r="BA30" i="13"/>
  <c r="BA30" i="11"/>
  <c r="AU30" i="11"/>
  <c r="AW30" i="11"/>
  <c r="BT30" i="12"/>
  <c r="AW33" i="12"/>
  <c r="AU33" i="12"/>
  <c r="AU32" i="12"/>
  <c r="AW32" i="12"/>
  <c r="BO31" i="12"/>
  <c r="BS31" i="12" s="1"/>
  <c r="BM31" i="12"/>
  <c r="BQ31" i="12" s="1"/>
  <c r="BB31" i="12"/>
  <c r="BN31" i="12"/>
  <c r="BR31" i="12" s="1"/>
  <c r="C23" i="3"/>
  <c r="D22" i="3"/>
  <c r="B22" i="3" s="1"/>
  <c r="O22" i="3" s="1"/>
  <c r="P22" i="3" s="1"/>
  <c r="N22" i="3" s="1"/>
  <c r="Q22" i="3" s="1"/>
  <c r="AO37" i="15" l="1"/>
  <c r="AJ37" i="15"/>
  <c r="BS30" i="8"/>
  <c r="BZ30" i="8" s="1"/>
  <c r="BR28" i="8"/>
  <c r="BX28" i="8" s="1"/>
  <c r="BP31" i="15"/>
  <c r="BI32" i="15"/>
  <c r="BM32" i="15" s="1"/>
  <c r="BJ32" i="15"/>
  <c r="BN32" i="15" s="1"/>
  <c r="BK32" i="15"/>
  <c r="BO32" i="15" s="1"/>
  <c r="AX32" i="15"/>
  <c r="AU32" i="15"/>
  <c r="BT28" i="8"/>
  <c r="CB28" i="8" s="1"/>
  <c r="AS34" i="15"/>
  <c r="AT33" i="15"/>
  <c r="K38" i="15"/>
  <c r="AG38" i="15" s="1"/>
  <c r="I38" i="15"/>
  <c r="AE38" i="15" s="1"/>
  <c r="F38" i="15"/>
  <c r="L38" i="15"/>
  <c r="AH38" i="15" s="1"/>
  <c r="AF38" i="15"/>
  <c r="H38" i="15"/>
  <c r="AD38" i="15" s="1"/>
  <c r="BB41" i="15"/>
  <c r="BL40" i="15"/>
  <c r="X38" i="15"/>
  <c r="AR38" i="15" s="1"/>
  <c r="W38" i="15"/>
  <c r="S37" i="15"/>
  <c r="B40" i="15"/>
  <c r="A41" i="15"/>
  <c r="Q38" i="15"/>
  <c r="AL38" i="15" s="1"/>
  <c r="AM38" i="15"/>
  <c r="AK38" i="15"/>
  <c r="BG37" i="15"/>
  <c r="BH37" i="15"/>
  <c r="BF37" i="15"/>
  <c r="BE37" i="15"/>
  <c r="BC37" i="15"/>
  <c r="BD37" i="15"/>
  <c r="M37" i="15"/>
  <c r="D39" i="15"/>
  <c r="O39" i="15" s="1"/>
  <c r="R39" i="15" s="1"/>
  <c r="E39" i="15"/>
  <c r="C39" i="15"/>
  <c r="AQ37" i="15"/>
  <c r="Y37" i="15"/>
  <c r="BJ47" i="8"/>
  <c r="BN47" i="8" s="1"/>
  <c r="AX47" i="8"/>
  <c r="BK47" i="8"/>
  <c r="BO47" i="8" s="1"/>
  <c r="BI47" i="8"/>
  <c r="BM47" i="8" s="1"/>
  <c r="AU47" i="8"/>
  <c r="AS35" i="12"/>
  <c r="AT34" i="12"/>
  <c r="AS49" i="8"/>
  <c r="AT48" i="8"/>
  <c r="BP46" i="8"/>
  <c r="BF53" i="13"/>
  <c r="BL53" i="12"/>
  <c r="BK53" i="12"/>
  <c r="BJ53" i="12"/>
  <c r="BL52" i="12"/>
  <c r="BK52" i="12"/>
  <c r="BJ52" i="12"/>
  <c r="BM51" i="13"/>
  <c r="BL51" i="13"/>
  <c r="BK51" i="13"/>
  <c r="BM52" i="13"/>
  <c r="BL52" i="13"/>
  <c r="BK52" i="13"/>
  <c r="BL52" i="11"/>
  <c r="BK52" i="11"/>
  <c r="BJ52" i="11"/>
  <c r="BI53" i="12"/>
  <c r="BH53" i="12"/>
  <c r="BG53" i="12"/>
  <c r="BP52" i="13"/>
  <c r="BO52" i="13"/>
  <c r="BN52" i="13"/>
  <c r="BI52" i="12"/>
  <c r="BH52" i="12"/>
  <c r="BG52" i="12"/>
  <c r="BP53" i="13"/>
  <c r="BO53" i="13"/>
  <c r="BN53" i="13"/>
  <c r="BH52" i="8"/>
  <c r="BG52" i="8"/>
  <c r="BF52" i="8"/>
  <c r="BH53" i="8"/>
  <c r="BG53" i="8"/>
  <c r="BF53" i="8"/>
  <c r="BE52" i="8"/>
  <c r="BD52" i="8"/>
  <c r="BC52" i="8"/>
  <c r="BE53" i="8"/>
  <c r="BD53" i="8"/>
  <c r="BC53" i="8"/>
  <c r="BT29" i="11"/>
  <c r="BX29" i="13"/>
  <c r="BN30" i="11"/>
  <c r="BR30" i="11" s="1"/>
  <c r="BB30" i="11"/>
  <c r="BO30" i="11"/>
  <c r="BS30" i="11" s="1"/>
  <c r="BM30" i="11"/>
  <c r="BQ30" i="11" s="1"/>
  <c r="AS33" i="11"/>
  <c r="AT32" i="11"/>
  <c r="AS33" i="13"/>
  <c r="AT32" i="13"/>
  <c r="AW32" i="13" s="1"/>
  <c r="BQ30" i="13"/>
  <c r="BU30" i="13" s="1"/>
  <c r="BR30" i="13"/>
  <c r="BV30" i="13" s="1"/>
  <c r="BS30" i="13"/>
  <c r="BW30" i="13" s="1"/>
  <c r="BB30" i="13"/>
  <c r="BA31" i="11"/>
  <c r="AW31" i="11"/>
  <c r="AU31" i="11"/>
  <c r="AW31" i="13"/>
  <c r="AU31" i="13"/>
  <c r="BA31" i="13"/>
  <c r="BT31" i="12"/>
  <c r="BN32" i="12"/>
  <c r="BR32" i="12" s="1"/>
  <c r="BO32" i="12"/>
  <c r="BS32" i="12" s="1"/>
  <c r="BM32" i="12"/>
  <c r="BQ32" i="12" s="1"/>
  <c r="BB32" i="12"/>
  <c r="BO33" i="12"/>
  <c r="BS33" i="12" s="1"/>
  <c r="BM33" i="12"/>
  <c r="BQ33" i="12" s="1"/>
  <c r="BB33" i="12"/>
  <c r="BN33" i="12"/>
  <c r="BR33" i="12" s="1"/>
  <c r="C24" i="3"/>
  <c r="D23" i="3"/>
  <c r="B23" i="3" s="1"/>
  <c r="O23" i="3" s="1"/>
  <c r="P23" i="3" s="1"/>
  <c r="N23" i="3" s="1"/>
  <c r="Q23" i="3" s="1"/>
  <c r="AJ38" i="15" l="1"/>
  <c r="BS31" i="8"/>
  <c r="BZ31" i="8" s="1"/>
  <c r="BR29" i="8"/>
  <c r="BX29" i="8" s="1"/>
  <c r="AS35" i="15"/>
  <c r="AT34" i="15"/>
  <c r="BT29" i="8"/>
  <c r="CB29" i="8" s="1"/>
  <c r="BI33" i="15"/>
  <c r="BM33" i="15" s="1"/>
  <c r="BJ33" i="15"/>
  <c r="BN33" i="15" s="1"/>
  <c r="BK33" i="15"/>
  <c r="BO33" i="15" s="1"/>
  <c r="AX33" i="15"/>
  <c r="AU33" i="15"/>
  <c r="BP32" i="15"/>
  <c r="X39" i="15"/>
  <c r="AR39" i="15" s="1"/>
  <c r="W39" i="15"/>
  <c r="AO38" i="15"/>
  <c r="B41" i="15"/>
  <c r="A42" i="15"/>
  <c r="AQ38" i="15"/>
  <c r="Y38" i="15"/>
  <c r="BE38" i="15"/>
  <c r="BC38" i="15"/>
  <c r="BD38" i="15"/>
  <c r="M38" i="15"/>
  <c r="K39" i="15"/>
  <c r="AG39" i="15" s="1"/>
  <c r="I39" i="15"/>
  <c r="AE39" i="15" s="1"/>
  <c r="F39" i="15"/>
  <c r="L39" i="15"/>
  <c r="AH39" i="15" s="1"/>
  <c r="AF39" i="15"/>
  <c r="H39" i="15"/>
  <c r="AD39" i="15" s="1"/>
  <c r="Q39" i="15"/>
  <c r="AL39" i="15" s="1"/>
  <c r="AM39" i="15"/>
  <c r="AK39" i="15"/>
  <c r="S38" i="15"/>
  <c r="D40" i="15"/>
  <c r="O40" i="15" s="1"/>
  <c r="R40" i="15" s="1"/>
  <c r="E40" i="15"/>
  <c r="C40" i="15"/>
  <c r="BB42" i="15"/>
  <c r="BL41" i="15"/>
  <c r="AT33" i="13"/>
  <c r="AS34" i="13"/>
  <c r="AT33" i="11"/>
  <c r="AS34" i="11"/>
  <c r="AU48" i="8"/>
  <c r="BJ48" i="8"/>
  <c r="BN48" i="8" s="1"/>
  <c r="AX48" i="8"/>
  <c r="BK48" i="8"/>
  <c r="BO48" i="8" s="1"/>
  <c r="BI48" i="8"/>
  <c r="BM48" i="8" s="1"/>
  <c r="AS36" i="12"/>
  <c r="AT35" i="12"/>
  <c r="AS50" i="8"/>
  <c r="AT49" i="8"/>
  <c r="AW34" i="12"/>
  <c r="BA34" i="12"/>
  <c r="AU34" i="12"/>
  <c r="BP47" i="8"/>
  <c r="BM53" i="13"/>
  <c r="BL53" i="13"/>
  <c r="BK53" i="13"/>
  <c r="BT30" i="11"/>
  <c r="BS31" i="13"/>
  <c r="BW31" i="13" s="1"/>
  <c r="BB31" i="13"/>
  <c r="BQ31" i="13"/>
  <c r="BU31" i="13" s="1"/>
  <c r="BR31" i="13"/>
  <c r="BV31" i="13" s="1"/>
  <c r="BA32" i="13"/>
  <c r="AU32" i="13"/>
  <c r="BA32" i="11"/>
  <c r="AU32" i="11"/>
  <c r="AW32" i="11"/>
  <c r="BO31" i="11"/>
  <c r="BS31" i="11" s="1"/>
  <c r="BM31" i="11"/>
  <c r="BQ31" i="11" s="1"/>
  <c r="BN31" i="11"/>
  <c r="BR31" i="11" s="1"/>
  <c r="BB31" i="11"/>
  <c r="BX30" i="13"/>
  <c r="BA33" i="13"/>
  <c r="AW33" i="13"/>
  <c r="AU33" i="13"/>
  <c r="BA33" i="11"/>
  <c r="AW33" i="11"/>
  <c r="AU33" i="11"/>
  <c r="BT33" i="12"/>
  <c r="BT32" i="12"/>
  <c r="C25" i="3"/>
  <c r="D24" i="3"/>
  <c r="B24" i="3" s="1"/>
  <c r="O24" i="3" s="1"/>
  <c r="P24" i="3" s="1"/>
  <c r="N24" i="3" s="1"/>
  <c r="Q24" i="3" s="1"/>
  <c r="AO39" i="15" l="1"/>
  <c r="AJ39" i="15"/>
  <c r="BC39" i="15" s="1"/>
  <c r="BT30" i="8"/>
  <c r="CB30" i="8" s="1"/>
  <c r="BR30" i="8"/>
  <c r="BX30" i="8" s="1"/>
  <c r="AS36" i="15"/>
  <c r="AT35" i="15"/>
  <c r="BS32" i="8"/>
  <c r="BZ32" i="8" s="1"/>
  <c r="BS33" i="8"/>
  <c r="BZ33" i="8" s="1"/>
  <c r="BP33" i="15"/>
  <c r="BK34" i="15"/>
  <c r="BO34" i="15" s="1"/>
  <c r="AX34" i="15"/>
  <c r="AU34" i="15"/>
  <c r="BI34" i="15"/>
  <c r="BM34" i="15" s="1"/>
  <c r="BJ34" i="15"/>
  <c r="BN34" i="15" s="1"/>
  <c r="BB43" i="15"/>
  <c r="BL42" i="15"/>
  <c r="BG39" i="15"/>
  <c r="BH39" i="15"/>
  <c r="BF39" i="15"/>
  <c r="BE39" i="15"/>
  <c r="BD39" i="15"/>
  <c r="M39" i="15"/>
  <c r="D41" i="15"/>
  <c r="O41" i="15" s="1"/>
  <c r="R41" i="15" s="1"/>
  <c r="E41" i="15"/>
  <c r="C41" i="15"/>
  <c r="AQ39" i="15"/>
  <c r="Y39" i="15"/>
  <c r="X40" i="15"/>
  <c r="AR40" i="15" s="1"/>
  <c r="W40" i="15"/>
  <c r="K40" i="15"/>
  <c r="AG40" i="15" s="1"/>
  <c r="I40" i="15"/>
  <c r="AE40" i="15" s="1"/>
  <c r="F40" i="15"/>
  <c r="L40" i="15"/>
  <c r="AH40" i="15" s="1"/>
  <c r="AF40" i="15"/>
  <c r="H40" i="15"/>
  <c r="AD40" i="15" s="1"/>
  <c r="Q40" i="15"/>
  <c r="AL40" i="15" s="1"/>
  <c r="AM40" i="15"/>
  <c r="AK40" i="15"/>
  <c r="S39" i="15"/>
  <c r="A43" i="15"/>
  <c r="B42" i="15"/>
  <c r="BG38" i="15"/>
  <c r="BH38" i="15"/>
  <c r="BF38" i="15"/>
  <c r="BO34" i="12"/>
  <c r="BS34" i="12" s="1"/>
  <c r="BM34" i="12"/>
  <c r="BQ34" i="12" s="1"/>
  <c r="BB34" i="12"/>
  <c r="BN34" i="12"/>
  <c r="BR34" i="12" s="1"/>
  <c r="BJ49" i="8"/>
  <c r="BN49" i="8" s="1"/>
  <c r="AX49" i="8"/>
  <c r="BK49" i="8"/>
  <c r="BO49" i="8" s="1"/>
  <c r="BI49" i="8"/>
  <c r="BM49" i="8" s="1"/>
  <c r="BP49" i="8" s="1"/>
  <c r="AU49" i="8"/>
  <c r="AS37" i="12"/>
  <c r="AT36" i="12"/>
  <c r="AS35" i="11"/>
  <c r="AT34" i="11"/>
  <c r="AS35" i="13"/>
  <c r="AT34" i="13"/>
  <c r="AS51" i="8"/>
  <c r="AT50" i="8"/>
  <c r="BA35" i="12"/>
  <c r="AU35" i="12"/>
  <c r="AW35" i="12"/>
  <c r="BP48" i="8"/>
  <c r="BX31" i="13"/>
  <c r="BQ33" i="13"/>
  <c r="BU33" i="13" s="1"/>
  <c r="BR33" i="13"/>
  <c r="BV33" i="13" s="1"/>
  <c r="BS33" i="13"/>
  <c r="BW33" i="13" s="1"/>
  <c r="BB33" i="13"/>
  <c r="BT31" i="11"/>
  <c r="BN32" i="11"/>
  <c r="BR32" i="11" s="1"/>
  <c r="BB32" i="11"/>
  <c r="BO32" i="11"/>
  <c r="BS32" i="11" s="1"/>
  <c r="BM32" i="11"/>
  <c r="BQ32" i="11" s="1"/>
  <c r="BN33" i="11"/>
  <c r="BR33" i="11" s="1"/>
  <c r="BB33" i="11"/>
  <c r="BO33" i="11"/>
  <c r="BS33" i="11" s="1"/>
  <c r="BM33" i="11"/>
  <c r="BQ33" i="11" s="1"/>
  <c r="BR32" i="13"/>
  <c r="BV32" i="13" s="1"/>
  <c r="BQ32" i="13"/>
  <c r="BU32" i="13" s="1"/>
  <c r="BS32" i="13"/>
  <c r="BW32" i="13" s="1"/>
  <c r="BB32" i="13"/>
  <c r="D26" i="3"/>
  <c r="B26" i="3" s="1"/>
  <c r="O26" i="3" s="1"/>
  <c r="P26" i="3" s="1"/>
  <c r="Q26" i="3" s="1"/>
  <c r="D25" i="3"/>
  <c r="B25" i="3" s="1"/>
  <c r="P25" i="3" s="1"/>
  <c r="N25" i="3" s="1"/>
  <c r="Q25" i="3" s="1"/>
  <c r="AO40" i="15" l="1"/>
  <c r="BP34" i="15"/>
  <c r="AJ40" i="15"/>
  <c r="BT31" i="8"/>
  <c r="CB31" i="8" s="1"/>
  <c r="BI35" i="15"/>
  <c r="BM35" i="15" s="1"/>
  <c r="BJ35" i="15"/>
  <c r="BN35" i="15" s="1"/>
  <c r="BK35" i="15"/>
  <c r="BO35" i="15" s="1"/>
  <c r="AX35" i="15"/>
  <c r="AU35" i="15"/>
  <c r="BR31" i="8"/>
  <c r="BX31" i="8" s="1"/>
  <c r="AS37" i="15"/>
  <c r="AT36" i="15"/>
  <c r="A44" i="15"/>
  <c r="B43" i="15"/>
  <c r="BG40" i="15"/>
  <c r="BH40" i="15"/>
  <c r="BF40" i="15"/>
  <c r="BE40" i="15"/>
  <c r="BC40" i="15"/>
  <c r="BD40" i="15"/>
  <c r="M40" i="15"/>
  <c r="X41" i="15"/>
  <c r="AR41" i="15" s="1"/>
  <c r="W41" i="15"/>
  <c r="D42" i="15"/>
  <c r="O42" i="15" s="1"/>
  <c r="R42" i="15" s="1"/>
  <c r="E42" i="15"/>
  <c r="C42" i="15"/>
  <c r="S40" i="15"/>
  <c r="AQ40" i="15"/>
  <c r="Y40" i="15"/>
  <c r="K41" i="15"/>
  <c r="AG41" i="15" s="1"/>
  <c r="I41" i="15"/>
  <c r="AE41" i="15" s="1"/>
  <c r="F41" i="15"/>
  <c r="L41" i="15"/>
  <c r="AH41" i="15" s="1"/>
  <c r="AF41" i="15"/>
  <c r="H41" i="15"/>
  <c r="AD41" i="15" s="1"/>
  <c r="Q41" i="15"/>
  <c r="AL41" i="15" s="1"/>
  <c r="AM41" i="15"/>
  <c r="AK41" i="15"/>
  <c r="BB44" i="15"/>
  <c r="BL43" i="15"/>
  <c r="AS52" i="8"/>
  <c r="AT51" i="8"/>
  <c r="AU34" i="13"/>
  <c r="AW34" i="13"/>
  <c r="BA34" i="13"/>
  <c r="BA34" i="11"/>
  <c r="AU34" i="11"/>
  <c r="AW34" i="11"/>
  <c r="AW36" i="12"/>
  <c r="BA36" i="12"/>
  <c r="AU36" i="12"/>
  <c r="BT34" i="12"/>
  <c r="BO35" i="12"/>
  <c r="BS35" i="12" s="1"/>
  <c r="BM35" i="12"/>
  <c r="BQ35" i="12" s="1"/>
  <c r="BN35" i="12"/>
  <c r="BR35" i="12" s="1"/>
  <c r="BB35" i="12"/>
  <c r="BK50" i="8"/>
  <c r="BO50" i="8" s="1"/>
  <c r="BI50" i="8"/>
  <c r="BM50" i="8" s="1"/>
  <c r="AU50" i="8"/>
  <c r="BJ50" i="8"/>
  <c r="BN50" i="8" s="1"/>
  <c r="AX50" i="8"/>
  <c r="AS36" i="13"/>
  <c r="AT35" i="13"/>
  <c r="AS36" i="11"/>
  <c r="AT35" i="11"/>
  <c r="AS38" i="12"/>
  <c r="AT37" i="12"/>
  <c r="BT33" i="11"/>
  <c r="BT32" i="11"/>
  <c r="BX32" i="13"/>
  <c r="BX33" i="13"/>
  <c r="BT32" i="8" l="1"/>
  <c r="CB32" i="8" s="1"/>
  <c r="BR33" i="8"/>
  <c r="BX33" i="8" s="1"/>
  <c r="BS34" i="8"/>
  <c r="BZ34" i="8" s="1"/>
  <c r="AS38" i="15"/>
  <c r="AT37" i="15"/>
  <c r="BT33" i="8"/>
  <c r="CB33" i="8" s="1"/>
  <c r="CF33" i="8" s="1"/>
  <c r="CH33" i="8" s="1"/>
  <c r="BR32" i="8"/>
  <c r="BX32" i="8" s="1"/>
  <c r="BI36" i="15"/>
  <c r="BM36" i="15" s="1"/>
  <c r="BJ36" i="15"/>
  <c r="BN36" i="15" s="1"/>
  <c r="BK36" i="15"/>
  <c r="BO36" i="15" s="1"/>
  <c r="AX36" i="15"/>
  <c r="AU36" i="15"/>
  <c r="BP35" i="15"/>
  <c r="BB45" i="15"/>
  <c r="BL44" i="15"/>
  <c r="AO41" i="15"/>
  <c r="AJ41" i="15"/>
  <c r="M41" i="15"/>
  <c r="K42" i="15"/>
  <c r="AG42" i="15" s="1"/>
  <c r="I42" i="15"/>
  <c r="AE42" i="15" s="1"/>
  <c r="F42" i="15"/>
  <c r="L42" i="15"/>
  <c r="AH42" i="15" s="1"/>
  <c r="AF42" i="15"/>
  <c r="H42" i="15"/>
  <c r="AD42" i="15" s="1"/>
  <c r="AM42" i="15"/>
  <c r="Q42" i="15"/>
  <c r="AL42" i="15" s="1"/>
  <c r="AK42" i="15"/>
  <c r="AO42" i="15" s="1"/>
  <c r="A45" i="15"/>
  <c r="B44" i="15"/>
  <c r="S41" i="15"/>
  <c r="W42" i="15"/>
  <c r="X42" i="15"/>
  <c r="AR42" i="15" s="1"/>
  <c r="AQ41" i="15"/>
  <c r="Y41" i="15"/>
  <c r="E43" i="15"/>
  <c r="C43" i="15"/>
  <c r="D43" i="15"/>
  <c r="O43" i="15" s="1"/>
  <c r="R43" i="15" s="1"/>
  <c r="AS39" i="12"/>
  <c r="AT38" i="12"/>
  <c r="AS37" i="11"/>
  <c r="AT36" i="11"/>
  <c r="AS37" i="13"/>
  <c r="AT36" i="13"/>
  <c r="BP50" i="8"/>
  <c r="BS34" i="13"/>
  <c r="BW34" i="13" s="1"/>
  <c r="BQ34" i="13"/>
  <c r="BU34" i="13" s="1"/>
  <c r="BB34" i="13"/>
  <c r="BR34" i="13"/>
  <c r="BV34" i="13" s="1"/>
  <c r="AS53" i="8"/>
  <c r="AT53" i="8" s="1"/>
  <c r="AT52" i="8"/>
  <c r="AW37" i="12"/>
  <c r="BA37" i="12"/>
  <c r="AU37" i="12"/>
  <c r="AW35" i="11"/>
  <c r="BA35" i="11"/>
  <c r="AU35" i="11"/>
  <c r="BA35" i="13"/>
  <c r="AU35" i="13"/>
  <c r="AW35" i="13"/>
  <c r="BT35" i="12"/>
  <c r="BO36" i="12"/>
  <c r="BS36" i="12" s="1"/>
  <c r="BM36" i="12"/>
  <c r="BQ36" i="12" s="1"/>
  <c r="BB36" i="12"/>
  <c r="BN36" i="12"/>
  <c r="BR36" i="12" s="1"/>
  <c r="BN34" i="11"/>
  <c r="BR34" i="11" s="1"/>
  <c r="BB34" i="11"/>
  <c r="BO34" i="11"/>
  <c r="BS34" i="11" s="1"/>
  <c r="BM34" i="11"/>
  <c r="BQ34" i="11" s="1"/>
  <c r="BK51" i="8"/>
  <c r="BO51" i="8" s="1"/>
  <c r="BI51" i="8"/>
  <c r="BM51" i="8" s="1"/>
  <c r="AU51" i="8"/>
  <c r="BJ51" i="8"/>
  <c r="BN51" i="8" s="1"/>
  <c r="AX51" i="8"/>
  <c r="AJ42" i="15" l="1"/>
  <c r="BP36" i="15"/>
  <c r="BI37" i="15"/>
  <c r="BM37" i="15" s="1"/>
  <c r="BJ37" i="15"/>
  <c r="BN37" i="15" s="1"/>
  <c r="BK37" i="15"/>
  <c r="BO37" i="15" s="1"/>
  <c r="AX37" i="15"/>
  <c r="AU37" i="15"/>
  <c r="BT34" i="11"/>
  <c r="BS35" i="8"/>
  <c r="BZ35" i="8" s="1"/>
  <c r="AS39" i="15"/>
  <c r="AT38" i="15"/>
  <c r="L43" i="15"/>
  <c r="AH43" i="15" s="1"/>
  <c r="AF43" i="15"/>
  <c r="H43" i="15"/>
  <c r="AD43" i="15" s="1"/>
  <c r="K43" i="15"/>
  <c r="AG43" i="15" s="1"/>
  <c r="I43" i="15"/>
  <c r="AE43" i="15" s="1"/>
  <c r="F43" i="15"/>
  <c r="E44" i="15"/>
  <c r="C44" i="15"/>
  <c r="D44" i="15"/>
  <c r="O44" i="15" s="1"/>
  <c r="R44" i="15" s="1"/>
  <c r="S42" i="15"/>
  <c r="BE41" i="15"/>
  <c r="BC41" i="15"/>
  <c r="BD41" i="15"/>
  <c r="AM43" i="15"/>
  <c r="AK43" i="15"/>
  <c r="Q43" i="15"/>
  <c r="AL43" i="15" s="1"/>
  <c r="W43" i="15"/>
  <c r="X43" i="15"/>
  <c r="AR43" i="15" s="1"/>
  <c r="AQ42" i="15"/>
  <c r="Y42" i="15"/>
  <c r="A46" i="15"/>
  <c r="B45" i="15"/>
  <c r="BH42" i="15"/>
  <c r="BF42" i="15"/>
  <c r="BG42" i="15"/>
  <c r="BD42" i="15"/>
  <c r="BE42" i="15"/>
  <c r="BC42" i="15"/>
  <c r="M42" i="15"/>
  <c r="BG41" i="15"/>
  <c r="BH41" i="15"/>
  <c r="BF41" i="15"/>
  <c r="BB46" i="15"/>
  <c r="BL45" i="15"/>
  <c r="BR35" i="13"/>
  <c r="BV35" i="13" s="1"/>
  <c r="BB35" i="13"/>
  <c r="BS35" i="13"/>
  <c r="BW35" i="13" s="1"/>
  <c r="BQ35" i="13"/>
  <c r="BU35" i="13" s="1"/>
  <c r="BB35" i="11"/>
  <c r="BN35" i="11"/>
  <c r="BR35" i="11" s="1"/>
  <c r="BO35" i="11"/>
  <c r="BS35" i="11" s="1"/>
  <c r="BM35" i="11"/>
  <c r="BQ35" i="11" s="1"/>
  <c r="BJ53" i="8"/>
  <c r="BN53" i="8" s="1"/>
  <c r="AU53" i="8"/>
  <c r="BK53" i="8"/>
  <c r="BO53" i="8" s="1"/>
  <c r="BI53" i="8"/>
  <c r="BM53" i="8" s="1"/>
  <c r="AX53" i="8"/>
  <c r="AS38" i="13"/>
  <c r="AT37" i="13"/>
  <c r="AS38" i="11"/>
  <c r="AT37" i="11"/>
  <c r="AS40" i="12"/>
  <c r="AT39" i="12"/>
  <c r="BP51" i="8"/>
  <c r="BT36" i="12"/>
  <c r="BO37" i="12"/>
  <c r="BS37" i="12" s="1"/>
  <c r="BM37" i="12"/>
  <c r="BQ37" i="12" s="1"/>
  <c r="BT37" i="12" s="1"/>
  <c r="BN37" i="12"/>
  <c r="BR37" i="12" s="1"/>
  <c r="BB37" i="12"/>
  <c r="AX52" i="8"/>
  <c r="BJ52" i="8"/>
  <c r="BN52" i="8" s="1"/>
  <c r="AU52" i="8"/>
  <c r="BK52" i="8"/>
  <c r="BO52" i="8" s="1"/>
  <c r="BI52" i="8"/>
  <c r="BM52" i="8" s="1"/>
  <c r="BX34" i="13"/>
  <c r="AU36" i="13"/>
  <c r="AW36" i="13"/>
  <c r="BA36" i="13"/>
  <c r="BA36" i="11"/>
  <c r="AU36" i="11"/>
  <c r="AW36" i="11"/>
  <c r="AW38" i="12"/>
  <c r="BA38" i="12"/>
  <c r="AU38" i="12"/>
  <c r="BT34" i="8" l="1"/>
  <c r="CB34" i="8" s="1"/>
  <c r="BS37" i="8"/>
  <c r="BZ37" i="8" s="1"/>
  <c r="BS36" i="8"/>
  <c r="BZ36" i="8" s="1"/>
  <c r="AS40" i="15"/>
  <c r="AT39" i="15"/>
  <c r="BR34" i="8"/>
  <c r="BX34" i="8" s="1"/>
  <c r="BP53" i="8"/>
  <c r="BT35" i="11"/>
  <c r="BX35" i="13"/>
  <c r="BI38" i="15"/>
  <c r="BM38" i="15" s="1"/>
  <c r="BJ38" i="15"/>
  <c r="BN38" i="15" s="1"/>
  <c r="BK38" i="15"/>
  <c r="BO38" i="15" s="1"/>
  <c r="AX38" i="15"/>
  <c r="AU38" i="15"/>
  <c r="BP37" i="15"/>
  <c r="BB47" i="15"/>
  <c r="BL46" i="15"/>
  <c r="E45" i="15"/>
  <c r="C45" i="15"/>
  <c r="D45" i="15"/>
  <c r="O45" i="15" s="1"/>
  <c r="R45" i="15" s="1"/>
  <c r="AQ43" i="15"/>
  <c r="Y43" i="15"/>
  <c r="S43" i="15"/>
  <c r="AM44" i="15"/>
  <c r="AK44" i="15"/>
  <c r="Q44" i="15"/>
  <c r="AL44" i="15" s="1"/>
  <c r="W44" i="15"/>
  <c r="X44" i="15"/>
  <c r="AR44" i="15" s="1"/>
  <c r="M43" i="15"/>
  <c r="A47" i="15"/>
  <c r="B46" i="15"/>
  <c r="AO43" i="15"/>
  <c r="L44" i="15"/>
  <c r="AH44" i="15" s="1"/>
  <c r="AF44" i="15"/>
  <c r="H44" i="15"/>
  <c r="AD44" i="15" s="1"/>
  <c r="K44" i="15"/>
  <c r="AG44" i="15" s="1"/>
  <c r="I44" i="15"/>
  <c r="AE44" i="15" s="1"/>
  <c r="F44" i="15"/>
  <c r="AJ43" i="15"/>
  <c r="BB38" i="12"/>
  <c r="BN38" i="12"/>
  <c r="BR38" i="12" s="1"/>
  <c r="BO38" i="12"/>
  <c r="BS38" i="12" s="1"/>
  <c r="BM38" i="12"/>
  <c r="BQ38" i="12" s="1"/>
  <c r="BT38" i="12" s="1"/>
  <c r="BO36" i="11"/>
  <c r="BS36" i="11" s="1"/>
  <c r="BM36" i="11"/>
  <c r="BQ36" i="11" s="1"/>
  <c r="BT36" i="11" s="1"/>
  <c r="BN36" i="11"/>
  <c r="BR36" i="11" s="1"/>
  <c r="BB36" i="11"/>
  <c r="BP52" i="8"/>
  <c r="AS41" i="12"/>
  <c r="AT40" i="12"/>
  <c r="AS39" i="11"/>
  <c r="AT38" i="11"/>
  <c r="AS39" i="13"/>
  <c r="AT38" i="13"/>
  <c r="BS36" i="13"/>
  <c r="BW36" i="13" s="1"/>
  <c r="BQ36" i="13"/>
  <c r="BU36" i="13" s="1"/>
  <c r="BR36" i="13"/>
  <c r="BV36" i="13" s="1"/>
  <c r="BB36" i="13"/>
  <c r="BA39" i="12"/>
  <c r="AU39" i="12"/>
  <c r="AW39" i="12"/>
  <c r="BA37" i="11"/>
  <c r="AU37" i="11"/>
  <c r="AW37" i="11"/>
  <c r="AW37" i="13"/>
  <c r="BA37" i="13"/>
  <c r="AU37" i="13"/>
  <c r="BX36" i="13" l="1"/>
  <c r="BP38" i="15"/>
  <c r="BR35" i="8"/>
  <c r="BX35" i="8" s="1"/>
  <c r="AS41" i="15"/>
  <c r="AT40" i="15"/>
  <c r="BR36" i="8"/>
  <c r="BX36" i="8" s="1"/>
  <c r="BS38" i="8"/>
  <c r="BZ38" i="8" s="1"/>
  <c r="BT35" i="8"/>
  <c r="CB35" i="8" s="1"/>
  <c r="BI39" i="15"/>
  <c r="BM39" i="15" s="1"/>
  <c r="BJ39" i="15"/>
  <c r="BN39" i="15" s="1"/>
  <c r="BK39" i="15"/>
  <c r="BO39" i="15" s="1"/>
  <c r="AX39" i="15"/>
  <c r="AU39" i="15"/>
  <c r="AJ44" i="15"/>
  <c r="BD43" i="15"/>
  <c r="BE43" i="15"/>
  <c r="BC43" i="15"/>
  <c r="M44" i="15"/>
  <c r="A48" i="15"/>
  <c r="B47" i="15"/>
  <c r="AQ44" i="15"/>
  <c r="Y44" i="15"/>
  <c r="S44" i="15"/>
  <c r="L45" i="15"/>
  <c r="AH45" i="15" s="1"/>
  <c r="AF45" i="15"/>
  <c r="H45" i="15"/>
  <c r="AD45" i="15" s="1"/>
  <c r="K45" i="15"/>
  <c r="AG45" i="15" s="1"/>
  <c r="I45" i="15"/>
  <c r="AE45" i="15" s="1"/>
  <c r="F45" i="15"/>
  <c r="BH43" i="15"/>
  <c r="BF43" i="15"/>
  <c r="BG43" i="15"/>
  <c r="E46" i="15"/>
  <c r="C46" i="15"/>
  <c r="D46" i="15"/>
  <c r="O46" i="15" s="1"/>
  <c r="R46" i="15" s="1"/>
  <c r="AO44" i="15"/>
  <c r="AM45" i="15"/>
  <c r="AK45" i="15"/>
  <c r="Q45" i="15"/>
  <c r="AL45" i="15" s="1"/>
  <c r="W45" i="15"/>
  <c r="X45" i="15"/>
  <c r="AR45" i="15" s="1"/>
  <c r="BB48" i="15"/>
  <c r="BL47" i="15"/>
  <c r="BS37" i="13"/>
  <c r="BW37" i="13" s="1"/>
  <c r="BQ37" i="13"/>
  <c r="BU37" i="13" s="1"/>
  <c r="BX37" i="13" s="1"/>
  <c r="BR37" i="13"/>
  <c r="BV37" i="13" s="1"/>
  <c r="BB37" i="13"/>
  <c r="BO37" i="11"/>
  <c r="BS37" i="11" s="1"/>
  <c r="BM37" i="11"/>
  <c r="BQ37" i="11" s="1"/>
  <c r="BB37" i="11"/>
  <c r="BN37" i="11"/>
  <c r="BR37" i="11" s="1"/>
  <c r="AS40" i="13"/>
  <c r="AT39" i="13"/>
  <c r="AS40" i="11"/>
  <c r="AT39" i="11"/>
  <c r="AS42" i="12"/>
  <c r="AT41" i="12"/>
  <c r="BN39" i="12"/>
  <c r="BR39" i="12" s="1"/>
  <c r="BB39" i="12"/>
  <c r="BO39" i="12"/>
  <c r="BS39" i="12" s="1"/>
  <c r="BM39" i="12"/>
  <c r="BQ39" i="12" s="1"/>
  <c r="AU38" i="13"/>
  <c r="AW38" i="13"/>
  <c r="BA38" i="13"/>
  <c r="AW38" i="11"/>
  <c r="BA38" i="11"/>
  <c r="AU38" i="11"/>
  <c r="AW40" i="12"/>
  <c r="BA40" i="12"/>
  <c r="AU40" i="12"/>
  <c r="BT37" i="8" l="1"/>
  <c r="CB37" i="8" s="1"/>
  <c r="BK40" i="15"/>
  <c r="BO40" i="15" s="1"/>
  <c r="AX40" i="15"/>
  <c r="AU40" i="15"/>
  <c r="BI40" i="15"/>
  <c r="BM40" i="15" s="1"/>
  <c r="BJ40" i="15"/>
  <c r="BN40" i="15" s="1"/>
  <c r="BP39" i="15"/>
  <c r="AS42" i="15"/>
  <c r="AT41" i="15"/>
  <c r="BT36" i="8"/>
  <c r="CB36" i="8" s="1"/>
  <c r="BB49" i="15"/>
  <c r="BL48" i="15"/>
  <c r="AQ45" i="15"/>
  <c r="Y45" i="15"/>
  <c r="S45" i="15"/>
  <c r="BH44" i="15"/>
  <c r="BF44" i="15"/>
  <c r="BG44" i="15"/>
  <c r="L46" i="15"/>
  <c r="AH46" i="15" s="1"/>
  <c r="AF46" i="15"/>
  <c r="H46" i="15"/>
  <c r="AD46" i="15" s="1"/>
  <c r="K46" i="15"/>
  <c r="AG46" i="15" s="1"/>
  <c r="I46" i="15"/>
  <c r="AE46" i="15" s="1"/>
  <c r="F46" i="15"/>
  <c r="M45" i="15"/>
  <c r="E47" i="15"/>
  <c r="C47" i="15"/>
  <c r="D47" i="15"/>
  <c r="O47" i="15" s="1"/>
  <c r="R47" i="15" s="1"/>
  <c r="BD44" i="15"/>
  <c r="BE44" i="15"/>
  <c r="BC44" i="15"/>
  <c r="AO45" i="15"/>
  <c r="AM46" i="15"/>
  <c r="AK46" i="15"/>
  <c r="Q46" i="15"/>
  <c r="AL46" i="15" s="1"/>
  <c r="W46" i="15"/>
  <c r="X46" i="15"/>
  <c r="AR46" i="15" s="1"/>
  <c r="AJ45" i="15"/>
  <c r="A49" i="15"/>
  <c r="B48" i="15"/>
  <c r="BN38" i="11"/>
  <c r="BR38" i="11" s="1"/>
  <c r="BB38" i="11"/>
  <c r="BO38" i="11"/>
  <c r="BS38" i="11" s="1"/>
  <c r="BM38" i="11"/>
  <c r="BQ38" i="11" s="1"/>
  <c r="BS38" i="13"/>
  <c r="BW38" i="13" s="1"/>
  <c r="BQ38" i="13"/>
  <c r="BU38" i="13" s="1"/>
  <c r="BB38" i="13"/>
  <c r="BR38" i="13"/>
  <c r="BV38" i="13" s="1"/>
  <c r="BT39" i="12"/>
  <c r="AS43" i="12"/>
  <c r="AT42" i="12"/>
  <c r="AS41" i="11"/>
  <c r="AT40" i="11"/>
  <c r="AS41" i="13"/>
  <c r="AT40" i="13"/>
  <c r="BB40" i="12"/>
  <c r="BN40" i="12"/>
  <c r="BR40" i="12" s="1"/>
  <c r="BO40" i="12"/>
  <c r="BS40" i="12" s="1"/>
  <c r="BM40" i="12"/>
  <c r="BQ40" i="12" s="1"/>
  <c r="AW41" i="12"/>
  <c r="BA41" i="12"/>
  <c r="AU41" i="12"/>
  <c r="BA39" i="11"/>
  <c r="AU39" i="11"/>
  <c r="AW39" i="11"/>
  <c r="AW39" i="13"/>
  <c r="BA39" i="13"/>
  <c r="AU39" i="13"/>
  <c r="BT37" i="11"/>
  <c r="BP40" i="15" l="1"/>
  <c r="BR37" i="8"/>
  <c r="BX37" i="8" s="1"/>
  <c r="BT40" i="12"/>
  <c r="BS39" i="8"/>
  <c r="BZ39" i="8" s="1"/>
  <c r="BK41" i="15"/>
  <c r="BO41" i="15" s="1"/>
  <c r="AX41" i="15"/>
  <c r="AU41" i="15"/>
  <c r="BI41" i="15"/>
  <c r="BM41" i="15" s="1"/>
  <c r="BJ41" i="15"/>
  <c r="BN41" i="15" s="1"/>
  <c r="AS43" i="15"/>
  <c r="AT42" i="15"/>
  <c r="B49" i="15"/>
  <c r="A50" i="15"/>
  <c r="BD45" i="15"/>
  <c r="BE45" i="15"/>
  <c r="BC45" i="15"/>
  <c r="AQ46" i="15"/>
  <c r="Y46" i="15"/>
  <c r="S46" i="15"/>
  <c r="BH45" i="15"/>
  <c r="BF45" i="15"/>
  <c r="BG45" i="15"/>
  <c r="L47" i="15"/>
  <c r="AH47" i="15" s="1"/>
  <c r="AF47" i="15"/>
  <c r="H47" i="15"/>
  <c r="AD47" i="15" s="1"/>
  <c r="K47" i="15"/>
  <c r="AG47" i="15" s="1"/>
  <c r="I47" i="15"/>
  <c r="AE47" i="15" s="1"/>
  <c r="F47" i="15"/>
  <c r="M46" i="15"/>
  <c r="E48" i="15"/>
  <c r="C48" i="15"/>
  <c r="D48" i="15"/>
  <c r="O48" i="15" s="1"/>
  <c r="R48" i="15" s="1"/>
  <c r="AO46" i="15"/>
  <c r="AM47" i="15"/>
  <c r="AK47" i="15"/>
  <c r="Q47" i="15"/>
  <c r="AL47" i="15" s="1"/>
  <c r="W47" i="15"/>
  <c r="X47" i="15"/>
  <c r="AR47" i="15" s="1"/>
  <c r="AJ46" i="15"/>
  <c r="BB50" i="15"/>
  <c r="BL49" i="15"/>
  <c r="BA40" i="13"/>
  <c r="AU40" i="13"/>
  <c r="AW40" i="13"/>
  <c r="BA40" i="11"/>
  <c r="AU40" i="11"/>
  <c r="AW40" i="11"/>
  <c r="BA42" i="12"/>
  <c r="AU42" i="12"/>
  <c r="AW42" i="12"/>
  <c r="BX38" i="13"/>
  <c r="BT38" i="11"/>
  <c r="BR39" i="13"/>
  <c r="BV39" i="13" s="1"/>
  <c r="BB39" i="13"/>
  <c r="BS39" i="13"/>
  <c r="BW39" i="13" s="1"/>
  <c r="BQ39" i="13"/>
  <c r="BU39" i="13" s="1"/>
  <c r="BB39" i="11"/>
  <c r="BN39" i="11"/>
  <c r="BR39" i="11" s="1"/>
  <c r="BO39" i="11"/>
  <c r="BS39" i="11" s="1"/>
  <c r="BM39" i="11"/>
  <c r="BQ39" i="11" s="1"/>
  <c r="BT39" i="11" s="1"/>
  <c r="BN41" i="12"/>
  <c r="BR41" i="12" s="1"/>
  <c r="BB41" i="12"/>
  <c r="BO41" i="12"/>
  <c r="BS41" i="12" s="1"/>
  <c r="BM41" i="12"/>
  <c r="BQ41" i="12" s="1"/>
  <c r="BT41" i="12" s="1"/>
  <c r="AS42" i="13"/>
  <c r="AT41" i="13"/>
  <c r="AS42" i="11"/>
  <c r="AT41" i="11"/>
  <c r="AS44" i="12"/>
  <c r="AT43" i="12"/>
  <c r="S47" i="15" l="1"/>
  <c r="BS41" i="8"/>
  <c r="BZ41" i="8" s="1"/>
  <c r="BR39" i="8"/>
  <c r="BX39" i="8" s="1"/>
  <c r="BR38" i="8"/>
  <c r="BX38" i="8" s="1"/>
  <c r="AU42" i="15"/>
  <c r="AX42" i="15"/>
  <c r="BJ42" i="15"/>
  <c r="BN42" i="15" s="1"/>
  <c r="BI42" i="15"/>
  <c r="BM42" i="15" s="1"/>
  <c r="BK42" i="15"/>
  <c r="BO42" i="15" s="1"/>
  <c r="BT38" i="8"/>
  <c r="CB38" i="8" s="1"/>
  <c r="AS44" i="15"/>
  <c r="AT43" i="15"/>
  <c r="BP41" i="15"/>
  <c r="BS40" i="8"/>
  <c r="BZ40" i="8" s="1"/>
  <c r="BB51" i="15"/>
  <c r="BL50" i="15"/>
  <c r="BD46" i="15"/>
  <c r="BE46" i="15"/>
  <c r="BC46" i="15"/>
  <c r="AQ47" i="15"/>
  <c r="Y47" i="15"/>
  <c r="Q48" i="15"/>
  <c r="AL48" i="15" s="1"/>
  <c r="AM48" i="15"/>
  <c r="AK48" i="15"/>
  <c r="X48" i="15"/>
  <c r="AR48" i="15" s="1"/>
  <c r="W48" i="15"/>
  <c r="AJ47" i="15"/>
  <c r="D49" i="15"/>
  <c r="O49" i="15" s="1"/>
  <c r="R49" i="15" s="1"/>
  <c r="E49" i="15"/>
  <c r="C49" i="15"/>
  <c r="AO47" i="15"/>
  <c r="BH46" i="15"/>
  <c r="BF46" i="15"/>
  <c r="BG46" i="15"/>
  <c r="K48" i="15"/>
  <c r="AG48" i="15" s="1"/>
  <c r="I48" i="15"/>
  <c r="AE48" i="15" s="1"/>
  <c r="F48" i="15"/>
  <c r="L48" i="15"/>
  <c r="AH48" i="15" s="1"/>
  <c r="AF48" i="15"/>
  <c r="H48" i="15"/>
  <c r="AD48" i="15" s="1"/>
  <c r="M47" i="15"/>
  <c r="A51" i="15"/>
  <c r="B50" i="15"/>
  <c r="BA43" i="12"/>
  <c r="AU43" i="12"/>
  <c r="AW43" i="12"/>
  <c r="BA41" i="11"/>
  <c r="AU41" i="11"/>
  <c r="AW41" i="11"/>
  <c r="AW41" i="13"/>
  <c r="BA41" i="13"/>
  <c r="AU41" i="13"/>
  <c r="BX39" i="13"/>
  <c r="BN40" i="11"/>
  <c r="BR40" i="11" s="1"/>
  <c r="BB40" i="11"/>
  <c r="BO40" i="11"/>
  <c r="BS40" i="11" s="1"/>
  <c r="BM40" i="11"/>
  <c r="BQ40" i="11" s="1"/>
  <c r="AS45" i="12"/>
  <c r="AT44" i="12"/>
  <c r="AS43" i="11"/>
  <c r="AT42" i="11"/>
  <c r="AS43" i="13"/>
  <c r="AT42" i="13"/>
  <c r="BO42" i="12"/>
  <c r="BS42" i="12" s="1"/>
  <c r="BM42" i="12"/>
  <c r="BQ42" i="12" s="1"/>
  <c r="BB42" i="12"/>
  <c r="BN42" i="12"/>
  <c r="BR42" i="12" s="1"/>
  <c r="BS40" i="13"/>
  <c r="BW40" i="13" s="1"/>
  <c r="BQ40" i="13"/>
  <c r="BU40" i="13" s="1"/>
  <c r="BR40" i="13"/>
  <c r="BV40" i="13" s="1"/>
  <c r="BB40" i="13"/>
  <c r="AJ48" i="15" l="1"/>
  <c r="AO48" i="15"/>
  <c r="BP42" i="15"/>
  <c r="BX40" i="13"/>
  <c r="BT40" i="11"/>
  <c r="BT39" i="8"/>
  <c r="CB39" i="8" s="1"/>
  <c r="BJ43" i="15"/>
  <c r="BN43" i="15" s="1"/>
  <c r="BK43" i="15"/>
  <c r="BO43" i="15" s="1"/>
  <c r="AX43" i="15"/>
  <c r="AU43" i="15"/>
  <c r="BI43" i="15"/>
  <c r="BM43" i="15" s="1"/>
  <c r="BP43" i="15" s="1"/>
  <c r="AS45" i="15"/>
  <c r="AT44" i="15"/>
  <c r="D50" i="15"/>
  <c r="O50" i="15" s="1"/>
  <c r="R50" i="15" s="1"/>
  <c r="E50" i="15"/>
  <c r="C50" i="15"/>
  <c r="K49" i="15"/>
  <c r="AG49" i="15" s="1"/>
  <c r="I49" i="15"/>
  <c r="AE49" i="15" s="1"/>
  <c r="F49" i="15"/>
  <c r="L49" i="15"/>
  <c r="AH49" i="15" s="1"/>
  <c r="AF49" i="15"/>
  <c r="H49" i="15"/>
  <c r="AD49" i="15" s="1"/>
  <c r="Q49" i="15"/>
  <c r="AL49" i="15" s="1"/>
  <c r="AM49" i="15"/>
  <c r="AK49" i="15"/>
  <c r="AQ48" i="15"/>
  <c r="Y48" i="15"/>
  <c r="BG48" i="15"/>
  <c r="BH48" i="15"/>
  <c r="BF48" i="15"/>
  <c r="B51" i="15"/>
  <c r="A52" i="15"/>
  <c r="BE48" i="15"/>
  <c r="BC48" i="15"/>
  <c r="BD48" i="15"/>
  <c r="M48" i="15"/>
  <c r="BH47" i="15"/>
  <c r="BF47" i="15"/>
  <c r="BG47" i="15"/>
  <c r="X49" i="15"/>
  <c r="AR49" i="15" s="1"/>
  <c r="W49" i="15"/>
  <c r="BD47" i="15"/>
  <c r="BE47" i="15"/>
  <c r="BC47" i="15"/>
  <c r="S48" i="15"/>
  <c r="BB52" i="15"/>
  <c r="BL51" i="15"/>
  <c r="BT42" i="12"/>
  <c r="BA42" i="13"/>
  <c r="AU42" i="13"/>
  <c r="AW42" i="13"/>
  <c r="BA42" i="11"/>
  <c r="AU42" i="11"/>
  <c r="AW42" i="11"/>
  <c r="AW44" i="12"/>
  <c r="BA44" i="12"/>
  <c r="AU44" i="12"/>
  <c r="BO43" i="12"/>
  <c r="BS43" i="12" s="1"/>
  <c r="BM43" i="12"/>
  <c r="BQ43" i="12" s="1"/>
  <c r="BN43" i="12"/>
  <c r="BR43" i="12" s="1"/>
  <c r="BB43" i="12"/>
  <c r="AS44" i="13"/>
  <c r="AT43" i="13"/>
  <c r="AS44" i="11"/>
  <c r="AT43" i="11"/>
  <c r="AS46" i="12"/>
  <c r="AT45" i="12"/>
  <c r="BR41" i="13"/>
  <c r="BV41" i="13" s="1"/>
  <c r="BB41" i="13"/>
  <c r="BS41" i="13"/>
  <c r="BW41" i="13" s="1"/>
  <c r="BQ41" i="13"/>
  <c r="BU41" i="13" s="1"/>
  <c r="BB41" i="11"/>
  <c r="BN41" i="11"/>
  <c r="BR41" i="11" s="1"/>
  <c r="BO41" i="11"/>
  <c r="BS41" i="11" s="1"/>
  <c r="BM41" i="11"/>
  <c r="BQ41" i="11" s="1"/>
  <c r="BS42" i="8" l="1"/>
  <c r="BZ42" i="8" s="1"/>
  <c r="AS46" i="15"/>
  <c r="AT45" i="15"/>
  <c r="BR40" i="8"/>
  <c r="BX40" i="8" s="1"/>
  <c r="BT43" i="12"/>
  <c r="BJ44" i="15"/>
  <c r="BN44" i="15" s="1"/>
  <c r="BK44" i="15"/>
  <c r="BO44" i="15" s="1"/>
  <c r="AX44" i="15"/>
  <c r="AU44" i="15"/>
  <c r="BI44" i="15"/>
  <c r="BM44" i="15" s="1"/>
  <c r="BP44" i="15" s="1"/>
  <c r="BT40" i="8"/>
  <c r="CB40" i="8" s="1"/>
  <c r="AQ49" i="15"/>
  <c r="Y49" i="15"/>
  <c r="D51" i="15"/>
  <c r="O51" i="15" s="1"/>
  <c r="R51" i="15" s="1"/>
  <c r="E51" i="15"/>
  <c r="C51" i="15"/>
  <c r="S49" i="15"/>
  <c r="K50" i="15"/>
  <c r="AG50" i="15" s="1"/>
  <c r="I50" i="15"/>
  <c r="AE50" i="15" s="1"/>
  <c r="F50" i="15"/>
  <c r="L50" i="15"/>
  <c r="AH50" i="15" s="1"/>
  <c r="AF50" i="15"/>
  <c r="H50" i="15"/>
  <c r="AD50" i="15" s="1"/>
  <c r="Q50" i="15"/>
  <c r="AL50" i="15" s="1"/>
  <c r="AM50" i="15"/>
  <c r="AK50" i="15"/>
  <c r="BB53" i="15"/>
  <c r="BL53" i="15" s="1"/>
  <c r="BL52" i="15"/>
  <c r="B52" i="15"/>
  <c r="A53" i="15"/>
  <c r="B53" i="15" s="1"/>
  <c r="AO49" i="15"/>
  <c r="AJ49" i="15"/>
  <c r="M49" i="15"/>
  <c r="X50" i="15"/>
  <c r="AR50" i="15" s="1"/>
  <c r="W50" i="15"/>
  <c r="BT41" i="11"/>
  <c r="BX41" i="13"/>
  <c r="AW45" i="12"/>
  <c r="BA45" i="12"/>
  <c r="AU45" i="12"/>
  <c r="BA43" i="11"/>
  <c r="AU43" i="11"/>
  <c r="AW43" i="11"/>
  <c r="BA43" i="13"/>
  <c r="AU43" i="13"/>
  <c r="AW43" i="13"/>
  <c r="BB44" i="12"/>
  <c r="BN44" i="12"/>
  <c r="BR44" i="12" s="1"/>
  <c r="BO44" i="12"/>
  <c r="BS44" i="12" s="1"/>
  <c r="BM44" i="12"/>
  <c r="BQ44" i="12" s="1"/>
  <c r="BT44" i="12" s="1"/>
  <c r="BO42" i="11"/>
  <c r="BS42" i="11" s="1"/>
  <c r="BM42" i="11"/>
  <c r="BQ42" i="11" s="1"/>
  <c r="BT42" i="11" s="1"/>
  <c r="BN42" i="11"/>
  <c r="BR42" i="11" s="1"/>
  <c r="BB42" i="11"/>
  <c r="AS47" i="12"/>
  <c r="AT46" i="12"/>
  <c r="AS45" i="11"/>
  <c r="AT44" i="11"/>
  <c r="AS45" i="13"/>
  <c r="AT44" i="13"/>
  <c r="BS42" i="13"/>
  <c r="BW42" i="13" s="1"/>
  <c r="BQ42" i="13"/>
  <c r="BU42" i="13" s="1"/>
  <c r="BB42" i="13"/>
  <c r="BR42" i="13"/>
  <c r="BV42" i="13" s="1"/>
  <c r="BR42" i="8" l="1"/>
  <c r="BX42" i="8" s="1"/>
  <c r="BT41" i="8"/>
  <c r="CB41" i="8" s="1"/>
  <c r="BJ45" i="15"/>
  <c r="BN45" i="15" s="1"/>
  <c r="BK45" i="15"/>
  <c r="BO45" i="15" s="1"/>
  <c r="AX45" i="15"/>
  <c r="AU45" i="15"/>
  <c r="BI45" i="15"/>
  <c r="BM45" i="15" s="1"/>
  <c r="BS44" i="8"/>
  <c r="BZ44" i="8" s="1"/>
  <c r="BR41" i="8"/>
  <c r="BX41" i="8" s="1"/>
  <c r="BS43" i="8"/>
  <c r="BZ43" i="8" s="1"/>
  <c r="AS47" i="15"/>
  <c r="AT46" i="15"/>
  <c r="AQ50" i="15"/>
  <c r="Y50" i="15"/>
  <c r="BG49" i="15"/>
  <c r="BH49" i="15"/>
  <c r="BF49" i="15"/>
  <c r="D53" i="15"/>
  <c r="O53" i="15" s="1"/>
  <c r="R53" i="15" s="1"/>
  <c r="E53" i="15"/>
  <c r="C53" i="15"/>
  <c r="AO50" i="15"/>
  <c r="AJ50" i="15"/>
  <c r="M50" i="15"/>
  <c r="X51" i="15"/>
  <c r="AR51" i="15" s="1"/>
  <c r="W51" i="15"/>
  <c r="BE49" i="15"/>
  <c r="BC49" i="15"/>
  <c r="BD49" i="15"/>
  <c r="D52" i="15"/>
  <c r="O52" i="15" s="1"/>
  <c r="R52" i="15" s="1"/>
  <c r="E52" i="15"/>
  <c r="C52" i="15"/>
  <c r="S50" i="15"/>
  <c r="K51" i="15"/>
  <c r="AG51" i="15" s="1"/>
  <c r="I51" i="15"/>
  <c r="AE51" i="15" s="1"/>
  <c r="F51" i="15"/>
  <c r="L51" i="15"/>
  <c r="AH51" i="15" s="1"/>
  <c r="AF51" i="15"/>
  <c r="H51" i="15"/>
  <c r="AD51" i="15" s="1"/>
  <c r="Q51" i="15"/>
  <c r="AL51" i="15" s="1"/>
  <c r="AM51" i="15"/>
  <c r="AK51" i="15"/>
  <c r="BX42" i="13"/>
  <c r="AU44" i="13"/>
  <c r="AW44" i="13"/>
  <c r="BA44" i="13"/>
  <c r="BA44" i="11"/>
  <c r="AU44" i="11"/>
  <c r="AW44" i="11"/>
  <c r="BA46" i="12"/>
  <c r="AU46" i="12"/>
  <c r="AW46" i="12"/>
  <c r="BB43" i="11"/>
  <c r="BN43" i="11"/>
  <c r="BR43" i="11" s="1"/>
  <c r="BO43" i="11"/>
  <c r="BS43" i="11" s="1"/>
  <c r="BM43" i="11"/>
  <c r="BQ43" i="11" s="1"/>
  <c r="BN45" i="12"/>
  <c r="BR45" i="12" s="1"/>
  <c r="BB45" i="12"/>
  <c r="BO45" i="12"/>
  <c r="BS45" i="12" s="1"/>
  <c r="BM45" i="12"/>
  <c r="BQ45" i="12" s="1"/>
  <c r="BT45" i="12" s="1"/>
  <c r="AS46" i="13"/>
  <c r="AT45" i="13"/>
  <c r="AS46" i="11"/>
  <c r="AT45" i="11"/>
  <c r="AS48" i="12"/>
  <c r="AT47" i="12"/>
  <c r="BR43" i="13"/>
  <c r="BV43" i="13" s="1"/>
  <c r="BB43" i="13"/>
  <c r="BS43" i="13"/>
  <c r="BW43" i="13" s="1"/>
  <c r="BQ43" i="13"/>
  <c r="BU43" i="13" s="1"/>
  <c r="AJ51" i="15" l="1"/>
  <c r="AO51" i="15"/>
  <c r="BP45" i="15"/>
  <c r="BS45" i="8"/>
  <c r="BZ45" i="8" s="1"/>
  <c r="BT43" i="11"/>
  <c r="AS48" i="15"/>
  <c r="AT47" i="15"/>
  <c r="BT42" i="8"/>
  <c r="CB42" i="8" s="1"/>
  <c r="AU46" i="15"/>
  <c r="BI46" i="15"/>
  <c r="BM46" i="15" s="1"/>
  <c r="BJ46" i="15"/>
  <c r="BN46" i="15" s="1"/>
  <c r="BK46" i="15"/>
  <c r="BO46" i="15" s="1"/>
  <c r="AX46" i="15"/>
  <c r="BG51" i="15"/>
  <c r="BH51" i="15"/>
  <c r="BF51" i="15"/>
  <c r="BE51" i="15"/>
  <c r="BC51" i="15"/>
  <c r="BD51" i="15"/>
  <c r="M51" i="15"/>
  <c r="X52" i="15"/>
  <c r="AR52" i="15" s="1"/>
  <c r="W52" i="15"/>
  <c r="BE50" i="15"/>
  <c r="BC50" i="15"/>
  <c r="BD50" i="15"/>
  <c r="K53" i="15"/>
  <c r="AG53" i="15" s="1"/>
  <c r="I53" i="15"/>
  <c r="AE53" i="15" s="1"/>
  <c r="F53" i="15"/>
  <c r="L53" i="15"/>
  <c r="AH53" i="15" s="1"/>
  <c r="AF53" i="15"/>
  <c r="H53" i="15"/>
  <c r="AD53" i="15" s="1"/>
  <c r="Q53" i="15"/>
  <c r="AL53" i="15" s="1"/>
  <c r="AM53" i="15"/>
  <c r="AK53" i="15"/>
  <c r="S51" i="15"/>
  <c r="K52" i="15"/>
  <c r="AG52" i="15" s="1"/>
  <c r="I52" i="15"/>
  <c r="AE52" i="15" s="1"/>
  <c r="F52" i="15"/>
  <c r="L52" i="15"/>
  <c r="AH52" i="15" s="1"/>
  <c r="AF52" i="15"/>
  <c r="H52" i="15"/>
  <c r="AD52" i="15" s="1"/>
  <c r="Q52" i="15"/>
  <c r="AL52" i="15" s="1"/>
  <c r="AM52" i="15"/>
  <c r="AK52" i="15"/>
  <c r="AQ51" i="15"/>
  <c r="Y51" i="15"/>
  <c r="BG50" i="15"/>
  <c r="BH50" i="15"/>
  <c r="BF50" i="15"/>
  <c r="X53" i="15"/>
  <c r="AR53" i="15" s="1"/>
  <c r="W53" i="15"/>
  <c r="AS49" i="12"/>
  <c r="AT48" i="12"/>
  <c r="AS47" i="11"/>
  <c r="AT46" i="11"/>
  <c r="AS47" i="13"/>
  <c r="AT46" i="13"/>
  <c r="BB46" i="12"/>
  <c r="BN46" i="12"/>
  <c r="BR46" i="12" s="1"/>
  <c r="BO46" i="12"/>
  <c r="BS46" i="12" s="1"/>
  <c r="BM46" i="12"/>
  <c r="BQ46" i="12" s="1"/>
  <c r="BT46" i="12" s="1"/>
  <c r="BS44" i="13"/>
  <c r="BW44" i="13" s="1"/>
  <c r="BB44" i="13"/>
  <c r="BR44" i="13"/>
  <c r="BV44" i="13" s="1"/>
  <c r="BQ44" i="13"/>
  <c r="BU44" i="13" s="1"/>
  <c r="BX44" i="13" s="1"/>
  <c r="BX43" i="13"/>
  <c r="BA47" i="12"/>
  <c r="AU47" i="12"/>
  <c r="AW47" i="12"/>
  <c r="BA45" i="11"/>
  <c r="AU45" i="11"/>
  <c r="AW45" i="11"/>
  <c r="AW45" i="13"/>
  <c r="BA45" i="13"/>
  <c r="AU45" i="13"/>
  <c r="BN44" i="11"/>
  <c r="BR44" i="11" s="1"/>
  <c r="BB44" i="11"/>
  <c r="BO44" i="11"/>
  <c r="BS44" i="11" s="1"/>
  <c r="BM44" i="11"/>
  <c r="BQ44" i="11" s="1"/>
  <c r="AJ52" i="15" l="1"/>
  <c r="AJ53" i="15"/>
  <c r="AO52" i="15"/>
  <c r="AO53" i="15"/>
  <c r="BT43" i="8"/>
  <c r="CB43" i="8" s="1"/>
  <c r="BP46" i="15"/>
  <c r="BJ47" i="15"/>
  <c r="BN47" i="15" s="1"/>
  <c r="BK47" i="15"/>
  <c r="BO47" i="15" s="1"/>
  <c r="AX47" i="15"/>
  <c r="AU47" i="15"/>
  <c r="BI47" i="15"/>
  <c r="BM47" i="15" s="1"/>
  <c r="BT44" i="8"/>
  <c r="CB44" i="8" s="1"/>
  <c r="BS46" i="8"/>
  <c r="BZ46" i="8" s="1"/>
  <c r="AS49" i="15"/>
  <c r="AT48" i="15"/>
  <c r="BR43" i="8"/>
  <c r="BX43" i="8" s="1"/>
  <c r="S52" i="15"/>
  <c r="S53" i="15"/>
  <c r="AQ53" i="15"/>
  <c r="Y53" i="15"/>
  <c r="BG52" i="15"/>
  <c r="BH52" i="15"/>
  <c r="BF52" i="15"/>
  <c r="BE52" i="15"/>
  <c r="BC52" i="15"/>
  <c r="BD52" i="15"/>
  <c r="M52" i="15"/>
  <c r="BG53" i="15"/>
  <c r="BH53" i="15"/>
  <c r="BF53" i="15"/>
  <c r="BE53" i="15"/>
  <c r="BC53" i="15"/>
  <c r="BD53" i="15"/>
  <c r="M53" i="15"/>
  <c r="AQ52" i="15"/>
  <c r="Y52" i="15"/>
  <c r="BR45" i="13"/>
  <c r="BV45" i="13" s="1"/>
  <c r="BB45" i="13"/>
  <c r="BS45" i="13"/>
  <c r="BW45" i="13" s="1"/>
  <c r="BQ45" i="13"/>
  <c r="BU45" i="13" s="1"/>
  <c r="BO45" i="11"/>
  <c r="BS45" i="11" s="1"/>
  <c r="BM45" i="11"/>
  <c r="BQ45" i="11" s="1"/>
  <c r="BB45" i="11"/>
  <c r="BN45" i="11"/>
  <c r="BR45" i="11" s="1"/>
  <c r="AU46" i="13"/>
  <c r="AW46" i="13"/>
  <c r="BA46" i="13"/>
  <c r="BA46" i="11"/>
  <c r="AU46" i="11"/>
  <c r="AW46" i="11"/>
  <c r="BA48" i="12"/>
  <c r="AU48" i="12"/>
  <c r="AW48" i="12"/>
  <c r="BT44" i="11"/>
  <c r="BO47" i="12"/>
  <c r="BS47" i="12" s="1"/>
  <c r="BM47" i="12"/>
  <c r="BQ47" i="12" s="1"/>
  <c r="BT47" i="12" s="1"/>
  <c r="BN47" i="12"/>
  <c r="BR47" i="12" s="1"/>
  <c r="BB47" i="12"/>
  <c r="AS48" i="13"/>
  <c r="AT47" i="13"/>
  <c r="AS48" i="11"/>
  <c r="AT47" i="11"/>
  <c r="AS50" i="12"/>
  <c r="AT49" i="12"/>
  <c r="BR44" i="8" l="1"/>
  <c r="BX44" i="8" s="1"/>
  <c r="AS50" i="15"/>
  <c r="AT49" i="15"/>
  <c r="BP47" i="15"/>
  <c r="BS47" i="8"/>
  <c r="BZ47" i="8" s="1"/>
  <c r="BK48" i="15"/>
  <c r="BO48" i="15" s="1"/>
  <c r="AX48" i="15"/>
  <c r="AU48" i="15"/>
  <c r="BI48" i="15"/>
  <c r="BM48" i="15" s="1"/>
  <c r="BJ48" i="15"/>
  <c r="BN48" i="15" s="1"/>
  <c r="AW49" i="12"/>
  <c r="BA49" i="12"/>
  <c r="AU49" i="12"/>
  <c r="AS51" i="12"/>
  <c r="AT50" i="12"/>
  <c r="AS49" i="11"/>
  <c r="AT48" i="11"/>
  <c r="AS49" i="13"/>
  <c r="AT48" i="13"/>
  <c r="BO48" i="12"/>
  <c r="BS48" i="12" s="1"/>
  <c r="BM48" i="12"/>
  <c r="BQ48" i="12" s="1"/>
  <c r="BB48" i="12"/>
  <c r="BN48" i="12"/>
  <c r="BR48" i="12" s="1"/>
  <c r="BR46" i="13"/>
  <c r="BV46" i="13" s="1"/>
  <c r="BB46" i="13"/>
  <c r="BS46" i="13"/>
  <c r="BW46" i="13" s="1"/>
  <c r="BQ46" i="13"/>
  <c r="BU46" i="13" s="1"/>
  <c r="BX46" i="13" s="1"/>
  <c r="BT45" i="11"/>
  <c r="BX45" i="13"/>
  <c r="BA47" i="11"/>
  <c r="AU47" i="11"/>
  <c r="AW47" i="11"/>
  <c r="AW47" i="13"/>
  <c r="BA47" i="13"/>
  <c r="AU47" i="13"/>
  <c r="BN46" i="11"/>
  <c r="BR46" i="11" s="1"/>
  <c r="BB46" i="11"/>
  <c r="BO46" i="11"/>
  <c r="BS46" i="11" s="1"/>
  <c r="BM46" i="11"/>
  <c r="BQ46" i="11" s="1"/>
  <c r="BR45" i="8" l="1"/>
  <c r="BX45" i="8" s="1"/>
  <c r="BI49" i="15"/>
  <c r="BM49" i="15" s="1"/>
  <c r="BJ49" i="15"/>
  <c r="BN49" i="15" s="1"/>
  <c r="BK49" i="15"/>
  <c r="BO49" i="15" s="1"/>
  <c r="AX49" i="15"/>
  <c r="AU49" i="15"/>
  <c r="BT45" i="8"/>
  <c r="CB45" i="8" s="1"/>
  <c r="BT46" i="8"/>
  <c r="CB46" i="8" s="1"/>
  <c r="BP48" i="15"/>
  <c r="AS51" i="15"/>
  <c r="AT50" i="15"/>
  <c r="BT46" i="11"/>
  <c r="AS50" i="13"/>
  <c r="AT49" i="13"/>
  <c r="AS50" i="11"/>
  <c r="AT49" i="11"/>
  <c r="AS52" i="12"/>
  <c r="AT51" i="12"/>
  <c r="BS47" i="13"/>
  <c r="BW47" i="13" s="1"/>
  <c r="BQ47" i="13"/>
  <c r="BU47" i="13" s="1"/>
  <c r="BX47" i="13" s="1"/>
  <c r="BR47" i="13"/>
  <c r="BV47" i="13" s="1"/>
  <c r="BB47" i="13"/>
  <c r="BB47" i="11"/>
  <c r="BN47" i="11"/>
  <c r="BR47" i="11" s="1"/>
  <c r="BO47" i="11"/>
  <c r="BS47" i="11" s="1"/>
  <c r="BM47" i="11"/>
  <c r="BQ47" i="11" s="1"/>
  <c r="BT47" i="11" s="1"/>
  <c r="BT48" i="12"/>
  <c r="AU48" i="13"/>
  <c r="AW48" i="13"/>
  <c r="BA48" i="13"/>
  <c r="BA48" i="11"/>
  <c r="AU48" i="11"/>
  <c r="AW48" i="11"/>
  <c r="AW50" i="12"/>
  <c r="BA50" i="12"/>
  <c r="AU50" i="12"/>
  <c r="BO49" i="12"/>
  <c r="BS49" i="12" s="1"/>
  <c r="BM49" i="12"/>
  <c r="BQ49" i="12" s="1"/>
  <c r="BN49" i="12"/>
  <c r="BR49" i="12" s="1"/>
  <c r="BB49" i="12"/>
  <c r="BS48" i="8" l="1"/>
  <c r="BZ48" i="8" s="1"/>
  <c r="AS52" i="15"/>
  <c r="AT51" i="15"/>
  <c r="BR47" i="8"/>
  <c r="BX47" i="8" s="1"/>
  <c r="BT47" i="8"/>
  <c r="CB47" i="8" s="1"/>
  <c r="BR46" i="8"/>
  <c r="BX46" i="8" s="1"/>
  <c r="BI50" i="15"/>
  <c r="BM50" i="15" s="1"/>
  <c r="BJ50" i="15"/>
  <c r="BN50" i="15" s="1"/>
  <c r="BK50" i="15"/>
  <c r="BO50" i="15" s="1"/>
  <c r="AX50" i="15"/>
  <c r="AU50" i="15"/>
  <c r="BP49" i="15"/>
  <c r="BB50" i="12"/>
  <c r="BN50" i="12"/>
  <c r="BR50" i="12" s="1"/>
  <c r="BO50" i="12"/>
  <c r="BS50" i="12" s="1"/>
  <c r="BM50" i="12"/>
  <c r="BQ50" i="12" s="1"/>
  <c r="BT50" i="12" s="1"/>
  <c r="BO48" i="11"/>
  <c r="BS48" i="11" s="1"/>
  <c r="BM48" i="11"/>
  <c r="BQ48" i="11" s="1"/>
  <c r="BT48" i="11" s="1"/>
  <c r="BN48" i="11"/>
  <c r="BR48" i="11" s="1"/>
  <c r="BB48" i="11"/>
  <c r="AW51" i="12"/>
  <c r="BA51" i="12"/>
  <c r="AU51" i="12"/>
  <c r="BA49" i="11"/>
  <c r="AU49" i="11"/>
  <c r="AW49" i="11"/>
  <c r="AW49" i="13"/>
  <c r="BA49" i="13"/>
  <c r="AU49" i="13"/>
  <c r="BT49" i="12"/>
  <c r="BS48" i="13"/>
  <c r="BW48" i="13" s="1"/>
  <c r="BQ48" i="13"/>
  <c r="BU48" i="13" s="1"/>
  <c r="BR48" i="13"/>
  <c r="BV48" i="13" s="1"/>
  <c r="BB48" i="13"/>
  <c r="AS53" i="12"/>
  <c r="AT53" i="12" s="1"/>
  <c r="AT52" i="12"/>
  <c r="AS51" i="11"/>
  <c r="AT50" i="11"/>
  <c r="AS51" i="13"/>
  <c r="AT50" i="13"/>
  <c r="BP50" i="15" l="1"/>
  <c r="BK51" i="15"/>
  <c r="BO51" i="15" s="1"/>
  <c r="AX51" i="15"/>
  <c r="AU51" i="15"/>
  <c r="BI51" i="15"/>
  <c r="BM51" i="15" s="1"/>
  <c r="BJ51" i="15"/>
  <c r="BN51" i="15" s="1"/>
  <c r="BS49" i="8"/>
  <c r="BZ49" i="8" s="1"/>
  <c r="BR48" i="8"/>
  <c r="BX48" i="8" s="1"/>
  <c r="BS50" i="8"/>
  <c r="BZ50" i="8" s="1"/>
  <c r="AS53" i="15"/>
  <c r="AT53" i="15" s="1"/>
  <c r="AT52" i="15"/>
  <c r="AW53" i="12"/>
  <c r="BA53" i="12"/>
  <c r="AU53" i="12"/>
  <c r="BS49" i="13"/>
  <c r="BW49" i="13" s="1"/>
  <c r="BQ49" i="13"/>
  <c r="BU49" i="13" s="1"/>
  <c r="BR49" i="13"/>
  <c r="BV49" i="13" s="1"/>
  <c r="BB49" i="13"/>
  <c r="BB49" i="11"/>
  <c r="BN49" i="11"/>
  <c r="BR49" i="11" s="1"/>
  <c r="BO49" i="11"/>
  <c r="BS49" i="11" s="1"/>
  <c r="BM49" i="11"/>
  <c r="BQ49" i="11" s="1"/>
  <c r="BO51" i="12"/>
  <c r="BS51" i="12" s="1"/>
  <c r="BM51" i="12"/>
  <c r="BQ51" i="12" s="1"/>
  <c r="BN51" i="12"/>
  <c r="BR51" i="12" s="1"/>
  <c r="BB51" i="12"/>
  <c r="AS52" i="13"/>
  <c r="AT51" i="13"/>
  <c r="AS52" i="11"/>
  <c r="AT51" i="11"/>
  <c r="AU50" i="13"/>
  <c r="AW50" i="13"/>
  <c r="BA50" i="13"/>
  <c r="BA50" i="11"/>
  <c r="AU50" i="11"/>
  <c r="AW50" i="11"/>
  <c r="BA52" i="12"/>
  <c r="AU52" i="12"/>
  <c r="AW52" i="12"/>
  <c r="BX48" i="13"/>
  <c r="BT48" i="8" l="1"/>
  <c r="CB48" i="8" s="1"/>
  <c r="BT51" i="12"/>
  <c r="BT49" i="11"/>
  <c r="BX49" i="13"/>
  <c r="BK53" i="15"/>
  <c r="BO53" i="15" s="1"/>
  <c r="AX53" i="15"/>
  <c r="AU53" i="15"/>
  <c r="BI53" i="15"/>
  <c r="BM53" i="15" s="1"/>
  <c r="BJ53" i="15"/>
  <c r="BN53" i="15" s="1"/>
  <c r="BI52" i="15"/>
  <c r="BM52" i="15" s="1"/>
  <c r="BJ52" i="15"/>
  <c r="BN52" i="15" s="1"/>
  <c r="BK52" i="15"/>
  <c r="BO52" i="15" s="1"/>
  <c r="AX52" i="15"/>
  <c r="AU52" i="15"/>
  <c r="BP51" i="15"/>
  <c r="BO52" i="12"/>
  <c r="BS52" i="12" s="1"/>
  <c r="BM52" i="12"/>
  <c r="BQ52" i="12" s="1"/>
  <c r="BB52" i="12"/>
  <c r="BN52" i="12"/>
  <c r="BR52" i="12" s="1"/>
  <c r="BS50" i="13"/>
  <c r="BW50" i="13" s="1"/>
  <c r="BQ50" i="13"/>
  <c r="BU50" i="13" s="1"/>
  <c r="BR50" i="13"/>
  <c r="BV50" i="13" s="1"/>
  <c r="BB50" i="13"/>
  <c r="BA51" i="11"/>
  <c r="AU51" i="11"/>
  <c r="AW51" i="11"/>
  <c r="BA51" i="13"/>
  <c r="AU51" i="13"/>
  <c r="AW51" i="13"/>
  <c r="BN50" i="11"/>
  <c r="BR50" i="11" s="1"/>
  <c r="BB50" i="11"/>
  <c r="BO50" i="11"/>
  <c r="BS50" i="11" s="1"/>
  <c r="BM50" i="11"/>
  <c r="BQ50" i="11" s="1"/>
  <c r="BT50" i="11" s="1"/>
  <c r="AS53" i="11"/>
  <c r="AT53" i="11" s="1"/>
  <c r="AT52" i="11"/>
  <c r="AS53" i="13"/>
  <c r="AT53" i="13" s="1"/>
  <c r="AT52" i="13"/>
  <c r="BO53" i="12"/>
  <c r="BS53" i="12" s="1"/>
  <c r="BM53" i="12"/>
  <c r="BQ53" i="12" s="1"/>
  <c r="BN53" i="12"/>
  <c r="BR53" i="12" s="1"/>
  <c r="BB53" i="12"/>
  <c r="BP53" i="15" l="1"/>
  <c r="BR49" i="8"/>
  <c r="BX49" i="8" s="1"/>
  <c r="BR50" i="8"/>
  <c r="BX50" i="8" s="1"/>
  <c r="BP52" i="15"/>
  <c r="BT49" i="8"/>
  <c r="CB49" i="8" s="1"/>
  <c r="BS51" i="8"/>
  <c r="BZ51" i="8" s="1"/>
  <c r="BA52" i="13"/>
  <c r="AU52" i="13"/>
  <c r="AW52" i="13"/>
  <c r="BA52" i="11"/>
  <c r="AU52" i="11"/>
  <c r="AW52" i="11"/>
  <c r="BB51" i="11"/>
  <c r="BN51" i="11"/>
  <c r="BR51" i="11" s="1"/>
  <c r="BO51" i="11"/>
  <c r="BS51" i="11" s="1"/>
  <c r="BM51" i="11"/>
  <c r="BQ51" i="11" s="1"/>
  <c r="BT53" i="12"/>
  <c r="BA53" i="13"/>
  <c r="AU53" i="13"/>
  <c r="AW53" i="13"/>
  <c r="AW53" i="11"/>
  <c r="BA53" i="11"/>
  <c r="AU53" i="11"/>
  <c r="BS51" i="13"/>
  <c r="BW51" i="13" s="1"/>
  <c r="BQ51" i="13"/>
  <c r="BU51" i="13" s="1"/>
  <c r="BR51" i="13"/>
  <c r="BV51" i="13" s="1"/>
  <c r="BB51" i="13"/>
  <c r="BX50" i="13"/>
  <c r="BT52" i="12"/>
  <c r="BS52" i="8" l="1"/>
  <c r="BZ52" i="8" s="1"/>
  <c r="BS53" i="8"/>
  <c r="BZ53" i="8" s="1"/>
  <c r="BT50" i="8"/>
  <c r="CB50" i="8" s="1"/>
  <c r="BT51" i="11"/>
  <c r="BO53" i="11"/>
  <c r="BS53" i="11" s="1"/>
  <c r="BM53" i="11"/>
  <c r="BQ53" i="11" s="1"/>
  <c r="BB53" i="11"/>
  <c r="BN53" i="11"/>
  <c r="BR53" i="11" s="1"/>
  <c r="BR53" i="13"/>
  <c r="BV53" i="13" s="1"/>
  <c r="BB53" i="13"/>
  <c r="BS53" i="13"/>
  <c r="BW53" i="13" s="1"/>
  <c r="BQ53" i="13"/>
  <c r="BU53" i="13" s="1"/>
  <c r="BO52" i="11"/>
  <c r="BS52" i="11" s="1"/>
  <c r="BM52" i="11"/>
  <c r="BQ52" i="11" s="1"/>
  <c r="BN52" i="11"/>
  <c r="BR52" i="11" s="1"/>
  <c r="BB52" i="11"/>
  <c r="BX51" i="13"/>
  <c r="BR52" i="13"/>
  <c r="BV52" i="13" s="1"/>
  <c r="BB52" i="13"/>
  <c r="BS52" i="13"/>
  <c r="BW52" i="13" s="1"/>
  <c r="BQ52" i="13"/>
  <c r="BU52" i="13" s="1"/>
  <c r="BT52" i="11" l="1"/>
  <c r="BX53" i="13"/>
  <c r="BR51" i="8"/>
  <c r="BX51" i="8" s="1"/>
  <c r="BT51" i="8"/>
  <c r="CB51" i="8" s="1"/>
  <c r="BT53" i="11"/>
  <c r="BX52" i="13"/>
  <c r="BT52" i="8" l="1"/>
  <c r="CB52" i="8" s="1"/>
  <c r="BT53" i="8"/>
  <c r="CB53" i="8" s="1"/>
  <c r="BR53" i="8"/>
  <c r="BX53" i="8" s="1"/>
  <c r="BR52" i="8"/>
  <c r="BX52" i="8" s="1"/>
</calcChain>
</file>

<file path=xl/comments1.xml><?xml version="1.0" encoding="utf-8"?>
<comments xmlns="http://schemas.openxmlformats.org/spreadsheetml/2006/main">
  <authors>
    <author>Elia</author>
  </authors>
  <commentList>
    <comment ref="C36" authorId="0">
      <text>
        <r>
          <rPr>
            <b/>
            <sz val="9"/>
            <color indexed="81"/>
            <rFont val="Tahoma"/>
            <family val="2"/>
          </rPr>
          <t>Elia:</t>
        </r>
        <r>
          <rPr>
            <sz val="9"/>
            <color indexed="81"/>
            <rFont val="Tahoma"/>
            <family val="2"/>
          </rPr>
          <t xml:space="preserve">
23% higher than petrol car</t>
        </r>
      </text>
    </comment>
    <comment ref="C37" authorId="0">
      <text>
        <r>
          <rPr>
            <b/>
            <sz val="9"/>
            <color indexed="81"/>
            <rFont val="Tahoma"/>
            <family val="2"/>
          </rPr>
          <t>Elia:</t>
        </r>
        <r>
          <rPr>
            <sz val="9"/>
            <color indexed="81"/>
            <rFont val="Tahoma"/>
            <family val="2"/>
          </rPr>
          <t xml:space="preserve">
23% higher than petrol DPV.</t>
        </r>
      </text>
    </comment>
    <comment ref="A40" authorId="0">
      <text>
        <r>
          <rPr>
            <b/>
            <sz val="9"/>
            <color indexed="81"/>
            <rFont val="Tahoma"/>
            <family val="2"/>
          </rPr>
          <t>Elia:</t>
        </r>
        <r>
          <rPr>
            <sz val="9"/>
            <color indexed="81"/>
            <rFont val="Tahoma"/>
            <family val="2"/>
          </rPr>
          <t xml:space="preserve">
The energy balance for 2010 to 2015 is used to calibrate the fuel intensities of the petrol-driven vehicles.</t>
        </r>
      </text>
    </comment>
    <comment ref="H41" authorId="0">
      <text>
        <r>
          <rPr>
            <b/>
            <sz val="9"/>
            <color indexed="81"/>
            <rFont val="Tahoma"/>
            <family val="2"/>
          </rPr>
          <t>Elia:</t>
        </r>
        <r>
          <rPr>
            <sz val="9"/>
            <color indexed="81"/>
            <rFont val="Tahoma"/>
            <family val="2"/>
          </rPr>
          <t xml:space="preserve">
From Statistics Mauritius.</t>
        </r>
      </text>
    </comment>
  </commentList>
</comments>
</file>

<file path=xl/sharedStrings.xml><?xml version="1.0" encoding="utf-8"?>
<sst xmlns="http://schemas.openxmlformats.org/spreadsheetml/2006/main" count="1242" uniqueCount="280">
  <si>
    <t>Petrol</t>
  </si>
  <si>
    <t>Diesel</t>
  </si>
  <si>
    <t>LPG</t>
  </si>
  <si>
    <t>Hybrid</t>
  </si>
  <si>
    <t>Electric</t>
  </si>
  <si>
    <t>Autocycle</t>
  </si>
  <si>
    <t>Motorcycle</t>
  </si>
  <si>
    <t>Motor Car</t>
  </si>
  <si>
    <t>Dual Purpose Vehicle</t>
  </si>
  <si>
    <t>Heavy Motor Car</t>
  </si>
  <si>
    <t>Goods Vehicles</t>
  </si>
  <si>
    <t>Motor Tractor</t>
  </si>
  <si>
    <t>Total</t>
  </si>
  <si>
    <t>Double  Cab Pick Up</t>
  </si>
  <si>
    <t>Light Locomotive</t>
  </si>
  <si>
    <t>Heavy Locomotive</t>
  </si>
  <si>
    <t>Number of vehicles by class and fuel type (2003-2015)</t>
  </si>
  <si>
    <t>Number of vehicles by class and fuel type (2000-2015)</t>
  </si>
  <si>
    <t>This worksheet calculates the amount of gasoline used by 2WH under the assumptions mentioned in the study.</t>
  </si>
  <si>
    <t>Parameter</t>
  </si>
  <si>
    <t>Symbol</t>
  </si>
  <si>
    <t>Units</t>
  </si>
  <si>
    <t>Value</t>
  </si>
  <si>
    <t>Autocycle fuel intensity</t>
  </si>
  <si>
    <t>Motocycle fuel intensity</t>
  </si>
  <si>
    <t>FI_Mc</t>
  </si>
  <si>
    <t>FI_Ac</t>
  </si>
  <si>
    <t>L/100km</t>
  </si>
  <si>
    <t>Vehicle occupancy</t>
  </si>
  <si>
    <t>Oc</t>
  </si>
  <si>
    <t>number of persons</t>
  </si>
  <si>
    <t>Days utilised</t>
  </si>
  <si>
    <t>DU</t>
  </si>
  <si>
    <t>days/yr</t>
  </si>
  <si>
    <t>Year</t>
  </si>
  <si>
    <t>Transit distance</t>
  </si>
  <si>
    <t>TD</t>
  </si>
  <si>
    <t>km/yr</t>
  </si>
  <si>
    <t>Modeling results: Annual fuel used by 2WHs, tonnes</t>
  </si>
  <si>
    <t>Density of gasoline</t>
  </si>
  <si>
    <t>d</t>
  </si>
  <si>
    <t>kg/l</t>
  </si>
  <si>
    <t>Total distance travelled, Dt (km) = TD X N_2WH</t>
  </si>
  <si>
    <t>Gasoline cons, G_2WH (L) = Dt X FI/100</t>
  </si>
  <si>
    <t>Gasoline cons, G_2WH (kg) = G_2WhH(L) X d (kg/L)</t>
  </si>
  <si>
    <t>Total 2WH</t>
  </si>
  <si>
    <t>GDP constant US$2000</t>
  </si>
  <si>
    <t>Population</t>
  </si>
  <si>
    <t>GDP growth rate</t>
  </si>
  <si>
    <t>%pa</t>
  </si>
  <si>
    <t>GDP constant US$1980</t>
  </si>
  <si>
    <t>GDP factor</t>
  </si>
  <si>
    <t>GDP/capita 1980$</t>
  </si>
  <si>
    <t>k</t>
  </si>
  <si>
    <t>Ksat</t>
  </si>
  <si>
    <t>Mobility (PAXkm/cap)</t>
  </si>
  <si>
    <t>Mobility (PAX km)</t>
  </si>
  <si>
    <t>Exponent</t>
  </si>
  <si>
    <t>Mobility = Ksat*(1-exp(k*X))</t>
  </si>
  <si>
    <t>where X = GDP/capita (const 1980 $)</t>
  </si>
  <si>
    <t>Mobility (PAX km) for different vehicles</t>
  </si>
  <si>
    <t>GASOLINE</t>
  </si>
  <si>
    <t>Motocycle</t>
  </si>
  <si>
    <t>Car</t>
  </si>
  <si>
    <t>DPV</t>
  </si>
  <si>
    <t>Cars</t>
  </si>
  <si>
    <t>Goods Vehicle</t>
  </si>
  <si>
    <t>Motor cycle</t>
  </si>
  <si>
    <t>Auto cycle</t>
  </si>
  <si>
    <t>Annual Passenger kilometer (PAX km/yr)</t>
  </si>
  <si>
    <t>Goods Vehic</t>
  </si>
  <si>
    <t>Number of motorised vehicles running on gasoline</t>
  </si>
  <si>
    <t>Model parameters for Auto and Moto Cycles</t>
  </si>
  <si>
    <t>FI_Car</t>
  </si>
  <si>
    <t>Fuel Intensity</t>
  </si>
  <si>
    <t>L/100 km</t>
  </si>
  <si>
    <t>Occupancy</t>
  </si>
  <si>
    <t>O_Car</t>
  </si>
  <si>
    <t>PAX</t>
  </si>
  <si>
    <t>TD_car</t>
  </si>
  <si>
    <t>Model Parameters for DPV</t>
  </si>
  <si>
    <t>FI_DPV</t>
  </si>
  <si>
    <t>O_DPV</t>
  </si>
  <si>
    <t>TD_DPV</t>
  </si>
  <si>
    <t>Goods vehicles</t>
  </si>
  <si>
    <t>Model Parameters for petrol cars</t>
  </si>
  <si>
    <t>Model parameters for diesel cars</t>
  </si>
  <si>
    <t>Model parameters for LPG cars</t>
  </si>
  <si>
    <t>Buses</t>
  </si>
  <si>
    <t>Model Parameters for Buses</t>
  </si>
  <si>
    <t>FI_Bus</t>
  </si>
  <si>
    <t>L/km</t>
  </si>
  <si>
    <t>O_Bus</t>
  </si>
  <si>
    <t>TD_Bus</t>
  </si>
  <si>
    <t>Psssenger daily transitt distance</t>
  </si>
  <si>
    <t>PAX km / day</t>
  </si>
  <si>
    <t>days per year</t>
  </si>
  <si>
    <t>Annual bus passengers</t>
  </si>
  <si>
    <t>Freight</t>
  </si>
  <si>
    <t>Freight mobility, ton-km/capita</t>
  </si>
  <si>
    <t>Modelled Effective ton-km</t>
  </si>
  <si>
    <t>cars</t>
  </si>
  <si>
    <t>Number of vehicles running on diesel</t>
  </si>
  <si>
    <t>Number of vehicles running on LPG</t>
  </si>
  <si>
    <t>TOTAL</t>
  </si>
  <si>
    <t>Estimated</t>
  </si>
  <si>
    <t>Modelled</t>
  </si>
  <si>
    <t>Error</t>
  </si>
  <si>
    <t>Annual passenger km travelled</t>
  </si>
  <si>
    <t>PETROL</t>
  </si>
  <si>
    <t>DIESEL</t>
  </si>
  <si>
    <t>Percentage share of annual passenger km travelled by type of fuel</t>
  </si>
  <si>
    <t>Percentage allocation of annual passenger km travelled using diesel by type of vehicle</t>
  </si>
  <si>
    <t>Percentage allocation of annual passenger km travelled using petrol by type of vehicle</t>
  </si>
  <si>
    <t>Percentage allocation of annual PAX km using LPG by vehicle type</t>
  </si>
  <si>
    <t>Vehicle</t>
  </si>
  <si>
    <t>Fuel</t>
  </si>
  <si>
    <t>LOOKUP TABLE FOR VEHICLE FUEL INTENSITIES, FI (L/100km)</t>
  </si>
  <si>
    <t>FI, L/100km</t>
  </si>
  <si>
    <t>Bus</t>
  </si>
  <si>
    <t>Goods Vehi</t>
  </si>
  <si>
    <t>ENERGY BALANCE FOR PETROL USED IN ROAD TRANSPORT</t>
  </si>
  <si>
    <t>gasoline</t>
  </si>
  <si>
    <t>diesel</t>
  </si>
  <si>
    <t>Fuel densities, kg/L</t>
  </si>
  <si>
    <t>Actual, t</t>
  </si>
  <si>
    <t>Estimated quantity of petrol used, tonne (t)</t>
  </si>
  <si>
    <t>Difference, t</t>
  </si>
  <si>
    <t>Vehicle Occupancy</t>
  </si>
  <si>
    <t>Car/DPV</t>
  </si>
  <si>
    <t>Note: The difference between actual and estimated consumptino of gasoline - column I - is a residual that is comprised of two parameters: (1) the quantity of gasoline consumed by petrol-driven Goods Vehicles; and (2) errors.</t>
  </si>
  <si>
    <t>The number of Goods Vehicles is lower than the number of gasoline-driven DPVs. Since the residual is less than the quantity of consumed by DPVs, there is confidence in the magnitude of the residual.</t>
  </si>
  <si>
    <t>ENERGY BALANCE FOR LPG USED IN ROAD TRANSPORT</t>
  </si>
  <si>
    <t>Estimated quantity of LPG, tonne (t)</t>
  </si>
  <si>
    <t>Residual, t</t>
  </si>
  <si>
    <t>Error (%)</t>
  </si>
  <si>
    <t>Note: The residual is very high, and cannot be accounted for. Energy Statistics shows that number of LPG vehicles increased by 1 between 2004 and 2005, whereas the quantity of LPG consumed in increased from 2,691 t to 6,725 tonne????</t>
  </si>
  <si>
    <t xml:space="preserve">Also, number of vehicles has increased by 5.8% between 2010 and 2015, whereas fuel consumption has decreased by 31%!! </t>
  </si>
  <si>
    <t>ENERGY BALANCE FOR DIESEL IN ROAD TRANSPORT</t>
  </si>
  <si>
    <t>Estimated quantity of diesel, tonne (t)</t>
  </si>
  <si>
    <t>Total, t</t>
  </si>
  <si>
    <t>Note: The residual is the quantity of diesel consumed by all other types of diesel vehicles, including Goods Vehicles, heavy and light locomotives, tractors etc ….</t>
  </si>
  <si>
    <t>Freight mobility</t>
  </si>
  <si>
    <t>tonne - km</t>
  </si>
  <si>
    <t>tonne</t>
  </si>
  <si>
    <t>L/tonne-km</t>
  </si>
  <si>
    <t>Avg diesel use</t>
  </si>
  <si>
    <t>Business-as-usual (BAU) scenario based on model projections for passenger and freight mobilities.</t>
  </si>
  <si>
    <t>This worksheet converts the PAX and freight mobilities into equivalent quantities of different fuel types based on the Energy Calibration in worksheet EnergyCal.</t>
  </si>
  <si>
    <t>For each type of vehicle (based on fuel combusted), the relative allocation by vehicle type for the period 2016 to 2030 is kept at the percentage allocation in 2015 as calcualted in worksheet EnergyCal.</t>
  </si>
  <si>
    <t>This section allocates Passenger Mobility (PAX km) to different types of vehicles by fuel type before estimating the total quantity of fuels used.</t>
  </si>
  <si>
    <t>Percentage allocation of PAX km by type of petrol vehicles</t>
  </si>
  <si>
    <t>Gasoline</t>
  </si>
  <si>
    <t xml:space="preserve">Diesel </t>
  </si>
  <si>
    <t>Allocation of total PAX km by fuel type (%)</t>
  </si>
  <si>
    <t>PAX km</t>
  </si>
  <si>
    <t>Error Chk</t>
  </si>
  <si>
    <t>Percentage allocation of PAX km by type of diesel vehicles</t>
  </si>
  <si>
    <t>Percentage allocation of PAX km by type of LPG vehicles</t>
  </si>
  <si>
    <t>This section converts all PAX km by vehicles type to equivalent quantity of fuel based on the fuel intensities determined in worksheet EnergyCal.</t>
  </si>
  <si>
    <t>Vehicle type</t>
  </si>
  <si>
    <t>Also, it is assumed that 3% of goods are carried using petrol-driven Goods Vehicles.</t>
  </si>
  <si>
    <t>Freight mobility (tonne-km)</t>
  </si>
  <si>
    <t>Avg petrol use</t>
  </si>
  <si>
    <t>FI, km/100L</t>
  </si>
  <si>
    <t>Car_Dsl</t>
  </si>
  <si>
    <t>DPV_Dsl</t>
  </si>
  <si>
    <t>Car_Hbrid</t>
  </si>
  <si>
    <t>Car_LPG</t>
  </si>
  <si>
    <t>DPV_LPG</t>
  </si>
  <si>
    <t xml:space="preserve">Fuel </t>
  </si>
  <si>
    <t>density (kg/L)</t>
  </si>
  <si>
    <t>Parameters for freight mobility</t>
  </si>
  <si>
    <t>% share petrol and diesel</t>
  </si>
  <si>
    <t>Fuel intensity (L/tonne km)</t>
  </si>
  <si>
    <t>Residual</t>
  </si>
  <si>
    <t>GASOLINE (tonne)</t>
  </si>
  <si>
    <t>DIESEL (tonne)</t>
  </si>
  <si>
    <t>LPG (tonne)</t>
  </si>
  <si>
    <t>Passenger Vehicle Occupancy</t>
  </si>
  <si>
    <t>Column1</t>
  </si>
  <si>
    <t>Column2</t>
  </si>
  <si>
    <t>Annual change (%)</t>
  </si>
  <si>
    <t>Residual decreases by 7.1% per annum - the 5 year average decline in consumption</t>
  </si>
  <si>
    <t>X10</t>
  </si>
  <si>
    <t>TOTAL FUEL CONSUMED</t>
  </si>
  <si>
    <t>(TONNE)</t>
  </si>
  <si>
    <t>This section calculates the road transport GHG emissions using the emission factors used in the table below.</t>
  </si>
  <si>
    <t>FUEL EMISSION FACTORS</t>
  </si>
  <si>
    <t>NCV</t>
  </si>
  <si>
    <t>kgCO2/TJ</t>
  </si>
  <si>
    <t>kgCH4/TJ</t>
  </si>
  <si>
    <t>kgN2O/TJ</t>
  </si>
  <si>
    <t>TJ/Ggfuel</t>
  </si>
  <si>
    <t>EFCO2</t>
  </si>
  <si>
    <t>EFCH4</t>
  </si>
  <si>
    <t>EFN20</t>
  </si>
  <si>
    <t>kgCO2/kgfuel</t>
  </si>
  <si>
    <t>kgCH4/kgfuel</t>
  </si>
  <si>
    <t>kgN2O/kgfuel</t>
  </si>
  <si>
    <t>CO2</t>
  </si>
  <si>
    <t>CH4</t>
  </si>
  <si>
    <t>N2O</t>
  </si>
  <si>
    <t>Diesel (Gg)</t>
  </si>
  <si>
    <t>LPG (Gg)</t>
  </si>
  <si>
    <t>Gasoline (Gg)</t>
  </si>
  <si>
    <t>GLOBAL WARMING POTENTIAL</t>
  </si>
  <si>
    <t>GWP</t>
  </si>
  <si>
    <t>GHG</t>
  </si>
  <si>
    <t>N20</t>
  </si>
  <si>
    <t>CO2e</t>
  </si>
  <si>
    <t>TOTAL EMISSIONS (Gg)</t>
  </si>
  <si>
    <t>SCENARIO 1</t>
  </si>
  <si>
    <t xml:space="preserve">FUEL ECONOMY IMPROVES BY 1% ANNUALLY TO 2020. </t>
  </si>
  <si>
    <t>AFTER 2020, THE FUEL ECONOMY IMPROVES AT A RATE</t>
  </si>
  <si>
    <t xml:space="preserve">OF 1.5% pa. THESE IMPROVEMENTS ARE APPLIED TO </t>
  </si>
  <si>
    <t>THE TOTAL FUEL CALCULATED IN THE BAU CASE.</t>
  </si>
  <si>
    <t>IMPROVEMENTS APPLY TO YEAR 2016 ONWARDS</t>
  </si>
  <si>
    <t>&lt;2020</t>
  </si>
  <si>
    <t>&gt;2020</t>
  </si>
  <si>
    <t>TOTAL FUEL CONSUMPTION (tonne)</t>
  </si>
  <si>
    <t>Scenario 1</t>
  </si>
  <si>
    <t>CO2e (Gg)</t>
  </si>
  <si>
    <t>SCENARIO 2</t>
  </si>
  <si>
    <t>PRIVATISATION OF VEHICLE INSPECTION &amp; FITNESS</t>
  </si>
  <si>
    <t>CENTRES LEADS TO BETTER VEHICLE MAINTENANCE AND</t>
  </si>
  <si>
    <t>THEREFORE LOWER EMISSIONS. IT IS ASSUMED THAT THE</t>
  </si>
  <si>
    <t>NEW SYSTEM IS PUT IN PLACE IN 2017, RESULTING IN A</t>
  </si>
  <si>
    <t>DECRESAE IN OVERALL EMISSIONS BY 5% IN 2019.</t>
  </si>
  <si>
    <t>&gt;2019</t>
  </si>
  <si>
    <t>Scenario 2</t>
  </si>
  <si>
    <t>SCENARIO 3</t>
  </si>
  <si>
    <t>LOW CARBON OPTIONS INCLUDING (1) ETHANOL E10</t>
  </si>
  <si>
    <t>BLEND; AND (2) HIGHER PENETRATION OF HYBRID</t>
  </si>
  <si>
    <t>CARS. (1) DECREASES GASOLINE USE, AND (2) AFFECTS</t>
  </si>
  <si>
    <t>(1) 20 ML ETHANOL BLENDED BY 2030 STARTING IN 2020.</t>
  </si>
  <si>
    <t>Ethanol parameters</t>
  </si>
  <si>
    <t>Volume</t>
  </si>
  <si>
    <t>L</t>
  </si>
  <si>
    <t>TJ/Gg</t>
  </si>
  <si>
    <t>Gasoline equivalent</t>
  </si>
  <si>
    <t>Weight</t>
  </si>
  <si>
    <t xml:space="preserve">Ethanol </t>
  </si>
  <si>
    <t>(tonne)</t>
  </si>
  <si>
    <t>(%)</t>
  </si>
  <si>
    <t>Penetration</t>
  </si>
  <si>
    <t>pa</t>
  </si>
  <si>
    <t>Gasoline Effective</t>
  </si>
  <si>
    <t>This section allocates the share of low-carbon technologies - i.e. hybrid and electric vehicles.</t>
  </si>
  <si>
    <t>The average annual increase in the absolute share of hybrid vehicles in the PAX km mix has been 0.21% between 2012 and 2015.</t>
  </si>
  <si>
    <t>It is assumed that this increase will continue until 2020, afterwhich the increase will be an absolute 0.5% annual between 2020 and 2025.</t>
  </si>
  <si>
    <t>Between 2025 and 2030, the increase is at 1% absolute per year.</t>
  </si>
  <si>
    <t>2016-2020</t>
  </si>
  <si>
    <t>2021-2025</t>
  </si>
  <si>
    <t>2026-2030</t>
  </si>
  <si>
    <t>Electric cars</t>
  </si>
  <si>
    <t>(number)</t>
  </si>
  <si>
    <t>PAXkm/yr</t>
  </si>
  <si>
    <t>% Petrol</t>
  </si>
  <si>
    <t>An assumption is made that hybrid and electric vehicles are substitute for only gasoline-driven vehicles.</t>
  </si>
  <si>
    <t>(2) increase in hybrid vehicles (BZ-CK).</t>
  </si>
  <si>
    <t>Scenario 3</t>
  </si>
  <si>
    <t>GASOLINE USE.</t>
  </si>
  <si>
    <t>BAU-Scenario1</t>
  </si>
  <si>
    <t>BAU-Scenario2</t>
  </si>
  <si>
    <t>BAU-Sce3</t>
  </si>
  <si>
    <t>&lt;=2030</t>
  </si>
  <si>
    <t>GDP</t>
  </si>
  <si>
    <t>&gt;2030</t>
  </si>
  <si>
    <t>2031-2035</t>
  </si>
  <si>
    <t>2036-2040</t>
  </si>
  <si>
    <t>2041-2045</t>
  </si>
  <si>
    <t>2046-2050</t>
  </si>
  <si>
    <t>MLRT Bus</t>
  </si>
  <si>
    <t>MLRT Car</t>
  </si>
  <si>
    <t>petrol</t>
  </si>
  <si>
    <t>Scenario 4</t>
  </si>
  <si>
    <t>BAU-Sc4</t>
  </si>
  <si>
    <t>Cumul</t>
  </si>
  <si>
    <t>BAU-Cumul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</si>
</sst>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00"/>
    <numFmt numFmtId="166" formatCode="#,##0.0"/>
    <numFmt numFmtId="167" formatCode="0.0"/>
    <numFmt numFmtId="168" formatCode="#,##0.000"/>
    <numFmt numFmtId="169" formatCode="0.0%"/>
  </numFmts>
  <fonts count="17"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sz val="12"/>
      <name val="Times New Roman"/>
      <family val="1"/>
    </font>
    <font>
      <b/>
      <sz val="12"/>
      <name val="Times New Roman"/>
      <family val="1"/>
    </font>
    <font>
      <b/>
      <sz val="12"/>
      <color rgb="FFC00000"/>
      <name val="Times New Roman"/>
      <family val="1"/>
    </font>
    <font>
      <sz val="12"/>
      <color rgb="FFC00000"/>
      <name val="Times New Roman"/>
      <family val="1"/>
    </font>
    <font>
      <sz val="11"/>
      <name val="Times New Roman"/>
      <family val="1"/>
    </font>
    <font>
      <b/>
      <sz val="12"/>
      <color theme="0"/>
      <name val="Times New Roman"/>
      <family val="1"/>
    </font>
    <font>
      <sz val="12"/>
      <color theme="0"/>
      <name val="Times New Roman"/>
      <family val="1"/>
    </font>
    <font>
      <sz val="9"/>
      <color indexed="81"/>
      <name val="Tahoma"/>
      <family val="2"/>
    </font>
    <font>
      <b/>
      <sz val="9"/>
      <color indexed="81"/>
      <name val="Tahoma"/>
      <family val="2"/>
    </font>
    <font>
      <b/>
      <sz val="11"/>
      <name val="Calibri"/>
      <family val="2"/>
      <scheme val="minor"/>
    </font>
    <font>
      <b/>
      <sz val="11"/>
      <color theme="0"/>
      <name val="Calibri"/>
      <family val="2"/>
      <scheme val="minor"/>
    </font>
    <font>
      <sz val="11"/>
      <color theme="0"/>
      <name val="Calibri"/>
      <family val="2"/>
      <scheme val="minor"/>
    </font>
  </fonts>
  <fills count="34">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bgColor indexed="64"/>
      </patternFill>
    </fill>
    <fill>
      <patternFill patternType="solid">
        <fgColor theme="6"/>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theme="2"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43" fontId="5" fillId="0" borderId="0" applyFont="0" applyFill="0" applyBorder="0" applyAlignment="0" applyProtection="0"/>
    <xf numFmtId="43" fontId="5" fillId="0" borderId="0" applyFont="0" applyFill="0" applyBorder="0" applyAlignment="0" applyProtection="0"/>
  </cellStyleXfs>
  <cellXfs count="235">
    <xf numFmtId="0" fontId="0" fillId="0" borderId="0" xfId="0"/>
    <xf numFmtId="0" fontId="0" fillId="0" borderId="0" xfId="0"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vertical="center" wrapText="1"/>
    </xf>
    <xf numFmtId="0" fontId="1" fillId="0" borderId="0" xfId="0" applyFont="1"/>
    <xf numFmtId="0" fontId="2" fillId="2" borderId="0" xfId="0" applyFont="1" applyFill="1" applyBorder="1" applyAlignment="1">
      <alignment horizontal="center" vertical="center" wrapText="1"/>
    </xf>
    <xf numFmtId="0" fontId="2" fillId="0" borderId="3" xfId="0" applyFont="1" applyBorder="1" applyAlignment="1">
      <alignmen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3" fontId="2"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0" fontId="0" fillId="0" borderId="0" xfId="0" applyFill="1" applyAlignment="1">
      <alignment vertical="center" wrapText="1"/>
    </xf>
    <xf numFmtId="0" fontId="0" fillId="0" borderId="0" xfId="0" applyFill="1"/>
    <xf numFmtId="3" fontId="2"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3" xfId="0" applyFont="1" applyBorder="1" applyAlignment="1">
      <alignment vertical="center" wrapText="1"/>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 fillId="4" borderId="0" xfId="0" applyFont="1" applyFill="1"/>
    <xf numFmtId="0" fontId="1" fillId="0" borderId="0" xfId="0" applyFont="1" applyFill="1"/>
    <xf numFmtId="0" fontId="0" fillId="4" borderId="0" xfId="0" applyFill="1"/>
    <xf numFmtId="3" fontId="0" fillId="0" borderId="0" xfId="0" applyNumberFormat="1"/>
    <xf numFmtId="0" fontId="3" fillId="0" borderId="0" xfId="0" applyFont="1" applyBorder="1" applyAlignment="1">
      <alignment horizontal="left" vertical="center" wrapText="1"/>
    </xf>
    <xf numFmtId="0" fontId="2" fillId="0" borderId="0" xfId="0" applyFont="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1" fontId="0" fillId="0" borderId="0" xfId="0" applyNumberFormat="1"/>
    <xf numFmtId="2" fontId="0" fillId="0" borderId="0" xfId="0" applyNumberFormat="1"/>
    <xf numFmtId="4" fontId="0" fillId="0" borderId="0" xfId="0" applyNumberFormat="1"/>
    <xf numFmtId="0" fontId="2" fillId="4" borderId="1"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3" fontId="2" fillId="9"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3" fontId="2" fillId="10" borderId="1" xfId="0" applyNumberFormat="1" applyFont="1" applyFill="1" applyBorder="1" applyAlignment="1">
      <alignment horizontal="center" vertical="center" wrapText="1"/>
    </xf>
    <xf numFmtId="3" fontId="2" fillId="11"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11" borderId="1" xfId="0" applyFont="1" applyFill="1" applyBorder="1" applyAlignment="1">
      <alignment horizontal="center" vertical="center" wrapText="1"/>
    </xf>
    <xf numFmtId="0" fontId="3" fillId="0" borderId="1" xfId="0" applyFont="1" applyBorder="1" applyAlignment="1">
      <alignment horizontal="center"/>
    </xf>
    <xf numFmtId="0" fontId="3"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1" fillId="6" borderId="0" xfId="0" applyFont="1" applyFill="1"/>
    <xf numFmtId="3" fontId="0" fillId="6" borderId="0" xfId="0" applyNumberFormat="1" applyFill="1"/>
    <xf numFmtId="0" fontId="1" fillId="12" borderId="0" xfId="0" applyFont="1" applyFill="1"/>
    <xf numFmtId="3" fontId="0" fillId="12" borderId="0" xfId="0" applyNumberFormat="1" applyFill="1"/>
    <xf numFmtId="0" fontId="0" fillId="3" borderId="0" xfId="0" applyFill="1"/>
    <xf numFmtId="0" fontId="1" fillId="3" borderId="0" xfId="0" applyFont="1" applyFill="1"/>
    <xf numFmtId="3" fontId="0" fillId="0" borderId="0" xfId="0" applyNumberFormat="1" applyAlignment="1">
      <alignment horizontal="center" vertical="center"/>
    </xf>
    <xf numFmtId="3" fontId="0" fillId="0" borderId="0" xfId="0" applyNumberFormat="1" applyAlignment="1">
      <alignment horizontal="center"/>
    </xf>
    <xf numFmtId="0" fontId="2"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164" fontId="9" fillId="0" borderId="0" xfId="1" applyNumberFormat="1" applyFont="1" applyFill="1" applyBorder="1"/>
    <xf numFmtId="0" fontId="0" fillId="0" borderId="0" xfId="0" applyAlignment="1">
      <alignment horizontal="center" wrapText="1"/>
    </xf>
    <xf numFmtId="0" fontId="0" fillId="0" borderId="0" xfId="0" applyAlignment="1">
      <alignment wrapText="1"/>
    </xf>
    <xf numFmtId="0" fontId="6"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Alignment="1">
      <alignment horizontal="center"/>
    </xf>
    <xf numFmtId="0" fontId="1" fillId="5" borderId="0" xfId="0" applyFont="1" applyFill="1" applyAlignment="1">
      <alignment horizontal="center"/>
    </xf>
    <xf numFmtId="4" fontId="0" fillId="0" borderId="0" xfId="0" applyNumberFormat="1" applyAlignment="1">
      <alignment horizontal="center"/>
    </xf>
    <xf numFmtId="0" fontId="1" fillId="4" borderId="0" xfId="0" applyFont="1" applyFill="1" applyAlignment="1">
      <alignment horizontal="center" vertical="center"/>
    </xf>
    <xf numFmtId="0" fontId="0" fillId="0" borderId="0" xfId="0" applyAlignment="1">
      <alignment vertical="center"/>
    </xf>
    <xf numFmtId="0" fontId="1" fillId="18" borderId="0" xfId="0" applyFont="1" applyFill="1" applyAlignment="1">
      <alignment horizontal="center" vertical="center"/>
    </xf>
    <xf numFmtId="0" fontId="0" fillId="19" borderId="0" xfId="0" applyFill="1" applyAlignment="1">
      <alignment horizontal="center" vertical="center"/>
    </xf>
    <xf numFmtId="165" fontId="0" fillId="5" borderId="0" xfId="0" applyNumberFormat="1" applyFill="1" applyAlignment="1">
      <alignment horizontal="center"/>
    </xf>
    <xf numFmtId="0" fontId="1" fillId="22" borderId="0" xfId="0" applyFont="1" applyFill="1" applyAlignment="1">
      <alignment horizontal="center"/>
    </xf>
    <xf numFmtId="165" fontId="0" fillId="22" borderId="0" xfId="0" applyNumberFormat="1" applyFill="1" applyAlignment="1">
      <alignment horizontal="center"/>
    </xf>
    <xf numFmtId="0" fontId="1" fillId="7" borderId="0" xfId="0" applyFont="1" applyFill="1" applyAlignment="1">
      <alignment horizontal="center"/>
    </xf>
    <xf numFmtId="165" fontId="0" fillId="7" borderId="0" xfId="0" applyNumberFormat="1" applyFill="1" applyAlignment="1">
      <alignment horizontal="center"/>
    </xf>
    <xf numFmtId="0" fontId="1" fillId="2" borderId="0" xfId="0" applyFont="1" applyFill="1"/>
    <xf numFmtId="3" fontId="9" fillId="13" borderId="0" xfId="1" applyNumberFormat="1" applyFont="1" applyFill="1" applyBorder="1" applyAlignment="1">
      <alignment horizontal="center" vertical="center"/>
    </xf>
    <xf numFmtId="3" fontId="9" fillId="0" borderId="0" xfId="1" applyNumberFormat="1" applyFont="1" applyBorder="1" applyAlignment="1">
      <alignment horizontal="center" vertical="center"/>
    </xf>
    <xf numFmtId="3" fontId="9" fillId="0" borderId="0" xfId="2" applyNumberFormat="1" applyFont="1" applyBorder="1" applyAlignment="1">
      <alignment horizontal="center"/>
    </xf>
    <xf numFmtId="0" fontId="1" fillId="7" borderId="0" xfId="0" applyFont="1" applyFill="1"/>
    <xf numFmtId="0" fontId="0" fillId="0" borderId="0" xfId="0" applyFill="1" applyBorder="1" applyAlignment="1">
      <alignment horizont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0" fillId="0" borderId="1" xfId="0" applyNumberFormat="1" applyBorder="1"/>
    <xf numFmtId="0" fontId="1" fillId="0" borderId="0" xfId="0" applyFont="1" applyAlignment="1">
      <alignment horizontal="center" vertical="center" wrapText="1"/>
    </xf>
    <xf numFmtId="0" fontId="1" fillId="5" borderId="0" xfId="0" applyFont="1" applyFill="1" applyAlignment="1">
      <alignment horizontal="center" wrapText="1"/>
    </xf>
    <xf numFmtId="0" fontId="14" fillId="0" borderId="0" xfId="0" applyFont="1"/>
    <xf numFmtId="166" fontId="0" fillId="0" borderId="0" xfId="0" applyNumberFormat="1" applyAlignment="1">
      <alignment horizontal="center"/>
    </xf>
    <xf numFmtId="167" fontId="0" fillId="0" borderId="0" xfId="0" applyNumberFormat="1" applyAlignment="1">
      <alignment horizontal="center"/>
    </xf>
    <xf numFmtId="0" fontId="1" fillId="18" borderId="0" xfId="0" applyFont="1" applyFill="1"/>
    <xf numFmtId="164" fontId="9" fillId="0" borderId="0" xfId="1" applyNumberFormat="1" applyFont="1" applyFill="1" applyBorder="1" applyAlignment="1">
      <alignment vertical="center"/>
    </xf>
    <xf numFmtId="0" fontId="0" fillId="0" borderId="0" xfId="0" applyFill="1" applyBorder="1"/>
    <xf numFmtId="164" fontId="9" fillId="0" borderId="0" xfId="1" applyNumberFormat="1" applyFont="1" applyFill="1" applyBorder="1" applyAlignment="1">
      <alignment horizontal="center" vertical="center"/>
    </xf>
    <xf numFmtId="3" fontId="0" fillId="0" borderId="0" xfId="0" applyNumberFormat="1" applyFill="1" applyBorder="1" applyAlignment="1">
      <alignment horizontal="center"/>
    </xf>
    <xf numFmtId="3" fontId="0" fillId="0" borderId="0" xfId="0" applyNumberFormat="1" applyFill="1" applyBorder="1" applyAlignment="1">
      <alignment horizontal="center" vertical="center"/>
    </xf>
    <xf numFmtId="0" fontId="1" fillId="23" borderId="0" xfId="0" applyFont="1" applyFill="1"/>
    <xf numFmtId="165" fontId="0" fillId="0" borderId="0" xfId="0" applyNumberFormat="1"/>
    <xf numFmtId="0" fontId="0" fillId="0" borderId="0" xfId="0" applyAlignment="1">
      <alignment horizontal="center"/>
    </xf>
    <xf numFmtId="0" fontId="1" fillId="5" borderId="0" xfId="0" applyFont="1" applyFill="1" applyAlignment="1">
      <alignment horizontal="center"/>
    </xf>
    <xf numFmtId="3" fontId="0" fillId="5" borderId="0" xfId="0" applyNumberFormat="1" applyFill="1" applyAlignment="1">
      <alignment horizontal="center"/>
    </xf>
    <xf numFmtId="0" fontId="1" fillId="24" borderId="0" xfId="0" applyFont="1" applyFill="1" applyAlignment="1">
      <alignment horizontal="center"/>
    </xf>
    <xf numFmtId="3" fontId="0" fillId="24" borderId="0" xfId="0" applyNumberFormat="1" applyFill="1" applyAlignment="1">
      <alignment horizontal="center"/>
    </xf>
    <xf numFmtId="0" fontId="1" fillId="20" borderId="0" xfId="0" applyFont="1" applyFill="1" applyAlignment="1">
      <alignment horizontal="center"/>
    </xf>
    <xf numFmtId="3" fontId="0" fillId="20" borderId="0" xfId="0" applyNumberFormat="1" applyFill="1" applyAlignment="1">
      <alignment horizontal="center"/>
    </xf>
    <xf numFmtId="0" fontId="1" fillId="24" borderId="0" xfId="0" applyFont="1" applyFill="1" applyAlignment="1">
      <alignment horizontal="center"/>
    </xf>
    <xf numFmtId="0" fontId="1" fillId="16" borderId="0" xfId="0" applyFont="1" applyFill="1" applyAlignment="1">
      <alignment horizontal="center"/>
    </xf>
    <xf numFmtId="0" fontId="1" fillId="16" borderId="0" xfId="0" applyFont="1" applyFill="1" applyAlignment="1">
      <alignment horizontal="center"/>
    </xf>
    <xf numFmtId="0" fontId="0" fillId="16" borderId="0" xfId="0" applyFill="1"/>
    <xf numFmtId="0" fontId="1" fillId="20" borderId="0" xfId="0" applyFont="1" applyFill="1" applyAlignment="1">
      <alignment horizontal="center"/>
    </xf>
    <xf numFmtId="0" fontId="1" fillId="24" borderId="0" xfId="0" applyFont="1" applyFill="1"/>
    <xf numFmtId="0" fontId="0" fillId="27" borderId="0" xfId="0" applyFill="1"/>
    <xf numFmtId="9" fontId="0" fillId="0" borderId="0" xfId="0" applyNumberFormat="1"/>
    <xf numFmtId="0" fontId="1" fillId="2" borderId="0" xfId="0" applyFont="1" applyFill="1" applyAlignment="1">
      <alignment horizontal="center"/>
    </xf>
    <xf numFmtId="0" fontId="1" fillId="2" borderId="0" xfId="0" applyFont="1" applyFill="1" applyBorder="1" applyAlignment="1">
      <alignment horizontal="center"/>
    </xf>
    <xf numFmtId="3" fontId="0" fillId="2" borderId="0" xfId="0" applyNumberFormat="1" applyFill="1" applyAlignment="1">
      <alignment horizontal="center"/>
    </xf>
    <xf numFmtId="3" fontId="9" fillId="2" borderId="0" xfId="1" applyNumberFormat="1" applyFont="1" applyFill="1" applyBorder="1" applyAlignment="1">
      <alignment horizontal="center" vertical="center"/>
    </xf>
    <xf numFmtId="0" fontId="1" fillId="25" borderId="0" xfId="0" applyFont="1" applyFill="1"/>
    <xf numFmtId="0" fontId="1" fillId="6" borderId="0" xfId="0" applyFont="1" applyFill="1" applyAlignment="1">
      <alignment horizontal="center"/>
    </xf>
    <xf numFmtId="0" fontId="1" fillId="28" borderId="0" xfId="0" applyFont="1" applyFill="1" applyAlignment="1">
      <alignment horizontal="center"/>
    </xf>
    <xf numFmtId="0" fontId="1" fillId="18" borderId="0" xfId="0" applyFont="1" applyFill="1" applyAlignment="1">
      <alignment horizontal="center"/>
    </xf>
    <xf numFmtId="9" fontId="0" fillId="0" borderId="0" xfId="0" applyNumberFormat="1" applyAlignment="1">
      <alignment horizontal="center"/>
    </xf>
    <xf numFmtId="0" fontId="0" fillId="6" borderId="0" xfId="0" applyFill="1"/>
    <xf numFmtId="0" fontId="15" fillId="0" borderId="0" xfId="0" applyFont="1" applyAlignment="1">
      <alignment horizontal="center"/>
    </xf>
    <xf numFmtId="3" fontId="16" fillId="0" borderId="0" xfId="0" applyNumberFormat="1" applyFont="1" applyAlignment="1">
      <alignment horizontal="center"/>
    </xf>
    <xf numFmtId="43" fontId="0" fillId="0" borderId="0" xfId="0" applyNumberFormat="1"/>
    <xf numFmtId="43" fontId="0" fillId="0" borderId="0" xfId="0" applyNumberFormat="1" applyAlignment="1">
      <alignment horizontal="center"/>
    </xf>
    <xf numFmtId="1" fontId="0" fillId="0" borderId="0" xfId="0" applyNumberFormat="1" applyAlignment="1">
      <alignment horizontal="center"/>
    </xf>
    <xf numFmtId="10" fontId="1" fillId="0" borderId="0" xfId="0" applyNumberFormat="1" applyFont="1" applyFill="1" applyAlignment="1"/>
    <xf numFmtId="3" fontId="0" fillId="6" borderId="0" xfId="0" applyNumberFormat="1" applyFill="1" applyAlignment="1">
      <alignment horizontal="center"/>
    </xf>
    <xf numFmtId="0" fontId="1" fillId="16" borderId="0" xfId="0" applyFont="1" applyFill="1"/>
    <xf numFmtId="0" fontId="0" fillId="21" borderId="0" xfId="0" applyFill="1" applyAlignment="1">
      <alignment horizontal="center"/>
    </xf>
    <xf numFmtId="0" fontId="0" fillId="29" borderId="0" xfId="0" applyFill="1" applyAlignment="1">
      <alignment horizontal="center"/>
    </xf>
    <xf numFmtId="0" fontId="0" fillId="2" borderId="0" xfId="0" applyFill="1" applyAlignment="1">
      <alignment horizontal="center"/>
    </xf>
    <xf numFmtId="0" fontId="1" fillId="24" borderId="0" xfId="0" applyFont="1" applyFill="1" applyAlignment="1">
      <alignment horizontal="center"/>
    </xf>
    <xf numFmtId="0" fontId="1" fillId="16" borderId="0" xfId="0" applyFont="1" applyFill="1" applyAlignment="1">
      <alignment horizontal="center"/>
    </xf>
    <xf numFmtId="0" fontId="1" fillId="20" borderId="0" xfId="0" applyFont="1" applyFill="1" applyAlignment="1">
      <alignment horizontal="center"/>
    </xf>
    <xf numFmtId="0" fontId="1" fillId="5" borderId="0" xfId="0" applyFont="1" applyFill="1" applyAlignment="1">
      <alignment horizontal="center"/>
    </xf>
    <xf numFmtId="0" fontId="1" fillId="27" borderId="0" xfId="0" applyFont="1" applyFill="1" applyAlignment="1">
      <alignment horizontal="center"/>
    </xf>
    <xf numFmtId="0" fontId="1" fillId="30" borderId="0" xfId="0" applyFont="1" applyFill="1" applyAlignment="1">
      <alignment horizontal="center"/>
    </xf>
    <xf numFmtId="0" fontId="0" fillId="30" borderId="0" xfId="0" applyFill="1"/>
    <xf numFmtId="4" fontId="1" fillId="0" borderId="0" xfId="0" applyNumberFormat="1" applyFont="1"/>
    <xf numFmtId="0" fontId="1" fillId="0" borderId="0" xfId="0" applyFont="1" applyFill="1" applyAlignment="1">
      <alignment horizontal="center" wrapText="1"/>
    </xf>
    <xf numFmtId="0" fontId="1" fillId="0" borderId="0" xfId="0" applyFont="1" applyFill="1" applyAlignment="1">
      <alignment horizontal="center"/>
    </xf>
    <xf numFmtId="3" fontId="0" fillId="0" borderId="0" xfId="0" applyNumberFormat="1" applyFill="1" applyAlignment="1">
      <alignment horizontal="center"/>
    </xf>
    <xf numFmtId="0" fontId="1" fillId="27" borderId="0" xfId="0" applyFont="1" applyFill="1" applyAlignment="1">
      <alignment horizontal="center" wrapText="1"/>
    </xf>
    <xf numFmtId="3" fontId="0" fillId="27" borderId="0" xfId="0" applyNumberFormat="1" applyFill="1" applyAlignment="1">
      <alignment horizontal="center"/>
    </xf>
    <xf numFmtId="9" fontId="1" fillId="0" borderId="0" xfId="0" applyNumberFormat="1" applyFont="1" applyAlignment="1">
      <alignment horizontal="center"/>
    </xf>
    <xf numFmtId="10" fontId="1" fillId="0" borderId="0" xfId="0" applyNumberFormat="1" applyFont="1" applyAlignment="1">
      <alignment horizontal="center"/>
    </xf>
    <xf numFmtId="0" fontId="1" fillId="0" borderId="0" xfId="0" applyFont="1" applyFill="1" applyAlignment="1">
      <alignment horizontal="center"/>
    </xf>
    <xf numFmtId="0" fontId="15" fillId="19" borderId="0" xfId="0" applyFont="1" applyFill="1" applyAlignment="1">
      <alignment horizontal="center"/>
    </xf>
    <xf numFmtId="168" fontId="16" fillId="19" borderId="0" xfId="0" applyNumberFormat="1" applyFont="1" applyFill="1" applyAlignment="1">
      <alignment horizontal="center"/>
    </xf>
    <xf numFmtId="169" fontId="1" fillId="0" borderId="0" xfId="0" applyNumberFormat="1" applyFont="1" applyAlignment="1">
      <alignment horizontal="center"/>
    </xf>
    <xf numFmtId="0" fontId="15" fillId="31" borderId="0" xfId="0" applyFont="1" applyFill="1" applyAlignment="1">
      <alignment horizontal="center"/>
    </xf>
    <xf numFmtId="168" fontId="16" fillId="31" borderId="0" xfId="0" applyNumberFormat="1" applyFont="1" applyFill="1" applyAlignment="1">
      <alignment horizontal="center"/>
    </xf>
    <xf numFmtId="169" fontId="1" fillId="0" borderId="0" xfId="0" applyNumberFormat="1" applyFont="1" applyFill="1" applyAlignment="1">
      <alignment horizontal="center"/>
    </xf>
    <xf numFmtId="11" fontId="1" fillId="0" borderId="0" xfId="0" applyNumberFormat="1" applyFont="1" applyFill="1"/>
    <xf numFmtId="3" fontId="1" fillId="0" borderId="0" xfId="0" applyNumberFormat="1" applyFont="1" applyFill="1"/>
    <xf numFmtId="9" fontId="0" fillId="0" borderId="0" xfId="0" applyNumberFormat="1" applyFill="1" applyAlignment="1">
      <alignment horizontal="center"/>
    </xf>
    <xf numFmtId="9" fontId="1" fillId="0" borderId="0" xfId="0" applyNumberFormat="1" applyFont="1" applyFill="1"/>
    <xf numFmtId="2" fontId="0" fillId="0" borderId="0" xfId="0" applyNumberFormat="1" applyAlignment="1">
      <alignment horizontal="center"/>
    </xf>
    <xf numFmtId="0" fontId="1" fillId="29" borderId="0" xfId="0" applyFont="1" applyFill="1" applyAlignment="1">
      <alignment horizontal="center"/>
    </xf>
    <xf numFmtId="3" fontId="1" fillId="29" borderId="0" xfId="0" applyNumberFormat="1" applyFont="1" applyFill="1" applyAlignment="1">
      <alignment horizontal="center"/>
    </xf>
    <xf numFmtId="0" fontId="15" fillId="18" borderId="0" xfId="0" applyFont="1" applyFill="1" applyAlignment="1">
      <alignment horizontal="center"/>
    </xf>
    <xf numFmtId="168" fontId="16" fillId="18" borderId="0" xfId="0" applyNumberFormat="1" applyFont="1" applyFill="1" applyAlignment="1">
      <alignment horizontal="center"/>
    </xf>
    <xf numFmtId="3" fontId="0" fillId="30" borderId="0" xfId="0" applyNumberFormat="1" applyFill="1" applyAlignment="1">
      <alignment horizontal="center"/>
    </xf>
    <xf numFmtId="0" fontId="1" fillId="30" borderId="0" xfId="0" applyFont="1" applyFill="1" applyAlignment="1">
      <alignment horizontal="center"/>
    </xf>
    <xf numFmtId="0" fontId="1" fillId="20" borderId="0" xfId="0" applyFont="1" applyFill="1" applyAlignment="1">
      <alignment horizontal="center"/>
    </xf>
    <xf numFmtId="0" fontId="1" fillId="5" borderId="0" xfId="0" applyFont="1" applyFill="1" applyAlignment="1">
      <alignment horizontal="center"/>
    </xf>
    <xf numFmtId="0" fontId="1" fillId="16" borderId="0" xfId="0" applyFont="1" applyFill="1" applyAlignment="1">
      <alignment horizontal="center"/>
    </xf>
    <xf numFmtId="0" fontId="1" fillId="24" borderId="0" xfId="0" applyFont="1" applyFill="1" applyAlignment="1">
      <alignment horizontal="center"/>
    </xf>
    <xf numFmtId="0" fontId="1" fillId="32" borderId="0" xfId="0" applyFont="1" applyFill="1" applyAlignment="1">
      <alignment horizontal="center"/>
    </xf>
    <xf numFmtId="0" fontId="0" fillId="6" borderId="0" xfId="0" applyFill="1" applyAlignment="1">
      <alignment horizontal="center"/>
    </xf>
    <xf numFmtId="4" fontId="0" fillId="6" borderId="0" xfId="0" applyNumberFormat="1" applyFill="1" applyAlignment="1">
      <alignment horizontal="center"/>
    </xf>
    <xf numFmtId="2" fontId="0" fillId="6" borderId="0" xfId="0" applyNumberFormat="1" applyFill="1" applyAlignment="1">
      <alignment horizontal="center"/>
    </xf>
    <xf numFmtId="0" fontId="0" fillId="33" borderId="0" xfId="0" applyFill="1"/>
    <xf numFmtId="3" fontId="0" fillId="33" borderId="0" xfId="0" applyNumberFormat="1" applyFill="1"/>
    <xf numFmtId="0" fontId="15" fillId="0" borderId="0" xfId="0" applyFont="1" applyFill="1" applyAlignment="1">
      <alignment horizontal="center"/>
    </xf>
    <xf numFmtId="3" fontId="0" fillId="0" borderId="0" xfId="0" applyNumberFormat="1" applyFill="1"/>
    <xf numFmtId="168" fontId="16" fillId="0" borderId="0" xfId="0" applyNumberFormat="1" applyFont="1" applyFill="1" applyAlignment="1">
      <alignment horizontal="center"/>
    </xf>
    <xf numFmtId="0" fontId="1" fillId="33" borderId="0" xfId="0" applyFont="1" applyFill="1" applyAlignment="1">
      <alignment horizontal="center"/>
    </xf>
    <xf numFmtId="169" fontId="0" fillId="0" borderId="0" xfId="0" applyNumberFormat="1"/>
    <xf numFmtId="168" fontId="15" fillId="33" borderId="0" xfId="0" applyNumberFormat="1" applyFont="1" applyFill="1" applyAlignment="1">
      <alignment horizontal="center"/>
    </xf>
    <xf numFmtId="168" fontId="0" fillId="0" borderId="0" xfId="0" applyNumberFormat="1"/>
    <xf numFmtId="168" fontId="0" fillId="6" borderId="0" xfId="0" applyNumberFormat="1" applyFill="1"/>
    <xf numFmtId="0" fontId="4"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3" borderId="0" xfId="0" applyFont="1" applyFill="1" applyAlignment="1">
      <alignment horizontal="center" vertical="center"/>
    </xf>
    <xf numFmtId="0" fontId="1" fillId="29" borderId="0" xfId="0" applyFont="1" applyFill="1" applyAlignment="1">
      <alignment horizontal="center"/>
    </xf>
    <xf numFmtId="0" fontId="1" fillId="6" borderId="0" xfId="0" applyFont="1" applyFill="1" applyAlignment="1">
      <alignment horizontal="left" vertical="center" wrapText="1"/>
    </xf>
    <xf numFmtId="0" fontId="1" fillId="5" borderId="0" xfId="0" applyFont="1" applyFill="1" applyAlignment="1">
      <alignment horizontal="center" wrapText="1"/>
    </xf>
    <xf numFmtId="0" fontId="1" fillId="17" borderId="0" xfId="0" applyFont="1" applyFill="1" applyAlignment="1">
      <alignment horizontal="center" wrapText="1"/>
    </xf>
    <xf numFmtId="0" fontId="1" fillId="7" borderId="0" xfId="0" applyFont="1" applyFill="1" applyAlignment="1">
      <alignment horizontal="center" wrapText="1"/>
    </xf>
    <xf numFmtId="0" fontId="1" fillId="19" borderId="0" xfId="0" applyFont="1" applyFill="1" applyAlignment="1">
      <alignment horizontal="center"/>
    </xf>
    <xf numFmtId="0" fontId="1" fillId="14" borderId="0" xfId="0" applyFont="1" applyFill="1" applyAlignment="1">
      <alignment horizontal="left"/>
    </xf>
    <xf numFmtId="0" fontId="1" fillId="2" borderId="0" xfId="0" applyFont="1" applyFill="1" applyAlignment="1">
      <alignment horizontal="center"/>
    </xf>
    <xf numFmtId="0" fontId="1" fillId="16" borderId="0" xfId="0" applyFont="1" applyFill="1" applyAlignment="1">
      <alignment horizontal="center" vertical="center"/>
    </xf>
    <xf numFmtId="0" fontId="1" fillId="20" borderId="0" xfId="0" applyFont="1" applyFill="1" applyAlignment="1">
      <alignment horizontal="center" vertical="center"/>
    </xf>
    <xf numFmtId="0" fontId="1" fillId="21" borderId="0" xfId="0" applyFont="1" applyFill="1" applyAlignment="1">
      <alignment horizontal="center" vertical="center"/>
    </xf>
    <xf numFmtId="0" fontId="1" fillId="21" borderId="0" xfId="0" applyFont="1" applyFill="1" applyAlignment="1">
      <alignment horizontal="center"/>
    </xf>
    <xf numFmtId="0" fontId="1" fillId="15" borderId="0" xfId="0" applyFont="1" applyFill="1" applyAlignment="1">
      <alignment horizontal="center"/>
    </xf>
    <xf numFmtId="0" fontId="1" fillId="30" borderId="0" xfId="0" applyFont="1" applyFill="1" applyAlignment="1">
      <alignment horizontal="center"/>
    </xf>
    <xf numFmtId="0" fontId="1" fillId="20" borderId="0" xfId="0" applyFont="1" applyFill="1" applyAlignment="1">
      <alignment horizontal="center"/>
    </xf>
    <xf numFmtId="0" fontId="1" fillId="5" borderId="0" xfId="0" applyFont="1" applyFill="1" applyAlignment="1">
      <alignment horizontal="center"/>
    </xf>
    <xf numFmtId="0" fontId="1" fillId="26" borderId="0" xfId="0" applyFont="1" applyFill="1" applyAlignment="1">
      <alignment horizontal="center"/>
    </xf>
    <xf numFmtId="0" fontId="1" fillId="16" borderId="0" xfId="0" applyFont="1" applyFill="1" applyAlignment="1">
      <alignment horizontal="center"/>
    </xf>
    <xf numFmtId="0" fontId="1" fillId="24" borderId="0" xfId="0" applyFont="1" applyFill="1" applyAlignment="1">
      <alignment horizontal="center"/>
    </xf>
    <xf numFmtId="0" fontId="0" fillId="0" borderId="0" xfId="0" applyAlignment="1">
      <alignment wrapText="1"/>
    </xf>
    <xf numFmtId="0" fontId="1" fillId="6" borderId="0" xfId="0" applyFont="1" applyFill="1" applyAlignment="1">
      <alignment horizontal="center" wrapText="1"/>
    </xf>
    <xf numFmtId="0" fontId="1" fillId="0" borderId="0" xfId="0" applyFont="1" applyFill="1" applyAlignment="1">
      <alignment horizontal="center"/>
    </xf>
    <xf numFmtId="0" fontId="1" fillId="0" borderId="0" xfId="0" applyFont="1" applyFill="1" applyAlignment="1">
      <alignment horizontal="center" wrapText="1"/>
    </xf>
  </cellXfs>
  <cellStyles count="3">
    <cellStyle name="Comma 2" xfId="2"/>
    <cellStyle name="Comma 2_Book1" xfId="1"/>
    <cellStyle name="Normal" xfId="0" builtinId="0"/>
  </cellStyles>
  <dxfs count="250">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6" tint="0.5999938962981048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6" tint="0.5999938962981048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6" tint="0.5999938962981048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6" tint="0.5999938962981048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6" tint="0.5999938962981048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74872288971621"/>
          <c:y val="0.15416327392920837"/>
          <c:w val="0.75796595312902382"/>
          <c:h val="0.7290821711903277"/>
        </c:manualLayout>
      </c:layout>
      <c:scatterChart>
        <c:scatterStyle val="smoothMarker"/>
        <c:varyColors val="0"/>
        <c:ser>
          <c:idx val="0"/>
          <c:order val="0"/>
          <c:tx>
            <c:v>Petrol</c:v>
          </c:tx>
          <c:marker>
            <c:symbol val="none"/>
          </c:marker>
          <c:xVal>
            <c:numRef>
              <c:f>BAU!$AB$13:$AB$33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BAU!$AJ$13:$AJ$33</c:f>
              <c:numCache>
                <c:formatCode>#,##0</c:formatCode>
                <c:ptCount val="21"/>
                <c:pt idx="0">
                  <c:v>115266</c:v>
                </c:pt>
                <c:pt idx="1">
                  <c:v>117370</c:v>
                </c:pt>
                <c:pt idx="2">
                  <c:v>123352</c:v>
                </c:pt>
                <c:pt idx="3">
                  <c:v>128928</c:v>
                </c:pt>
                <c:pt idx="4">
                  <c:v>137244</c:v>
                </c:pt>
                <c:pt idx="5">
                  <c:v>142462.14791212504</c:v>
                </c:pt>
                <c:pt idx="6">
                  <c:v>143890.6023551439</c:v>
                </c:pt>
                <c:pt idx="7">
                  <c:v>145509.89011837984</c:v>
                </c:pt>
                <c:pt idx="8">
                  <c:v>147071.75096610308</c:v>
                </c:pt>
                <c:pt idx="9">
                  <c:v>148575.10286594226</c:v>
                </c:pt>
                <c:pt idx="10">
                  <c:v>149889.42834767423</c:v>
                </c:pt>
                <c:pt idx="11">
                  <c:v>151137.14326312361</c:v>
                </c:pt>
                <c:pt idx="12">
                  <c:v>152318.3491217999</c:v>
                </c:pt>
                <c:pt idx="13">
                  <c:v>153433.52069460863</c:v>
                </c:pt>
                <c:pt idx="14">
                  <c:v>154483.50493681658</c:v>
                </c:pt>
                <c:pt idx="15">
                  <c:v>155258.26616019005</c:v>
                </c:pt>
                <c:pt idx="16">
                  <c:v>155961.82800880761</c:v>
                </c:pt>
                <c:pt idx="17">
                  <c:v>156596.68025189335</c:v>
                </c:pt>
                <c:pt idx="18">
                  <c:v>157165.67948500029</c:v>
                </c:pt>
                <c:pt idx="19">
                  <c:v>157672.01729439918</c:v>
                </c:pt>
                <c:pt idx="20">
                  <c:v>158119.18367629295</c:v>
                </c:pt>
              </c:numCache>
            </c:numRef>
          </c:yVal>
          <c:smooth val="1"/>
        </c:ser>
        <c:ser>
          <c:idx val="1"/>
          <c:order val="1"/>
          <c:tx>
            <c:v>Diesel</c:v>
          </c:tx>
          <c:marker>
            <c:symbol val="none"/>
          </c:marker>
          <c:xVal>
            <c:numRef>
              <c:f>BAU!$AB$13:$AB$33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BAU!$AO$13:$AO$33</c:f>
              <c:numCache>
                <c:formatCode>#,##0</c:formatCode>
                <c:ptCount val="21"/>
                <c:pt idx="0">
                  <c:v>143476.18453368664</c:v>
                </c:pt>
                <c:pt idx="1">
                  <c:v>148831.16130577636</c:v>
                </c:pt>
                <c:pt idx="2">
                  <c:v>155005.10278164264</c:v>
                </c:pt>
                <c:pt idx="3">
                  <c:v>158784.06423508227</c:v>
                </c:pt>
                <c:pt idx="4">
                  <c:v>163233.8049958382</c:v>
                </c:pt>
                <c:pt idx="5">
                  <c:v>165809.46791086326</c:v>
                </c:pt>
                <c:pt idx="6">
                  <c:v>167953.80128073459</c:v>
                </c:pt>
                <c:pt idx="7">
                  <c:v>172422.2989223965</c:v>
                </c:pt>
                <c:pt idx="8">
                  <c:v>177000.36178239781</c:v>
                </c:pt>
                <c:pt idx="9">
                  <c:v>181692.71062457754</c:v>
                </c:pt>
                <c:pt idx="10">
                  <c:v>186439.79126419281</c:v>
                </c:pt>
                <c:pt idx="11">
                  <c:v>191308.20008906059</c:v>
                </c:pt>
                <c:pt idx="12">
                  <c:v>196303.88113190973</c:v>
                </c:pt>
                <c:pt idx="13">
                  <c:v>201433.19141498307</c:v>
                </c:pt>
                <c:pt idx="14">
                  <c:v>206702.90891341644</c:v>
                </c:pt>
                <c:pt idx="15">
                  <c:v>212014.80398631771</c:v>
                </c:pt>
                <c:pt idx="16">
                  <c:v>217477.49183456175</c:v>
                </c:pt>
                <c:pt idx="17">
                  <c:v>223099.334210706</c:v>
                </c:pt>
                <c:pt idx="18">
                  <c:v>228889.14850052574</c:v>
                </c:pt>
                <c:pt idx="19">
                  <c:v>234856.20185040613</c:v>
                </c:pt>
                <c:pt idx="20">
                  <c:v>241010.20328075896</c:v>
                </c:pt>
              </c:numCache>
            </c:numRef>
          </c:yVal>
          <c:smooth val="1"/>
        </c:ser>
        <c:ser>
          <c:idx val="2"/>
          <c:order val="2"/>
          <c:tx>
            <c:v>LPG (x10)</c:v>
          </c:tx>
          <c:marker>
            <c:symbol val="none"/>
          </c:marker>
          <c:xVal>
            <c:numRef>
              <c:f>BAU!$AB$13:$AB$33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BAU!$AU$13:$AU$33</c:f>
              <c:numCache>
                <c:formatCode>#,##0</c:formatCode>
                <c:ptCount val="21"/>
                <c:pt idx="0">
                  <c:v>46410</c:v>
                </c:pt>
                <c:pt idx="1">
                  <c:v>45020.000000000007</c:v>
                </c:pt>
                <c:pt idx="2">
                  <c:v>43630</c:v>
                </c:pt>
                <c:pt idx="3">
                  <c:v>40680</c:v>
                </c:pt>
                <c:pt idx="4">
                  <c:v>37440</c:v>
                </c:pt>
                <c:pt idx="5">
                  <c:v>31900</c:v>
                </c:pt>
                <c:pt idx="6">
                  <c:v>29701.58786385112</c:v>
                </c:pt>
                <c:pt idx="7">
                  <c:v>27710.825229187558</c:v>
                </c:pt>
                <c:pt idx="8">
                  <c:v>25861.861242658422</c:v>
                </c:pt>
                <c:pt idx="9">
                  <c:v>24144.569979938526</c:v>
                </c:pt>
                <c:pt idx="10">
                  <c:v>22548.212950316843</c:v>
                </c:pt>
                <c:pt idx="11">
                  <c:v>21065.3186568735</c:v>
                </c:pt>
                <c:pt idx="12">
                  <c:v>19687.777871388997</c:v>
                </c:pt>
                <c:pt idx="13">
                  <c:v>18408.060809735798</c:v>
                </c:pt>
                <c:pt idx="14">
                  <c:v>17219.176244225266</c:v>
                </c:pt>
                <c:pt idx="15">
                  <c:v>16112.462024812541</c:v>
                </c:pt>
                <c:pt idx="16">
                  <c:v>15083.973648040686</c:v>
                </c:pt>
                <c:pt idx="17">
                  <c:v>14128.123707727811</c:v>
                </c:pt>
                <c:pt idx="18">
                  <c:v>13239.726823536103</c:v>
                </c:pt>
                <c:pt idx="19">
                  <c:v>12413.971027506448</c:v>
                </c:pt>
                <c:pt idx="20">
                  <c:v>11646.391109772412</c:v>
                </c:pt>
              </c:numCache>
            </c:numRef>
          </c:yVal>
          <c:smooth val="1"/>
        </c:ser>
        <c:ser>
          <c:idx val="3"/>
          <c:order val="3"/>
          <c:tx>
            <c:v>Total fuel consumption</c:v>
          </c:tx>
          <c:marker>
            <c:symbol val="none"/>
          </c:marker>
          <c:xVal>
            <c:numRef>
              <c:f>BAU!$AB$13:$AB$33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BAU!$AX$13:$AX$34</c:f>
              <c:numCache>
                <c:formatCode>#,##0</c:formatCode>
                <c:ptCount val="22"/>
                <c:pt idx="0">
                  <c:v>263383.18453368661</c:v>
                </c:pt>
                <c:pt idx="1">
                  <c:v>270703.16130577633</c:v>
                </c:pt>
                <c:pt idx="2">
                  <c:v>282720.10278164264</c:v>
                </c:pt>
                <c:pt idx="3">
                  <c:v>291780.06423508225</c:v>
                </c:pt>
                <c:pt idx="4">
                  <c:v>304221.8049958382</c:v>
                </c:pt>
                <c:pt idx="5">
                  <c:v>311461.61582298833</c:v>
                </c:pt>
                <c:pt idx="6">
                  <c:v>314814.56242226361</c:v>
                </c:pt>
                <c:pt idx="7">
                  <c:v>320703.2715636951</c:v>
                </c:pt>
                <c:pt idx="8">
                  <c:v>326658.29887276673</c:v>
                </c:pt>
                <c:pt idx="9">
                  <c:v>332682.27048851363</c:v>
                </c:pt>
                <c:pt idx="10">
                  <c:v>338584.04090689874</c:v>
                </c:pt>
                <c:pt idx="11">
                  <c:v>344551.87521787151</c:v>
                </c:pt>
                <c:pt idx="12">
                  <c:v>350591.00804084854</c:v>
                </c:pt>
                <c:pt idx="13">
                  <c:v>356707.51819056529</c:v>
                </c:pt>
                <c:pt idx="14">
                  <c:v>362908.33147465554</c:v>
                </c:pt>
                <c:pt idx="15">
                  <c:v>368884.31634898903</c:v>
                </c:pt>
                <c:pt idx="16">
                  <c:v>374947.71720817342</c:v>
                </c:pt>
                <c:pt idx="17">
                  <c:v>381108.82683337212</c:v>
                </c:pt>
                <c:pt idx="18">
                  <c:v>387378.80066787964</c:v>
                </c:pt>
                <c:pt idx="19">
                  <c:v>393769.61624755594</c:v>
                </c:pt>
                <c:pt idx="20">
                  <c:v>400294.02606802911</c:v>
                </c:pt>
                <c:pt idx="21">
                  <c:v>405454.86303349416</c:v>
                </c:pt>
              </c:numCache>
            </c:numRef>
          </c:yVal>
          <c:smooth val="1"/>
        </c:ser>
        <c:dLbls>
          <c:showLegendKey val="0"/>
          <c:showVal val="0"/>
          <c:showCatName val="0"/>
          <c:showSerName val="0"/>
          <c:showPercent val="0"/>
          <c:showBubbleSize val="0"/>
        </c:dLbls>
        <c:axId val="104888192"/>
        <c:axId val="104902656"/>
      </c:scatterChart>
      <c:valAx>
        <c:axId val="104888192"/>
        <c:scaling>
          <c:orientation val="minMax"/>
        </c:scaling>
        <c:delete val="0"/>
        <c:axPos val="b"/>
        <c:title>
          <c:tx>
            <c:rich>
              <a:bodyPr/>
              <a:lstStyle/>
              <a:p>
                <a:pPr>
                  <a:defRPr sz="1800"/>
                </a:pPr>
                <a:r>
                  <a:rPr lang="en-US" sz="1800"/>
                  <a:t>Year</a:t>
                </a:r>
              </a:p>
            </c:rich>
          </c:tx>
          <c:layout/>
          <c:overlay val="0"/>
        </c:title>
        <c:numFmt formatCode="General" sourceLinked="1"/>
        <c:majorTickMark val="none"/>
        <c:minorTickMark val="none"/>
        <c:tickLblPos val="nextTo"/>
        <c:txPr>
          <a:bodyPr/>
          <a:lstStyle/>
          <a:p>
            <a:pPr>
              <a:defRPr sz="1400"/>
            </a:pPr>
            <a:endParaRPr lang="fr-FR"/>
          </a:p>
        </c:txPr>
        <c:crossAx val="104902656"/>
        <c:crosses val="autoZero"/>
        <c:crossBetween val="midCat"/>
      </c:valAx>
      <c:valAx>
        <c:axId val="104902656"/>
        <c:scaling>
          <c:orientation val="minMax"/>
        </c:scaling>
        <c:delete val="0"/>
        <c:axPos val="l"/>
        <c:majorGridlines/>
        <c:title>
          <c:tx>
            <c:rich>
              <a:bodyPr/>
              <a:lstStyle/>
              <a:p>
                <a:pPr>
                  <a:defRPr sz="1800"/>
                </a:pPr>
                <a:r>
                  <a:rPr lang="en-US" sz="1800"/>
                  <a:t>Projected road transport fuel consumption (tonne)</a:t>
                </a:r>
              </a:p>
            </c:rich>
          </c:tx>
          <c:layout/>
          <c:overlay val="0"/>
        </c:title>
        <c:numFmt formatCode="#,##0" sourceLinked="1"/>
        <c:majorTickMark val="none"/>
        <c:minorTickMark val="none"/>
        <c:tickLblPos val="nextTo"/>
        <c:txPr>
          <a:bodyPr/>
          <a:lstStyle/>
          <a:p>
            <a:pPr>
              <a:defRPr sz="1400"/>
            </a:pPr>
            <a:endParaRPr lang="fr-FR"/>
          </a:p>
        </c:txPr>
        <c:crossAx val="104888192"/>
        <c:crosses val="autoZero"/>
        <c:crossBetween val="midCat"/>
      </c:valAx>
      <c:spPr>
        <a:noFill/>
        <a:ln w="25400">
          <a:noFill/>
        </a:ln>
      </c:spPr>
    </c:plotArea>
    <c:legend>
      <c:legendPos val="r"/>
      <c:layout>
        <c:manualLayout>
          <c:xMode val="edge"/>
          <c:yMode val="edge"/>
          <c:x val="0.20586228191772371"/>
          <c:y val="0.14491985719796621"/>
          <c:w val="0.29847773369071534"/>
          <c:h val="0.23139526125088714"/>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52780597547257"/>
          <c:y val="8.6817242976174047E-2"/>
          <c:w val="0.72702499408902144"/>
          <c:h val="0.73444808982210552"/>
        </c:manualLayout>
      </c:layout>
      <c:scatterChart>
        <c:scatterStyle val="smoothMarker"/>
        <c:varyColors val="0"/>
        <c:ser>
          <c:idx val="0"/>
          <c:order val="0"/>
          <c:tx>
            <c:v>BAU</c:v>
          </c:tx>
          <c:spPr>
            <a:ln w="19050"/>
          </c:spPr>
          <c:marker>
            <c:symbol val="none"/>
          </c:marker>
          <c:xVal>
            <c:numRef>
              <c:f>BAU!$BB$13:$BB$53</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BAU!$BP$13:$BP$53</c:f>
              <c:numCache>
                <c:formatCode>#,##0</c:formatCode>
                <c:ptCount val="41"/>
                <c:pt idx="0">
                  <c:v>850.89408958042145</c:v>
                </c:pt>
                <c:pt idx="1">
                  <c:v>874.59807252199778</c:v>
                </c:pt>
                <c:pt idx="2">
                  <c:v>913.32319664637953</c:v>
                </c:pt>
                <c:pt idx="3">
                  <c:v>942.41354365573159</c:v>
                </c:pt>
                <c:pt idx="4">
                  <c:v>982.31977677473276</c:v>
                </c:pt>
                <c:pt idx="5">
                  <c:v>1005.4692935252219</c:v>
                </c:pt>
                <c:pt idx="6">
                  <c:v>1016.2724833467548</c:v>
                </c:pt>
                <c:pt idx="7">
                  <c:v>1035.3374108276689</c:v>
                </c:pt>
                <c:pt idx="8">
                  <c:v>1054.6248894158423</c:v>
                </c:pt>
                <c:pt idx="9">
                  <c:v>1074.1434574027248</c:v>
                </c:pt>
                <c:pt idx="10">
                  <c:v>1093.2795481669477</c:v>
                </c:pt>
                <c:pt idx="11">
                  <c:v>1112.6377583663755</c:v>
                </c:pt>
                <c:pt idx="12">
                  <c:v>1132.2350678961022</c:v>
                </c:pt>
                <c:pt idx="13">
                  <c:v>1152.0911885781989</c:v>
                </c:pt>
                <c:pt idx="14">
                  <c:v>1172.2285729059925</c:v>
                </c:pt>
                <c:pt idx="15">
                  <c:v>1191.6549431447834</c:v>
                </c:pt>
                <c:pt idx="16">
                  <c:v>1211.3730632831184</c:v>
                </c:pt>
                <c:pt idx="17">
                  <c:v>1231.4162592348935</c:v>
                </c:pt>
                <c:pt idx="18">
                  <c:v>1251.8206475702009</c:v>
                </c:pt>
                <c:pt idx="19">
                  <c:v>1272.6250053125793</c:v>
                </c:pt>
                <c:pt idx="20">
                  <c:v>1293.8706187161317</c:v>
                </c:pt>
                <c:pt idx="21">
                  <c:v>1310.6830400793838</c:v>
                </c:pt>
                <c:pt idx="22">
                  <c:v>1327.8218638600988</c:v>
                </c:pt>
                <c:pt idx="23">
                  <c:v>1345.3106003816206</c:v>
                </c:pt>
                <c:pt idx="24">
                  <c:v>1356.0805573116463</c:v>
                </c:pt>
                <c:pt idx="25">
                  <c:v>1372.8476771275512</c:v>
                </c:pt>
                <c:pt idx="26">
                  <c:v>1390.0208196924179</c:v>
                </c:pt>
                <c:pt idx="27">
                  <c:v>1407.6288883518478</c:v>
                </c:pt>
                <c:pt idx="28">
                  <c:v>1425.7011587681343</c:v>
                </c:pt>
                <c:pt idx="29">
                  <c:v>1436.3636522934555</c:v>
                </c:pt>
                <c:pt idx="30">
                  <c:v>1452.6046597234347</c:v>
                </c:pt>
                <c:pt idx="31">
                  <c:v>1469.3755213003456</c:v>
                </c:pt>
                <c:pt idx="32">
                  <c:v>1486.7109170364206</c:v>
                </c:pt>
                <c:pt idx="33">
                  <c:v>1504.6450980131822</c:v>
                </c:pt>
                <c:pt idx="34">
                  <c:v>1523.2118331792799</c:v>
                </c:pt>
                <c:pt idx="35">
                  <c:v>1541.6887724656049</c:v>
                </c:pt>
                <c:pt idx="36">
                  <c:v>1560.860563721257</c:v>
                </c:pt>
                <c:pt idx="37">
                  <c:v>1580.7603792246227</c:v>
                </c:pt>
                <c:pt idx="38">
                  <c:v>1601.4207916731229</c:v>
                </c:pt>
                <c:pt idx="39">
                  <c:v>1622.8738439290084</c:v>
                </c:pt>
                <c:pt idx="40">
                  <c:v>1644.8515251804529</c:v>
                </c:pt>
              </c:numCache>
            </c:numRef>
          </c:yVal>
          <c:smooth val="1"/>
        </c:ser>
        <c:ser>
          <c:idx val="1"/>
          <c:order val="1"/>
          <c:tx>
            <c:v>Improved Fuel Intensity</c:v>
          </c:tx>
          <c:spPr>
            <a:ln w="19050"/>
          </c:spPr>
          <c:marker>
            <c:symbol val="none"/>
          </c:marker>
          <c:xVal>
            <c:numRef>
              <c:f>BAU!$BB$13:$BB$53</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BAU!$BR$13:$BR$53</c:f>
              <c:numCache>
                <c:formatCode>#,##0.000</c:formatCode>
                <c:ptCount val="41"/>
                <c:pt idx="0">
                  <c:v>850.89408958042145</c:v>
                </c:pt>
                <c:pt idx="1">
                  <c:v>874.59807252199778</c:v>
                </c:pt>
                <c:pt idx="2">
                  <c:v>913.32319664637953</c:v>
                </c:pt>
                <c:pt idx="3">
                  <c:v>942.41354365573159</c:v>
                </c:pt>
                <c:pt idx="4">
                  <c:v>982.31977677473276</c:v>
                </c:pt>
                <c:pt idx="5">
                  <c:v>1005.4692935252219</c:v>
                </c:pt>
                <c:pt idx="6">
                  <c:v>1006.1097585132869</c:v>
                </c:pt>
                <c:pt idx="7">
                  <c:v>1024.9840367193922</c:v>
                </c:pt>
                <c:pt idx="8">
                  <c:v>1044.0786405216838</c:v>
                </c:pt>
                <c:pt idx="9">
                  <c:v>1063.4020228286975</c:v>
                </c:pt>
                <c:pt idx="10">
                  <c:v>1082.3467526852783</c:v>
                </c:pt>
                <c:pt idx="11">
                  <c:v>1095.9481919908796</c:v>
                </c:pt>
                <c:pt idx="12">
                  <c:v>1115.2515418776607</c:v>
                </c:pt>
                <c:pt idx="13">
                  <c:v>1134.8098207495259</c:v>
                </c:pt>
                <c:pt idx="14">
                  <c:v>1154.6451443124026</c:v>
                </c:pt>
                <c:pt idx="15">
                  <c:v>1173.7801189976119</c:v>
                </c:pt>
                <c:pt idx="16">
                  <c:v>1193.2024673338715</c:v>
                </c:pt>
                <c:pt idx="17">
                  <c:v>1212.9450153463699</c:v>
                </c:pt>
                <c:pt idx="18">
                  <c:v>1233.0433378566481</c:v>
                </c:pt>
                <c:pt idx="19">
                  <c:v>1253.5356302328908</c:v>
                </c:pt>
                <c:pt idx="20">
                  <c:v>1274.4625594353899</c:v>
                </c:pt>
                <c:pt idx="21">
                  <c:v>1291.0227944781934</c:v>
                </c:pt>
                <c:pt idx="22">
                  <c:v>1307.9045359021973</c:v>
                </c:pt>
                <c:pt idx="23">
                  <c:v>1325.1309413758966</c:v>
                </c:pt>
                <c:pt idx="24">
                  <c:v>1335.7393489519714</c:v>
                </c:pt>
                <c:pt idx="25">
                  <c:v>1352.2549619706381</c:v>
                </c:pt>
                <c:pt idx="26">
                  <c:v>1369.1705073970318</c:v>
                </c:pt>
                <c:pt idx="27">
                  <c:v>1386.5144550265704</c:v>
                </c:pt>
                <c:pt idx="28">
                  <c:v>1404.3156413866122</c:v>
                </c:pt>
                <c:pt idx="29">
                  <c:v>1414.8181975090538</c:v>
                </c:pt>
                <c:pt idx="30">
                  <c:v>1430.8155898275834</c:v>
                </c:pt>
                <c:pt idx="31">
                  <c:v>1447.3348884808404</c:v>
                </c:pt>
                <c:pt idx="32">
                  <c:v>1464.4102532808745</c:v>
                </c:pt>
                <c:pt idx="33">
                  <c:v>1482.0754215429843</c:v>
                </c:pt>
                <c:pt idx="34">
                  <c:v>1500.3636556815909</c:v>
                </c:pt>
                <c:pt idx="35">
                  <c:v>1518.5634408786204</c:v>
                </c:pt>
                <c:pt idx="36">
                  <c:v>1537.447655265438</c:v>
                </c:pt>
                <c:pt idx="37">
                  <c:v>1557.0489735362535</c:v>
                </c:pt>
                <c:pt idx="38">
                  <c:v>1577.3994797980263</c:v>
                </c:pt>
                <c:pt idx="39">
                  <c:v>1598.5307362700737</c:v>
                </c:pt>
                <c:pt idx="40">
                  <c:v>1620.178752302746</c:v>
                </c:pt>
              </c:numCache>
            </c:numRef>
          </c:yVal>
          <c:smooth val="1"/>
        </c:ser>
        <c:ser>
          <c:idx val="2"/>
          <c:order val="2"/>
          <c:tx>
            <c:v>Improved Vehicle Inspection</c:v>
          </c:tx>
          <c:spPr>
            <a:ln w="19050"/>
          </c:spPr>
          <c:marker>
            <c:symbol val="none"/>
          </c:marker>
          <c:xVal>
            <c:numRef>
              <c:f>BAU!$BB$13:$BB$53</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BAU!$BS$13:$BS$53</c:f>
              <c:numCache>
                <c:formatCode>#,##0.000</c:formatCode>
                <c:ptCount val="41"/>
                <c:pt idx="0">
                  <c:v>850.89408958042145</c:v>
                </c:pt>
                <c:pt idx="1">
                  <c:v>874.59807252199778</c:v>
                </c:pt>
                <c:pt idx="2">
                  <c:v>913.32319664637953</c:v>
                </c:pt>
                <c:pt idx="3">
                  <c:v>942.41354365573159</c:v>
                </c:pt>
                <c:pt idx="4">
                  <c:v>982.31977677473276</c:v>
                </c:pt>
                <c:pt idx="5">
                  <c:v>1005.4692935252219</c:v>
                </c:pt>
                <c:pt idx="6">
                  <c:v>1016.2724833467548</c:v>
                </c:pt>
                <c:pt idx="7">
                  <c:v>1035.3374108276689</c:v>
                </c:pt>
                <c:pt idx="8">
                  <c:v>1028.4776603263094</c:v>
                </c:pt>
                <c:pt idx="9">
                  <c:v>1020.8440671391032</c:v>
                </c:pt>
                <c:pt idx="10">
                  <c:v>1038.9963921630306</c:v>
                </c:pt>
                <c:pt idx="11">
                  <c:v>1057.3616469458818</c:v>
                </c:pt>
                <c:pt idx="12">
                  <c:v>1075.9558254295741</c:v>
                </c:pt>
                <c:pt idx="13">
                  <c:v>1094.7975266730018</c:v>
                </c:pt>
                <c:pt idx="14">
                  <c:v>1113.9079624685442</c:v>
                </c:pt>
                <c:pt idx="15">
                  <c:v>1132.3443226714037</c:v>
                </c:pt>
                <c:pt idx="16">
                  <c:v>1151.0591664511694</c:v>
                </c:pt>
                <c:pt idx="17">
                  <c:v>1170.0840590591908</c:v>
                </c:pt>
                <c:pt idx="18">
                  <c:v>1189.453223660101</c:v>
                </c:pt>
                <c:pt idx="19">
                  <c:v>1209.2034171559462</c:v>
                </c:pt>
                <c:pt idx="20">
                  <c:v>1229.373786074276</c:v>
                </c:pt>
                <c:pt idx="21">
                  <c:v>1245.3335177974736</c:v>
                </c:pt>
                <c:pt idx="22">
                  <c:v>1261.604182943584</c:v>
                </c:pt>
                <c:pt idx="23">
                  <c:v>1278.2080557569147</c:v>
                </c:pt>
                <c:pt idx="24">
                  <c:v>1288.429566800083</c:v>
                </c:pt>
                <c:pt idx="25">
                  <c:v>1304.3492663670886</c:v>
                </c:pt>
                <c:pt idx="26">
                  <c:v>1320.6553205295259</c:v>
                </c:pt>
                <c:pt idx="27">
                  <c:v>1337.3751425602468</c:v>
                </c:pt>
                <c:pt idx="28">
                  <c:v>1354.5365026471718</c:v>
                </c:pt>
                <c:pt idx="29">
                  <c:v>1364.6587977283709</c:v>
                </c:pt>
                <c:pt idx="30">
                  <c:v>1380.0813348133943</c:v>
                </c:pt>
                <c:pt idx="31">
                  <c:v>1396.0076708504994</c:v>
                </c:pt>
                <c:pt idx="32">
                  <c:v>1412.4707210227782</c:v>
                </c:pt>
                <c:pt idx="33">
                  <c:v>1429.5029952201551</c:v>
                </c:pt>
                <c:pt idx="34">
                  <c:v>1447.1365473366513</c:v>
                </c:pt>
                <c:pt idx="35">
                  <c:v>1464.6850928719396</c:v>
                </c:pt>
                <c:pt idx="36">
                  <c:v>1482.8940513780465</c:v>
                </c:pt>
                <c:pt idx="37">
                  <c:v>1501.7949151891951</c:v>
                </c:pt>
                <c:pt idx="38">
                  <c:v>1521.4186085331007</c:v>
                </c:pt>
                <c:pt idx="39">
                  <c:v>1541.7955536818156</c:v>
                </c:pt>
                <c:pt idx="40">
                  <c:v>1562.6711124169865</c:v>
                </c:pt>
              </c:numCache>
            </c:numRef>
          </c:yVal>
          <c:smooth val="1"/>
        </c:ser>
        <c:ser>
          <c:idx val="3"/>
          <c:order val="3"/>
          <c:tx>
            <c:v>Low-carbon Options</c:v>
          </c:tx>
          <c:spPr>
            <a:ln w="19050"/>
          </c:spPr>
          <c:marker>
            <c:symbol val="none"/>
          </c:marker>
          <c:xVal>
            <c:numRef>
              <c:f>BAU!$BB$13:$BB$53</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BAU!$BT$13:$BT$53</c:f>
              <c:numCache>
                <c:formatCode>#,##0.000</c:formatCode>
                <c:ptCount val="41"/>
                <c:pt idx="0">
                  <c:v>850.89408958042145</c:v>
                </c:pt>
                <c:pt idx="1">
                  <c:v>874.59807252199778</c:v>
                </c:pt>
                <c:pt idx="2">
                  <c:v>913.32319664637953</c:v>
                </c:pt>
                <c:pt idx="3">
                  <c:v>942.41354365573159</c:v>
                </c:pt>
                <c:pt idx="4">
                  <c:v>982.31977677473276</c:v>
                </c:pt>
                <c:pt idx="5">
                  <c:v>1005.4692935252219</c:v>
                </c:pt>
                <c:pt idx="6">
                  <c:v>1015.9016850454277</c:v>
                </c:pt>
                <c:pt idx="7">
                  <c:v>1034.5879236008068</c:v>
                </c:pt>
                <c:pt idx="8">
                  <c:v>1053.4893133429252</c:v>
                </c:pt>
                <c:pt idx="9">
                  <c:v>1072.6148965321679</c:v>
                </c:pt>
                <c:pt idx="10">
                  <c:v>1084.5404460085256</c:v>
                </c:pt>
                <c:pt idx="11">
                  <c:v>1101.1167463331853</c:v>
                </c:pt>
                <c:pt idx="12">
                  <c:v>1117.9133712299149</c:v>
                </c:pt>
                <c:pt idx="13">
                  <c:v>1134.9520783401972</c:v>
                </c:pt>
                <c:pt idx="14">
                  <c:v>1152.2573369749803</c:v>
                </c:pt>
                <c:pt idx="15">
                  <c:v>1168.8517003528955</c:v>
                </c:pt>
                <c:pt idx="16">
                  <c:v>1184.763167722278</c:v>
                </c:pt>
                <c:pt idx="17">
                  <c:v>1200.9897092567501</c:v>
                </c:pt>
                <c:pt idx="18">
                  <c:v>1217.5707534679345</c:v>
                </c:pt>
                <c:pt idx="19">
                  <c:v>1234.5481823765761</c:v>
                </c:pt>
                <c:pt idx="20">
                  <c:v>1251.9661595346565</c:v>
                </c:pt>
                <c:pt idx="21">
                  <c:v>1263.4918854629136</c:v>
                </c:pt>
                <c:pt idx="22">
                  <c:v>1275.3471283917061</c:v>
                </c:pt>
                <c:pt idx="23">
                  <c:v>1287.5579697440016</c:v>
                </c:pt>
                <c:pt idx="24">
                  <c:v>1293.4156958370438</c:v>
                </c:pt>
                <c:pt idx="25">
                  <c:v>1305.044113658048</c:v>
                </c:pt>
                <c:pt idx="26">
                  <c:v>1315.5598045030515</c:v>
                </c:pt>
                <c:pt idx="27">
                  <c:v>1326.5581769120124</c:v>
                </c:pt>
                <c:pt idx="28">
                  <c:v>1338.0717677648786</c:v>
                </c:pt>
                <c:pt idx="29">
                  <c:v>1342.9645178411954</c:v>
                </c:pt>
                <c:pt idx="30">
                  <c:v>1353.1220430646003</c:v>
                </c:pt>
                <c:pt idx="31">
                  <c:v>1362.0631793509153</c:v>
                </c:pt>
                <c:pt idx="32">
                  <c:v>1371.7141458981521</c:v>
                </c:pt>
                <c:pt idx="33">
                  <c:v>1382.1112529695267</c:v>
                </c:pt>
                <c:pt idx="34">
                  <c:v>1393.2897951847297</c:v>
                </c:pt>
                <c:pt idx="35">
                  <c:v>1404.6510492816778</c:v>
                </c:pt>
                <c:pt idx="36">
                  <c:v>1414.8699117904978</c:v>
                </c:pt>
                <c:pt idx="37">
                  <c:v>1426.0266979972164</c:v>
                </c:pt>
                <c:pt idx="38">
                  <c:v>1438.1544472855901</c:v>
                </c:pt>
                <c:pt idx="39">
                  <c:v>1451.2853716050588</c:v>
                </c:pt>
                <c:pt idx="40">
                  <c:v>1465.2224303104415</c:v>
                </c:pt>
              </c:numCache>
            </c:numRef>
          </c:yVal>
          <c:smooth val="1"/>
        </c:ser>
        <c:ser>
          <c:idx val="4"/>
          <c:order val="4"/>
          <c:tx>
            <c:v>Light Rail System</c:v>
          </c:tx>
          <c:spPr>
            <a:ln w="22225">
              <a:solidFill>
                <a:schemeClr val="tx1"/>
              </a:solidFill>
            </a:ln>
          </c:spPr>
          <c:marker>
            <c:symbol val="none"/>
          </c:marker>
          <c:xVal>
            <c:numRef>
              <c:f>BAU!$BL$13:$BL$53</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BAU!$BU$13:$BU$53</c:f>
              <c:numCache>
                <c:formatCode>#,##0.000</c:formatCode>
                <c:ptCount val="41"/>
                <c:pt idx="0">
                  <c:v>850.89408958042145</c:v>
                </c:pt>
                <c:pt idx="1">
                  <c:v>874.59807252199778</c:v>
                </c:pt>
                <c:pt idx="2">
                  <c:v>913.32319664637953</c:v>
                </c:pt>
                <c:pt idx="3">
                  <c:v>942.41354365573159</c:v>
                </c:pt>
                <c:pt idx="4">
                  <c:v>982.31977677473276</c:v>
                </c:pt>
                <c:pt idx="5">
                  <c:v>1005.4692935252219</c:v>
                </c:pt>
                <c:pt idx="6">
                  <c:v>1016.2724833467548</c:v>
                </c:pt>
                <c:pt idx="7">
                  <c:v>1035.3374108276689</c:v>
                </c:pt>
                <c:pt idx="8">
                  <c:v>1029.1465403325772</c:v>
                </c:pt>
                <c:pt idx="9">
                  <c:v>1048.6762521483056</c:v>
                </c:pt>
                <c:pt idx="10">
                  <c:v>1067.8234867413753</c:v>
                </c:pt>
                <c:pt idx="11">
                  <c:v>1087.1928407696496</c:v>
                </c:pt>
                <c:pt idx="12">
                  <c:v>1106.8012941282225</c:v>
                </c:pt>
                <c:pt idx="13">
                  <c:v>1126.6685586391659</c:v>
                </c:pt>
                <c:pt idx="14">
                  <c:v>1146.8170867958058</c:v>
                </c:pt>
                <c:pt idx="15">
                  <c:v>1166.2546008634436</c:v>
                </c:pt>
                <c:pt idx="16">
                  <c:v>1185.9838648306247</c:v>
                </c:pt>
                <c:pt idx="17">
                  <c:v>1206.0382046112463</c:v>
                </c:pt>
                <c:pt idx="18">
                  <c:v>1226.4537367754003</c:v>
                </c:pt>
                <c:pt idx="19">
                  <c:v>1247.0937815574046</c:v>
                </c:pt>
                <c:pt idx="20">
                  <c:v>1268.1750820005832</c:v>
                </c:pt>
                <c:pt idx="21">
                  <c:v>1284.8231904034615</c:v>
                </c:pt>
                <c:pt idx="22">
                  <c:v>1301.7977012238025</c:v>
                </c:pt>
                <c:pt idx="23">
                  <c:v>1319.1221247849505</c:v>
                </c:pt>
                <c:pt idx="24">
                  <c:v>1329.727768754602</c:v>
                </c:pt>
                <c:pt idx="25">
                  <c:v>1346.3305756101331</c:v>
                </c:pt>
                <c:pt idx="26">
                  <c:v>1363.3394052146261</c:v>
                </c:pt>
                <c:pt idx="27">
                  <c:v>1380.783160913682</c:v>
                </c:pt>
                <c:pt idx="28">
                  <c:v>1398.6911183695945</c:v>
                </c:pt>
                <c:pt idx="29">
                  <c:v>1409.3536118949157</c:v>
                </c:pt>
                <c:pt idx="30">
                  <c:v>1425.5946193248949</c:v>
                </c:pt>
                <c:pt idx="31">
                  <c:v>1442.3654809018062</c:v>
                </c:pt>
                <c:pt idx="32">
                  <c:v>1459.700876637881</c:v>
                </c:pt>
                <c:pt idx="33">
                  <c:v>1477.6350576146424</c:v>
                </c:pt>
                <c:pt idx="34">
                  <c:v>1496.2017927807406</c:v>
                </c:pt>
                <c:pt idx="35">
                  <c:v>1514.6787320670646</c:v>
                </c:pt>
                <c:pt idx="36">
                  <c:v>1533.850523322717</c:v>
                </c:pt>
                <c:pt idx="37">
                  <c:v>1553.750338826083</c:v>
                </c:pt>
                <c:pt idx="38">
                  <c:v>1574.4107512745836</c:v>
                </c:pt>
                <c:pt idx="39">
                  <c:v>1595.8638035304691</c:v>
                </c:pt>
                <c:pt idx="40">
                  <c:v>1617.8414847819129</c:v>
                </c:pt>
              </c:numCache>
            </c:numRef>
          </c:yVal>
          <c:smooth val="1"/>
        </c:ser>
        <c:ser>
          <c:idx val="5"/>
          <c:order val="5"/>
          <c:tx>
            <c:v>Cumulative Impact</c:v>
          </c:tx>
          <c:spPr>
            <a:ln w="19050"/>
          </c:spPr>
          <c:marker>
            <c:symbol val="none"/>
          </c:marker>
          <c:xVal>
            <c:numRef>
              <c:f>BAU!$BW$13:$BW$53</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BAU!$CH$13:$CH$53</c:f>
              <c:numCache>
                <c:formatCode>#,##0.000</c:formatCode>
                <c:ptCount val="41"/>
                <c:pt idx="0">
                  <c:v>850.89408958042145</c:v>
                </c:pt>
                <c:pt idx="1">
                  <c:v>874.59807252199778</c:v>
                </c:pt>
                <c:pt idx="2">
                  <c:v>913.32319664637953</c:v>
                </c:pt>
                <c:pt idx="3">
                  <c:v>942.41354365573159</c:v>
                </c:pt>
                <c:pt idx="4">
                  <c:v>982.31977677473276</c:v>
                </c:pt>
                <c:pt idx="5">
                  <c:v>1005.4692935252219</c:v>
                </c:pt>
                <c:pt idx="6">
                  <c:v>1005.7389602119598</c:v>
                </c:pt>
                <c:pt idx="7">
                  <c:v>1024.23454949253</c:v>
                </c:pt>
                <c:pt idx="8">
                  <c:v>991.3174862759688</c:v>
                </c:pt>
                <c:pt idx="9">
                  <c:v>983.10686644009968</c:v>
                </c:pt>
                <c:pt idx="10">
                  <c:v>993.86843309736651</c:v>
                </c:pt>
                <c:pt idx="11">
                  <c:v>1003.70615094047</c:v>
                </c:pt>
                <c:pt idx="12">
                  <c:v>1019.2168289770655</c:v>
                </c:pt>
                <c:pt idx="13">
                  <c:v>1034.9544186672942</c:v>
                </c:pt>
                <c:pt idx="14">
                  <c:v>1050.9418118337555</c:v>
                </c:pt>
                <c:pt idx="15">
                  <c:v>1066.2659134510045</c:v>
                </c:pt>
                <c:pt idx="16">
                  <c:v>1080.8894764885883</c:v>
                </c:pt>
                <c:pt idx="17">
                  <c:v>1095.8082105688768</c:v>
                </c:pt>
                <c:pt idx="18">
                  <c:v>1111.0591090494813</c:v>
                </c:pt>
                <c:pt idx="19">
                  <c:v>1126.5059953850796</c:v>
                </c:pt>
                <c:pt idx="20">
                  <c:v>1142.3657308965105</c:v>
                </c:pt>
                <c:pt idx="21">
                  <c:v>1152.6222679038908</c:v>
                </c:pt>
                <c:pt idx="22">
                  <c:v>1163.1879568809934</c:v>
                </c:pt>
                <c:pt idx="23">
                  <c:v>1174.0872905169017</c:v>
                </c:pt>
                <c:pt idx="24">
                  <c:v>1179.0707084087612</c:v>
                </c:pt>
                <c:pt idx="25">
                  <c:v>1189.4358862232543</c:v>
                </c:pt>
                <c:pt idx="26">
                  <c:v>1198.6625785669814</c:v>
                </c:pt>
                <c:pt idx="27">
                  <c:v>1208.3442703569683</c:v>
                </c:pt>
                <c:pt idx="28">
                  <c:v>1218.5115538638543</c:v>
                </c:pt>
                <c:pt idx="29">
                  <c:v>1222.7041680931693</c:v>
                </c:pt>
                <c:pt idx="30">
                  <c:v>1231.7996078601689</c:v>
                </c:pt>
                <c:pt idx="31">
                  <c:v>1239.6446556830247</c:v>
                </c:pt>
                <c:pt idx="32">
                  <c:v>1248.163245730424</c:v>
                </c:pt>
                <c:pt idx="33">
                  <c:v>1257.3894333077619</c:v>
                </c:pt>
                <c:pt idx="34">
                  <c:v>1267.3562914458728</c:v>
                </c:pt>
                <c:pt idx="35">
                  <c:v>1277.5119977024879</c:v>
                </c:pt>
                <c:pt idx="36">
                  <c:v>1286.4804505929283</c:v>
                </c:pt>
                <c:pt idx="37">
                  <c:v>1296.3397878748797</c:v>
                </c:pt>
                <c:pt idx="38">
                  <c:v>1307.1209118719319</c:v>
                </c:pt>
                <c:pt idx="39">
                  <c:v>1318.8539333003919</c:v>
                </c:pt>
                <c:pt idx="40">
                  <c:v>1331.3592042707282</c:v>
                </c:pt>
              </c:numCache>
            </c:numRef>
          </c:yVal>
          <c:smooth val="1"/>
        </c:ser>
        <c:dLbls>
          <c:showLegendKey val="0"/>
          <c:showVal val="0"/>
          <c:showCatName val="0"/>
          <c:showSerName val="0"/>
          <c:showPercent val="0"/>
          <c:showBubbleSize val="0"/>
        </c:dLbls>
        <c:axId val="105674240"/>
        <c:axId val="105676160"/>
      </c:scatterChart>
      <c:valAx>
        <c:axId val="105674240"/>
        <c:scaling>
          <c:orientation val="minMax"/>
          <c:max val="2055"/>
        </c:scaling>
        <c:delete val="0"/>
        <c:axPos val="b"/>
        <c:title>
          <c:tx>
            <c:rich>
              <a:bodyPr/>
              <a:lstStyle/>
              <a:p>
                <a:pPr>
                  <a:defRPr sz="2400"/>
                </a:pPr>
                <a:r>
                  <a:rPr lang="en-US" sz="2400"/>
                  <a:t>Year</a:t>
                </a:r>
              </a:p>
            </c:rich>
          </c:tx>
          <c:layout/>
          <c:overlay val="0"/>
        </c:title>
        <c:numFmt formatCode="General" sourceLinked="1"/>
        <c:majorTickMark val="none"/>
        <c:minorTickMark val="none"/>
        <c:tickLblPos val="nextTo"/>
        <c:txPr>
          <a:bodyPr/>
          <a:lstStyle/>
          <a:p>
            <a:pPr>
              <a:defRPr sz="1600"/>
            </a:pPr>
            <a:endParaRPr lang="fr-FR"/>
          </a:p>
        </c:txPr>
        <c:crossAx val="105676160"/>
        <c:crosses val="autoZero"/>
        <c:crossBetween val="midCat"/>
      </c:valAx>
      <c:valAx>
        <c:axId val="105676160"/>
        <c:scaling>
          <c:orientation val="minMax"/>
          <c:min val="800"/>
        </c:scaling>
        <c:delete val="0"/>
        <c:axPos val="l"/>
        <c:majorGridlines/>
        <c:title>
          <c:tx>
            <c:rich>
              <a:bodyPr/>
              <a:lstStyle/>
              <a:p>
                <a:pPr>
                  <a:defRPr sz="2400"/>
                </a:pPr>
                <a:r>
                  <a:rPr lang="en-US" sz="2400"/>
                  <a:t>GHG Emissions (</a:t>
                </a:r>
                <a:r>
                  <a:rPr lang="en-US" sz="2400" b="0"/>
                  <a:t>Gg</a:t>
                </a:r>
                <a:r>
                  <a:rPr lang="en-US" sz="2400"/>
                  <a:t> CO</a:t>
                </a:r>
                <a:r>
                  <a:rPr lang="en-US" sz="2400" baseline="-25000"/>
                  <a:t>2e</a:t>
                </a:r>
                <a:r>
                  <a:rPr lang="en-US" sz="2400"/>
                  <a:t>)</a:t>
                </a:r>
              </a:p>
            </c:rich>
          </c:tx>
          <c:layout/>
          <c:overlay val="0"/>
        </c:title>
        <c:numFmt formatCode="#,##0" sourceLinked="1"/>
        <c:majorTickMark val="in"/>
        <c:minorTickMark val="none"/>
        <c:tickLblPos val="nextTo"/>
        <c:txPr>
          <a:bodyPr/>
          <a:lstStyle/>
          <a:p>
            <a:pPr>
              <a:defRPr sz="1600"/>
            </a:pPr>
            <a:endParaRPr lang="fr-FR"/>
          </a:p>
        </c:txPr>
        <c:crossAx val="105674240"/>
        <c:crosses val="autoZero"/>
        <c:crossBetween val="midCat"/>
      </c:valAx>
    </c:plotArea>
    <c:legend>
      <c:legendPos val="r"/>
      <c:layout>
        <c:manualLayout>
          <c:xMode val="edge"/>
          <c:yMode val="edge"/>
          <c:x val="0.21561207805546045"/>
          <c:y val="0.16334265693197883"/>
          <c:w val="0.29949973296816157"/>
          <c:h val="0.3166830189168276"/>
        </c:manualLayout>
      </c:layout>
      <c:overlay val="0"/>
      <c:txPr>
        <a:bodyPr/>
        <a:lstStyle/>
        <a:p>
          <a:pPr>
            <a:defRPr sz="16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74872288971621"/>
          <c:y val="0.15416327392920837"/>
          <c:w val="0.75796595312902382"/>
          <c:h val="0.7290821711903277"/>
        </c:manualLayout>
      </c:layout>
      <c:scatterChart>
        <c:scatterStyle val="smoothMarker"/>
        <c:varyColors val="0"/>
        <c:ser>
          <c:idx val="0"/>
          <c:order val="0"/>
          <c:tx>
            <c:v>Petrol</c:v>
          </c:tx>
          <c:marker>
            <c:symbol val="none"/>
          </c:marker>
          <c:xVal>
            <c:numRef>
              <c:f>Scenario1!$AB$13:$AB$33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Scenario1!$AJ$13:$AJ$33</c:f>
              <c:numCache>
                <c:formatCode>#,##0</c:formatCode>
                <c:ptCount val="21"/>
                <c:pt idx="0">
                  <c:v>115266</c:v>
                </c:pt>
                <c:pt idx="1">
                  <c:v>117370</c:v>
                </c:pt>
                <c:pt idx="2">
                  <c:v>123352</c:v>
                </c:pt>
                <c:pt idx="3">
                  <c:v>128928</c:v>
                </c:pt>
                <c:pt idx="4">
                  <c:v>137244</c:v>
                </c:pt>
                <c:pt idx="5">
                  <c:v>142462.14791212504</c:v>
                </c:pt>
                <c:pt idx="6">
                  <c:v>143890.6023551439</c:v>
                </c:pt>
                <c:pt idx="7">
                  <c:v>145509.89011837984</c:v>
                </c:pt>
                <c:pt idx="8">
                  <c:v>147071.75096610308</c:v>
                </c:pt>
                <c:pt idx="9">
                  <c:v>148575.10286594226</c:v>
                </c:pt>
                <c:pt idx="10">
                  <c:v>149889.42834767423</c:v>
                </c:pt>
                <c:pt idx="11">
                  <c:v>151137.14326312361</c:v>
                </c:pt>
                <c:pt idx="12">
                  <c:v>152318.3491217999</c:v>
                </c:pt>
                <c:pt idx="13">
                  <c:v>153433.52069460863</c:v>
                </c:pt>
                <c:pt idx="14">
                  <c:v>154483.50493681658</c:v>
                </c:pt>
                <c:pt idx="15">
                  <c:v>155258.26616019005</c:v>
                </c:pt>
                <c:pt idx="16">
                  <c:v>155961.82800880761</c:v>
                </c:pt>
                <c:pt idx="17">
                  <c:v>156596.68025189335</c:v>
                </c:pt>
                <c:pt idx="18">
                  <c:v>157165.67948500029</c:v>
                </c:pt>
                <c:pt idx="19">
                  <c:v>157672.01729439918</c:v>
                </c:pt>
                <c:pt idx="20">
                  <c:v>158119.18367629295</c:v>
                </c:pt>
              </c:numCache>
            </c:numRef>
          </c:yVal>
          <c:smooth val="1"/>
        </c:ser>
        <c:ser>
          <c:idx val="1"/>
          <c:order val="1"/>
          <c:tx>
            <c:v>Diesel</c:v>
          </c:tx>
          <c:marker>
            <c:symbol val="none"/>
          </c:marker>
          <c:xVal>
            <c:numRef>
              <c:f>Scenario1!$AB$13:$AB$33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Scenario1!$AO$13:$AO$33</c:f>
              <c:numCache>
                <c:formatCode>#,##0</c:formatCode>
                <c:ptCount val="21"/>
                <c:pt idx="0">
                  <c:v>143476.18453368664</c:v>
                </c:pt>
                <c:pt idx="1">
                  <c:v>148831.16130577636</c:v>
                </c:pt>
                <c:pt idx="2">
                  <c:v>155005.10278164264</c:v>
                </c:pt>
                <c:pt idx="3">
                  <c:v>158784.06423508227</c:v>
                </c:pt>
                <c:pt idx="4">
                  <c:v>163233.8049958382</c:v>
                </c:pt>
                <c:pt idx="5">
                  <c:v>165809.46791086326</c:v>
                </c:pt>
                <c:pt idx="6">
                  <c:v>167953.80128073459</c:v>
                </c:pt>
                <c:pt idx="7">
                  <c:v>172422.2989223965</c:v>
                </c:pt>
                <c:pt idx="8">
                  <c:v>177000.36178239781</c:v>
                </c:pt>
                <c:pt idx="9">
                  <c:v>181692.71062457754</c:v>
                </c:pt>
                <c:pt idx="10">
                  <c:v>186439.79126419281</c:v>
                </c:pt>
                <c:pt idx="11">
                  <c:v>191308.20008906059</c:v>
                </c:pt>
                <c:pt idx="12">
                  <c:v>196303.88113190973</c:v>
                </c:pt>
                <c:pt idx="13">
                  <c:v>201433.19141498307</c:v>
                </c:pt>
                <c:pt idx="14">
                  <c:v>206702.90891341644</c:v>
                </c:pt>
                <c:pt idx="15">
                  <c:v>212014.80398631771</c:v>
                </c:pt>
                <c:pt idx="16">
                  <c:v>217477.49183456175</c:v>
                </c:pt>
                <c:pt idx="17">
                  <c:v>223099.334210706</c:v>
                </c:pt>
                <c:pt idx="18">
                  <c:v>228889.14850052574</c:v>
                </c:pt>
                <c:pt idx="19">
                  <c:v>234856.20185040613</c:v>
                </c:pt>
                <c:pt idx="20">
                  <c:v>241010.20328075896</c:v>
                </c:pt>
              </c:numCache>
            </c:numRef>
          </c:yVal>
          <c:smooth val="1"/>
        </c:ser>
        <c:ser>
          <c:idx val="2"/>
          <c:order val="2"/>
          <c:tx>
            <c:v>LPG (x10)</c:v>
          </c:tx>
          <c:marker>
            <c:symbol val="none"/>
          </c:marker>
          <c:xVal>
            <c:numRef>
              <c:f>Scenario1!$AB$13:$AB$33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Scenario1!$AU$13:$AU$33</c:f>
              <c:numCache>
                <c:formatCode>#,##0</c:formatCode>
                <c:ptCount val="21"/>
                <c:pt idx="0">
                  <c:v>46410</c:v>
                </c:pt>
                <c:pt idx="1">
                  <c:v>45020.000000000007</c:v>
                </c:pt>
                <c:pt idx="2">
                  <c:v>43630</c:v>
                </c:pt>
                <c:pt idx="3">
                  <c:v>40680</c:v>
                </c:pt>
                <c:pt idx="4">
                  <c:v>37440</c:v>
                </c:pt>
                <c:pt idx="5">
                  <c:v>31900</c:v>
                </c:pt>
                <c:pt idx="6">
                  <c:v>29701.58786385112</c:v>
                </c:pt>
                <c:pt idx="7">
                  <c:v>27710.825229187558</c:v>
                </c:pt>
                <c:pt idx="8">
                  <c:v>25861.861242658422</c:v>
                </c:pt>
                <c:pt idx="9">
                  <c:v>24144.569979938526</c:v>
                </c:pt>
                <c:pt idx="10">
                  <c:v>22548.212950316843</c:v>
                </c:pt>
                <c:pt idx="11">
                  <c:v>21065.3186568735</c:v>
                </c:pt>
                <c:pt idx="12">
                  <c:v>19687.777871388997</c:v>
                </c:pt>
                <c:pt idx="13">
                  <c:v>18408.060809735798</c:v>
                </c:pt>
                <c:pt idx="14">
                  <c:v>17219.176244225266</c:v>
                </c:pt>
                <c:pt idx="15">
                  <c:v>16112.462024812541</c:v>
                </c:pt>
                <c:pt idx="16">
                  <c:v>15083.973648040686</c:v>
                </c:pt>
                <c:pt idx="17">
                  <c:v>14128.123707727811</c:v>
                </c:pt>
                <c:pt idx="18">
                  <c:v>13239.726823536103</c:v>
                </c:pt>
                <c:pt idx="19">
                  <c:v>12413.971027506448</c:v>
                </c:pt>
                <c:pt idx="20">
                  <c:v>11646.391109772412</c:v>
                </c:pt>
              </c:numCache>
            </c:numRef>
          </c:yVal>
          <c:smooth val="1"/>
        </c:ser>
        <c:ser>
          <c:idx val="3"/>
          <c:order val="3"/>
          <c:tx>
            <c:v>Total fuel consumption</c:v>
          </c:tx>
          <c:marker>
            <c:symbol val="none"/>
          </c:marker>
          <c:xVal>
            <c:numRef>
              <c:f>Scenario1!$AB$13:$AB$33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Scenario1!$AW$13:$AW$34</c:f>
              <c:numCache>
                <c:formatCode>#,##0</c:formatCode>
                <c:ptCount val="22"/>
                <c:pt idx="0">
                  <c:v>263383.18453368661</c:v>
                </c:pt>
                <c:pt idx="1">
                  <c:v>270703.16130577633</c:v>
                </c:pt>
                <c:pt idx="2">
                  <c:v>282720.10278164264</c:v>
                </c:pt>
                <c:pt idx="3">
                  <c:v>291780.06423508225</c:v>
                </c:pt>
                <c:pt idx="4">
                  <c:v>304221.8049958382</c:v>
                </c:pt>
                <c:pt idx="5">
                  <c:v>311461.61582298833</c:v>
                </c:pt>
                <c:pt idx="6">
                  <c:v>314814.56242226361</c:v>
                </c:pt>
                <c:pt idx="7">
                  <c:v>320703.2715636951</c:v>
                </c:pt>
                <c:pt idx="8">
                  <c:v>326658.29887276673</c:v>
                </c:pt>
                <c:pt idx="9">
                  <c:v>332682.27048851363</c:v>
                </c:pt>
                <c:pt idx="10">
                  <c:v>338584.04090689874</c:v>
                </c:pt>
                <c:pt idx="11">
                  <c:v>344551.87521787151</c:v>
                </c:pt>
                <c:pt idx="12">
                  <c:v>350591.00804084854</c:v>
                </c:pt>
                <c:pt idx="13">
                  <c:v>356707.51819056529</c:v>
                </c:pt>
                <c:pt idx="14">
                  <c:v>362908.33147465554</c:v>
                </c:pt>
                <c:pt idx="15">
                  <c:v>368884.31634898903</c:v>
                </c:pt>
                <c:pt idx="16">
                  <c:v>374947.71720817342</c:v>
                </c:pt>
                <c:pt idx="17">
                  <c:v>381108.82683337212</c:v>
                </c:pt>
                <c:pt idx="18">
                  <c:v>387378.80066787964</c:v>
                </c:pt>
                <c:pt idx="19">
                  <c:v>393769.61624755594</c:v>
                </c:pt>
                <c:pt idx="20">
                  <c:v>400294.02606802911</c:v>
                </c:pt>
                <c:pt idx="21">
                  <c:v>405454.86303349416</c:v>
                </c:pt>
              </c:numCache>
            </c:numRef>
          </c:yVal>
          <c:smooth val="1"/>
        </c:ser>
        <c:dLbls>
          <c:showLegendKey val="0"/>
          <c:showVal val="0"/>
          <c:showCatName val="0"/>
          <c:showSerName val="0"/>
          <c:showPercent val="0"/>
          <c:showBubbleSize val="0"/>
        </c:dLbls>
        <c:axId val="106128128"/>
        <c:axId val="106130048"/>
      </c:scatterChart>
      <c:valAx>
        <c:axId val="106128128"/>
        <c:scaling>
          <c:orientation val="minMax"/>
        </c:scaling>
        <c:delete val="0"/>
        <c:axPos val="b"/>
        <c:title>
          <c:tx>
            <c:rich>
              <a:bodyPr/>
              <a:lstStyle/>
              <a:p>
                <a:pPr>
                  <a:defRPr sz="1800"/>
                </a:pPr>
                <a:r>
                  <a:rPr lang="en-US" sz="1800"/>
                  <a:t>Year</a:t>
                </a:r>
              </a:p>
            </c:rich>
          </c:tx>
          <c:overlay val="0"/>
        </c:title>
        <c:numFmt formatCode="General" sourceLinked="1"/>
        <c:majorTickMark val="none"/>
        <c:minorTickMark val="none"/>
        <c:tickLblPos val="nextTo"/>
        <c:txPr>
          <a:bodyPr/>
          <a:lstStyle/>
          <a:p>
            <a:pPr>
              <a:defRPr sz="1400"/>
            </a:pPr>
            <a:endParaRPr lang="fr-FR"/>
          </a:p>
        </c:txPr>
        <c:crossAx val="106130048"/>
        <c:crosses val="autoZero"/>
        <c:crossBetween val="midCat"/>
      </c:valAx>
      <c:valAx>
        <c:axId val="106130048"/>
        <c:scaling>
          <c:orientation val="minMax"/>
        </c:scaling>
        <c:delete val="0"/>
        <c:axPos val="l"/>
        <c:majorGridlines/>
        <c:title>
          <c:tx>
            <c:rich>
              <a:bodyPr/>
              <a:lstStyle/>
              <a:p>
                <a:pPr>
                  <a:defRPr sz="1800"/>
                </a:pPr>
                <a:r>
                  <a:rPr lang="en-US" sz="1800"/>
                  <a:t>Projected road transport fuel consumption (tonne)</a:t>
                </a:r>
              </a:p>
            </c:rich>
          </c:tx>
          <c:overlay val="0"/>
        </c:title>
        <c:numFmt formatCode="#,##0" sourceLinked="1"/>
        <c:majorTickMark val="none"/>
        <c:minorTickMark val="none"/>
        <c:tickLblPos val="nextTo"/>
        <c:txPr>
          <a:bodyPr/>
          <a:lstStyle/>
          <a:p>
            <a:pPr>
              <a:defRPr sz="1400"/>
            </a:pPr>
            <a:endParaRPr lang="fr-FR"/>
          </a:p>
        </c:txPr>
        <c:crossAx val="106128128"/>
        <c:crosses val="autoZero"/>
        <c:crossBetween val="midCat"/>
      </c:valAx>
      <c:spPr>
        <a:noFill/>
        <a:ln w="25400">
          <a:noFill/>
        </a:ln>
      </c:spPr>
    </c:plotArea>
    <c:legend>
      <c:legendPos val="r"/>
      <c:layout>
        <c:manualLayout>
          <c:xMode val="edge"/>
          <c:yMode val="edge"/>
          <c:x val="0.20586228191772371"/>
          <c:y val="0.14491985719796621"/>
          <c:w val="0.29847773369071534"/>
          <c:h val="0.23139526125088714"/>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74872288971621"/>
          <c:y val="0.15416327392920837"/>
          <c:w val="0.75796595312902382"/>
          <c:h val="0.7290821711903277"/>
        </c:manualLayout>
      </c:layout>
      <c:scatterChart>
        <c:scatterStyle val="smoothMarker"/>
        <c:varyColors val="0"/>
        <c:ser>
          <c:idx val="0"/>
          <c:order val="0"/>
          <c:tx>
            <c:v>Petrol</c:v>
          </c:tx>
          <c:marker>
            <c:symbol val="none"/>
          </c:marker>
          <c:xVal>
            <c:numRef>
              <c:f>Scenario2!$AB$13:$AB$33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Scenario2!$AJ$13:$AJ$33</c:f>
              <c:numCache>
                <c:formatCode>#,##0</c:formatCode>
                <c:ptCount val="21"/>
                <c:pt idx="0">
                  <c:v>115266</c:v>
                </c:pt>
                <c:pt idx="1">
                  <c:v>117370</c:v>
                </c:pt>
                <c:pt idx="2">
                  <c:v>123352</c:v>
                </c:pt>
                <c:pt idx="3">
                  <c:v>128928</c:v>
                </c:pt>
                <c:pt idx="4">
                  <c:v>137244</c:v>
                </c:pt>
                <c:pt idx="5">
                  <c:v>142462.14791212504</c:v>
                </c:pt>
                <c:pt idx="6">
                  <c:v>143890.6023551439</c:v>
                </c:pt>
                <c:pt idx="7">
                  <c:v>145509.89011837984</c:v>
                </c:pt>
                <c:pt idx="8">
                  <c:v>147071.75096610308</c:v>
                </c:pt>
                <c:pt idx="9">
                  <c:v>148575.10286594226</c:v>
                </c:pt>
                <c:pt idx="10">
                  <c:v>149889.42834767423</c:v>
                </c:pt>
                <c:pt idx="11">
                  <c:v>151137.14326312361</c:v>
                </c:pt>
                <c:pt idx="12">
                  <c:v>152318.3491217999</c:v>
                </c:pt>
                <c:pt idx="13">
                  <c:v>153433.52069460863</c:v>
                </c:pt>
                <c:pt idx="14">
                  <c:v>154483.50493681658</c:v>
                </c:pt>
                <c:pt idx="15">
                  <c:v>155258.26616019005</c:v>
                </c:pt>
                <c:pt idx="16">
                  <c:v>155961.82800880761</c:v>
                </c:pt>
                <c:pt idx="17">
                  <c:v>156596.68025189335</c:v>
                </c:pt>
                <c:pt idx="18">
                  <c:v>157165.67948500029</c:v>
                </c:pt>
                <c:pt idx="19">
                  <c:v>157672.01729439918</c:v>
                </c:pt>
                <c:pt idx="20">
                  <c:v>158119.18367629295</c:v>
                </c:pt>
              </c:numCache>
            </c:numRef>
          </c:yVal>
          <c:smooth val="1"/>
        </c:ser>
        <c:ser>
          <c:idx val="1"/>
          <c:order val="1"/>
          <c:tx>
            <c:v>Diesel</c:v>
          </c:tx>
          <c:marker>
            <c:symbol val="none"/>
          </c:marker>
          <c:xVal>
            <c:numRef>
              <c:f>Scenario2!$AB$13:$AB$33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Scenario2!$AO$13:$AO$33</c:f>
              <c:numCache>
                <c:formatCode>#,##0</c:formatCode>
                <c:ptCount val="21"/>
                <c:pt idx="0">
                  <c:v>143476.18453368664</c:v>
                </c:pt>
                <c:pt idx="1">
                  <c:v>148831.16130577636</c:v>
                </c:pt>
                <c:pt idx="2">
                  <c:v>155005.10278164264</c:v>
                </c:pt>
                <c:pt idx="3">
                  <c:v>158784.06423508227</c:v>
                </c:pt>
                <c:pt idx="4">
                  <c:v>163233.8049958382</c:v>
                </c:pt>
                <c:pt idx="5">
                  <c:v>165809.46791086326</c:v>
                </c:pt>
                <c:pt idx="6">
                  <c:v>167953.80128073459</c:v>
                </c:pt>
                <c:pt idx="7">
                  <c:v>172422.2989223965</c:v>
                </c:pt>
                <c:pt idx="8">
                  <c:v>177000.36178239781</c:v>
                </c:pt>
                <c:pt idx="9">
                  <c:v>181692.71062457754</c:v>
                </c:pt>
                <c:pt idx="10">
                  <c:v>186439.79126419281</c:v>
                </c:pt>
                <c:pt idx="11">
                  <c:v>191308.20008906059</c:v>
                </c:pt>
                <c:pt idx="12">
                  <c:v>196303.88113190973</c:v>
                </c:pt>
                <c:pt idx="13">
                  <c:v>201433.19141498307</c:v>
                </c:pt>
                <c:pt idx="14">
                  <c:v>206702.90891341644</c:v>
                </c:pt>
                <c:pt idx="15">
                  <c:v>212014.80398631771</c:v>
                </c:pt>
                <c:pt idx="16">
                  <c:v>217477.49183456175</c:v>
                </c:pt>
                <c:pt idx="17">
                  <c:v>223099.334210706</c:v>
                </c:pt>
                <c:pt idx="18">
                  <c:v>228889.14850052574</c:v>
                </c:pt>
                <c:pt idx="19">
                  <c:v>234856.20185040613</c:v>
                </c:pt>
                <c:pt idx="20">
                  <c:v>241010.20328075896</c:v>
                </c:pt>
              </c:numCache>
            </c:numRef>
          </c:yVal>
          <c:smooth val="1"/>
        </c:ser>
        <c:ser>
          <c:idx val="2"/>
          <c:order val="2"/>
          <c:tx>
            <c:v>LPG (x10)</c:v>
          </c:tx>
          <c:marker>
            <c:symbol val="none"/>
          </c:marker>
          <c:xVal>
            <c:numRef>
              <c:f>Scenario2!$AB$13:$AB$33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Scenario2!$AU$13:$AU$33</c:f>
              <c:numCache>
                <c:formatCode>#,##0</c:formatCode>
                <c:ptCount val="21"/>
                <c:pt idx="0">
                  <c:v>46410</c:v>
                </c:pt>
                <c:pt idx="1">
                  <c:v>45020.000000000007</c:v>
                </c:pt>
                <c:pt idx="2">
                  <c:v>43630</c:v>
                </c:pt>
                <c:pt idx="3">
                  <c:v>40680</c:v>
                </c:pt>
                <c:pt idx="4">
                  <c:v>37440</c:v>
                </c:pt>
                <c:pt idx="5">
                  <c:v>31900</c:v>
                </c:pt>
                <c:pt idx="6">
                  <c:v>29701.58786385112</c:v>
                </c:pt>
                <c:pt idx="7">
                  <c:v>27710.825229187558</c:v>
                </c:pt>
                <c:pt idx="8">
                  <c:v>25861.861242658422</c:v>
                </c:pt>
                <c:pt idx="9">
                  <c:v>24144.569979938526</c:v>
                </c:pt>
                <c:pt idx="10">
                  <c:v>22548.212950316843</c:v>
                </c:pt>
                <c:pt idx="11">
                  <c:v>21065.3186568735</c:v>
                </c:pt>
                <c:pt idx="12">
                  <c:v>19687.777871388997</c:v>
                </c:pt>
                <c:pt idx="13">
                  <c:v>18408.060809735798</c:v>
                </c:pt>
                <c:pt idx="14">
                  <c:v>17219.176244225266</c:v>
                </c:pt>
                <c:pt idx="15">
                  <c:v>16112.462024812541</c:v>
                </c:pt>
                <c:pt idx="16">
                  <c:v>15083.973648040686</c:v>
                </c:pt>
                <c:pt idx="17">
                  <c:v>14128.123707727811</c:v>
                </c:pt>
                <c:pt idx="18">
                  <c:v>13239.726823536103</c:v>
                </c:pt>
                <c:pt idx="19">
                  <c:v>12413.971027506448</c:v>
                </c:pt>
                <c:pt idx="20">
                  <c:v>11646.391109772412</c:v>
                </c:pt>
              </c:numCache>
            </c:numRef>
          </c:yVal>
          <c:smooth val="1"/>
        </c:ser>
        <c:ser>
          <c:idx val="3"/>
          <c:order val="3"/>
          <c:tx>
            <c:v>Total fuel consumption</c:v>
          </c:tx>
          <c:marker>
            <c:symbol val="none"/>
          </c:marker>
          <c:xVal>
            <c:numRef>
              <c:f>Scenario2!$AB$13:$AB$33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Scenario2!$AW$13:$AW$34</c:f>
              <c:numCache>
                <c:formatCode>#,##0</c:formatCode>
                <c:ptCount val="22"/>
                <c:pt idx="0">
                  <c:v>263383.18453368661</c:v>
                </c:pt>
                <c:pt idx="1">
                  <c:v>270703.16130577633</c:v>
                </c:pt>
                <c:pt idx="2">
                  <c:v>282720.10278164264</c:v>
                </c:pt>
                <c:pt idx="3">
                  <c:v>291780.06423508225</c:v>
                </c:pt>
                <c:pt idx="4">
                  <c:v>304221.8049958382</c:v>
                </c:pt>
                <c:pt idx="5">
                  <c:v>311461.61582298833</c:v>
                </c:pt>
                <c:pt idx="6">
                  <c:v>314814.56242226361</c:v>
                </c:pt>
                <c:pt idx="7">
                  <c:v>320703.2715636951</c:v>
                </c:pt>
                <c:pt idx="8">
                  <c:v>326658.29887276673</c:v>
                </c:pt>
                <c:pt idx="9">
                  <c:v>332682.27048851363</c:v>
                </c:pt>
                <c:pt idx="10">
                  <c:v>338584.04090689874</c:v>
                </c:pt>
                <c:pt idx="11">
                  <c:v>344551.87521787151</c:v>
                </c:pt>
                <c:pt idx="12">
                  <c:v>350591.00804084854</c:v>
                </c:pt>
                <c:pt idx="13">
                  <c:v>356707.51819056529</c:v>
                </c:pt>
                <c:pt idx="14">
                  <c:v>362908.33147465554</c:v>
                </c:pt>
                <c:pt idx="15">
                  <c:v>368884.31634898903</c:v>
                </c:pt>
                <c:pt idx="16">
                  <c:v>374947.71720817342</c:v>
                </c:pt>
                <c:pt idx="17">
                  <c:v>381108.82683337212</c:v>
                </c:pt>
                <c:pt idx="18">
                  <c:v>387378.80066787964</c:v>
                </c:pt>
                <c:pt idx="19">
                  <c:v>393769.61624755594</c:v>
                </c:pt>
                <c:pt idx="20">
                  <c:v>400294.02606802911</c:v>
                </c:pt>
                <c:pt idx="21">
                  <c:v>405454.86303349416</c:v>
                </c:pt>
              </c:numCache>
            </c:numRef>
          </c:yVal>
          <c:smooth val="1"/>
        </c:ser>
        <c:dLbls>
          <c:showLegendKey val="0"/>
          <c:showVal val="0"/>
          <c:showCatName val="0"/>
          <c:showSerName val="0"/>
          <c:showPercent val="0"/>
          <c:showBubbleSize val="0"/>
        </c:dLbls>
        <c:axId val="106803968"/>
        <c:axId val="106805888"/>
      </c:scatterChart>
      <c:valAx>
        <c:axId val="106803968"/>
        <c:scaling>
          <c:orientation val="minMax"/>
        </c:scaling>
        <c:delete val="0"/>
        <c:axPos val="b"/>
        <c:title>
          <c:tx>
            <c:rich>
              <a:bodyPr/>
              <a:lstStyle/>
              <a:p>
                <a:pPr>
                  <a:defRPr sz="1800"/>
                </a:pPr>
                <a:r>
                  <a:rPr lang="en-US" sz="1800"/>
                  <a:t>Year</a:t>
                </a:r>
              </a:p>
            </c:rich>
          </c:tx>
          <c:overlay val="0"/>
        </c:title>
        <c:numFmt formatCode="General" sourceLinked="1"/>
        <c:majorTickMark val="none"/>
        <c:minorTickMark val="none"/>
        <c:tickLblPos val="nextTo"/>
        <c:txPr>
          <a:bodyPr/>
          <a:lstStyle/>
          <a:p>
            <a:pPr>
              <a:defRPr sz="1400"/>
            </a:pPr>
            <a:endParaRPr lang="fr-FR"/>
          </a:p>
        </c:txPr>
        <c:crossAx val="106805888"/>
        <c:crosses val="autoZero"/>
        <c:crossBetween val="midCat"/>
      </c:valAx>
      <c:valAx>
        <c:axId val="106805888"/>
        <c:scaling>
          <c:orientation val="minMax"/>
        </c:scaling>
        <c:delete val="0"/>
        <c:axPos val="l"/>
        <c:majorGridlines/>
        <c:title>
          <c:tx>
            <c:rich>
              <a:bodyPr/>
              <a:lstStyle/>
              <a:p>
                <a:pPr>
                  <a:defRPr sz="1800"/>
                </a:pPr>
                <a:r>
                  <a:rPr lang="en-US" sz="1800"/>
                  <a:t>Projected road transport fuel consumption (tonne)</a:t>
                </a:r>
              </a:p>
            </c:rich>
          </c:tx>
          <c:overlay val="0"/>
        </c:title>
        <c:numFmt formatCode="#,##0" sourceLinked="1"/>
        <c:majorTickMark val="none"/>
        <c:minorTickMark val="none"/>
        <c:tickLblPos val="nextTo"/>
        <c:txPr>
          <a:bodyPr/>
          <a:lstStyle/>
          <a:p>
            <a:pPr>
              <a:defRPr sz="1400"/>
            </a:pPr>
            <a:endParaRPr lang="fr-FR"/>
          </a:p>
        </c:txPr>
        <c:crossAx val="106803968"/>
        <c:crosses val="autoZero"/>
        <c:crossBetween val="midCat"/>
      </c:valAx>
      <c:spPr>
        <a:noFill/>
        <a:ln w="25400">
          <a:noFill/>
        </a:ln>
      </c:spPr>
    </c:plotArea>
    <c:legend>
      <c:legendPos val="r"/>
      <c:layout>
        <c:manualLayout>
          <c:xMode val="edge"/>
          <c:yMode val="edge"/>
          <c:x val="0.20586228191772371"/>
          <c:y val="0.14491985719796621"/>
          <c:w val="0.29847773369071534"/>
          <c:h val="0.23139526125088714"/>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74872288971621"/>
          <c:y val="0.15416327392920837"/>
          <c:w val="0.75796595312902382"/>
          <c:h val="0.7290821711903277"/>
        </c:manualLayout>
      </c:layout>
      <c:scatterChart>
        <c:scatterStyle val="smoothMarker"/>
        <c:varyColors val="0"/>
        <c:ser>
          <c:idx val="0"/>
          <c:order val="0"/>
          <c:tx>
            <c:v>Petrol</c:v>
          </c:tx>
          <c:marker>
            <c:symbol val="none"/>
          </c:marker>
          <c:xVal>
            <c:numRef>
              <c:f>'LRS4'!$AB$13:$AB$33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'LRS4'!$AJ$13:$AJ$33</c:f>
              <c:numCache>
                <c:formatCode>#,##0</c:formatCode>
                <c:ptCount val="21"/>
                <c:pt idx="0">
                  <c:v>115266</c:v>
                </c:pt>
                <c:pt idx="1">
                  <c:v>117370</c:v>
                </c:pt>
                <c:pt idx="2">
                  <c:v>123352</c:v>
                </c:pt>
                <c:pt idx="3">
                  <c:v>128928</c:v>
                </c:pt>
                <c:pt idx="4">
                  <c:v>137244</c:v>
                </c:pt>
                <c:pt idx="5">
                  <c:v>142462.14791212504</c:v>
                </c:pt>
                <c:pt idx="6">
                  <c:v>143890.6023551439</c:v>
                </c:pt>
                <c:pt idx="7">
                  <c:v>145509.89011837984</c:v>
                </c:pt>
                <c:pt idx="8">
                  <c:v>142522.00706610305</c:v>
                </c:pt>
                <c:pt idx="9">
                  <c:v>144035.06154194227</c:v>
                </c:pt>
                <c:pt idx="10">
                  <c:v>145359.08959967425</c:v>
                </c:pt>
                <c:pt idx="11">
                  <c:v>146616.50709112361</c:v>
                </c:pt>
                <c:pt idx="12">
                  <c:v>147807.41552579988</c:v>
                </c:pt>
                <c:pt idx="13">
                  <c:v>148932.28967460865</c:v>
                </c:pt>
                <c:pt idx="14">
                  <c:v>149991.97649281658</c:v>
                </c:pt>
                <c:pt idx="15">
                  <c:v>150776.44029219003</c:v>
                </c:pt>
                <c:pt idx="16">
                  <c:v>151489.70471680761</c:v>
                </c:pt>
                <c:pt idx="17">
                  <c:v>152134.25953589336</c:v>
                </c:pt>
                <c:pt idx="18">
                  <c:v>152712.96134500031</c:v>
                </c:pt>
                <c:pt idx="19">
                  <c:v>153185.67241839919</c:v>
                </c:pt>
                <c:pt idx="20">
                  <c:v>153599.21206429292</c:v>
                </c:pt>
              </c:numCache>
            </c:numRef>
          </c:yVal>
          <c:smooth val="1"/>
        </c:ser>
        <c:ser>
          <c:idx val="1"/>
          <c:order val="1"/>
          <c:tx>
            <c:v>Diesel</c:v>
          </c:tx>
          <c:marker>
            <c:symbol val="none"/>
          </c:marker>
          <c:xVal>
            <c:numRef>
              <c:f>'LRS4'!$AB$13:$AB$33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'LRS4'!$AO$13:$AO$33</c:f>
              <c:numCache>
                <c:formatCode>#,##0</c:formatCode>
                <c:ptCount val="21"/>
                <c:pt idx="0">
                  <c:v>143476.18453368664</c:v>
                </c:pt>
                <c:pt idx="1">
                  <c:v>148831.16130577636</c:v>
                </c:pt>
                <c:pt idx="2">
                  <c:v>155005.10278164264</c:v>
                </c:pt>
                <c:pt idx="3">
                  <c:v>158784.06423508227</c:v>
                </c:pt>
                <c:pt idx="4">
                  <c:v>163233.8049958382</c:v>
                </c:pt>
                <c:pt idx="5">
                  <c:v>165809.46791086326</c:v>
                </c:pt>
                <c:pt idx="6">
                  <c:v>167953.80128073459</c:v>
                </c:pt>
                <c:pt idx="7">
                  <c:v>172422.2989223965</c:v>
                </c:pt>
                <c:pt idx="8">
                  <c:v>173632.21893239784</c:v>
                </c:pt>
                <c:pt idx="9">
                  <c:v>178318.51449957752</c:v>
                </c:pt>
                <c:pt idx="10">
                  <c:v>183059.54186419281</c:v>
                </c:pt>
                <c:pt idx="11">
                  <c:v>187921.8974140606</c:v>
                </c:pt>
                <c:pt idx="12">
                  <c:v>192911.52518190973</c:v>
                </c:pt>
                <c:pt idx="13">
                  <c:v>198034.78218998306</c:v>
                </c:pt>
                <c:pt idx="14">
                  <c:v>203298.44641341642</c:v>
                </c:pt>
                <c:pt idx="15">
                  <c:v>208604.2882113177</c:v>
                </c:pt>
                <c:pt idx="16">
                  <c:v>214060.92278456173</c:v>
                </c:pt>
                <c:pt idx="17">
                  <c:v>219676.711885706</c:v>
                </c:pt>
                <c:pt idx="18">
                  <c:v>225460.47290052572</c:v>
                </c:pt>
                <c:pt idx="19">
                  <c:v>231409.98616040612</c:v>
                </c:pt>
                <c:pt idx="20">
                  <c:v>237546.44750075895</c:v>
                </c:pt>
              </c:numCache>
            </c:numRef>
          </c:yVal>
          <c:smooth val="1"/>
        </c:ser>
        <c:ser>
          <c:idx val="2"/>
          <c:order val="2"/>
          <c:tx>
            <c:v>LPG (x10)</c:v>
          </c:tx>
          <c:marker>
            <c:symbol val="none"/>
          </c:marker>
          <c:xVal>
            <c:numRef>
              <c:f>'LRS4'!$AB$13:$AB$33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'LRS4'!$AU$13:$AU$33</c:f>
              <c:numCache>
                <c:formatCode>#,##0</c:formatCode>
                <c:ptCount val="21"/>
                <c:pt idx="0">
                  <c:v>46410</c:v>
                </c:pt>
                <c:pt idx="1">
                  <c:v>45020.000000000007</c:v>
                </c:pt>
                <c:pt idx="2">
                  <c:v>43630</c:v>
                </c:pt>
                <c:pt idx="3">
                  <c:v>40680</c:v>
                </c:pt>
                <c:pt idx="4">
                  <c:v>37440</c:v>
                </c:pt>
                <c:pt idx="5">
                  <c:v>31900</c:v>
                </c:pt>
                <c:pt idx="6">
                  <c:v>29701.58786385112</c:v>
                </c:pt>
                <c:pt idx="7">
                  <c:v>27710.825229187558</c:v>
                </c:pt>
                <c:pt idx="8">
                  <c:v>25861.861242658422</c:v>
                </c:pt>
                <c:pt idx="9">
                  <c:v>24144.569979938526</c:v>
                </c:pt>
                <c:pt idx="10">
                  <c:v>22548.212950316843</c:v>
                </c:pt>
                <c:pt idx="11">
                  <c:v>21065.3186568735</c:v>
                </c:pt>
                <c:pt idx="12">
                  <c:v>19687.777871388997</c:v>
                </c:pt>
                <c:pt idx="13">
                  <c:v>18408.060809735798</c:v>
                </c:pt>
                <c:pt idx="14">
                  <c:v>17219.176244225266</c:v>
                </c:pt>
                <c:pt idx="15">
                  <c:v>16112.462024812541</c:v>
                </c:pt>
                <c:pt idx="16">
                  <c:v>15083.973648040686</c:v>
                </c:pt>
                <c:pt idx="17">
                  <c:v>14128.123707727811</c:v>
                </c:pt>
                <c:pt idx="18">
                  <c:v>13239.726823536103</c:v>
                </c:pt>
                <c:pt idx="19">
                  <c:v>12413.971027506448</c:v>
                </c:pt>
                <c:pt idx="20">
                  <c:v>11646.391109772412</c:v>
                </c:pt>
              </c:numCache>
            </c:numRef>
          </c:yVal>
          <c:smooth val="1"/>
        </c:ser>
        <c:ser>
          <c:idx val="3"/>
          <c:order val="3"/>
          <c:tx>
            <c:v>Total fuel consumption</c:v>
          </c:tx>
          <c:marker>
            <c:symbol val="none"/>
          </c:marker>
          <c:xVal>
            <c:numRef>
              <c:f>'LRS4'!$AB$13:$AB$33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'LRS4'!$AX$13:$AX$34</c:f>
              <c:numCache>
                <c:formatCode>#,##0</c:formatCode>
                <c:ptCount val="22"/>
                <c:pt idx="0">
                  <c:v>263383.18453368661</c:v>
                </c:pt>
                <c:pt idx="1">
                  <c:v>270703.16130577633</c:v>
                </c:pt>
                <c:pt idx="2">
                  <c:v>282720.10278164264</c:v>
                </c:pt>
                <c:pt idx="3">
                  <c:v>291780.06423508225</c:v>
                </c:pt>
                <c:pt idx="4">
                  <c:v>304221.8049958382</c:v>
                </c:pt>
                <c:pt idx="5">
                  <c:v>311461.61582298833</c:v>
                </c:pt>
                <c:pt idx="6">
                  <c:v>314814.56242226361</c:v>
                </c:pt>
                <c:pt idx="7">
                  <c:v>320703.2715636951</c:v>
                </c:pt>
                <c:pt idx="8">
                  <c:v>318740.41212276672</c:v>
                </c:pt>
                <c:pt idx="9">
                  <c:v>324768.03303951363</c:v>
                </c:pt>
                <c:pt idx="10">
                  <c:v>330673.45275889873</c:v>
                </c:pt>
                <c:pt idx="11">
                  <c:v>336644.93637087155</c:v>
                </c:pt>
                <c:pt idx="12">
                  <c:v>342687.71849484852</c:v>
                </c:pt>
                <c:pt idx="13">
                  <c:v>348807.87794556527</c:v>
                </c:pt>
                <c:pt idx="14">
                  <c:v>355012.34053065552</c:v>
                </c:pt>
                <c:pt idx="15">
                  <c:v>360991.97470598901</c:v>
                </c:pt>
                <c:pt idx="16">
                  <c:v>367059.02486617339</c:v>
                </c:pt>
                <c:pt idx="17">
                  <c:v>373223.78379237215</c:v>
                </c:pt>
                <c:pt idx="18">
                  <c:v>379497.40692787967</c:v>
                </c:pt>
                <c:pt idx="19">
                  <c:v>385837.05568155594</c:v>
                </c:pt>
                <c:pt idx="20">
                  <c:v>392310.29867602908</c:v>
                </c:pt>
                <c:pt idx="21">
                  <c:v>397419.96881549415</c:v>
                </c:pt>
              </c:numCache>
            </c:numRef>
          </c:yVal>
          <c:smooth val="1"/>
        </c:ser>
        <c:dLbls>
          <c:showLegendKey val="0"/>
          <c:showVal val="0"/>
          <c:showCatName val="0"/>
          <c:showSerName val="0"/>
          <c:showPercent val="0"/>
          <c:showBubbleSize val="0"/>
        </c:dLbls>
        <c:axId val="107213184"/>
        <c:axId val="107215104"/>
      </c:scatterChart>
      <c:valAx>
        <c:axId val="107213184"/>
        <c:scaling>
          <c:orientation val="minMax"/>
        </c:scaling>
        <c:delete val="0"/>
        <c:axPos val="b"/>
        <c:title>
          <c:tx>
            <c:rich>
              <a:bodyPr/>
              <a:lstStyle/>
              <a:p>
                <a:pPr>
                  <a:defRPr sz="1800"/>
                </a:pPr>
                <a:r>
                  <a:rPr lang="en-US" sz="1800"/>
                  <a:t>Year</a:t>
                </a:r>
              </a:p>
            </c:rich>
          </c:tx>
          <c:layout/>
          <c:overlay val="0"/>
        </c:title>
        <c:numFmt formatCode="General" sourceLinked="1"/>
        <c:majorTickMark val="none"/>
        <c:minorTickMark val="none"/>
        <c:tickLblPos val="nextTo"/>
        <c:txPr>
          <a:bodyPr/>
          <a:lstStyle/>
          <a:p>
            <a:pPr>
              <a:defRPr sz="1400"/>
            </a:pPr>
            <a:endParaRPr lang="fr-FR"/>
          </a:p>
        </c:txPr>
        <c:crossAx val="107215104"/>
        <c:crosses val="autoZero"/>
        <c:crossBetween val="midCat"/>
      </c:valAx>
      <c:valAx>
        <c:axId val="107215104"/>
        <c:scaling>
          <c:orientation val="minMax"/>
        </c:scaling>
        <c:delete val="0"/>
        <c:axPos val="l"/>
        <c:majorGridlines/>
        <c:title>
          <c:tx>
            <c:rich>
              <a:bodyPr/>
              <a:lstStyle/>
              <a:p>
                <a:pPr>
                  <a:defRPr sz="1800"/>
                </a:pPr>
                <a:r>
                  <a:rPr lang="en-US" sz="1800"/>
                  <a:t>Projected road transport fuel consumption (tonne)</a:t>
                </a:r>
              </a:p>
            </c:rich>
          </c:tx>
          <c:layout/>
          <c:overlay val="0"/>
        </c:title>
        <c:numFmt formatCode="#,##0" sourceLinked="1"/>
        <c:majorTickMark val="none"/>
        <c:minorTickMark val="none"/>
        <c:tickLblPos val="nextTo"/>
        <c:txPr>
          <a:bodyPr/>
          <a:lstStyle/>
          <a:p>
            <a:pPr>
              <a:defRPr sz="1400"/>
            </a:pPr>
            <a:endParaRPr lang="fr-FR"/>
          </a:p>
        </c:txPr>
        <c:crossAx val="107213184"/>
        <c:crosses val="autoZero"/>
        <c:crossBetween val="midCat"/>
      </c:valAx>
      <c:spPr>
        <a:noFill/>
        <a:ln w="25400">
          <a:noFill/>
        </a:ln>
      </c:spPr>
    </c:plotArea>
    <c:legend>
      <c:legendPos val="r"/>
      <c:layout>
        <c:manualLayout>
          <c:xMode val="edge"/>
          <c:yMode val="edge"/>
          <c:x val="0.20586228191772371"/>
          <c:y val="0.14491985719796621"/>
          <c:w val="0.29847773369071534"/>
          <c:h val="0.23139526125088714"/>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21</xdr:col>
      <xdr:colOff>392907</xdr:colOff>
      <xdr:row>10</xdr:row>
      <xdr:rowOff>29209</xdr:rowOff>
    </xdr:from>
    <xdr:to>
      <xdr:col>30</xdr:col>
      <xdr:colOff>145256</xdr:colOff>
      <xdr:row>29</xdr:row>
      <xdr:rowOff>166687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76" y="2279490"/>
          <a:ext cx="5479256" cy="3756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739973</xdr:colOff>
      <xdr:row>21</xdr:row>
      <xdr:rowOff>0</xdr:rowOff>
    </xdr:from>
    <xdr:to>
      <xdr:col>17</xdr:col>
      <xdr:colOff>4763</xdr:colOff>
      <xdr:row>35</xdr:row>
      <xdr:rowOff>71438</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4098" y="4345781"/>
          <a:ext cx="6384728" cy="2738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47626</xdr:colOff>
      <xdr:row>8</xdr:row>
      <xdr:rowOff>95250</xdr:rowOff>
    </xdr:from>
    <xdr:to>
      <xdr:col>41</xdr:col>
      <xdr:colOff>428625</xdr:colOff>
      <xdr:row>22</xdr:row>
      <xdr:rowOff>119063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654845</xdr:colOff>
      <xdr:row>0</xdr:row>
      <xdr:rowOff>0</xdr:rowOff>
    </xdr:from>
    <xdr:to>
      <xdr:col>53</xdr:col>
      <xdr:colOff>43657</xdr:colOff>
      <xdr:row>32</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595314</xdr:colOff>
      <xdr:row>27</xdr:row>
      <xdr:rowOff>107156</xdr:rowOff>
    </xdr:from>
    <xdr:to>
      <xdr:col>25</xdr:col>
      <xdr:colOff>328612</xdr:colOff>
      <xdr:row>53</xdr:row>
      <xdr:rowOff>185737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535783</xdr:colOff>
      <xdr:row>28</xdr:row>
      <xdr:rowOff>35718</xdr:rowOff>
    </xdr:from>
    <xdr:to>
      <xdr:col>31</xdr:col>
      <xdr:colOff>292894</xdr:colOff>
      <xdr:row>54</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35</xdr:col>
      <xdr:colOff>297658</xdr:colOff>
      <xdr:row>34</xdr:row>
      <xdr:rowOff>35718</xdr:rowOff>
    </xdr:from>
    <xdr:to>
      <xdr:col>45</xdr:col>
      <xdr:colOff>30956</xdr:colOff>
      <xdr:row>60</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247650</xdr:colOff>
      <xdr:row>4</xdr:row>
      <xdr:rowOff>47625</xdr:rowOff>
    </xdr:from>
    <xdr:to>
      <xdr:col>26</xdr:col>
      <xdr:colOff>9525</xdr:colOff>
      <xdr:row>25</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900" y="809625"/>
          <a:ext cx="7686675"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8:E9" totalsRowShown="0" dataDxfId="249">
  <autoFilter ref="A8:E9"/>
  <tableColumns count="5">
    <tableColumn id="1" name="Year"/>
    <tableColumn id="2" name="Gasoline" dataDxfId="248">
      <calculatedColumnFormula>EnergyCal!W8</calculatedColumnFormula>
    </tableColumn>
    <tableColumn id="3" name="Diesel " dataDxfId="247">
      <calculatedColumnFormula>EnergyCal!X8</calculatedColumnFormula>
    </tableColumn>
    <tableColumn id="4" name="LPG" dataDxfId="246">
      <calculatedColumnFormula>EnergyCal!Y8</calculatedColumnFormula>
    </tableColumn>
    <tableColumn id="5" name="Total" dataDxfId="245">
      <calculatedColumnFormula>B9+C9+D9</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10" name="Table211" displayName="Table211" ref="G8:M9" totalsRowShown="0" headerRowDxfId="194" dataDxfId="193">
  <autoFilter ref="G8:M9"/>
  <tableColumns count="7">
    <tableColumn id="1" name="Year" dataDxfId="192"/>
    <tableColumn id="2" name="Autocycle" dataDxfId="191">
      <calculatedColumnFormula>EnergyCal!C$19</calculatedColumnFormula>
    </tableColumn>
    <tableColumn id="3" name="Motocycle" dataDxfId="190">
      <calculatedColumnFormula>EnergyCal!D$19</calculatedColumnFormula>
    </tableColumn>
    <tableColumn id="4" name="cars" dataDxfId="189">
      <calculatedColumnFormula>EnergyCal!E$19</calculatedColumnFormula>
    </tableColumn>
    <tableColumn id="5" name="DPV" dataDxfId="188">
      <calculatedColumnFormula>EnergyCal!F$19</calculatedColumnFormula>
    </tableColumn>
    <tableColumn id="6" name="Hybrid" dataDxfId="187">
      <calculatedColumnFormula>EnergyCal!G$19</calculatedColumnFormula>
    </tableColumn>
    <tableColumn id="7" name="TOTAL" dataDxfId="186">
      <calculatedColumnFormula>SUM(H9:L9)</calculatedColumnFormula>
    </tableColumn>
  </tableColumns>
  <tableStyleInfo name="TableStyleMedium7" showFirstColumn="0" showLastColumn="0" showRowStripes="1" showColumnStripes="0"/>
</table>
</file>

<file path=xl/tables/table11.xml><?xml version="1.0" encoding="utf-8"?>
<table xmlns="http://schemas.openxmlformats.org/spreadsheetml/2006/main" id="11" name="Table312" displayName="Table312" ref="O8:S9" totalsRowShown="0" headerRowDxfId="185" dataDxfId="184">
  <autoFilter ref="O8:S9"/>
  <tableColumns count="5">
    <tableColumn id="1" name="Year" dataDxfId="183"/>
    <tableColumn id="2" name="Cars" dataDxfId="182">
      <calculatedColumnFormula>EnergyCal!J19</calculatedColumnFormula>
    </tableColumn>
    <tableColumn id="3" name="DPV" dataDxfId="181">
      <calculatedColumnFormula>EnergyCal!K19</calculatedColumnFormula>
    </tableColumn>
    <tableColumn id="4" name="Buses" dataDxfId="180">
      <calculatedColumnFormula>EnergyCal!L19</calculatedColumnFormula>
    </tableColumn>
    <tableColumn id="5" name="TOTAL" dataDxfId="179">
      <calculatedColumnFormula>P9+Q9+R9</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12" name="Table413" displayName="Table413" ref="V8:Y9" totalsRowShown="0" headerRowDxfId="178" dataDxfId="177">
  <autoFilter ref="V8:Y9"/>
  <tableColumns count="4">
    <tableColumn id="1" name="Year" dataDxfId="176"/>
    <tableColumn id="2" name="Cars" dataDxfId="175">
      <calculatedColumnFormula>EnergyCal!O19</calculatedColumnFormula>
    </tableColumn>
    <tableColumn id="3" name="DPV" dataDxfId="174">
      <calculatedColumnFormula>EnergyCal!P19</calculatedColumnFormula>
    </tableColumn>
    <tableColumn id="4" name="TOTAL" dataDxfId="173">
      <calculatedColumnFormula>W9+X9</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id="13" name="Table514" displayName="Table514" ref="AD3:AM4" totalsRowShown="0" headerRowDxfId="172" dataDxfId="171">
  <autoFilter ref="AD3:AM4"/>
  <tableColumns count="10">
    <tableColumn id="1" name="Autocycle" dataDxfId="170">
      <calculatedColumnFormula>EnergyCal!C$26</calculatedColumnFormula>
    </tableColumn>
    <tableColumn id="2" name="Motocycle" dataDxfId="169">
      <calculatedColumnFormula>EnergyCal!C27</calculatedColumnFormula>
    </tableColumn>
    <tableColumn id="3" name="Car" dataDxfId="168">
      <calculatedColumnFormula>EnergyCal!C28</calculatedColumnFormula>
    </tableColumn>
    <tableColumn id="4" name="DPV" dataDxfId="167">
      <calculatedColumnFormula>EnergyCal!C29</calculatedColumnFormula>
    </tableColumn>
    <tableColumn id="5" name="Car_Dsl" dataDxfId="166">
      <calculatedColumnFormula>EnergyCal!C30</calculatedColumnFormula>
    </tableColumn>
    <tableColumn id="6" name="DPV_Dsl" dataDxfId="165">
      <calculatedColumnFormula>EnergyCal!C31</calculatedColumnFormula>
    </tableColumn>
    <tableColumn id="7" name="Bus" dataDxfId="164">
      <calculatedColumnFormula>EnergyCal!C32</calculatedColumnFormula>
    </tableColumn>
    <tableColumn id="8" name="Car_Hbrid" dataDxfId="163">
      <calculatedColumnFormula>EnergyCal!C35</calculatedColumnFormula>
    </tableColumn>
    <tableColumn id="9" name="Car_LPG" dataDxfId="162">
      <calculatedColumnFormula>EnergyCal!C36</calculatedColumnFormula>
    </tableColumn>
    <tableColumn id="10" name="DPV_LPG" dataDxfId="161">
      <calculatedColumnFormula>EnergyCal!C37</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id="14" name="Table615" displayName="Table615" ref="AC6:AD9" totalsRowShown="0" headerRowDxfId="160" dataDxfId="159">
  <autoFilter ref="AC6:AD9"/>
  <tableColumns count="2">
    <tableColumn id="1" name="Fuel " dataDxfId="158"/>
    <tableColumn id="2" name="density (kg/L)" dataDxfId="157">
      <calculatedColumnFormula>EnergyCal!G25</calculatedColumnFormula>
    </tableColumn>
  </tableColumns>
  <tableStyleInfo name="TableStyleMedium9" showFirstColumn="0" showLastColumn="0" showRowStripes="1" showColumnStripes="0"/>
</table>
</file>

<file path=xl/tables/table15.xml><?xml version="1.0" encoding="utf-8"?>
<table xmlns="http://schemas.openxmlformats.org/spreadsheetml/2006/main" id="15" name="Table716" displayName="Table716" ref="AK7:AL9" totalsRowShown="0" dataDxfId="156">
  <autoFilter ref="AK7:AL9"/>
  <tableColumns count="2">
    <tableColumn id="1" name="Column1" dataDxfId="155"/>
    <tableColumn id="2" name="Column2" dataDxfId="154">
      <calculatedColumnFormula>EnergyCal!G30</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id="16" name="Table817" displayName="Table817" ref="BO5:BP8" totalsRowShown="0" headerRowDxfId="153" dataDxfId="152">
  <autoFilter ref="BO5:BP8"/>
  <tableColumns count="2">
    <tableColumn id="1" name="GHG" dataDxfId="151"/>
    <tableColumn id="2" name="GWP" dataDxfId="150"/>
  </tableColumns>
  <tableStyleInfo name="TableStyleMedium9" showFirstColumn="0" showLastColumn="0" showRowStripes="1" showColumnStripes="0"/>
</table>
</file>

<file path=xl/tables/table17.xml><?xml version="1.0" encoding="utf-8"?>
<table xmlns="http://schemas.openxmlformats.org/spreadsheetml/2006/main" id="17" name="Table11018" displayName="Table11018" ref="A8:E9" totalsRowShown="0" dataDxfId="149">
  <autoFilter ref="A8:E9"/>
  <tableColumns count="5">
    <tableColumn id="1" name="Year"/>
    <tableColumn id="2" name="Gasoline" dataDxfId="148">
      <calculatedColumnFormula>EnergyCal!W8</calculatedColumnFormula>
    </tableColumn>
    <tableColumn id="3" name="Diesel " dataDxfId="147">
      <calculatedColumnFormula>EnergyCal!X8</calculatedColumnFormula>
    </tableColumn>
    <tableColumn id="4" name="LPG" dataDxfId="146">
      <calculatedColumnFormula>EnergyCal!Y8</calculatedColumnFormula>
    </tableColumn>
    <tableColumn id="5" name="Total" dataDxfId="145">
      <calculatedColumnFormula>B9+C9+D9</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id="18" name="Table21119" displayName="Table21119" ref="G8:M9" totalsRowShown="0" headerRowDxfId="144" dataDxfId="143">
  <autoFilter ref="G8:M9"/>
  <tableColumns count="7">
    <tableColumn id="1" name="Year" dataDxfId="142"/>
    <tableColumn id="2" name="Autocycle" dataDxfId="141">
      <calculatedColumnFormula>EnergyCal!C$19</calculatedColumnFormula>
    </tableColumn>
    <tableColumn id="3" name="Motocycle" dataDxfId="140">
      <calculatedColumnFormula>EnergyCal!D$19</calculatedColumnFormula>
    </tableColumn>
    <tableColumn id="4" name="cars" dataDxfId="139">
      <calculatedColumnFormula>EnergyCal!E$19</calculatedColumnFormula>
    </tableColumn>
    <tableColumn id="5" name="DPV" dataDxfId="138">
      <calculatedColumnFormula>EnergyCal!F$19</calculatedColumnFormula>
    </tableColumn>
    <tableColumn id="6" name="Hybrid" dataDxfId="137">
      <calculatedColumnFormula>EnergyCal!G$19</calculatedColumnFormula>
    </tableColumn>
    <tableColumn id="7" name="TOTAL" dataDxfId="136">
      <calculatedColumnFormula>SUM(H9:L9)</calculatedColumnFormula>
    </tableColumn>
  </tableColumns>
  <tableStyleInfo name="TableStyleMedium7" showFirstColumn="0" showLastColumn="0" showRowStripes="1" showColumnStripes="0"/>
</table>
</file>

<file path=xl/tables/table19.xml><?xml version="1.0" encoding="utf-8"?>
<table xmlns="http://schemas.openxmlformats.org/spreadsheetml/2006/main" id="19" name="Table31220" displayName="Table31220" ref="O8:S9" totalsRowShown="0" headerRowDxfId="135" dataDxfId="134">
  <autoFilter ref="O8:S9"/>
  <tableColumns count="5">
    <tableColumn id="1" name="Year" dataDxfId="133"/>
    <tableColumn id="2" name="Cars" dataDxfId="132">
      <calculatedColumnFormula>EnergyCal!J19</calculatedColumnFormula>
    </tableColumn>
    <tableColumn id="3" name="DPV" dataDxfId="131">
      <calculatedColumnFormula>EnergyCal!K19</calculatedColumnFormula>
    </tableColumn>
    <tableColumn id="4" name="Buses" dataDxfId="130">
      <calculatedColumnFormula>EnergyCal!L19</calculatedColumnFormula>
    </tableColumn>
    <tableColumn id="5" name="TOTAL" dataDxfId="129">
      <calculatedColumnFormula>P9+Q9+R9</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G8:M9" totalsRowShown="0" headerRowDxfId="244" dataDxfId="243">
  <autoFilter ref="G8:M9"/>
  <tableColumns count="7">
    <tableColumn id="1" name="Year" dataDxfId="242"/>
    <tableColumn id="2" name="Autocycle" dataDxfId="241">
      <calculatedColumnFormula>EnergyCal!C$19</calculatedColumnFormula>
    </tableColumn>
    <tableColumn id="3" name="Motocycle" dataDxfId="240">
      <calculatedColumnFormula>EnergyCal!D$19</calculatedColumnFormula>
    </tableColumn>
    <tableColumn id="4" name="cars" dataDxfId="239">
      <calculatedColumnFormula>EnergyCal!E$19</calculatedColumnFormula>
    </tableColumn>
    <tableColumn id="5" name="DPV" dataDxfId="238">
      <calculatedColumnFormula>EnergyCal!F$19</calculatedColumnFormula>
    </tableColumn>
    <tableColumn id="6" name="Hybrid" dataDxfId="237">
      <calculatedColumnFormula>EnergyCal!G$19</calculatedColumnFormula>
    </tableColumn>
    <tableColumn id="7" name="TOTAL" dataDxfId="236">
      <calculatedColumnFormula>SUM(H9:L9)</calculatedColumnFormula>
    </tableColumn>
  </tableColumns>
  <tableStyleInfo name="TableStyleMedium7" showFirstColumn="0" showLastColumn="0" showRowStripes="1" showColumnStripes="0"/>
</table>
</file>

<file path=xl/tables/table20.xml><?xml version="1.0" encoding="utf-8"?>
<table xmlns="http://schemas.openxmlformats.org/spreadsheetml/2006/main" id="20" name="Table41321" displayName="Table41321" ref="V8:Y9" totalsRowShown="0" headerRowDxfId="128" dataDxfId="127">
  <autoFilter ref="V8:Y9"/>
  <tableColumns count="4">
    <tableColumn id="1" name="Year" dataDxfId="126"/>
    <tableColumn id="2" name="Cars" dataDxfId="125">
      <calculatedColumnFormula>EnergyCal!O19</calculatedColumnFormula>
    </tableColumn>
    <tableColumn id="3" name="DPV" dataDxfId="124">
      <calculatedColumnFormula>EnergyCal!P19</calculatedColumnFormula>
    </tableColumn>
    <tableColumn id="4" name="TOTAL" dataDxfId="123">
      <calculatedColumnFormula>W9+X9</calculatedColumnFormula>
    </tableColumn>
  </tableColumns>
  <tableStyleInfo name="TableStyleMedium9" showFirstColumn="0" showLastColumn="0" showRowStripes="1" showColumnStripes="0"/>
</table>
</file>

<file path=xl/tables/table21.xml><?xml version="1.0" encoding="utf-8"?>
<table xmlns="http://schemas.openxmlformats.org/spreadsheetml/2006/main" id="21" name="Table51422" displayName="Table51422" ref="AD3:AM4" totalsRowShown="0" headerRowDxfId="122" dataDxfId="121">
  <autoFilter ref="AD3:AM4"/>
  <tableColumns count="10">
    <tableColumn id="1" name="Autocycle" dataDxfId="120">
      <calculatedColumnFormula>EnergyCal!C$26</calculatedColumnFormula>
    </tableColumn>
    <tableColumn id="2" name="Motocycle" dataDxfId="119">
      <calculatedColumnFormula>EnergyCal!C27</calculatedColumnFormula>
    </tableColumn>
    <tableColumn id="3" name="Car" dataDxfId="118">
      <calculatedColumnFormula>EnergyCal!C28</calculatedColumnFormula>
    </tableColumn>
    <tableColumn id="4" name="DPV" dataDxfId="117">
      <calculatedColumnFormula>EnergyCal!C29</calculatedColumnFormula>
    </tableColumn>
    <tableColumn id="5" name="Car_Dsl" dataDxfId="116">
      <calculatedColumnFormula>EnergyCal!C30</calculatedColumnFormula>
    </tableColumn>
    <tableColumn id="6" name="DPV_Dsl" dataDxfId="115">
      <calculatedColumnFormula>EnergyCal!C31</calculatedColumnFormula>
    </tableColumn>
    <tableColumn id="7" name="Bus" dataDxfId="114">
      <calculatedColumnFormula>EnergyCal!C32</calculatedColumnFormula>
    </tableColumn>
    <tableColumn id="8" name="Car_Hbrid" dataDxfId="113">
      <calculatedColumnFormula>EnergyCal!C35</calculatedColumnFormula>
    </tableColumn>
    <tableColumn id="9" name="Car_LPG" dataDxfId="112">
      <calculatedColumnFormula>EnergyCal!C36</calculatedColumnFormula>
    </tableColumn>
    <tableColumn id="10" name="DPV_LPG" dataDxfId="111">
      <calculatedColumnFormula>EnergyCal!C37</calculatedColumnFormula>
    </tableColumn>
  </tableColumns>
  <tableStyleInfo name="TableStyleMedium9" showFirstColumn="0" showLastColumn="0" showRowStripes="1" showColumnStripes="0"/>
</table>
</file>

<file path=xl/tables/table22.xml><?xml version="1.0" encoding="utf-8"?>
<table xmlns="http://schemas.openxmlformats.org/spreadsheetml/2006/main" id="22" name="Table61523" displayName="Table61523" ref="AC6:AD9" totalsRowShown="0" headerRowDxfId="110" dataDxfId="109">
  <autoFilter ref="AC6:AD9"/>
  <tableColumns count="2">
    <tableColumn id="1" name="Fuel " dataDxfId="108"/>
    <tableColumn id="2" name="density (kg/L)" dataDxfId="107">
      <calculatedColumnFormula>EnergyCal!G25</calculatedColumnFormula>
    </tableColumn>
  </tableColumns>
  <tableStyleInfo name="TableStyleMedium9" showFirstColumn="0" showLastColumn="0" showRowStripes="1" showColumnStripes="0"/>
</table>
</file>

<file path=xl/tables/table23.xml><?xml version="1.0" encoding="utf-8"?>
<table xmlns="http://schemas.openxmlformats.org/spreadsheetml/2006/main" id="23" name="Table71624" displayName="Table71624" ref="AK7:AL9" totalsRowShown="0" dataDxfId="106">
  <autoFilter ref="AK7:AL9"/>
  <tableColumns count="2">
    <tableColumn id="1" name="Column1" dataDxfId="105"/>
    <tableColumn id="2" name="Column2" dataDxfId="104">
      <calculatedColumnFormula>EnergyCal!G30</calculatedColumnFormula>
    </tableColumn>
  </tableColumns>
  <tableStyleInfo name="TableStyleMedium9" showFirstColumn="0" showLastColumn="0" showRowStripes="1" showColumnStripes="0"/>
</table>
</file>

<file path=xl/tables/table24.xml><?xml version="1.0" encoding="utf-8"?>
<table xmlns="http://schemas.openxmlformats.org/spreadsheetml/2006/main" id="24" name="Table81725" displayName="Table81725" ref="BO5:BP8" totalsRowShown="0" headerRowDxfId="103" dataDxfId="102">
  <autoFilter ref="BO5:BP8"/>
  <tableColumns count="2">
    <tableColumn id="1" name="GHG" dataDxfId="101"/>
    <tableColumn id="2" name="GWP" dataDxfId="100"/>
  </tableColumns>
  <tableStyleInfo name="TableStyleMedium9" showFirstColumn="0" showLastColumn="0" showRowStripes="1" showColumnStripes="0"/>
</table>
</file>

<file path=xl/tables/table25.xml><?xml version="1.0" encoding="utf-8"?>
<table xmlns="http://schemas.openxmlformats.org/spreadsheetml/2006/main" id="25" name="Table1101826" displayName="Table1101826" ref="A8:E9" totalsRowShown="0" dataDxfId="99">
  <autoFilter ref="A8:E9"/>
  <tableColumns count="5">
    <tableColumn id="1" name="Year"/>
    <tableColumn id="2" name="Gasoline" dataDxfId="98">
      <calculatedColumnFormula>EnergyCal!W8</calculatedColumnFormula>
    </tableColumn>
    <tableColumn id="3" name="Diesel " dataDxfId="97">
      <calculatedColumnFormula>EnergyCal!X8</calculatedColumnFormula>
    </tableColumn>
    <tableColumn id="4" name="LPG" dataDxfId="96">
      <calculatedColumnFormula>EnergyCal!Y8</calculatedColumnFormula>
    </tableColumn>
    <tableColumn id="5" name="Total" dataDxfId="95">
      <calculatedColumnFormula>B9+C9+D9</calculatedColumnFormula>
    </tableColumn>
  </tableColumns>
  <tableStyleInfo name="TableStyleMedium9" showFirstColumn="0" showLastColumn="0" showRowStripes="1" showColumnStripes="0"/>
</table>
</file>

<file path=xl/tables/table26.xml><?xml version="1.0" encoding="utf-8"?>
<table xmlns="http://schemas.openxmlformats.org/spreadsheetml/2006/main" id="26" name="Table2111927" displayName="Table2111927" ref="G8:M9" totalsRowShown="0" headerRowDxfId="94" dataDxfId="93">
  <autoFilter ref="G8:M9"/>
  <tableColumns count="7">
    <tableColumn id="1" name="Year" dataDxfId="92"/>
    <tableColumn id="2" name="Autocycle" dataDxfId="91">
      <calculatedColumnFormula>EnergyCal!C$19</calculatedColumnFormula>
    </tableColumn>
    <tableColumn id="3" name="Motocycle" dataDxfId="90">
      <calculatedColumnFormula>EnergyCal!D$19</calculatedColumnFormula>
    </tableColumn>
    <tableColumn id="4" name="cars" dataDxfId="89">
      <calculatedColumnFormula>EnergyCal!E$19</calculatedColumnFormula>
    </tableColumn>
    <tableColumn id="5" name="DPV" dataDxfId="88">
      <calculatedColumnFormula>EnergyCal!F$19</calculatedColumnFormula>
    </tableColumn>
    <tableColumn id="6" name="Hybrid" dataDxfId="87">
      <calculatedColumnFormula>EnergyCal!G$19</calculatedColumnFormula>
    </tableColumn>
    <tableColumn id="7" name="TOTAL" dataDxfId="86">
      <calculatedColumnFormula>SUM(H9:L9)</calculatedColumnFormula>
    </tableColumn>
  </tableColumns>
  <tableStyleInfo name="TableStyleMedium7" showFirstColumn="0" showLastColumn="0" showRowStripes="1" showColumnStripes="0"/>
</table>
</file>

<file path=xl/tables/table27.xml><?xml version="1.0" encoding="utf-8"?>
<table xmlns="http://schemas.openxmlformats.org/spreadsheetml/2006/main" id="27" name="Table3122028" displayName="Table3122028" ref="O8:S9" totalsRowShown="0" headerRowDxfId="85" dataDxfId="84">
  <autoFilter ref="O8:S9"/>
  <tableColumns count="5">
    <tableColumn id="1" name="Year" dataDxfId="83"/>
    <tableColumn id="2" name="Cars" dataDxfId="82">
      <calculatedColumnFormula>EnergyCal!J19</calculatedColumnFormula>
    </tableColumn>
    <tableColumn id="3" name="DPV" dataDxfId="81">
      <calculatedColumnFormula>EnergyCal!K19</calculatedColumnFormula>
    </tableColumn>
    <tableColumn id="4" name="Buses" dataDxfId="80">
      <calculatedColumnFormula>EnergyCal!L19</calculatedColumnFormula>
    </tableColumn>
    <tableColumn id="5" name="TOTAL" dataDxfId="79">
      <calculatedColumnFormula>P9+Q9+R9</calculatedColumnFormula>
    </tableColumn>
  </tableColumns>
  <tableStyleInfo name="TableStyleMedium9" showFirstColumn="0" showLastColumn="0" showRowStripes="1" showColumnStripes="0"/>
</table>
</file>

<file path=xl/tables/table28.xml><?xml version="1.0" encoding="utf-8"?>
<table xmlns="http://schemas.openxmlformats.org/spreadsheetml/2006/main" id="28" name="Table4132129" displayName="Table4132129" ref="V8:Y9" totalsRowShown="0" headerRowDxfId="78" dataDxfId="77">
  <autoFilter ref="V8:Y9"/>
  <tableColumns count="4">
    <tableColumn id="1" name="Year" dataDxfId="76"/>
    <tableColumn id="2" name="Cars" dataDxfId="75">
      <calculatedColumnFormula>EnergyCal!O19</calculatedColumnFormula>
    </tableColumn>
    <tableColumn id="3" name="DPV" dataDxfId="74">
      <calculatedColumnFormula>EnergyCal!P19</calculatedColumnFormula>
    </tableColumn>
    <tableColumn id="4" name="TOTAL" dataDxfId="73">
      <calculatedColumnFormula>W9+X9</calculatedColumnFormula>
    </tableColumn>
  </tableColumns>
  <tableStyleInfo name="TableStyleMedium9" showFirstColumn="0" showLastColumn="0" showRowStripes="1" showColumnStripes="0"/>
</table>
</file>

<file path=xl/tables/table29.xml><?xml version="1.0" encoding="utf-8"?>
<table xmlns="http://schemas.openxmlformats.org/spreadsheetml/2006/main" id="29" name="Table5142230" displayName="Table5142230" ref="AD3:AM4" totalsRowShown="0" headerRowDxfId="72" dataDxfId="71">
  <autoFilter ref="AD3:AM4"/>
  <tableColumns count="10">
    <tableColumn id="1" name="Autocycle" dataDxfId="70">
      <calculatedColumnFormula>EnergyCal!C$26</calculatedColumnFormula>
    </tableColumn>
    <tableColumn id="2" name="Motocycle" dataDxfId="69">
      <calculatedColumnFormula>EnergyCal!C27</calculatedColumnFormula>
    </tableColumn>
    <tableColumn id="3" name="Car" dataDxfId="68">
      <calculatedColumnFormula>EnergyCal!C28</calculatedColumnFormula>
    </tableColumn>
    <tableColumn id="4" name="DPV" dataDxfId="67">
      <calculatedColumnFormula>EnergyCal!C29</calculatedColumnFormula>
    </tableColumn>
    <tableColumn id="5" name="Car_Dsl" dataDxfId="66">
      <calculatedColumnFormula>EnergyCal!C30</calculatedColumnFormula>
    </tableColumn>
    <tableColumn id="6" name="DPV_Dsl" dataDxfId="65">
      <calculatedColumnFormula>EnergyCal!C31</calculatedColumnFormula>
    </tableColumn>
    <tableColumn id="7" name="Bus" dataDxfId="64">
      <calculatedColumnFormula>EnergyCal!C32</calculatedColumnFormula>
    </tableColumn>
    <tableColumn id="8" name="Car_Hbrid" dataDxfId="63">
      <calculatedColumnFormula>EnergyCal!C35</calculatedColumnFormula>
    </tableColumn>
    <tableColumn id="9" name="Car_LPG" dataDxfId="62">
      <calculatedColumnFormula>EnergyCal!C36</calculatedColumnFormula>
    </tableColumn>
    <tableColumn id="10" name="DPV_LPG" dataDxfId="61">
      <calculatedColumnFormula>EnergyCal!C37</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O8:S9" totalsRowShown="0" headerRowDxfId="235" dataDxfId="234">
  <autoFilter ref="O8:S9"/>
  <tableColumns count="5">
    <tableColumn id="1" name="Year" dataDxfId="233"/>
    <tableColumn id="2" name="Cars" dataDxfId="232">
      <calculatedColumnFormula>EnergyCal!J19</calculatedColumnFormula>
    </tableColumn>
    <tableColumn id="3" name="DPV" dataDxfId="231">
      <calculatedColumnFormula>EnergyCal!K19</calculatedColumnFormula>
    </tableColumn>
    <tableColumn id="4" name="Buses" dataDxfId="230">
      <calculatedColumnFormula>EnergyCal!L19</calculatedColumnFormula>
    </tableColumn>
    <tableColumn id="5" name="TOTAL" dataDxfId="229">
      <calculatedColumnFormula>P9+Q9+R9</calculatedColumnFormula>
    </tableColumn>
  </tableColumns>
  <tableStyleInfo name="TableStyleMedium9" showFirstColumn="0" showLastColumn="0" showRowStripes="1" showColumnStripes="0"/>
</table>
</file>

<file path=xl/tables/table30.xml><?xml version="1.0" encoding="utf-8"?>
<table xmlns="http://schemas.openxmlformats.org/spreadsheetml/2006/main" id="30" name="Table6152331" displayName="Table6152331" ref="AC6:AD9" totalsRowShown="0" headerRowDxfId="60" dataDxfId="59">
  <autoFilter ref="AC6:AD9"/>
  <tableColumns count="2">
    <tableColumn id="1" name="Fuel " dataDxfId="58"/>
    <tableColumn id="2" name="density (kg/L)" dataDxfId="57">
      <calculatedColumnFormula>EnergyCal!G25</calculatedColumnFormula>
    </tableColumn>
  </tableColumns>
  <tableStyleInfo name="TableStyleMedium9" showFirstColumn="0" showLastColumn="0" showRowStripes="1" showColumnStripes="0"/>
</table>
</file>

<file path=xl/tables/table31.xml><?xml version="1.0" encoding="utf-8"?>
<table xmlns="http://schemas.openxmlformats.org/spreadsheetml/2006/main" id="31" name="Table7162432" displayName="Table7162432" ref="AK7:AL9" totalsRowShown="0" dataDxfId="56">
  <autoFilter ref="AK7:AL9"/>
  <tableColumns count="2">
    <tableColumn id="1" name="Column1" dataDxfId="55"/>
    <tableColumn id="2" name="Column2" dataDxfId="54">
      <calculatedColumnFormula>EnergyCal!G30</calculatedColumnFormula>
    </tableColumn>
  </tableColumns>
  <tableStyleInfo name="TableStyleMedium9" showFirstColumn="0" showLastColumn="0" showRowStripes="1" showColumnStripes="0"/>
</table>
</file>

<file path=xl/tables/table32.xml><?xml version="1.0" encoding="utf-8"?>
<table xmlns="http://schemas.openxmlformats.org/spreadsheetml/2006/main" id="32" name="Table8172533" displayName="Table8172533" ref="BS5:BT8" totalsRowShown="0" headerRowDxfId="53" dataDxfId="52">
  <autoFilter ref="BS5:BT8"/>
  <tableColumns count="2">
    <tableColumn id="1" name="GHG" dataDxfId="51"/>
    <tableColumn id="2" name="GWP" dataDxfId="50"/>
  </tableColumns>
  <tableStyleInfo name="TableStyleMedium9" showFirstColumn="0" showLastColumn="0" showRowStripes="1" showColumnStripes="0"/>
</table>
</file>

<file path=xl/tables/table33.xml><?xml version="1.0" encoding="utf-8"?>
<table xmlns="http://schemas.openxmlformats.org/spreadsheetml/2006/main" id="41" name="Table142" displayName="Table142" ref="A8:E9" totalsRowShown="0" dataDxfId="49">
  <autoFilter ref="A8:E9"/>
  <tableColumns count="5">
    <tableColumn id="1" name="Year"/>
    <tableColumn id="2" name="Gasoline" dataDxfId="48">
      <calculatedColumnFormula>EnergyCal!W8</calculatedColumnFormula>
    </tableColumn>
    <tableColumn id="3" name="Diesel " dataDxfId="47">
      <calculatedColumnFormula>EnergyCal!X8</calculatedColumnFormula>
    </tableColumn>
    <tableColumn id="4" name="LPG" dataDxfId="46">
      <calculatedColumnFormula>EnergyCal!Y8</calculatedColumnFormula>
    </tableColumn>
    <tableColumn id="5" name="Total" dataDxfId="45">
      <calculatedColumnFormula>B9+C9+D9</calculatedColumnFormula>
    </tableColumn>
  </tableColumns>
  <tableStyleInfo name="TableStyleMedium9" showFirstColumn="0" showLastColumn="0" showRowStripes="1" showColumnStripes="0"/>
</table>
</file>

<file path=xl/tables/table34.xml><?xml version="1.0" encoding="utf-8"?>
<table xmlns="http://schemas.openxmlformats.org/spreadsheetml/2006/main" id="42" name="Table243" displayName="Table243" ref="G8:M9" totalsRowShown="0" headerRowDxfId="44" dataDxfId="43">
  <autoFilter ref="G8:M9"/>
  <tableColumns count="7">
    <tableColumn id="1" name="Year" dataDxfId="42"/>
    <tableColumn id="2" name="Autocycle" dataDxfId="41">
      <calculatedColumnFormula>EnergyCal!C$19</calculatedColumnFormula>
    </tableColumn>
    <tableColumn id="3" name="Motocycle" dataDxfId="40">
      <calculatedColumnFormula>EnergyCal!D$19</calculatedColumnFormula>
    </tableColumn>
    <tableColumn id="4" name="cars" dataDxfId="39">
      <calculatedColumnFormula>EnergyCal!E$19</calculatedColumnFormula>
    </tableColumn>
    <tableColumn id="5" name="DPV" dataDxfId="38">
      <calculatedColumnFormula>EnergyCal!F$19</calculatedColumnFormula>
    </tableColumn>
    <tableColumn id="6" name="Hybrid" dataDxfId="37">
      <calculatedColumnFormula>EnergyCal!G$19</calculatedColumnFormula>
    </tableColumn>
    <tableColumn id="7" name="TOTAL" dataDxfId="36">
      <calculatedColumnFormula>SUM(H9:L9)</calculatedColumnFormula>
    </tableColumn>
  </tableColumns>
  <tableStyleInfo name="TableStyleMedium7" showFirstColumn="0" showLastColumn="0" showRowStripes="1" showColumnStripes="0"/>
</table>
</file>

<file path=xl/tables/table35.xml><?xml version="1.0" encoding="utf-8"?>
<table xmlns="http://schemas.openxmlformats.org/spreadsheetml/2006/main" id="43" name="Table344" displayName="Table344" ref="O8:S9" totalsRowShown="0" headerRowDxfId="35" dataDxfId="34">
  <autoFilter ref="O8:S9"/>
  <tableColumns count="5">
    <tableColumn id="1" name="Year" dataDxfId="33"/>
    <tableColumn id="2" name="Cars" dataDxfId="32">
      <calculatedColumnFormula>EnergyCal!J19</calculatedColumnFormula>
    </tableColumn>
    <tableColumn id="3" name="DPV" dataDxfId="31">
      <calculatedColumnFormula>EnergyCal!K19</calculatedColumnFormula>
    </tableColumn>
    <tableColumn id="4" name="Buses" dataDxfId="30">
      <calculatedColumnFormula>EnergyCal!L19</calculatedColumnFormula>
    </tableColumn>
    <tableColumn id="5" name="TOTAL" dataDxfId="29">
      <calculatedColumnFormula>P9+Q9+R9</calculatedColumnFormula>
    </tableColumn>
  </tableColumns>
  <tableStyleInfo name="TableStyleMedium9" showFirstColumn="0" showLastColumn="0" showRowStripes="1" showColumnStripes="0"/>
</table>
</file>

<file path=xl/tables/table36.xml><?xml version="1.0" encoding="utf-8"?>
<table xmlns="http://schemas.openxmlformats.org/spreadsheetml/2006/main" id="44" name="Table445" displayName="Table445" ref="V8:Y9" totalsRowShown="0" headerRowDxfId="28" dataDxfId="27">
  <autoFilter ref="V8:Y9"/>
  <tableColumns count="4">
    <tableColumn id="1" name="Year" dataDxfId="26"/>
    <tableColumn id="2" name="Cars" dataDxfId="25">
      <calculatedColumnFormula>EnergyCal!O19</calculatedColumnFormula>
    </tableColumn>
    <tableColumn id="3" name="DPV" dataDxfId="24">
      <calculatedColumnFormula>EnergyCal!P19</calculatedColumnFormula>
    </tableColumn>
    <tableColumn id="4" name="TOTAL" dataDxfId="23">
      <calculatedColumnFormula>W9+X9</calculatedColumnFormula>
    </tableColumn>
  </tableColumns>
  <tableStyleInfo name="TableStyleMedium9" showFirstColumn="0" showLastColumn="0" showRowStripes="1" showColumnStripes="0"/>
</table>
</file>

<file path=xl/tables/table37.xml><?xml version="1.0" encoding="utf-8"?>
<table xmlns="http://schemas.openxmlformats.org/spreadsheetml/2006/main" id="45" name="Table546" displayName="Table546" ref="AD3:AM4" totalsRowShown="0" headerRowDxfId="22" dataDxfId="21">
  <autoFilter ref="AD3:AM4"/>
  <tableColumns count="10">
    <tableColumn id="1" name="Autocycle" dataDxfId="20">
      <calculatedColumnFormula>EnergyCal!C$26</calculatedColumnFormula>
    </tableColumn>
    <tableColumn id="2" name="Motocycle" dataDxfId="19">
      <calculatedColumnFormula>EnergyCal!C27</calculatedColumnFormula>
    </tableColumn>
    <tableColumn id="3" name="Car" dataDxfId="18">
      <calculatedColumnFormula>EnergyCal!C28</calculatedColumnFormula>
    </tableColumn>
    <tableColumn id="4" name="DPV" dataDxfId="17">
      <calculatedColumnFormula>EnergyCal!C29</calculatedColumnFormula>
    </tableColumn>
    <tableColumn id="5" name="Car_Dsl" dataDxfId="16">
      <calculatedColumnFormula>EnergyCal!C30</calculatedColumnFormula>
    </tableColumn>
    <tableColumn id="6" name="DPV_Dsl" dataDxfId="15">
      <calculatedColumnFormula>EnergyCal!C31</calculatedColumnFormula>
    </tableColumn>
    <tableColumn id="7" name="Bus" dataDxfId="14">
      <calculatedColumnFormula>EnergyCal!C32</calculatedColumnFormula>
    </tableColumn>
    <tableColumn id="8" name="Car_Hbrid" dataDxfId="13">
      <calculatedColumnFormula>EnergyCal!C35</calculatedColumnFormula>
    </tableColumn>
    <tableColumn id="9" name="Car_LPG" dataDxfId="12">
      <calculatedColumnFormula>EnergyCal!C36</calculatedColumnFormula>
    </tableColumn>
    <tableColumn id="10" name="DPV_LPG" dataDxfId="11">
      <calculatedColumnFormula>EnergyCal!C37</calculatedColumnFormula>
    </tableColumn>
  </tableColumns>
  <tableStyleInfo name="TableStyleMedium9" showFirstColumn="0" showLastColumn="0" showRowStripes="1" showColumnStripes="0"/>
</table>
</file>

<file path=xl/tables/table38.xml><?xml version="1.0" encoding="utf-8"?>
<table xmlns="http://schemas.openxmlformats.org/spreadsheetml/2006/main" id="46" name="Table647" displayName="Table647" ref="AC6:AD9" totalsRowShown="0" headerRowDxfId="10" dataDxfId="9">
  <autoFilter ref="AC6:AD9"/>
  <tableColumns count="2">
    <tableColumn id="1" name="Fuel " dataDxfId="8"/>
    <tableColumn id="2" name="density (kg/L)" dataDxfId="7">
      <calculatedColumnFormula>EnergyCal!G25</calculatedColumnFormula>
    </tableColumn>
  </tableColumns>
  <tableStyleInfo name="TableStyleMedium9" showFirstColumn="0" showLastColumn="0" showRowStripes="1" showColumnStripes="0"/>
</table>
</file>

<file path=xl/tables/table39.xml><?xml version="1.0" encoding="utf-8"?>
<table xmlns="http://schemas.openxmlformats.org/spreadsheetml/2006/main" id="47" name="Table748" displayName="Table748" ref="AK7:AL9" totalsRowShown="0" dataDxfId="6">
  <autoFilter ref="AK7:AL9"/>
  <tableColumns count="2">
    <tableColumn id="1" name="Column1" dataDxfId="5"/>
    <tableColumn id="2" name="Column2" dataDxfId="4">
      <calculatedColumnFormula>EnergyCal!G30</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V8:Y9" totalsRowShown="0" headerRowDxfId="228" dataDxfId="227">
  <autoFilter ref="V8:Y9"/>
  <tableColumns count="4">
    <tableColumn id="1" name="Year" dataDxfId="226"/>
    <tableColumn id="2" name="Cars" dataDxfId="225">
      <calculatedColumnFormula>EnergyCal!O19</calculatedColumnFormula>
    </tableColumn>
    <tableColumn id="3" name="DPV" dataDxfId="224">
      <calculatedColumnFormula>EnergyCal!P19</calculatedColumnFormula>
    </tableColumn>
    <tableColumn id="4" name="TOTAL" dataDxfId="223">
      <calculatedColumnFormula>W9+X9</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48" name="Table849" displayName="Table849" ref="BK5:BL8" totalsRowShown="0" headerRowDxfId="3" dataDxfId="2">
  <autoFilter ref="BK5:BL8"/>
  <tableColumns count="2">
    <tableColumn id="1" name="GHG" dataDxfId="1"/>
    <tableColumn id="2" name="GWP" dataDxfId="0"/>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D3:AM4" totalsRowShown="0" headerRowDxfId="222" dataDxfId="221">
  <autoFilter ref="AD3:AM4"/>
  <tableColumns count="10">
    <tableColumn id="1" name="Autocycle" dataDxfId="220">
      <calculatedColumnFormula>EnergyCal!C$26</calculatedColumnFormula>
    </tableColumn>
    <tableColumn id="2" name="Motocycle" dataDxfId="219">
      <calculatedColumnFormula>EnergyCal!C27</calculatedColumnFormula>
    </tableColumn>
    <tableColumn id="3" name="Car" dataDxfId="218">
      <calculatedColumnFormula>EnergyCal!C28</calculatedColumnFormula>
    </tableColumn>
    <tableColumn id="4" name="DPV" dataDxfId="217">
      <calculatedColumnFormula>EnergyCal!C29</calculatedColumnFormula>
    </tableColumn>
    <tableColumn id="5" name="Car_Dsl" dataDxfId="216">
      <calculatedColumnFormula>EnergyCal!C30</calculatedColumnFormula>
    </tableColumn>
    <tableColumn id="6" name="DPV_Dsl" dataDxfId="215">
      <calculatedColumnFormula>EnergyCal!C31</calculatedColumnFormula>
    </tableColumn>
    <tableColumn id="7" name="Bus" dataDxfId="214">
      <calculatedColumnFormula>EnergyCal!C32</calculatedColumnFormula>
    </tableColumn>
    <tableColumn id="8" name="Car_Hbrid" dataDxfId="213">
      <calculatedColumnFormula>EnergyCal!C35</calculatedColumnFormula>
    </tableColumn>
    <tableColumn id="9" name="Car_LPG" dataDxfId="212">
      <calculatedColumnFormula>EnergyCal!C36</calculatedColumnFormula>
    </tableColumn>
    <tableColumn id="10" name="DPV_LPG" dataDxfId="211">
      <calculatedColumnFormula>EnergyCal!C37</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C6:AD9" totalsRowShown="0" headerRowDxfId="210" dataDxfId="209">
  <autoFilter ref="AC6:AD9"/>
  <tableColumns count="2">
    <tableColumn id="1" name="Fuel " dataDxfId="208"/>
    <tableColumn id="2" name="density (kg/L)" dataDxfId="207">
      <calculatedColumnFormula>EnergyCal!G25</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AK7:AL9" totalsRowShown="0" dataDxfId="206">
  <autoFilter ref="AK7:AL9"/>
  <tableColumns count="2">
    <tableColumn id="1" name="Column1" dataDxfId="205"/>
    <tableColumn id="2" name="Column2" dataDxfId="204">
      <calculatedColumnFormula>EnergyCal!G30</calculatedColumnFormula>
    </tableColumn>
  </tableColumns>
  <tableStyleInfo name="TableStyleMedium9" showFirstColumn="0" showLastColumn="0" showRowStripes="1" showColumnStripes="0"/>
</table>
</file>

<file path=xl/tables/table8.xml><?xml version="1.0" encoding="utf-8"?>
<table xmlns="http://schemas.openxmlformats.org/spreadsheetml/2006/main" id="8" name="Table8" displayName="Table8" ref="BK5:BL8" totalsRowShown="0" headerRowDxfId="203" dataDxfId="202">
  <autoFilter ref="BK5:BL8"/>
  <tableColumns count="2">
    <tableColumn id="1" name="GHG" dataDxfId="201"/>
    <tableColumn id="2" name="GWP" dataDxfId="200"/>
  </tableColumns>
  <tableStyleInfo name="TableStyleMedium9" showFirstColumn="0" showLastColumn="0" showRowStripes="1" showColumnStripes="0"/>
</table>
</file>

<file path=xl/tables/table9.xml><?xml version="1.0" encoding="utf-8"?>
<table xmlns="http://schemas.openxmlformats.org/spreadsheetml/2006/main" id="9" name="Table110" displayName="Table110" ref="A8:E9" totalsRowShown="0" dataDxfId="199">
  <autoFilter ref="A8:E9"/>
  <tableColumns count="5">
    <tableColumn id="1" name="Year"/>
    <tableColumn id="2" name="Gasoline" dataDxfId="198">
      <calculatedColumnFormula>EnergyCal!W8</calculatedColumnFormula>
    </tableColumn>
    <tableColumn id="3" name="Diesel " dataDxfId="197">
      <calculatedColumnFormula>EnergyCal!X8</calculatedColumnFormula>
    </tableColumn>
    <tableColumn id="4" name="LPG" dataDxfId="196">
      <calculatedColumnFormula>EnergyCal!Y8</calculatedColumnFormula>
    </tableColumn>
    <tableColumn id="5" name="Total" dataDxfId="195">
      <calculatedColumnFormula>B9+C9+D9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31.xml"/><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printerSettings" Target="../printerSettings/printerSettings8.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 Id="rId9" Type="http://schemas.openxmlformats.org/officeDocument/2006/relationships/table" Target="../tables/table32.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38.xml"/><Relationship Id="rId3" Type="http://schemas.openxmlformats.org/officeDocument/2006/relationships/table" Target="../tables/table33.xml"/><Relationship Id="rId7" Type="http://schemas.openxmlformats.org/officeDocument/2006/relationships/table" Target="../tables/table37.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table" Target="../tables/table36.xml"/><Relationship Id="rId5" Type="http://schemas.openxmlformats.org/officeDocument/2006/relationships/table" Target="../tables/table35.xml"/><Relationship Id="rId10" Type="http://schemas.openxmlformats.org/officeDocument/2006/relationships/table" Target="../tables/table40.xml"/><Relationship Id="rId4" Type="http://schemas.openxmlformats.org/officeDocument/2006/relationships/table" Target="../tables/table34.xml"/><Relationship Id="rId9" Type="http://schemas.openxmlformats.org/officeDocument/2006/relationships/table" Target="../tables/table3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8.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table" Target="../tables/table12.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table" Target="../tables/table20.xml"/><Relationship Id="rId5" Type="http://schemas.openxmlformats.org/officeDocument/2006/relationships/table" Target="../tables/table19.xml"/><Relationship Id="rId10" Type="http://schemas.openxmlformats.org/officeDocument/2006/relationships/table" Target="../tables/table24.xml"/><Relationship Id="rId4" Type="http://schemas.openxmlformats.org/officeDocument/2006/relationships/table" Target="../tables/table18.xml"/><Relationship Id="rId9"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view="pageBreakPreview" topLeftCell="B1" zoomScaleSheetLayoutView="100" workbookViewId="0">
      <selection activeCell="V18" sqref="V18"/>
    </sheetView>
  </sheetViews>
  <sheetFormatPr defaultRowHeight="15.75" x14ac:dyDescent="0.25"/>
  <cols>
    <col min="1" max="1" width="24.85546875" style="2" customWidth="1"/>
    <col min="2" max="2" width="13" style="2" bestFit="1" customWidth="1"/>
    <col min="3" max="5" width="9.28515625" style="2" hidden="1" customWidth="1"/>
    <col min="6" max="6" width="10.85546875" style="2" bestFit="1" customWidth="1"/>
    <col min="7" max="7" width="10.42578125" style="2" bestFit="1" customWidth="1"/>
    <col min="8" max="8" width="10.85546875" style="2" bestFit="1" customWidth="1"/>
    <col min="9" max="9" width="10.42578125" style="2" bestFit="1" customWidth="1"/>
    <col min="10" max="10" width="12.5703125" style="2" bestFit="1" customWidth="1"/>
    <col min="11" max="11" width="10.42578125" style="2" bestFit="1" customWidth="1"/>
    <col min="12" max="12" width="10.85546875" style="2" bestFit="1" customWidth="1"/>
    <col min="13" max="13" width="9.85546875" style="2" bestFit="1" customWidth="1"/>
    <col min="14" max="15" width="10.42578125" style="2" bestFit="1" customWidth="1"/>
    <col min="16" max="17" width="10.85546875" style="2" bestFit="1" customWidth="1"/>
    <col min="18" max="18" width="10.42578125" style="2" bestFit="1" customWidth="1"/>
    <col min="19" max="19" width="9.140625" style="1"/>
  </cols>
  <sheetData>
    <row r="1" spans="1:19" ht="43.5" customHeight="1" x14ac:dyDescent="0.25">
      <c r="A1" s="204" t="s">
        <v>16</v>
      </c>
      <c r="B1" s="204"/>
      <c r="C1" s="204"/>
      <c r="D1" s="204"/>
      <c r="E1" s="204"/>
      <c r="F1" s="204"/>
      <c r="G1" s="204"/>
      <c r="H1" s="204"/>
      <c r="I1" s="204"/>
      <c r="J1" s="204"/>
      <c r="K1" s="204"/>
      <c r="L1" s="204"/>
      <c r="M1" s="204"/>
      <c r="N1" s="204"/>
      <c r="O1" s="204"/>
      <c r="P1" s="204"/>
      <c r="Q1" s="204"/>
      <c r="R1" s="204"/>
    </row>
    <row r="2" spans="1:19" s="7" customFormat="1" ht="30" customHeight="1" x14ac:dyDescent="0.25">
      <c r="A2" s="3"/>
      <c r="B2" s="3"/>
      <c r="C2" s="5">
        <v>2000</v>
      </c>
      <c r="D2" s="5">
        <v>2001</v>
      </c>
      <c r="E2" s="5">
        <v>2002</v>
      </c>
      <c r="F2" s="5">
        <v>2003</v>
      </c>
      <c r="G2" s="5">
        <v>2004</v>
      </c>
      <c r="H2" s="5">
        <v>2005</v>
      </c>
      <c r="I2" s="5">
        <v>2006</v>
      </c>
      <c r="J2" s="5">
        <v>2007</v>
      </c>
      <c r="K2" s="5">
        <v>2008</v>
      </c>
      <c r="L2" s="5">
        <v>2009</v>
      </c>
      <c r="M2" s="5">
        <v>2010</v>
      </c>
      <c r="N2" s="5">
        <v>2011</v>
      </c>
      <c r="O2" s="5">
        <v>2012</v>
      </c>
      <c r="P2" s="5">
        <v>2013</v>
      </c>
      <c r="Q2" s="5">
        <v>2014</v>
      </c>
      <c r="R2" s="5">
        <v>2015</v>
      </c>
      <c r="S2" s="6"/>
    </row>
    <row r="3" spans="1:19" ht="21.75" customHeight="1" x14ac:dyDescent="0.25">
      <c r="A3" s="205" t="s">
        <v>7</v>
      </c>
      <c r="B3" s="3" t="s">
        <v>0</v>
      </c>
      <c r="C3" s="13"/>
      <c r="D3" s="13"/>
      <c r="E3" s="13"/>
      <c r="F3" s="13">
        <v>85695</v>
      </c>
      <c r="G3" s="13">
        <v>92245</v>
      </c>
      <c r="H3" s="13">
        <v>97973</v>
      </c>
      <c r="I3" s="13">
        <v>103102</v>
      </c>
      <c r="J3" s="13">
        <v>109090</v>
      </c>
      <c r="K3" s="13">
        <v>118980</v>
      </c>
      <c r="L3" s="13">
        <v>124217</v>
      </c>
      <c r="M3" s="13">
        <v>131916</v>
      </c>
      <c r="N3" s="13">
        <v>139364</v>
      </c>
      <c r="O3" s="13">
        <v>148726</v>
      </c>
      <c r="P3" s="13">
        <v>160039</v>
      </c>
      <c r="Q3" s="13">
        <v>172053</v>
      </c>
      <c r="R3" s="13">
        <v>184850</v>
      </c>
    </row>
    <row r="4" spans="1:19" ht="21" customHeight="1" x14ac:dyDescent="0.25">
      <c r="A4" s="206"/>
      <c r="B4" s="3" t="s">
        <v>1</v>
      </c>
      <c r="C4" s="13"/>
      <c r="D4" s="13"/>
      <c r="E4" s="13"/>
      <c r="F4" s="13">
        <v>8971</v>
      </c>
      <c r="G4" s="13">
        <v>9618</v>
      </c>
      <c r="H4" s="13">
        <v>10237</v>
      </c>
      <c r="I4" s="13">
        <v>10750</v>
      </c>
      <c r="J4" s="13">
        <v>11345</v>
      </c>
      <c r="K4" s="13">
        <v>12023</v>
      </c>
      <c r="L4" s="13">
        <v>12421</v>
      </c>
      <c r="M4" s="13">
        <v>13000</v>
      </c>
      <c r="N4" s="13">
        <v>13696</v>
      </c>
      <c r="O4" s="13">
        <v>14493</v>
      </c>
      <c r="P4" s="13">
        <v>15141</v>
      </c>
      <c r="Q4" s="13">
        <v>15815</v>
      </c>
      <c r="R4" s="13">
        <v>16468</v>
      </c>
    </row>
    <row r="5" spans="1:19" ht="21" customHeight="1" x14ac:dyDescent="0.25">
      <c r="A5" s="206"/>
      <c r="B5" s="3" t="s">
        <v>2</v>
      </c>
      <c r="C5" s="13"/>
      <c r="D5" s="13"/>
      <c r="E5" s="13"/>
      <c r="F5" s="13">
        <v>186</v>
      </c>
      <c r="G5" s="13">
        <v>200</v>
      </c>
      <c r="H5" s="13">
        <v>203</v>
      </c>
      <c r="I5" s="13">
        <v>204</v>
      </c>
      <c r="J5" s="13">
        <v>204</v>
      </c>
      <c r="K5" s="13">
        <v>207</v>
      </c>
      <c r="L5" s="13">
        <v>211</v>
      </c>
      <c r="M5" s="13">
        <v>214</v>
      </c>
      <c r="N5" s="13">
        <v>218</v>
      </c>
      <c r="O5" s="13">
        <v>218</v>
      </c>
      <c r="P5" s="13">
        <v>218</v>
      </c>
      <c r="Q5" s="13">
        <v>220</v>
      </c>
      <c r="R5" s="13">
        <v>224</v>
      </c>
    </row>
    <row r="6" spans="1:19" ht="21" customHeight="1" x14ac:dyDescent="0.25">
      <c r="A6" s="206"/>
      <c r="B6" s="3" t="s">
        <v>3</v>
      </c>
      <c r="C6" s="13"/>
      <c r="D6" s="13"/>
      <c r="E6" s="13"/>
      <c r="F6" s="13">
        <v>0</v>
      </c>
      <c r="G6" s="13">
        <v>0</v>
      </c>
      <c r="H6" s="13">
        <v>0</v>
      </c>
      <c r="I6" s="13">
        <v>0</v>
      </c>
      <c r="J6" s="13">
        <v>0</v>
      </c>
      <c r="K6" s="13">
        <v>0</v>
      </c>
      <c r="L6" s="13">
        <v>42</v>
      </c>
      <c r="M6" s="13">
        <v>161</v>
      </c>
      <c r="N6" s="13">
        <v>315</v>
      </c>
      <c r="O6" s="13">
        <v>703</v>
      </c>
      <c r="P6" s="13">
        <v>1389</v>
      </c>
      <c r="Q6" s="13">
        <v>1824</v>
      </c>
      <c r="R6" s="13">
        <v>2411</v>
      </c>
    </row>
    <row r="7" spans="1:19" ht="21" customHeight="1" x14ac:dyDescent="0.25">
      <c r="A7" s="207"/>
      <c r="B7" s="3" t="s">
        <v>4</v>
      </c>
      <c r="C7" s="13"/>
      <c r="D7" s="13"/>
      <c r="E7" s="13"/>
      <c r="F7" s="13">
        <v>0</v>
      </c>
      <c r="G7" s="13">
        <v>0</v>
      </c>
      <c r="H7" s="13">
        <v>0</v>
      </c>
      <c r="I7" s="13">
        <v>0</v>
      </c>
      <c r="J7" s="13">
        <v>0</v>
      </c>
      <c r="K7" s="13">
        <v>0</v>
      </c>
      <c r="L7" s="13">
        <v>0</v>
      </c>
      <c r="M7" s="13">
        <v>0</v>
      </c>
      <c r="N7" s="13">
        <v>2</v>
      </c>
      <c r="O7" s="13">
        <v>5</v>
      </c>
      <c r="P7" s="13">
        <v>6</v>
      </c>
      <c r="Q7" s="13">
        <v>8</v>
      </c>
      <c r="R7" s="13">
        <v>19</v>
      </c>
    </row>
    <row r="8" spans="1:19" ht="5.25" customHeight="1" x14ac:dyDescent="0.25">
      <c r="A8" s="15"/>
      <c r="B8" s="4"/>
      <c r="C8" s="14"/>
      <c r="D8" s="14"/>
      <c r="E8" s="14"/>
      <c r="F8" s="14"/>
      <c r="G8" s="14"/>
      <c r="H8" s="14"/>
      <c r="I8" s="14"/>
      <c r="J8" s="14"/>
      <c r="K8" s="14"/>
      <c r="L8" s="14"/>
      <c r="M8" s="14"/>
      <c r="N8" s="14"/>
      <c r="O8" s="14"/>
      <c r="P8" s="14"/>
      <c r="Q8" s="14"/>
      <c r="R8" s="14"/>
    </row>
    <row r="9" spans="1:19" ht="21.75" customHeight="1" x14ac:dyDescent="0.25">
      <c r="A9" s="205" t="s">
        <v>10</v>
      </c>
      <c r="B9" s="3" t="s">
        <v>0</v>
      </c>
      <c r="C9" s="13"/>
      <c r="D9" s="13"/>
      <c r="E9" s="13"/>
      <c r="F9" s="13">
        <v>2600</v>
      </c>
      <c r="G9" s="13">
        <v>2612</v>
      </c>
      <c r="H9" s="13">
        <v>2675</v>
      </c>
      <c r="I9" s="20">
        <v>2685</v>
      </c>
      <c r="J9" s="20">
        <v>2712</v>
      </c>
      <c r="K9" s="20">
        <v>2743</v>
      </c>
      <c r="L9" s="20">
        <v>2726</v>
      </c>
      <c r="M9" s="13">
        <v>2539</v>
      </c>
      <c r="N9" s="13">
        <v>2751</v>
      </c>
      <c r="O9" s="13">
        <v>2704</v>
      </c>
      <c r="P9" s="13">
        <v>2855</v>
      </c>
      <c r="Q9" s="13">
        <v>3203</v>
      </c>
      <c r="R9" s="13">
        <v>3423</v>
      </c>
    </row>
    <row r="10" spans="1:19" ht="21.75" customHeight="1" x14ac:dyDescent="0.25">
      <c r="A10" s="206"/>
      <c r="B10" s="3" t="s">
        <v>1</v>
      </c>
      <c r="C10" s="13"/>
      <c r="D10" s="13"/>
      <c r="E10" s="13"/>
      <c r="F10" s="13">
        <v>21395</v>
      </c>
      <c r="G10" s="13">
        <v>22322</v>
      </c>
      <c r="H10" s="13">
        <v>23215</v>
      </c>
      <c r="I10" s="20">
        <v>23983</v>
      </c>
      <c r="J10" s="20">
        <v>24790</v>
      </c>
      <c r="K10" s="20">
        <v>25826</v>
      </c>
      <c r="L10" s="20">
        <v>26514</v>
      </c>
      <c r="M10" s="13">
        <v>27637</v>
      </c>
      <c r="N10" s="13">
        <v>28362</v>
      </c>
      <c r="O10" s="13">
        <v>29276</v>
      </c>
      <c r="P10" s="13">
        <v>29888</v>
      </c>
      <c r="Q10" s="13">
        <v>30325</v>
      </c>
      <c r="R10" s="13">
        <v>30820</v>
      </c>
    </row>
    <row r="11" spans="1:19" ht="21.75" customHeight="1" x14ac:dyDescent="0.25">
      <c r="A11" s="206"/>
      <c r="B11" s="2" t="s">
        <v>2</v>
      </c>
      <c r="C11" s="13"/>
      <c r="D11" s="13"/>
      <c r="E11" s="13"/>
      <c r="F11" s="13">
        <v>12</v>
      </c>
      <c r="G11" s="13">
        <v>12</v>
      </c>
      <c r="H11" s="13">
        <v>12</v>
      </c>
      <c r="I11" s="20">
        <v>12</v>
      </c>
      <c r="J11" s="20">
        <v>13</v>
      </c>
      <c r="K11" s="20">
        <v>13</v>
      </c>
      <c r="L11" s="20">
        <v>13</v>
      </c>
      <c r="M11" s="13">
        <v>14</v>
      </c>
      <c r="N11" s="13">
        <v>14</v>
      </c>
      <c r="O11" s="13">
        <v>15</v>
      </c>
      <c r="P11" s="13">
        <v>17</v>
      </c>
      <c r="Q11" s="13">
        <v>17</v>
      </c>
      <c r="R11" s="13">
        <v>17</v>
      </c>
    </row>
    <row r="12" spans="1:19" ht="21.75" customHeight="1" x14ac:dyDescent="0.25">
      <c r="A12" s="206"/>
      <c r="B12" s="3" t="s">
        <v>3</v>
      </c>
      <c r="C12" s="13"/>
      <c r="D12" s="13"/>
      <c r="E12" s="13"/>
      <c r="F12" s="13">
        <v>0</v>
      </c>
      <c r="G12" s="13">
        <v>0</v>
      </c>
      <c r="H12" s="13">
        <v>0</v>
      </c>
      <c r="I12" s="20">
        <v>0</v>
      </c>
      <c r="J12" s="20">
        <v>0</v>
      </c>
      <c r="K12" s="20">
        <v>0</v>
      </c>
      <c r="L12" s="20">
        <v>0</v>
      </c>
      <c r="M12" s="13">
        <v>0</v>
      </c>
      <c r="N12" s="13">
        <v>0</v>
      </c>
      <c r="O12" s="13">
        <v>0</v>
      </c>
      <c r="P12" s="13">
        <v>0</v>
      </c>
      <c r="Q12" s="13">
        <v>1</v>
      </c>
      <c r="R12" s="13">
        <v>2</v>
      </c>
    </row>
    <row r="13" spans="1:19" ht="5.25" customHeight="1" x14ac:dyDescent="0.25">
      <c r="A13" s="15"/>
      <c r="B13" s="4"/>
      <c r="C13" s="14"/>
      <c r="D13" s="14"/>
      <c r="E13" s="14"/>
      <c r="F13" s="14"/>
      <c r="G13" s="14"/>
      <c r="H13" s="14"/>
      <c r="I13" s="14"/>
      <c r="J13" s="14"/>
      <c r="K13" s="14"/>
      <c r="L13" s="14"/>
      <c r="M13" s="14"/>
      <c r="N13" s="14"/>
      <c r="O13" s="14"/>
      <c r="P13" s="14"/>
      <c r="Q13" s="14"/>
      <c r="R13" s="14"/>
    </row>
    <row r="14" spans="1:19" ht="24" customHeight="1" x14ac:dyDescent="0.25">
      <c r="A14" s="205" t="s">
        <v>8</v>
      </c>
      <c r="B14" s="3" t="s">
        <v>0</v>
      </c>
      <c r="C14" s="13"/>
      <c r="D14" s="13"/>
      <c r="E14" s="13"/>
      <c r="F14" s="13">
        <v>6167</v>
      </c>
      <c r="G14" s="13">
        <v>6208</v>
      </c>
      <c r="H14" s="13">
        <v>6214</v>
      </c>
      <c r="I14" s="13">
        <v>6298</v>
      </c>
      <c r="J14" s="13">
        <v>6301</v>
      </c>
      <c r="K14" s="13">
        <v>6436</v>
      </c>
      <c r="L14" s="13">
        <v>6377</v>
      </c>
      <c r="M14" s="13">
        <v>6385</v>
      </c>
      <c r="N14" s="13">
        <v>6203</v>
      </c>
      <c r="O14" s="13">
        <v>6284</v>
      </c>
      <c r="P14" s="13">
        <v>6327</v>
      </c>
      <c r="Q14" s="13">
        <v>6254</v>
      </c>
      <c r="R14" s="13">
        <v>5994</v>
      </c>
    </row>
    <row r="15" spans="1:19" ht="24" customHeight="1" x14ac:dyDescent="0.25">
      <c r="A15" s="206"/>
      <c r="B15" s="3" t="s">
        <v>1</v>
      </c>
      <c r="C15" s="13"/>
      <c r="D15" s="13"/>
      <c r="E15" s="13"/>
      <c r="F15" s="13">
        <v>13511</v>
      </c>
      <c r="G15" s="13">
        <v>14223</v>
      </c>
      <c r="H15" s="13">
        <v>15539</v>
      </c>
      <c r="I15" s="13">
        <v>16690</v>
      </c>
      <c r="J15" s="13">
        <v>17910</v>
      </c>
      <c r="K15" s="13">
        <v>19316</v>
      </c>
      <c r="L15" s="13">
        <v>20470</v>
      </c>
      <c r="M15" s="13">
        <v>21656</v>
      </c>
      <c r="N15" s="13">
        <v>22562</v>
      </c>
      <c r="O15" s="13">
        <v>24117</v>
      </c>
      <c r="P15" s="13">
        <v>24121</v>
      </c>
      <c r="Q15" s="13">
        <v>24253</v>
      </c>
      <c r="R15" s="13">
        <v>23753</v>
      </c>
    </row>
    <row r="16" spans="1:19" ht="23.25" customHeight="1" x14ac:dyDescent="0.25">
      <c r="A16" s="207"/>
      <c r="B16" s="2" t="s">
        <v>2</v>
      </c>
      <c r="C16" s="13"/>
      <c r="D16" s="13"/>
      <c r="E16" s="13"/>
      <c r="F16" s="13">
        <v>10</v>
      </c>
      <c r="G16" s="13">
        <v>11</v>
      </c>
      <c r="H16" s="13">
        <v>11</v>
      </c>
      <c r="I16" s="13">
        <v>11</v>
      </c>
      <c r="J16" s="13">
        <v>12</v>
      </c>
      <c r="K16" s="13">
        <v>12</v>
      </c>
      <c r="L16" s="13">
        <v>12</v>
      </c>
      <c r="M16" s="13">
        <v>12</v>
      </c>
      <c r="N16" s="13">
        <v>12</v>
      </c>
      <c r="O16" s="13">
        <v>12</v>
      </c>
      <c r="P16" s="13">
        <v>12</v>
      </c>
      <c r="Q16" s="13">
        <v>13</v>
      </c>
      <c r="R16" s="13">
        <v>13</v>
      </c>
    </row>
    <row r="17" spans="1:19" ht="5.25" customHeight="1" x14ac:dyDescent="0.25">
      <c r="A17" s="10"/>
      <c r="B17" s="4"/>
      <c r="C17" s="14"/>
      <c r="D17" s="14"/>
      <c r="E17" s="14"/>
      <c r="F17" s="14">
        <v>0</v>
      </c>
      <c r="G17" s="14"/>
      <c r="H17" s="14"/>
      <c r="I17" s="14"/>
      <c r="J17" s="14"/>
      <c r="K17" s="14"/>
      <c r="L17" s="14"/>
      <c r="M17" s="14"/>
      <c r="N17" s="14"/>
      <c r="O17" s="14"/>
      <c r="P17" s="14"/>
      <c r="Q17" s="14"/>
      <c r="R17" s="14"/>
    </row>
    <row r="18" spans="1:19" ht="36" customHeight="1" x14ac:dyDescent="0.25">
      <c r="A18" s="11" t="s">
        <v>5</v>
      </c>
      <c r="B18" s="3" t="s">
        <v>0</v>
      </c>
      <c r="C18" s="13"/>
      <c r="D18" s="13"/>
      <c r="E18" s="13"/>
      <c r="F18" s="13">
        <v>104968</v>
      </c>
      <c r="G18" s="13">
        <v>108210</v>
      </c>
      <c r="H18" s="13">
        <v>110583</v>
      </c>
      <c r="I18" s="13">
        <v>113456</v>
      </c>
      <c r="J18" s="13">
        <v>115107</v>
      </c>
      <c r="K18" s="13">
        <v>114454</v>
      </c>
      <c r="L18" s="13">
        <v>118798</v>
      </c>
      <c r="M18" s="13">
        <v>121644</v>
      </c>
      <c r="N18" s="13">
        <v>122653</v>
      </c>
      <c r="O18" s="13">
        <v>124737</v>
      </c>
      <c r="P18" s="13">
        <v>125013</v>
      </c>
      <c r="Q18" s="13">
        <v>123713</v>
      </c>
      <c r="R18" s="13">
        <v>123118</v>
      </c>
    </row>
    <row r="19" spans="1:19" ht="5.25" customHeight="1" x14ac:dyDescent="0.25">
      <c r="A19" s="10"/>
      <c r="B19" s="4"/>
      <c r="C19" s="14"/>
      <c r="D19" s="14"/>
      <c r="E19" s="14"/>
      <c r="F19" s="14"/>
      <c r="G19" s="14"/>
      <c r="H19" s="14"/>
      <c r="I19" s="14"/>
      <c r="J19" s="14"/>
      <c r="K19" s="14"/>
      <c r="L19" s="14"/>
      <c r="M19" s="14"/>
      <c r="N19" s="14"/>
      <c r="O19" s="14"/>
      <c r="P19" s="14"/>
      <c r="Q19" s="14"/>
      <c r="R19" s="14"/>
    </row>
    <row r="20" spans="1:19" ht="34.5" customHeight="1" x14ac:dyDescent="0.25">
      <c r="A20" s="12" t="s">
        <v>6</v>
      </c>
      <c r="B20" s="3" t="s">
        <v>0</v>
      </c>
      <c r="C20" s="13"/>
      <c r="D20" s="13"/>
      <c r="E20" s="13"/>
      <c r="F20" s="13">
        <v>26041</v>
      </c>
      <c r="G20" s="13">
        <v>28503</v>
      </c>
      <c r="H20" s="13">
        <v>31099</v>
      </c>
      <c r="I20" s="13">
        <v>34200</v>
      </c>
      <c r="J20" s="13">
        <v>38012</v>
      </c>
      <c r="K20" s="13">
        <v>42368</v>
      </c>
      <c r="L20" s="13">
        <v>45295</v>
      </c>
      <c r="M20" s="13">
        <v>49126</v>
      </c>
      <c r="N20" s="13">
        <v>54172</v>
      </c>
      <c r="O20" s="13">
        <v>60109</v>
      </c>
      <c r="P20" s="13">
        <v>66631</v>
      </c>
      <c r="Q20" s="13">
        <v>74081</v>
      </c>
      <c r="R20" s="13">
        <v>80159</v>
      </c>
    </row>
    <row r="21" spans="1:19" ht="5.25" customHeight="1" x14ac:dyDescent="0.25">
      <c r="A21" s="10"/>
      <c r="B21" s="4"/>
      <c r="C21" s="14"/>
      <c r="D21" s="14"/>
      <c r="E21" s="14"/>
      <c r="F21" s="14"/>
      <c r="G21" s="14"/>
      <c r="H21" s="14"/>
      <c r="I21" s="14"/>
      <c r="J21" s="14"/>
      <c r="K21" s="14"/>
      <c r="L21" s="14"/>
      <c r="M21" s="14"/>
      <c r="N21" s="14"/>
      <c r="O21" s="14"/>
      <c r="P21" s="14"/>
      <c r="Q21" s="14"/>
      <c r="R21" s="14"/>
    </row>
    <row r="22" spans="1:19" ht="31.5" customHeight="1" x14ac:dyDescent="0.25">
      <c r="A22" s="12" t="s">
        <v>13</v>
      </c>
      <c r="B22" s="3" t="s">
        <v>1</v>
      </c>
      <c r="C22" s="13"/>
      <c r="D22" s="13"/>
      <c r="E22" s="13"/>
      <c r="F22" s="13">
        <v>4328</v>
      </c>
      <c r="G22" s="13">
        <v>4609</v>
      </c>
      <c r="H22" s="13">
        <v>4750</v>
      </c>
      <c r="I22" s="13">
        <v>4772</v>
      </c>
      <c r="J22" s="13">
        <v>4913</v>
      </c>
      <c r="K22" s="13">
        <v>4979</v>
      </c>
      <c r="L22" s="13">
        <v>5042</v>
      </c>
      <c r="M22" s="13">
        <v>5172</v>
      </c>
      <c r="N22" s="13">
        <v>5553</v>
      </c>
      <c r="O22" s="13">
        <v>5251</v>
      </c>
      <c r="P22" s="13">
        <v>6349</v>
      </c>
      <c r="Q22" s="13">
        <v>7438</v>
      </c>
      <c r="R22" s="13">
        <v>8836</v>
      </c>
    </row>
    <row r="23" spans="1:19" ht="5.25" customHeight="1" x14ac:dyDescent="0.25">
      <c r="A23" s="10"/>
      <c r="B23" s="4"/>
      <c r="C23" s="14"/>
      <c r="D23" s="14"/>
      <c r="E23" s="14"/>
      <c r="F23" s="14"/>
      <c r="G23" s="14"/>
      <c r="H23" s="14"/>
      <c r="I23" s="14"/>
      <c r="J23" s="14"/>
      <c r="K23" s="14"/>
      <c r="L23" s="14"/>
      <c r="M23" s="14"/>
      <c r="N23" s="14"/>
      <c r="O23" s="14"/>
      <c r="P23" s="14"/>
      <c r="Q23" s="14"/>
      <c r="R23" s="14"/>
    </row>
    <row r="24" spans="1:19" ht="32.25" customHeight="1" x14ac:dyDescent="0.25">
      <c r="A24" s="12" t="s">
        <v>9</v>
      </c>
      <c r="B24" s="3" t="s">
        <v>1</v>
      </c>
      <c r="C24" s="13"/>
      <c r="D24" s="13"/>
      <c r="E24" s="13"/>
      <c r="F24" s="13">
        <v>1422</v>
      </c>
      <c r="G24" s="13">
        <v>1478</v>
      </c>
      <c r="H24" s="13">
        <v>1709</v>
      </c>
      <c r="I24" s="13">
        <v>1920</v>
      </c>
      <c r="J24" s="13">
        <v>2279</v>
      </c>
      <c r="K24" s="13">
        <v>2449</v>
      </c>
      <c r="L24" s="13">
        <v>2632</v>
      </c>
      <c r="M24" s="13">
        <v>2778</v>
      </c>
      <c r="N24" s="13">
        <v>3010</v>
      </c>
      <c r="O24" s="13">
        <v>3136</v>
      </c>
      <c r="P24" s="13">
        <v>3248</v>
      </c>
      <c r="Q24" s="13">
        <v>3501</v>
      </c>
      <c r="R24" s="13">
        <v>3621</v>
      </c>
    </row>
    <row r="25" spans="1:19" ht="5.25" customHeight="1" x14ac:dyDescent="0.25">
      <c r="A25" s="10"/>
      <c r="B25" s="4"/>
      <c r="C25" s="14"/>
      <c r="D25" s="14"/>
      <c r="E25" s="14"/>
      <c r="F25" s="14"/>
      <c r="G25" s="14"/>
      <c r="H25" s="14"/>
      <c r="I25" s="14"/>
      <c r="J25" s="14"/>
      <c r="K25" s="14"/>
      <c r="L25" s="14"/>
      <c r="M25" s="14"/>
      <c r="N25" s="14"/>
      <c r="O25" s="14"/>
      <c r="P25" s="14"/>
      <c r="Q25" s="14"/>
      <c r="R25" s="14"/>
    </row>
    <row r="26" spans="1:19" ht="32.25" customHeight="1" x14ac:dyDescent="0.25">
      <c r="A26" s="12" t="s">
        <v>15</v>
      </c>
      <c r="B26" s="3" t="s">
        <v>1</v>
      </c>
      <c r="C26" s="13"/>
      <c r="D26" s="13"/>
      <c r="E26" s="13"/>
      <c r="F26" s="13">
        <v>33</v>
      </c>
      <c r="G26" s="13">
        <v>33</v>
      </c>
      <c r="H26" s="13">
        <v>32</v>
      </c>
      <c r="I26" s="13">
        <v>36</v>
      </c>
      <c r="J26" s="13">
        <v>39</v>
      </c>
      <c r="K26" s="13">
        <v>42</v>
      </c>
      <c r="L26" s="13">
        <v>40</v>
      </c>
      <c r="M26" s="13">
        <v>42</v>
      </c>
      <c r="N26" s="13">
        <v>42</v>
      </c>
      <c r="O26" s="13">
        <v>46</v>
      </c>
      <c r="P26" s="13">
        <v>42</v>
      </c>
      <c r="Q26" s="13">
        <v>42</v>
      </c>
      <c r="R26" s="13">
        <v>44</v>
      </c>
    </row>
    <row r="27" spans="1:19" ht="5.25" customHeight="1" x14ac:dyDescent="0.25">
      <c r="A27" s="10"/>
      <c r="B27" s="4"/>
      <c r="C27" s="14"/>
      <c r="D27" s="14"/>
      <c r="E27" s="14"/>
      <c r="F27" s="14"/>
      <c r="G27" s="14"/>
      <c r="H27" s="14"/>
      <c r="I27" s="14"/>
      <c r="J27" s="14"/>
      <c r="K27" s="14"/>
      <c r="L27" s="14"/>
      <c r="M27" s="14"/>
      <c r="N27" s="14"/>
      <c r="O27" s="14"/>
      <c r="P27" s="14"/>
      <c r="Q27" s="14"/>
      <c r="R27" s="14"/>
    </row>
    <row r="28" spans="1:19" ht="34.5" customHeight="1" x14ac:dyDescent="0.25">
      <c r="A28" s="12" t="s">
        <v>14</v>
      </c>
      <c r="B28" s="3" t="s">
        <v>1</v>
      </c>
      <c r="C28" s="13"/>
      <c r="D28" s="13"/>
      <c r="E28" s="13"/>
      <c r="F28" s="13">
        <v>160</v>
      </c>
      <c r="G28" s="13">
        <v>199</v>
      </c>
      <c r="H28" s="13">
        <v>248</v>
      </c>
      <c r="I28" s="13">
        <v>285</v>
      </c>
      <c r="J28" s="13">
        <v>332</v>
      </c>
      <c r="K28" s="13">
        <v>400</v>
      </c>
      <c r="L28" s="13">
        <v>485</v>
      </c>
      <c r="M28" s="13">
        <v>557</v>
      </c>
      <c r="N28" s="13">
        <v>644</v>
      </c>
      <c r="O28" s="13">
        <v>706</v>
      </c>
      <c r="P28" s="13">
        <v>792</v>
      </c>
      <c r="Q28" s="13">
        <v>854</v>
      </c>
      <c r="R28" s="13">
        <v>911</v>
      </c>
    </row>
    <row r="29" spans="1:19" ht="5.25" customHeight="1" x14ac:dyDescent="0.25">
      <c r="A29" s="10"/>
      <c r="B29" s="4"/>
      <c r="C29" s="14"/>
      <c r="D29" s="14"/>
      <c r="E29" s="14"/>
      <c r="F29" s="14"/>
      <c r="G29" s="14"/>
      <c r="H29" s="14"/>
      <c r="I29" s="14"/>
      <c r="J29" s="14"/>
      <c r="K29" s="14"/>
      <c r="L29" s="14"/>
      <c r="M29" s="14"/>
      <c r="N29" s="14"/>
      <c r="O29" s="14"/>
      <c r="P29" s="14"/>
      <c r="Q29" s="14"/>
      <c r="R29" s="14"/>
    </row>
    <row r="30" spans="1:19" ht="36.75" customHeight="1" x14ac:dyDescent="0.25">
      <c r="A30" s="9" t="s">
        <v>11</v>
      </c>
      <c r="B30" s="3" t="s">
        <v>1</v>
      </c>
      <c r="C30" s="13"/>
      <c r="D30" s="13"/>
      <c r="E30" s="13"/>
      <c r="F30" s="13">
        <v>872</v>
      </c>
      <c r="G30" s="13">
        <v>922</v>
      </c>
      <c r="H30" s="13">
        <v>996</v>
      </c>
      <c r="I30" s="13">
        <v>1036</v>
      </c>
      <c r="J30" s="13">
        <v>1086</v>
      </c>
      <c r="K30" s="13">
        <v>1158</v>
      </c>
      <c r="L30" s="13">
        <v>1225</v>
      </c>
      <c r="M30" s="13">
        <v>1262</v>
      </c>
      <c r="N30" s="13">
        <v>1346</v>
      </c>
      <c r="O30" s="13">
        <v>1388</v>
      </c>
      <c r="P30" s="13">
        <v>1407</v>
      </c>
      <c r="Q30" s="13">
        <v>1437</v>
      </c>
      <c r="R30" s="13">
        <v>1461</v>
      </c>
    </row>
    <row r="31" spans="1:19" s="19" customFormat="1" ht="5.25" customHeight="1" x14ac:dyDescent="0.25">
      <c r="A31" s="8"/>
      <c r="B31" s="8"/>
      <c r="C31" s="8"/>
      <c r="D31" s="8"/>
      <c r="E31" s="8"/>
      <c r="F31" s="8"/>
      <c r="G31" s="8"/>
      <c r="H31" s="8"/>
      <c r="I31" s="8"/>
      <c r="J31" s="8"/>
      <c r="K31" s="8"/>
      <c r="L31" s="8"/>
      <c r="M31" s="8"/>
      <c r="N31" s="8"/>
      <c r="O31" s="8"/>
      <c r="P31" s="8"/>
      <c r="Q31" s="8"/>
      <c r="R31" s="8"/>
      <c r="S31" s="18"/>
    </row>
    <row r="32" spans="1:19" ht="29.25" customHeight="1" x14ac:dyDescent="0.25">
      <c r="A32" s="3"/>
      <c r="B32" s="5" t="s">
        <v>12</v>
      </c>
      <c r="C32" s="13">
        <f>SUM(C3:C30)</f>
        <v>0</v>
      </c>
      <c r="D32" s="13">
        <f t="shared" ref="D32:R32" si="0">SUM(D3:D30)</f>
        <v>0</v>
      </c>
      <c r="E32" s="13">
        <f t="shared" si="0"/>
        <v>0</v>
      </c>
      <c r="F32" s="13">
        <f t="shared" si="0"/>
        <v>276371</v>
      </c>
      <c r="G32" s="13">
        <f t="shared" si="0"/>
        <v>291405</v>
      </c>
      <c r="H32" s="13">
        <f t="shared" si="0"/>
        <v>305496</v>
      </c>
      <c r="I32" s="20">
        <f t="shared" si="0"/>
        <v>319440</v>
      </c>
      <c r="J32" s="20">
        <f t="shared" si="0"/>
        <v>334145</v>
      </c>
      <c r="K32" s="20">
        <f t="shared" si="0"/>
        <v>351406</v>
      </c>
      <c r="L32" s="20">
        <f t="shared" si="0"/>
        <v>366520</v>
      </c>
      <c r="M32" s="13">
        <f t="shared" si="0"/>
        <v>384115</v>
      </c>
      <c r="N32" s="13">
        <f t="shared" si="0"/>
        <v>400919</v>
      </c>
      <c r="O32" s="13">
        <f t="shared" si="0"/>
        <v>421926</v>
      </c>
      <c r="P32" s="13">
        <f t="shared" si="0"/>
        <v>443495</v>
      </c>
      <c r="Q32" s="13">
        <f t="shared" si="0"/>
        <v>465052</v>
      </c>
      <c r="R32" s="13">
        <f t="shared" si="0"/>
        <v>486144</v>
      </c>
    </row>
    <row r="35" spans="2:10" ht="24.75" customHeight="1" x14ac:dyDescent="0.25">
      <c r="B35" s="16" t="s">
        <v>0</v>
      </c>
      <c r="C35" s="16" t="s">
        <v>1</v>
      </c>
      <c r="D35" s="16" t="s">
        <v>2</v>
      </c>
      <c r="E35" s="16" t="s">
        <v>3</v>
      </c>
      <c r="F35" s="16" t="s">
        <v>1</v>
      </c>
      <c r="G35" s="16" t="s">
        <v>2</v>
      </c>
      <c r="H35" s="5" t="s">
        <v>3</v>
      </c>
      <c r="I35" s="5" t="s">
        <v>4</v>
      </c>
      <c r="J35" s="5" t="s">
        <v>12</v>
      </c>
    </row>
    <row r="36" spans="2:10" ht="24.75" customHeight="1" x14ac:dyDescent="0.25">
      <c r="B36" s="17">
        <f>R3+R9+R14+R18+R20</f>
        <v>397544</v>
      </c>
      <c r="C36" s="17" t="e">
        <f>#REF!+#REF!+#REF!+#REF!+#REF!+#REF!+#REF!</f>
        <v>#REF!</v>
      </c>
      <c r="D36" s="17" t="e">
        <f>#REF!</f>
        <v>#REF!</v>
      </c>
      <c r="E36" s="17" t="e">
        <f>#REF!+#REF!</f>
        <v>#REF!</v>
      </c>
      <c r="F36" s="17">
        <f>R4+R10+R15+R22+R24+R26+R28+R30</f>
        <v>85914</v>
      </c>
      <c r="G36" s="17">
        <f>R5+R11+R16</f>
        <v>254</v>
      </c>
      <c r="H36" s="21">
        <f>R6+R12</f>
        <v>2413</v>
      </c>
      <c r="I36" s="21">
        <f>R7</f>
        <v>19</v>
      </c>
      <c r="J36" s="21">
        <f>R32</f>
        <v>486144</v>
      </c>
    </row>
  </sheetData>
  <mergeCells count="4">
    <mergeCell ref="A1:R1"/>
    <mergeCell ref="A14:A16"/>
    <mergeCell ref="A3:A7"/>
    <mergeCell ref="A9:A12"/>
  </mergeCells>
  <pageMargins left="0.7" right="0.7" top="0.75" bottom="0.75" header="0.3" footer="0.3"/>
  <pageSetup paperSize="9" scale="68" orientation="landscape" r:id="rId1"/>
  <colBreaks count="1" manualBreakCount="1">
    <brk id="1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4"/>
  <sheetViews>
    <sheetView topLeftCell="A7" zoomScale="80" zoomScaleNormal="80" workbookViewId="0">
      <selection activeCell="L33" sqref="L33"/>
    </sheetView>
  </sheetViews>
  <sheetFormatPr defaultRowHeight="15" outlineLevelCol="2" x14ac:dyDescent="0.25"/>
  <cols>
    <col min="2" max="2" width="17.42578125" customWidth="1"/>
    <col min="3" max="5" width="14.7109375" customWidth="1"/>
    <col min="6" max="6" width="9.140625" customWidth="1"/>
    <col min="7" max="7" width="9.5703125" customWidth="1"/>
    <col min="8" max="8" width="11.85546875" customWidth="1"/>
    <col min="9" max="9" width="12.42578125" customWidth="1"/>
    <col min="10" max="10" width="14.140625" customWidth="1"/>
    <col min="11" max="11" width="11.85546875" customWidth="1"/>
    <col min="12" max="12" width="14.28515625" customWidth="1"/>
    <col min="13" max="13" width="14.5703125" customWidth="1"/>
    <col min="14" max="14" width="13.140625" customWidth="1" outlineLevel="1"/>
    <col min="15" max="15" width="9.140625" customWidth="1" outlineLevel="1"/>
    <col min="16" max="16" width="12.42578125" customWidth="1" outlineLevel="1"/>
    <col min="17" max="17" width="11.85546875" customWidth="1" outlineLevel="1"/>
    <col min="18" max="18" width="16" customWidth="1" outlineLevel="1"/>
    <col min="19" max="19" width="13.5703125" customWidth="1" outlineLevel="1"/>
    <col min="20" max="20" width="3" customWidth="1" outlineLevel="1"/>
    <col min="21" max="22" width="9.140625" customWidth="1" outlineLevel="1"/>
    <col min="23" max="23" width="10.85546875" customWidth="1" outlineLevel="1"/>
    <col min="24" max="24" width="10.5703125" customWidth="1" outlineLevel="1"/>
    <col min="25" max="26" width="9.140625" customWidth="1" outlineLevel="1"/>
    <col min="27" max="27" width="2.85546875" style="130" customWidth="1"/>
    <col min="28" max="29" width="9.140625" customWidth="1" outlineLevel="1"/>
    <col min="30" max="30" width="15.28515625" customWidth="1" outlineLevel="1"/>
    <col min="31" max="31" width="12.42578125" customWidth="1" outlineLevel="1"/>
    <col min="32" max="33" width="9.140625" customWidth="1" outlineLevel="1"/>
    <col min="34" max="34" width="10" customWidth="1" outlineLevel="1"/>
    <col min="35" max="35" width="14.5703125" customWidth="1" outlineLevel="1"/>
    <col min="36" max="36" width="14.28515625" customWidth="1" outlineLevel="1"/>
    <col min="37" max="37" width="11.85546875" customWidth="1" outlineLevel="2"/>
    <col min="38" max="38" width="11" customWidth="1" outlineLevel="2"/>
    <col min="39" max="39" width="12.5703125" customWidth="1" outlineLevel="2"/>
    <col min="40" max="40" width="10.7109375" customWidth="1" outlineLevel="2"/>
    <col min="41" max="41" width="10.42578125" customWidth="1" outlineLevel="2"/>
    <col min="42" max="48" width="9.140625" customWidth="1" outlineLevel="2"/>
    <col min="49" max="49" width="16.140625" customWidth="1" outlineLevel="2"/>
    <col min="50" max="50" width="3" style="130" customWidth="1" outlineLevel="2"/>
    <col min="51" max="52" width="11" customWidth="1" outlineLevel="2"/>
    <col min="53" max="53" width="10.7109375" customWidth="1" outlineLevel="2"/>
    <col min="54" max="55" width="10.85546875" customWidth="1" outlineLevel="2"/>
    <col min="56" max="56" width="10.85546875" style="19" customWidth="1" outlineLevel="2"/>
    <col min="57" max="58" width="10.85546875" customWidth="1" outlineLevel="2"/>
    <col min="59" max="59" width="9.140625" customWidth="1" outlineLevel="2"/>
    <col min="60" max="60" width="2.7109375" style="130" customWidth="1" outlineLevel="2"/>
    <col min="61" max="62" width="9.140625" customWidth="1" outlineLevel="2"/>
    <col min="63" max="64" width="10" customWidth="1" outlineLevel="2"/>
    <col min="65" max="65" width="10.5703125" customWidth="1" outlineLevel="2"/>
    <col min="66" max="66" width="10.42578125" customWidth="1" outlineLevel="2"/>
    <col min="67" max="67" width="13.42578125" customWidth="1" outlineLevel="2"/>
    <col min="68" max="68" width="14.140625" customWidth="1" outlineLevel="2"/>
    <col min="69" max="69" width="15.140625" customWidth="1" outlineLevel="2"/>
    <col min="70" max="76" width="9.140625" customWidth="1" outlineLevel="2"/>
    <col min="77" max="77" width="3.42578125" style="130" customWidth="1" outlineLevel="1"/>
    <col min="79" max="79" width="11.7109375" customWidth="1"/>
    <col min="80" max="80" width="11.28515625" customWidth="1"/>
    <col min="81" max="81" width="10.5703125" customWidth="1"/>
    <col min="82" max="82" width="10.7109375" customWidth="1"/>
    <col min="83" max="83" width="13" customWidth="1"/>
    <col min="84" max="85" width="10.28515625" customWidth="1"/>
    <col min="87" max="87" width="10.5703125" customWidth="1"/>
    <col min="89" max="89" width="10.42578125" customWidth="1"/>
    <col min="91" max="91" width="10.5703125" customWidth="1"/>
  </cols>
  <sheetData>
    <row r="1" spans="1:92" x14ac:dyDescent="0.25">
      <c r="A1" s="115" t="s">
        <v>147</v>
      </c>
      <c r="B1" s="115"/>
      <c r="C1" s="115"/>
      <c r="D1" s="115"/>
      <c r="E1" s="115"/>
      <c r="F1" s="115"/>
      <c r="G1" s="115"/>
      <c r="H1" s="115"/>
      <c r="I1" s="115"/>
      <c r="J1" s="115"/>
      <c r="K1" s="115"/>
      <c r="L1" s="115"/>
      <c r="M1" s="115"/>
      <c r="N1" s="115"/>
      <c r="O1" s="115"/>
      <c r="P1" s="115"/>
      <c r="Q1" s="29"/>
      <c r="R1" s="29"/>
      <c r="S1" s="29"/>
      <c r="AB1" s="136" t="s">
        <v>159</v>
      </c>
      <c r="AC1" s="136"/>
      <c r="AD1" s="136"/>
      <c r="AE1" s="136"/>
      <c r="AF1" s="136"/>
      <c r="AG1" s="136"/>
      <c r="AH1" s="136"/>
      <c r="AI1" s="136"/>
      <c r="AJ1" s="136"/>
      <c r="AK1" s="136"/>
      <c r="AL1" s="136"/>
      <c r="AM1" s="136"/>
      <c r="AN1" s="136"/>
      <c r="AY1" s="136" t="s">
        <v>231</v>
      </c>
      <c r="BI1" s="136" t="s">
        <v>187</v>
      </c>
      <c r="BJ1" s="136"/>
      <c r="BK1" s="136"/>
      <c r="BL1" s="136"/>
      <c r="BM1" s="136"/>
      <c r="BN1" s="136"/>
      <c r="BO1" s="136"/>
      <c r="BP1" s="136"/>
      <c r="BQ1" s="136"/>
      <c r="BR1" s="136"/>
      <c r="BS1" s="136"/>
      <c r="BT1" s="136"/>
      <c r="BZ1" s="64" t="s">
        <v>248</v>
      </c>
      <c r="CA1" s="64"/>
      <c r="CB1" s="64"/>
      <c r="CC1" s="64"/>
      <c r="CD1" s="64"/>
      <c r="CE1" s="64"/>
      <c r="CF1" s="64"/>
      <c r="CG1" s="64"/>
      <c r="CH1" s="64"/>
      <c r="CI1" s="64"/>
      <c r="CJ1" s="64"/>
      <c r="CK1" s="64"/>
    </row>
    <row r="2" spans="1:92" x14ac:dyDescent="0.25">
      <c r="A2" s="115" t="s">
        <v>148</v>
      </c>
      <c r="B2" s="115"/>
      <c r="C2" s="115"/>
      <c r="D2" s="115"/>
      <c r="E2" s="115"/>
      <c r="F2" s="115"/>
      <c r="G2" s="115"/>
      <c r="H2" s="115"/>
      <c r="I2" s="115"/>
      <c r="J2" s="115"/>
      <c r="K2" s="115"/>
      <c r="L2" s="115"/>
      <c r="M2" s="115"/>
      <c r="N2" s="115"/>
      <c r="O2" s="115"/>
      <c r="P2" s="115"/>
      <c r="Q2" s="29"/>
      <c r="R2" s="29"/>
      <c r="S2" s="29"/>
      <c r="AY2" s="28" t="s">
        <v>232</v>
      </c>
      <c r="AZ2" s="28"/>
      <c r="BA2" s="28"/>
      <c r="BB2" s="28"/>
      <c r="BC2" s="28"/>
      <c r="BD2" s="29" t="s">
        <v>236</v>
      </c>
      <c r="BE2" s="29"/>
      <c r="BF2" s="29"/>
      <c r="BG2" s="29"/>
      <c r="BZ2" s="64" t="s">
        <v>259</v>
      </c>
      <c r="CA2" s="63"/>
      <c r="CB2" s="63"/>
      <c r="CC2" s="63"/>
      <c r="CD2" s="63"/>
      <c r="CE2" s="63"/>
      <c r="CF2" s="63"/>
      <c r="CG2" s="63"/>
      <c r="CH2" s="63"/>
    </row>
    <row r="3" spans="1:92" x14ac:dyDescent="0.25">
      <c r="A3" s="115" t="s">
        <v>149</v>
      </c>
      <c r="B3" s="115"/>
      <c r="C3" s="115"/>
      <c r="D3" s="115"/>
      <c r="E3" s="115"/>
      <c r="F3" s="115"/>
      <c r="G3" s="115"/>
      <c r="H3" s="115"/>
      <c r="I3" s="115"/>
      <c r="J3" s="115"/>
      <c r="K3" s="115"/>
      <c r="L3" s="115"/>
      <c r="M3" s="115"/>
      <c r="N3" s="115"/>
      <c r="O3" s="115"/>
      <c r="P3" s="115"/>
      <c r="Q3" s="29"/>
      <c r="R3" s="29"/>
      <c r="S3" s="29"/>
      <c r="AB3" s="219" t="s">
        <v>160</v>
      </c>
      <c r="AC3" s="219"/>
      <c r="AD3" s="117" t="s">
        <v>5</v>
      </c>
      <c r="AE3" s="117" t="s">
        <v>62</v>
      </c>
      <c r="AF3" s="117" t="s">
        <v>63</v>
      </c>
      <c r="AG3" s="117" t="s">
        <v>64</v>
      </c>
      <c r="AH3" s="117" t="s">
        <v>165</v>
      </c>
      <c r="AI3" s="117" t="s">
        <v>166</v>
      </c>
      <c r="AJ3" s="117" t="s">
        <v>119</v>
      </c>
      <c r="AK3" s="117" t="s">
        <v>167</v>
      </c>
      <c r="AL3" s="117" t="s">
        <v>168</v>
      </c>
      <c r="AM3" s="117" t="s">
        <v>169</v>
      </c>
      <c r="AY3" s="28" t="s">
        <v>233</v>
      </c>
      <c r="AZ3" s="28"/>
      <c r="BA3" s="28"/>
      <c r="BB3" s="28"/>
      <c r="BC3" s="28"/>
      <c r="BD3" s="29" t="s">
        <v>237</v>
      </c>
      <c r="BE3" s="175">
        <v>20000000</v>
      </c>
      <c r="BF3" s="175" t="s">
        <v>238</v>
      </c>
      <c r="BG3" s="29"/>
      <c r="BI3" s="149" t="s">
        <v>188</v>
      </c>
      <c r="BJ3" s="149"/>
      <c r="BK3" s="149"/>
      <c r="BS3" s="149" t="s">
        <v>206</v>
      </c>
      <c r="BT3" s="149"/>
      <c r="BU3" s="149"/>
      <c r="BV3" s="149"/>
    </row>
    <row r="4" spans="1:92" x14ac:dyDescent="0.25">
      <c r="A4" s="29"/>
      <c r="B4" s="29"/>
      <c r="C4" s="29"/>
      <c r="D4" s="29"/>
      <c r="E4" s="29"/>
      <c r="F4" s="29"/>
      <c r="G4" s="29"/>
      <c r="H4" s="29"/>
      <c r="I4" s="29"/>
      <c r="J4" s="29"/>
      <c r="K4" s="29"/>
      <c r="L4" s="29"/>
      <c r="M4" s="29"/>
      <c r="N4" s="29"/>
      <c r="O4" s="29"/>
      <c r="P4" s="29"/>
      <c r="Q4" s="29"/>
      <c r="R4" s="29"/>
      <c r="S4" s="29"/>
      <c r="AB4" s="219" t="s">
        <v>164</v>
      </c>
      <c r="AC4" s="219"/>
      <c r="AD4" s="108">
        <f>EnergyCal!C$26</f>
        <v>2.5</v>
      </c>
      <c r="AE4" s="108">
        <f>EnergyCal!C27</f>
        <v>3</v>
      </c>
      <c r="AF4" s="108">
        <f>EnergyCal!C28</f>
        <v>6.5</v>
      </c>
      <c r="AG4" s="108">
        <f>EnergyCal!C29</f>
        <v>11.5</v>
      </c>
      <c r="AH4" s="108">
        <f>EnergyCal!C30</f>
        <v>7</v>
      </c>
      <c r="AI4" s="108">
        <f>EnergyCal!C31</f>
        <v>11.3</v>
      </c>
      <c r="AJ4" s="108">
        <f>EnergyCal!C32</f>
        <v>30.3</v>
      </c>
      <c r="AK4" s="108">
        <f>EnergyCal!C35</f>
        <v>4</v>
      </c>
      <c r="AL4" s="108">
        <f>EnergyCal!C36</f>
        <v>7.9950000000000001</v>
      </c>
      <c r="AM4" s="108">
        <f>EnergyCal!C37</f>
        <v>14.145</v>
      </c>
      <c r="AY4" s="28" t="s">
        <v>234</v>
      </c>
      <c r="AZ4" s="28"/>
      <c r="BA4" s="28"/>
      <c r="BB4" s="28"/>
      <c r="BC4" s="28"/>
      <c r="BD4" s="29" t="s">
        <v>189</v>
      </c>
      <c r="BE4" s="29">
        <v>27</v>
      </c>
      <c r="BF4" s="29" t="s">
        <v>239</v>
      </c>
      <c r="BG4" s="29"/>
      <c r="BJ4" s="117"/>
      <c r="BK4" s="117"/>
      <c r="BL4" s="117"/>
      <c r="BM4" s="117"/>
      <c r="BN4" s="152" t="s">
        <v>189</v>
      </c>
      <c r="BO4" s="150" t="s">
        <v>194</v>
      </c>
      <c r="BP4" s="150" t="s">
        <v>195</v>
      </c>
      <c r="BQ4" s="150" t="s">
        <v>196</v>
      </c>
      <c r="BR4" s="117"/>
    </row>
    <row r="5" spans="1:92" x14ac:dyDescent="0.25">
      <c r="A5" s="64" t="s">
        <v>150</v>
      </c>
      <c r="B5" s="64"/>
      <c r="C5" s="64"/>
      <c r="D5" s="64"/>
      <c r="E5" s="64"/>
      <c r="F5" s="64"/>
      <c r="G5" s="64"/>
      <c r="H5" s="64"/>
      <c r="I5" s="64"/>
      <c r="J5" s="64"/>
      <c r="K5" s="64"/>
      <c r="L5" s="64"/>
      <c r="M5" s="64"/>
      <c r="N5" s="29"/>
      <c r="O5" s="29"/>
      <c r="P5" s="29"/>
      <c r="Q5" s="29"/>
      <c r="R5" s="29"/>
      <c r="S5" s="29"/>
      <c r="AY5" s="28" t="s">
        <v>262</v>
      </c>
      <c r="AZ5" s="28"/>
      <c r="BA5" s="28"/>
      <c r="BB5" s="28"/>
      <c r="BC5" s="28"/>
      <c r="BD5" s="29" t="s">
        <v>240</v>
      </c>
      <c r="BE5" s="29"/>
      <c r="BF5" s="29"/>
      <c r="BG5" s="29"/>
      <c r="BJ5" s="156" t="s">
        <v>116</v>
      </c>
      <c r="BK5" s="151" t="s">
        <v>190</v>
      </c>
      <c r="BL5" s="151" t="s">
        <v>191</v>
      </c>
      <c r="BM5" s="151" t="s">
        <v>192</v>
      </c>
      <c r="BN5" s="152" t="s">
        <v>193</v>
      </c>
      <c r="BO5" s="150" t="s">
        <v>197</v>
      </c>
      <c r="BP5" s="150" t="s">
        <v>198</v>
      </c>
      <c r="BQ5" s="150" t="s">
        <v>199</v>
      </c>
      <c r="BS5" s="150" t="s">
        <v>208</v>
      </c>
      <c r="BT5" s="150" t="s">
        <v>207</v>
      </c>
      <c r="BZ5" t="s">
        <v>249</v>
      </c>
    </row>
    <row r="6" spans="1:92" x14ac:dyDescent="0.25">
      <c r="AC6" s="117" t="s">
        <v>170</v>
      </c>
      <c r="AD6" s="117" t="s">
        <v>171</v>
      </c>
      <c r="AF6" s="59" t="s">
        <v>172</v>
      </c>
      <c r="AG6" s="59"/>
      <c r="AH6" s="59"/>
      <c r="AK6" s="141" t="s">
        <v>179</v>
      </c>
      <c r="AL6" s="141"/>
      <c r="AM6" s="141"/>
      <c r="AY6" s="29" t="s">
        <v>235</v>
      </c>
      <c r="AZ6" s="29"/>
      <c r="BA6" s="29"/>
      <c r="BB6" s="29"/>
      <c r="BC6" s="29"/>
      <c r="BD6" s="29" t="s">
        <v>237</v>
      </c>
      <c r="BE6" s="175">
        <f>BE3*BE4/BN6</f>
        <v>12053571.428571429</v>
      </c>
      <c r="BF6" s="175" t="s">
        <v>238</v>
      </c>
      <c r="BG6" s="29"/>
      <c r="BJ6" s="156" t="s">
        <v>152</v>
      </c>
      <c r="BK6" s="151">
        <v>69300</v>
      </c>
      <c r="BL6" s="151">
        <v>33</v>
      </c>
      <c r="BM6" s="151">
        <v>3.2</v>
      </c>
      <c r="BN6" s="152">
        <v>44.8</v>
      </c>
      <c r="BO6" s="150">
        <f>BK6*BN6*0.000001</f>
        <v>3.1046399999999998</v>
      </c>
      <c r="BP6" s="150">
        <f>BL6*BN6*0.000001</f>
        <v>1.4783999999999997E-3</v>
      </c>
      <c r="BQ6" s="150">
        <f>BM6*BN6*0.000001</f>
        <v>1.4335999999999998E-4</v>
      </c>
      <c r="BS6" s="117" t="s">
        <v>200</v>
      </c>
      <c r="BT6" s="117">
        <v>1</v>
      </c>
      <c r="BZ6" t="s">
        <v>250</v>
      </c>
    </row>
    <row r="7" spans="1:92" x14ac:dyDescent="0.25">
      <c r="A7" s="227" t="s">
        <v>154</v>
      </c>
      <c r="B7" s="227"/>
      <c r="C7" s="227"/>
      <c r="D7" s="227"/>
      <c r="E7" s="227"/>
      <c r="H7" s="227" t="s">
        <v>151</v>
      </c>
      <c r="I7" s="227"/>
      <c r="J7" s="227"/>
      <c r="K7" s="227"/>
      <c r="L7" s="227"/>
      <c r="M7" s="227"/>
      <c r="O7" s="226" t="s">
        <v>157</v>
      </c>
      <c r="P7" s="226"/>
      <c r="Q7" s="226"/>
      <c r="R7" s="226"/>
      <c r="S7" s="226"/>
      <c r="U7" s="230" t="s">
        <v>158</v>
      </c>
      <c r="V7" s="230"/>
      <c r="W7" s="230"/>
      <c r="X7" s="230"/>
      <c r="Y7" s="230"/>
      <c r="Z7" s="230"/>
      <c r="AC7" s="117" t="s">
        <v>122</v>
      </c>
      <c r="AD7" s="117">
        <f>EnergyCal!G25</f>
        <v>0.71</v>
      </c>
      <c r="AF7" t="s">
        <v>173</v>
      </c>
      <c r="AI7" t="s">
        <v>174</v>
      </c>
      <c r="AK7" t="s">
        <v>180</v>
      </c>
      <c r="AL7" t="s">
        <v>181</v>
      </c>
      <c r="AY7" s="29" t="s">
        <v>260</v>
      </c>
      <c r="AZ7" s="29"/>
      <c r="BA7" s="29"/>
      <c r="BB7" s="29"/>
      <c r="BC7" s="29"/>
      <c r="BD7" s="29" t="s">
        <v>241</v>
      </c>
      <c r="BE7" s="176">
        <f>BE6*Table6152331[[#This Row],[density (kg/L)]]/1000</f>
        <v>8558.0357142857138</v>
      </c>
      <c r="BF7" s="176" t="s">
        <v>144</v>
      </c>
      <c r="BG7" s="29"/>
      <c r="BJ7" s="156" t="s">
        <v>1</v>
      </c>
      <c r="BK7" s="151">
        <v>74100</v>
      </c>
      <c r="BL7" s="151">
        <v>3.9</v>
      </c>
      <c r="BM7" s="151">
        <v>3.9</v>
      </c>
      <c r="BN7" s="152">
        <v>43.3</v>
      </c>
      <c r="BO7" s="150">
        <f t="shared" ref="BO7:BO8" si="0">BK7*BN7*0.000001</f>
        <v>3.2085299999999997</v>
      </c>
      <c r="BP7" s="150">
        <f t="shared" ref="BP7:BP8" si="1">BL7*BN7*0.000001</f>
        <v>1.6886999999999997E-4</v>
      </c>
      <c r="BQ7" s="150">
        <f t="shared" ref="BQ7:BQ8" si="2">BM7*BN7*0.000001</f>
        <v>1.6886999999999997E-4</v>
      </c>
      <c r="BS7" s="117" t="s">
        <v>201</v>
      </c>
      <c r="BT7" s="117">
        <v>25</v>
      </c>
      <c r="BZ7" t="s">
        <v>251</v>
      </c>
    </row>
    <row r="8" spans="1:92" x14ac:dyDescent="0.25">
      <c r="A8" t="s">
        <v>34</v>
      </c>
      <c r="B8" t="s">
        <v>152</v>
      </c>
      <c r="C8" t="s">
        <v>153</v>
      </c>
      <c r="D8" t="s">
        <v>2</v>
      </c>
      <c r="E8" t="s">
        <v>12</v>
      </c>
      <c r="G8" t="s">
        <v>34</v>
      </c>
      <c r="H8" s="83" t="s">
        <v>5</v>
      </c>
      <c r="I8" s="83" t="s">
        <v>62</v>
      </c>
      <c r="J8" s="83" t="s">
        <v>101</v>
      </c>
      <c r="K8" s="83" t="s">
        <v>64</v>
      </c>
      <c r="L8" s="83" t="s">
        <v>3</v>
      </c>
      <c r="M8" s="83" t="s">
        <v>104</v>
      </c>
      <c r="O8" s="117" t="s">
        <v>34</v>
      </c>
      <c r="P8" s="83" t="s">
        <v>65</v>
      </c>
      <c r="Q8" s="83" t="s">
        <v>64</v>
      </c>
      <c r="R8" s="83" t="s">
        <v>88</v>
      </c>
      <c r="S8" s="83" t="s">
        <v>104</v>
      </c>
      <c r="T8" s="83"/>
      <c r="V8" s="83" t="s">
        <v>34</v>
      </c>
      <c r="W8" s="83" t="s">
        <v>65</v>
      </c>
      <c r="X8" s="83" t="s">
        <v>64</v>
      </c>
      <c r="Y8" s="83" t="s">
        <v>104</v>
      </c>
      <c r="AC8" s="117" t="s">
        <v>123</v>
      </c>
      <c r="AD8" s="117">
        <f>EnergyCal!G26</f>
        <v>0.85</v>
      </c>
      <c r="AF8" t="s">
        <v>0</v>
      </c>
      <c r="AG8" s="140">
        <v>0.03</v>
      </c>
      <c r="AI8" s="117">
        <f>EnergyCal!P68</f>
        <v>4.6899999999999997E-2</v>
      </c>
      <c r="AK8" s="117" t="s">
        <v>129</v>
      </c>
      <c r="AL8" s="117">
        <f>EnergyCal!G30</f>
        <v>1.9</v>
      </c>
      <c r="AQ8" s="231" t="s">
        <v>183</v>
      </c>
      <c r="AR8" s="231"/>
      <c r="AS8" s="231"/>
      <c r="AT8" s="231"/>
      <c r="AU8" s="231"/>
      <c r="AY8" s="29"/>
      <c r="AZ8" s="29"/>
      <c r="BA8" s="29"/>
      <c r="BB8" s="29"/>
      <c r="BC8" s="29"/>
      <c r="BD8" s="29" t="s">
        <v>245</v>
      </c>
      <c r="BE8" s="178">
        <v>0.05</v>
      </c>
      <c r="BF8" s="29" t="s">
        <v>246</v>
      </c>
      <c r="BG8" s="29"/>
      <c r="BJ8" s="156" t="s">
        <v>2</v>
      </c>
      <c r="BK8" s="151">
        <v>63100</v>
      </c>
      <c r="BL8" s="151">
        <v>62</v>
      </c>
      <c r="BM8" s="151">
        <v>0.2</v>
      </c>
      <c r="BN8" s="152">
        <v>52.2</v>
      </c>
      <c r="BO8" s="150">
        <f t="shared" si="0"/>
        <v>3.2938199999999997</v>
      </c>
      <c r="BP8" s="150">
        <f t="shared" si="1"/>
        <v>3.2364E-3</v>
      </c>
      <c r="BQ8" s="150">
        <f t="shared" si="2"/>
        <v>1.044E-5</v>
      </c>
      <c r="BS8" s="117" t="s">
        <v>202</v>
      </c>
      <c r="BT8" s="117">
        <v>298</v>
      </c>
      <c r="BZ8" t="s">
        <v>3</v>
      </c>
      <c r="CA8" t="s">
        <v>252</v>
      </c>
      <c r="CB8" s="38">
        <v>0.21</v>
      </c>
      <c r="CC8" t="s">
        <v>253</v>
      </c>
      <c r="CD8" s="38">
        <v>0.5</v>
      </c>
      <c r="CE8" t="s">
        <v>254</v>
      </c>
      <c r="CF8" s="38">
        <v>0.75</v>
      </c>
      <c r="CG8" t="s">
        <v>269</v>
      </c>
      <c r="CH8">
        <v>1</v>
      </c>
      <c r="CI8" t="s">
        <v>270</v>
      </c>
      <c r="CJ8">
        <v>1.5</v>
      </c>
      <c r="CK8" t="s">
        <v>271</v>
      </c>
      <c r="CL8">
        <v>2</v>
      </c>
      <c r="CM8" t="s">
        <v>272</v>
      </c>
      <c r="CN8">
        <v>2.5</v>
      </c>
    </row>
    <row r="9" spans="1:92" ht="15" customHeight="1" x14ac:dyDescent="0.25">
      <c r="A9">
        <v>2015</v>
      </c>
      <c r="B9" s="85">
        <f>EnergyCal!W8</f>
        <v>54.930362143851504</v>
      </c>
      <c r="C9" s="85">
        <f>EnergyCal!X8</f>
        <v>45.014854314760704</v>
      </c>
      <c r="D9" s="85">
        <f>EnergyCal!Y8</f>
        <v>5.4783541387793754E-2</v>
      </c>
      <c r="E9" s="85">
        <f>B9+C9+D9</f>
        <v>100</v>
      </c>
      <c r="G9" s="117">
        <v>2015</v>
      </c>
      <c r="H9" s="85">
        <f>EnergyCal!C$19</f>
        <v>11.311273520921988</v>
      </c>
      <c r="I9" s="85">
        <f>EnergyCal!D$19</f>
        <v>7.3644826439967002</v>
      </c>
      <c r="J9" s="85">
        <f>EnergyCal!E$19</f>
        <v>77.787309373184556</v>
      </c>
      <c r="K9" s="85">
        <f>EnergyCal!F$19</f>
        <v>2.5223539755632576</v>
      </c>
      <c r="L9" s="85">
        <f>EnergyCal!G$19</f>
        <v>1.0145804863335024</v>
      </c>
      <c r="M9" s="85">
        <f>SUM(H9:L9)</f>
        <v>100.00000000000001</v>
      </c>
      <c r="O9" s="117">
        <v>2015</v>
      </c>
      <c r="P9" s="85">
        <f>EnergyCal!J19</f>
        <v>8.4564243176117291</v>
      </c>
      <c r="Q9" s="85">
        <f>EnergyCal!K19</f>
        <v>12.197318849661857</v>
      </c>
      <c r="R9" s="85">
        <f>EnergyCal!L19</f>
        <v>79.346256832726411</v>
      </c>
      <c r="S9" s="85">
        <f>P9+Q9+R9</f>
        <v>100</v>
      </c>
      <c r="T9" s="85"/>
      <c r="V9" s="117">
        <v>2015</v>
      </c>
      <c r="W9" s="85">
        <f>EnergyCal!O19</f>
        <v>94.514767932489448</v>
      </c>
      <c r="X9" s="85">
        <f>EnergyCal!P19</f>
        <v>5.4852320675105481</v>
      </c>
      <c r="Y9" s="85">
        <f>W9+X9</f>
        <v>100</v>
      </c>
      <c r="AC9" s="117" t="s">
        <v>2</v>
      </c>
      <c r="AD9" s="117">
        <f>EnergyCal!G27</f>
        <v>0.55700000000000005</v>
      </c>
      <c r="AF9" t="s">
        <v>1</v>
      </c>
      <c r="AG9" s="140">
        <v>0.97</v>
      </c>
      <c r="AI9" s="117">
        <f>EnergyCal!N68</f>
        <v>3.6799999999999999E-2</v>
      </c>
      <c r="AK9" s="117" t="s">
        <v>119</v>
      </c>
      <c r="AL9" s="117">
        <f>EnergyCal!G31</f>
        <v>35</v>
      </c>
      <c r="AQ9" s="231"/>
      <c r="AR9" s="231"/>
      <c r="AS9" s="231"/>
      <c r="AT9" s="231"/>
      <c r="AU9" s="231"/>
      <c r="AW9" s="232" t="s">
        <v>185</v>
      </c>
      <c r="AX9" s="164"/>
      <c r="AY9" s="29"/>
      <c r="AZ9" s="29"/>
      <c r="BA9" s="29"/>
      <c r="BB9" s="29"/>
      <c r="BC9" s="29"/>
      <c r="BD9" s="29">
        <v>2020</v>
      </c>
      <c r="BE9" s="178">
        <v>0</v>
      </c>
      <c r="BF9" s="29" t="s">
        <v>246</v>
      </c>
      <c r="BG9" s="29"/>
      <c r="BK9" s="151"/>
      <c r="BL9" s="151"/>
      <c r="BM9" s="151"/>
      <c r="BN9" s="152"/>
      <c r="BO9" s="150"/>
      <c r="BP9" s="150"/>
      <c r="BQ9" s="150"/>
      <c r="BZ9" t="s">
        <v>4</v>
      </c>
      <c r="CA9" t="s">
        <v>252</v>
      </c>
      <c r="CB9">
        <v>0</v>
      </c>
      <c r="CC9" t="s">
        <v>253</v>
      </c>
      <c r="CD9">
        <v>0.1</v>
      </c>
      <c r="CE9" t="s">
        <v>254</v>
      </c>
      <c r="CF9">
        <v>0.2</v>
      </c>
      <c r="CG9" t="s">
        <v>269</v>
      </c>
      <c r="CH9">
        <v>0.4</v>
      </c>
      <c r="CI9" t="s">
        <v>270</v>
      </c>
      <c r="CJ9">
        <v>0.8</v>
      </c>
      <c r="CK9" t="s">
        <v>271</v>
      </c>
      <c r="CL9">
        <v>1</v>
      </c>
      <c r="CM9" t="s">
        <v>272</v>
      </c>
      <c r="CN9">
        <v>1.25</v>
      </c>
    </row>
    <row r="10" spans="1:92" x14ac:dyDescent="0.25">
      <c r="U10" s="39"/>
      <c r="V10" s="39"/>
      <c r="W10" s="39"/>
      <c r="AW10" s="232"/>
      <c r="AX10" s="164"/>
      <c r="AY10" s="83">
        <v>2018</v>
      </c>
      <c r="AZ10" s="171">
        <v>0</v>
      </c>
      <c r="BA10" s="83" t="s">
        <v>229</v>
      </c>
      <c r="BB10" s="171">
        <v>0</v>
      </c>
      <c r="BC10" s="171"/>
      <c r="BD10" s="174">
        <v>0.25</v>
      </c>
      <c r="BE10" s="171"/>
      <c r="BF10" s="234" t="s">
        <v>247</v>
      </c>
    </row>
    <row r="11" spans="1:92" x14ac:dyDescent="0.25">
      <c r="C11" s="228" t="s">
        <v>155</v>
      </c>
      <c r="D11" s="228"/>
      <c r="E11" s="228"/>
      <c r="F11" s="228"/>
      <c r="H11" s="154" t="s">
        <v>109</v>
      </c>
      <c r="I11" s="229" t="s">
        <v>155</v>
      </c>
      <c r="J11" s="229"/>
      <c r="K11" s="229"/>
      <c r="L11" s="229"/>
      <c r="M11" s="127"/>
      <c r="O11" s="155" t="s">
        <v>110</v>
      </c>
      <c r="P11" s="226" t="s">
        <v>155</v>
      </c>
      <c r="Q11" s="226"/>
      <c r="R11" s="226"/>
      <c r="S11" s="155"/>
      <c r="V11" s="153" t="s">
        <v>2</v>
      </c>
      <c r="W11" s="230" t="s">
        <v>155</v>
      </c>
      <c r="X11" s="230"/>
      <c r="Y11" s="230"/>
      <c r="AD11" s="229" t="s">
        <v>176</v>
      </c>
      <c r="AE11" s="229"/>
      <c r="AF11" s="229"/>
      <c r="AG11" s="229"/>
      <c r="AH11" s="229"/>
      <c r="AI11" s="229"/>
      <c r="AK11" s="226" t="s">
        <v>177</v>
      </c>
      <c r="AL11" s="226"/>
      <c r="AM11" s="226"/>
      <c r="AN11" s="226"/>
      <c r="AQ11" s="230" t="s">
        <v>178</v>
      </c>
      <c r="AR11" s="230"/>
      <c r="AS11" s="230"/>
      <c r="AT11" s="147">
        <v>7.0999999999999994E-2</v>
      </c>
      <c r="AW11" s="137" t="s">
        <v>186</v>
      </c>
      <c r="AX11" s="157"/>
      <c r="AY11" s="233" t="s">
        <v>220</v>
      </c>
      <c r="AZ11" s="233"/>
      <c r="BA11" s="233"/>
      <c r="BB11" s="233"/>
      <c r="BC11" s="168"/>
      <c r="BD11" s="233" t="s">
        <v>242</v>
      </c>
      <c r="BE11" s="233"/>
      <c r="BF11" s="234"/>
      <c r="BK11" s="229" t="s">
        <v>205</v>
      </c>
      <c r="BL11" s="229"/>
      <c r="BM11" s="229"/>
      <c r="BN11" s="226" t="s">
        <v>203</v>
      </c>
      <c r="BO11" s="226"/>
      <c r="BP11" s="226"/>
      <c r="BQ11" s="230" t="s">
        <v>204</v>
      </c>
      <c r="BR11" s="230"/>
      <c r="BS11" s="230"/>
      <c r="BU11" s="225" t="s">
        <v>211</v>
      </c>
      <c r="BV11" s="225"/>
      <c r="BW11" s="225"/>
      <c r="BX11" s="225"/>
      <c r="CA11" t="s">
        <v>151</v>
      </c>
    </row>
    <row r="12" spans="1:92" x14ac:dyDescent="0.25">
      <c r="A12" s="83" t="s">
        <v>34</v>
      </c>
      <c r="B12" s="7" t="s">
        <v>56</v>
      </c>
      <c r="C12" s="156" t="s">
        <v>152</v>
      </c>
      <c r="D12" s="155" t="s">
        <v>1</v>
      </c>
      <c r="E12" s="153" t="s">
        <v>2</v>
      </c>
      <c r="F12" s="83" t="s">
        <v>156</v>
      </c>
      <c r="H12" s="154" t="s">
        <v>5</v>
      </c>
      <c r="I12" s="154" t="s">
        <v>62</v>
      </c>
      <c r="J12" s="154" t="s">
        <v>65</v>
      </c>
      <c r="K12" s="154" t="s">
        <v>64</v>
      </c>
      <c r="L12" s="154" t="s">
        <v>3</v>
      </c>
      <c r="M12" s="154" t="s">
        <v>156</v>
      </c>
      <c r="N12" s="190" t="s">
        <v>4</v>
      </c>
      <c r="O12" s="155"/>
      <c r="P12" s="155" t="s">
        <v>65</v>
      </c>
      <c r="Q12" s="155" t="s">
        <v>64</v>
      </c>
      <c r="R12" s="155" t="s">
        <v>88</v>
      </c>
      <c r="S12" s="155" t="s">
        <v>156</v>
      </c>
      <c r="V12" s="129"/>
      <c r="W12" s="153" t="s">
        <v>65</v>
      </c>
      <c r="X12" s="153" t="s">
        <v>64</v>
      </c>
      <c r="Y12" s="153" t="s">
        <v>156</v>
      </c>
      <c r="AB12" s="83" t="s">
        <v>34</v>
      </c>
      <c r="AD12" s="154" t="s">
        <v>5</v>
      </c>
      <c r="AE12" s="154" t="s">
        <v>62</v>
      </c>
      <c r="AF12" s="154" t="s">
        <v>101</v>
      </c>
      <c r="AG12" s="154" t="s">
        <v>64</v>
      </c>
      <c r="AH12" s="154" t="s">
        <v>3</v>
      </c>
      <c r="AI12" s="154" t="s">
        <v>10</v>
      </c>
      <c r="AJ12" s="138" t="s">
        <v>104</v>
      </c>
      <c r="AK12" s="155" t="s">
        <v>65</v>
      </c>
      <c r="AL12" s="155" t="s">
        <v>64</v>
      </c>
      <c r="AM12" s="155" t="s">
        <v>88</v>
      </c>
      <c r="AN12" s="155" t="s">
        <v>98</v>
      </c>
      <c r="AO12" s="139" t="s">
        <v>104</v>
      </c>
      <c r="AQ12" s="153" t="s">
        <v>101</v>
      </c>
      <c r="AR12" s="153" t="s">
        <v>64</v>
      </c>
      <c r="AS12" s="153" t="s">
        <v>175</v>
      </c>
      <c r="AT12" s="157" t="s">
        <v>104</v>
      </c>
      <c r="AU12" s="153" t="s">
        <v>184</v>
      </c>
      <c r="AW12" s="137"/>
      <c r="AX12" s="157"/>
      <c r="AY12" s="168" t="s">
        <v>152</v>
      </c>
      <c r="AZ12" s="168" t="s">
        <v>1</v>
      </c>
      <c r="BA12" s="168" t="s">
        <v>2</v>
      </c>
      <c r="BB12" s="168" t="s">
        <v>12</v>
      </c>
      <c r="BC12" s="83" t="s">
        <v>34</v>
      </c>
      <c r="BD12" s="168" t="s">
        <v>244</v>
      </c>
      <c r="BE12" s="168" t="s">
        <v>243</v>
      </c>
      <c r="BF12" s="168" t="s">
        <v>243</v>
      </c>
      <c r="BJ12" s="83" t="s">
        <v>34</v>
      </c>
      <c r="BK12" s="154" t="s">
        <v>200</v>
      </c>
      <c r="BL12" s="154" t="s">
        <v>201</v>
      </c>
      <c r="BM12" s="154" t="s">
        <v>202</v>
      </c>
      <c r="BN12" s="155" t="s">
        <v>200</v>
      </c>
      <c r="BO12" s="155" t="s">
        <v>201</v>
      </c>
      <c r="BP12" s="155" t="s">
        <v>202</v>
      </c>
      <c r="BQ12" s="153" t="s">
        <v>200</v>
      </c>
      <c r="BR12" s="153" t="s">
        <v>201</v>
      </c>
      <c r="BS12" s="153" t="s">
        <v>202</v>
      </c>
      <c r="BU12" s="158" t="s">
        <v>200</v>
      </c>
      <c r="BV12" s="158" t="s">
        <v>201</v>
      </c>
      <c r="BW12" s="158" t="s">
        <v>209</v>
      </c>
      <c r="BX12" s="158" t="s">
        <v>210</v>
      </c>
      <c r="BZ12" t="s">
        <v>34</v>
      </c>
      <c r="CA12" t="s">
        <v>5</v>
      </c>
      <c r="CB12" t="s">
        <v>62</v>
      </c>
      <c r="CC12" t="s">
        <v>101</v>
      </c>
      <c r="CD12" t="s">
        <v>64</v>
      </c>
      <c r="CE12" t="s">
        <v>3</v>
      </c>
      <c r="CF12" t="s">
        <v>4</v>
      </c>
      <c r="CG12" t="s">
        <v>104</v>
      </c>
    </row>
    <row r="13" spans="1:92" x14ac:dyDescent="0.25">
      <c r="A13" s="117">
        <v>2010</v>
      </c>
      <c r="B13" s="66">
        <f>INDEX((Proj_PasMob!$Q$6:$Q$46),MATCH(A13,Proj_PasMob!$M$6:M$46,0))</f>
        <v>9991295818.1099663</v>
      </c>
      <c r="C13" s="119">
        <f>B13*Table1101826[Gasoline]%</f>
        <v>5488254975.751296</v>
      </c>
      <c r="D13" s="123">
        <f>B13*Table1101826[[Diesel ]]%</f>
        <v>4497567256.6789799</v>
      </c>
      <c r="E13" s="121">
        <f>B13*Table1101826[LPG]%</f>
        <v>5473585.6796911797</v>
      </c>
      <c r="F13" s="66">
        <f>C13+D13+E13-B13</f>
        <v>0</v>
      </c>
      <c r="H13" s="31">
        <f>C13*Table2111927[Autocycle]%</f>
        <v>620791531.83283985</v>
      </c>
      <c r="I13" s="66">
        <f>C13*Table2111927[Motocycle]%</f>
        <v>404181585.14748949</v>
      </c>
      <c r="J13" s="66">
        <f>C13*Table2111927[cars]%</f>
        <v>4269165877.1768556</v>
      </c>
      <c r="K13" s="66">
        <f>C13*Table2111927[DPV]%</f>
        <v>138433217.56991112</v>
      </c>
      <c r="L13" s="66">
        <f>C13*Table2111927[Hybrid]%</f>
        <v>55682764.024200149</v>
      </c>
      <c r="M13" s="66">
        <f>SUM(H13:L13)-C13+N13</f>
        <v>0</v>
      </c>
      <c r="P13" s="66">
        <f>D13*Table3122028[Cars]%</f>
        <v>380333371.19474393</v>
      </c>
      <c r="Q13" s="66">
        <f>D13*Table3122028[DPV]%</f>
        <v>548582618.77512491</v>
      </c>
      <c r="R13" s="66">
        <f>D13*Table3122028[Buses]%</f>
        <v>3568651266.7091112</v>
      </c>
      <c r="S13" s="66">
        <f>SUM(P13:R13)-D13</f>
        <v>0</v>
      </c>
      <c r="W13" s="66">
        <f>E13*Table4132129[Cars]%</f>
        <v>5173346.8027460938</v>
      </c>
      <c r="X13" s="66">
        <f>E13*Table4132129[DPV]%</f>
        <v>300238.87694508577</v>
      </c>
      <c r="Y13" s="66">
        <f>W13+X13-E13</f>
        <v>0</v>
      </c>
      <c r="AB13" s="117">
        <v>2010</v>
      </c>
      <c r="AD13" s="66">
        <f>INDEX((EnergyCal!$B$43:$B$48),MATCH(AB13,EnergyCal!$A$43:$A$48,0))</f>
        <v>12091.4136</v>
      </c>
      <c r="AE13" s="66">
        <f>INDEX((EnergyCal!$C$43:$C$48),MATCH(AB13,EnergyCal!$A$43:$A$48,0))</f>
        <v>5859.7492799999991</v>
      </c>
      <c r="AF13" s="66">
        <f>INDEX((EnergyCal!$D$43:$D$48),MATCH(AB13,EnergyCal!$A$43:$A$48,0))</f>
        <v>82186.965899999996</v>
      </c>
      <c r="AG13" s="66">
        <f>INDEX((EnergyCal!$E$43:$E$48),MATCH(AB13,EnergyCal!$A$43:$A$48,0))</f>
        <v>7038.0258750000003</v>
      </c>
      <c r="AH13" s="66">
        <f>INDEX((EnergyCal!$F$43:$F$48),MATCH(AB13,EnergyCal!$A$43:$A$48,0))</f>
        <v>61.727399999999989</v>
      </c>
      <c r="AI13" s="66">
        <f>INDEX((EnergyCal!$I$43:$I$48),MATCH(AB13,EnergyCal!$A$43:$A$48,0))</f>
        <v>8028.1179449999909</v>
      </c>
      <c r="AJ13" s="66">
        <f>SUM(AD13:AI13)</f>
        <v>115266</v>
      </c>
      <c r="AK13" s="66">
        <f>INDEX((EnergyCal!$B$70:$B$75),MATCH(AB13,EnergyCal!$A$70:$A$75,0))</f>
        <v>10442.25</v>
      </c>
      <c r="AL13" s="66">
        <f>INDEX((EnergyCal!$C$70:$C$75),MATCH(AB13,EnergyCal!$A$70:$A$75,0))</f>
        <v>28080.793799999999</v>
      </c>
      <c r="AM13" s="66">
        <f>INDEX((EnergyCal!$D$70:$D$75),MATCH(AB13,EnergyCal!$A$70:$A$75,0))</f>
        <v>27843.730500000001</v>
      </c>
      <c r="AN13" s="66">
        <f>INDEX((EnergyCal!$K$70:$K$75),MATCH(AB13,EnergyCal!$A$70:$A$75,0))</f>
        <v>77109.410233686634</v>
      </c>
      <c r="AO13" s="66">
        <f>SUM(AK13:AN13)</f>
        <v>143476.18453368664</v>
      </c>
      <c r="AP13" s="66"/>
      <c r="AQ13" s="66">
        <f>INDEX((EnergyCal!$B$57:$B$62),MATCH(AB13,EnergyCal!$A$57:$A$62,0))</f>
        <v>128.65338135000002</v>
      </c>
      <c r="AR13" s="146">
        <f>INDEX((EnergyCal!$C$57:$C$62),MATCH(AB13,EnergyCal!$A$57:$A$62,0))</f>
        <v>12.763599299999999</v>
      </c>
      <c r="AS13" s="66">
        <f>INDEX((EnergyCal!$F$57:$F$62),MATCH(AB13,EnergyCal!$A$57:$A$62,0))</f>
        <v>4499.5830193499996</v>
      </c>
      <c r="AT13" s="66">
        <f>SUM(AQ13:AS13)</f>
        <v>4641</v>
      </c>
      <c r="AU13" s="31">
        <f>AT13*10</f>
        <v>46410</v>
      </c>
      <c r="AW13" s="148">
        <f t="shared" ref="AW13:AW53" si="3">AT13+AO13+AJ13</f>
        <v>263383.18453368661</v>
      </c>
      <c r="AX13" s="165"/>
      <c r="AY13" s="163">
        <f t="shared" ref="AY13:AY20" si="4">AJ13</f>
        <v>115266</v>
      </c>
      <c r="AZ13" s="163">
        <f t="shared" ref="AZ13:AZ20" si="5">AO13</f>
        <v>143476.18453368664</v>
      </c>
      <c r="BA13" s="163">
        <f t="shared" ref="BA13:BA53" si="6">AT13</f>
        <v>4641</v>
      </c>
      <c r="BB13" s="163">
        <f>BA13+AZ13+AY13</f>
        <v>263383.18453368661</v>
      </c>
      <c r="BC13" s="117">
        <v>2010</v>
      </c>
      <c r="BD13" s="163"/>
      <c r="BE13" s="163"/>
      <c r="BF13" s="163">
        <f>AY13-BE13</f>
        <v>115266</v>
      </c>
      <c r="BJ13" s="117">
        <v>2010</v>
      </c>
      <c r="BK13" s="85">
        <f>BF13*$BO$6/1000</f>
        <v>357.85943423999998</v>
      </c>
      <c r="BL13" s="85">
        <f>BF13*$BP$6/1000</f>
        <v>0.17040925439999999</v>
      </c>
      <c r="BM13" s="85">
        <f>BF13*$BQ$6/1000</f>
        <v>1.6524533759999998E-2</v>
      </c>
      <c r="BN13" s="85">
        <f>AZ13*$BO$7/1000</f>
        <v>460.34764236186959</v>
      </c>
      <c r="BO13" s="85">
        <f t="shared" ref="BO13:BO53" si="7">AZ13*$BP$7/1000</f>
        <v>2.422882328220366E-2</v>
      </c>
      <c r="BP13" s="85">
        <f t="shared" ref="BP13:BP53" si="8">AZ13*$BQ$7/1000</f>
        <v>2.422882328220366E-2</v>
      </c>
      <c r="BQ13" s="85">
        <f>BA13*$BO$8/1000</f>
        <v>15.286618619999999</v>
      </c>
      <c r="BR13" s="85">
        <f t="shared" ref="BR13:BR53" si="9">BA13*$BP$8/1000</f>
        <v>1.50201324E-2</v>
      </c>
      <c r="BS13" s="85">
        <f t="shared" ref="BS13:BS53" si="10">BA13*$BQ$8/1000</f>
        <v>4.8452039999999999E-5</v>
      </c>
      <c r="BU13" s="39">
        <f>BK13+BN13+BQ13</f>
        <v>833.49369522186964</v>
      </c>
      <c r="BV13" s="39">
        <f>BL13+BO13+BR13</f>
        <v>0.20965821008220364</v>
      </c>
      <c r="BW13" s="39">
        <f>BM13+BP13+BS13</f>
        <v>4.0801809082203662E-2</v>
      </c>
      <c r="BX13" s="159">
        <f>BU13+(BV13*$BT$7)+(BW13*$BT$8)</f>
        <v>850.89408958042145</v>
      </c>
      <c r="BZ13">
        <v>2015</v>
      </c>
      <c r="CA13" s="39">
        <f>EnergyCal!C$19</f>
        <v>11.311273520921988</v>
      </c>
      <c r="CB13" s="39">
        <f>EnergyCal!D$19</f>
        <v>7.3644826439967002</v>
      </c>
      <c r="CC13" s="39">
        <f>EnergyCal!E$19</f>
        <v>77.787309373184556</v>
      </c>
      <c r="CD13" s="39">
        <f>EnergyCal!F$19</f>
        <v>2.5223539755632576</v>
      </c>
      <c r="CE13" s="39">
        <f>EnergyCal!G$19</f>
        <v>1.0145804863335024</v>
      </c>
      <c r="CF13" s="39">
        <v>0</v>
      </c>
      <c r="CG13" s="39">
        <f>SUM(CA13:CF13)</f>
        <v>100.00000000000001</v>
      </c>
    </row>
    <row r="14" spans="1:92" x14ac:dyDescent="0.25">
      <c r="A14" s="117">
        <f>A13+1</f>
        <v>2011</v>
      </c>
      <c r="B14" s="66">
        <f>INDEX((Proj_PasMob!$Q$6:$Q$46),MATCH(A14,Proj_PasMob!$M$6:M$46,0))</f>
        <v>10135465715.034311</v>
      </c>
      <c r="C14" s="119">
        <f>B14*Table1101826[Gasoline]%</f>
        <v>5567448022.2342558</v>
      </c>
      <c r="D14" s="123">
        <f>B14*Table1101826[[Diesel ]]%</f>
        <v>4562465125.7452145</v>
      </c>
      <c r="E14" s="121">
        <f>B14*Table1101826[LPG]%</f>
        <v>5552567.0548414681</v>
      </c>
      <c r="F14" s="66">
        <f t="shared" ref="F14:F53" si="11">C14+D14+E14-B14</f>
        <v>0</v>
      </c>
      <c r="H14" s="31">
        <f>C14*Table2111927[Autocycle]%</f>
        <v>629749273.93007827</v>
      </c>
      <c r="I14" s="66">
        <f>C14*Table2111927[Motocycle]%</f>
        <v>410013743.31097931</v>
      </c>
      <c r="J14" s="66">
        <f>C14*Table2111927[cars]%</f>
        <v>4330768017.2466049</v>
      </c>
      <c r="K14" s="66">
        <f>C14*Table2111927[DPV]%</f>
        <v>140430746.52624372</v>
      </c>
      <c r="L14" s="66">
        <f>C14*Table2111927[Hybrid]%</f>
        <v>56486241.220349275</v>
      </c>
      <c r="M14" s="66">
        <f t="shared" ref="M14:M53" si="12">SUM(H14:L14)-C14+N14</f>
        <v>0</v>
      </c>
      <c r="P14" s="66">
        <f>D14*Table3122028[Cars]%</f>
        <v>385821410.37607282</v>
      </c>
      <c r="Q14" s="66">
        <f>D14*Table3122028[DPV]%</f>
        <v>556498418.7917695</v>
      </c>
      <c r="R14" s="66">
        <f>D14*Table3122028[Buses]%</f>
        <v>3620145296.5773721</v>
      </c>
      <c r="S14" s="66">
        <f t="shared" ref="S14:S53" si="13">SUM(P14:R14)-D14</f>
        <v>0</v>
      </c>
      <c r="W14" s="66">
        <f>E14*Table4132129[Cars]%</f>
        <v>5247995.8661792781</v>
      </c>
      <c r="X14" s="66">
        <f>E14*Table4132129[DPV]%</f>
        <v>304571.18866219022</v>
      </c>
      <c r="Y14" s="66">
        <f t="shared" ref="Y14:Y53" si="14">W14+X14-E14</f>
        <v>0</v>
      </c>
      <c r="AB14" s="117">
        <f>AB13+1</f>
        <v>2011</v>
      </c>
      <c r="AD14" s="66">
        <f>INDEX((EnergyCal!$B$43:$B$48),MATCH(AB14,EnergyCal!$A$43:$A$48,0))</f>
        <v>12191.708199999999</v>
      </c>
      <c r="AE14" s="66">
        <f>INDEX((EnergyCal!$C$43:$C$48),MATCH(AB14,EnergyCal!$A$43:$A$48,0))</f>
        <v>6461.6361599999991</v>
      </c>
      <c r="AF14" s="66">
        <f>INDEX((EnergyCal!$D$43:$D$48),MATCH(AB14,EnergyCal!$A$43:$A$48,0))</f>
        <v>86827.256100000013</v>
      </c>
      <c r="AG14" s="66">
        <f>INDEX((EnergyCal!$E$43:$E$48),MATCH(AB14,EnergyCal!$A$43:$A$48,0))</f>
        <v>6837.4118250000001</v>
      </c>
      <c r="AH14" s="66">
        <f>INDEX((EnergyCal!$F$43:$F$48),MATCH(AB14,EnergyCal!$A$43:$A$48,0))</f>
        <v>120.771</v>
      </c>
      <c r="AI14" s="66">
        <f>INDEX((EnergyCal!$I$43:$I$48),MATCH(AB14,EnergyCal!$A$43:$A$48,0))</f>
        <v>4931.2167149999877</v>
      </c>
      <c r="AJ14" s="66">
        <f t="shared" ref="AJ14:AJ17" si="15">SUM(AD14:AI14)</f>
        <v>117370</v>
      </c>
      <c r="AK14" s="66">
        <f>INDEX((EnergyCal!$B$70:$B$75),MATCH(AB14,EnergyCal!$A$70:$A$75,0))</f>
        <v>11001.312</v>
      </c>
      <c r="AL14" s="66">
        <f>INDEX((EnergyCal!$C$70:$C$75),MATCH(AB14,EnergyCal!$A$70:$A$75,0))</f>
        <v>29255.58135</v>
      </c>
      <c r="AM14" s="66">
        <f>INDEX((EnergyCal!$D$70:$D$75),MATCH(AB14,EnergyCal!$A$70:$A$75,0))</f>
        <v>28499.452799999999</v>
      </c>
      <c r="AN14" s="66">
        <f>INDEX((EnergyCal!$K$70:$K$75),MATCH(AB14,EnergyCal!$A$70:$A$75,0))</f>
        <v>80074.815155776363</v>
      </c>
      <c r="AO14" s="66">
        <f t="shared" ref="AO14:AO53" si="16">SUM(AK14:AN14)</f>
        <v>148831.16130577636</v>
      </c>
      <c r="AP14" s="66"/>
      <c r="AQ14" s="66">
        <f>INDEX((EnergyCal!$B$57:$B$62),MATCH(AB14,EnergyCal!$A$57:$A$62,0))</f>
        <v>131.05811745000003</v>
      </c>
      <c r="AR14" s="146">
        <f>INDEX((EnergyCal!$C$57:$C$62),MATCH(AB14,EnergyCal!$A$57:$A$62,0))</f>
        <v>12.763599299999999</v>
      </c>
      <c r="AS14" s="66">
        <f>INDEX((EnergyCal!$F$57:$F$62),MATCH(AB14,EnergyCal!$A$57:$A$62,0))</f>
        <v>4358.1782832500012</v>
      </c>
      <c r="AT14" s="66">
        <f t="shared" ref="AT14:AT53" si="17">SUM(AQ14:AS14)</f>
        <v>4502.0000000000009</v>
      </c>
      <c r="AU14" s="31">
        <f t="shared" ref="AU14:AU53" si="18">AT14*10</f>
        <v>45020.000000000007</v>
      </c>
      <c r="AW14" s="148">
        <f t="shared" si="3"/>
        <v>270703.16130577633</v>
      </c>
      <c r="AX14" s="165"/>
      <c r="AY14" s="163">
        <f t="shared" si="4"/>
        <v>117370</v>
      </c>
      <c r="AZ14" s="163">
        <f t="shared" si="5"/>
        <v>148831.16130577636</v>
      </c>
      <c r="BA14" s="163">
        <f t="shared" si="6"/>
        <v>4502.0000000000009</v>
      </c>
      <c r="BB14" s="163">
        <f t="shared" ref="BB14:BB53" si="19">BA14+AZ14+AY14</f>
        <v>270703.16130577633</v>
      </c>
      <c r="BC14" s="117">
        <f>BC13+1</f>
        <v>2011</v>
      </c>
      <c r="BD14" s="163"/>
      <c r="BE14" s="163"/>
      <c r="BF14" s="163">
        <f t="shared" ref="BF14:BF53" si="20">AY14-BE14</f>
        <v>117370</v>
      </c>
      <c r="BJ14" s="117">
        <f>BJ13+1</f>
        <v>2011</v>
      </c>
      <c r="BK14" s="85">
        <f t="shared" ref="BK14:BK53" si="21">BF14*$BO$6/1000</f>
        <v>364.3915968</v>
      </c>
      <c r="BL14" s="85">
        <f t="shared" ref="BL14:BL53" si="22">BF14*$BP$6/1000</f>
        <v>0.17351980799999994</v>
      </c>
      <c r="BM14" s="85">
        <f t="shared" ref="BM14:BM53" si="23">BF14*$BQ$6/1000</f>
        <v>1.6826163199999997E-2</v>
      </c>
      <c r="BN14" s="85">
        <f t="shared" ref="BN14:BN53" si="24">AZ14*$BO$7/1000</f>
        <v>477.52924598442257</v>
      </c>
      <c r="BO14" s="85">
        <f t="shared" si="7"/>
        <v>2.513311820970645E-2</v>
      </c>
      <c r="BP14" s="85">
        <f t="shared" si="8"/>
        <v>2.513311820970645E-2</v>
      </c>
      <c r="BQ14" s="85">
        <f t="shared" ref="BQ14:BQ53" si="25">BA14*$BO$8/1000</f>
        <v>14.828777640000002</v>
      </c>
      <c r="BR14" s="85">
        <f t="shared" si="9"/>
        <v>1.4570272800000002E-2</v>
      </c>
      <c r="BS14" s="85">
        <f t="shared" si="10"/>
        <v>4.7000880000000011E-5</v>
      </c>
      <c r="BU14" s="39">
        <f t="shared" ref="BU14:BW34" si="26">BK14+BN14+BQ14</f>
        <v>856.74962042442257</v>
      </c>
      <c r="BV14" s="39">
        <f t="shared" si="26"/>
        <v>0.2132231990097064</v>
      </c>
      <c r="BW14" s="39">
        <f t="shared" si="26"/>
        <v>4.2006282289706452E-2</v>
      </c>
      <c r="BX14" s="159">
        <f t="shared" ref="BX14:BX53" si="27">BU14+(BV14*$BT$7)+(BW14*$BT$8)</f>
        <v>874.59807252199778</v>
      </c>
    </row>
    <row r="15" spans="1:92" x14ac:dyDescent="0.25">
      <c r="A15" s="117">
        <f t="shared" ref="A15:A32" si="28">A14+1</f>
        <v>2012</v>
      </c>
      <c r="B15" s="66">
        <f>INDEX((Proj_PasMob!$Q$6:$Q$46),MATCH(A15,Proj_PasMob!$M$6:M$46,0))</f>
        <v>10284155309.520308</v>
      </c>
      <c r="C15" s="119">
        <f>B15*Table1101826[Gasoline]%</f>
        <v>5649123754.9556379</v>
      </c>
      <c r="D15" s="123">
        <f>B15*Table1101826[[Diesel ]]%</f>
        <v>4629397530.0842943</v>
      </c>
      <c r="E15" s="121">
        <f>B15*Table1101826[LPG]%</f>
        <v>5634024.4803760471</v>
      </c>
      <c r="F15" s="66">
        <f t="shared" si="11"/>
        <v>0</v>
      </c>
      <c r="H15" s="31">
        <f>C15*Table2111927[Autocycle]%</f>
        <v>638987839.45841098</v>
      </c>
      <c r="I15" s="66">
        <f>C15*Table2111927[Motocycle]%</f>
        <v>416028738.47160262</v>
      </c>
      <c r="J15" s="66">
        <f>C15*Table2111927[cars]%</f>
        <v>4394301372.1414022</v>
      </c>
      <c r="K15" s="66">
        <f>C15*Table2111927[DPV]%</f>
        <v>142490897.61761191</v>
      </c>
      <c r="L15" s="66">
        <f>C15*Table2111927[Hybrid]%</f>
        <v>57314907.266610324</v>
      </c>
      <c r="M15" s="66">
        <f t="shared" si="12"/>
        <v>0</v>
      </c>
      <c r="P15" s="66">
        <f>D15*Table3122028[Cars]%</f>
        <v>391481498.49296498</v>
      </c>
      <c r="Q15" s="66">
        <f>D15*Table3122028[DPV]%</f>
        <v>564662377.56275201</v>
      </c>
      <c r="R15" s="66">
        <f>D15*Table3122028[Buses]%</f>
        <v>3673253654.0285773</v>
      </c>
      <c r="S15" s="66">
        <f t="shared" si="13"/>
        <v>0</v>
      </c>
      <c r="W15" s="66">
        <f>E15*Table4132129[Cars]%</f>
        <v>5324985.1628870657</v>
      </c>
      <c r="X15" s="66">
        <f>E15*Table4132129[DPV]%</f>
        <v>309039.31748898147</v>
      </c>
      <c r="Y15" s="66">
        <f t="shared" si="14"/>
        <v>0</v>
      </c>
      <c r="AB15" s="117">
        <f t="shared" ref="AB15:AB32" si="29">AB14+1</f>
        <v>2012</v>
      </c>
      <c r="AD15" s="66">
        <f>INDEX((EnergyCal!$B$43:$B$48),MATCH(AB15,EnergyCal!$A$43:$A$48,0))</f>
        <v>12398.8578</v>
      </c>
      <c r="AE15" s="66">
        <f>INDEX((EnergyCal!$C$43:$C$48),MATCH(AB15,EnergyCal!$A$43:$A$48,0))</f>
        <v>7169.80152</v>
      </c>
      <c r="AF15" s="66">
        <f>INDEX((EnergyCal!$D$43:$D$48),MATCH(AB15,EnergyCal!$A$43:$A$48,0))</f>
        <v>92660.01615000001</v>
      </c>
      <c r="AG15" s="66">
        <f>INDEX((EnergyCal!$E$43:$E$48),MATCH(AB15,EnergyCal!$A$43:$A$48,0))</f>
        <v>6926.6960999999983</v>
      </c>
      <c r="AH15" s="66">
        <f>INDEX((EnergyCal!$F$43:$F$48),MATCH(AB15,EnergyCal!$A$43:$A$48,0))</f>
        <v>269.53020000000004</v>
      </c>
      <c r="AI15" s="66">
        <f>INDEX((EnergyCal!$I$43:$I$48),MATCH(AB15,EnergyCal!$A$43:$A$48,0))</f>
        <v>3927.0982299999887</v>
      </c>
      <c r="AJ15" s="66">
        <f t="shared" si="15"/>
        <v>123352</v>
      </c>
      <c r="AK15" s="66">
        <f>INDEX((EnergyCal!$B$70:$B$75),MATCH(AB15,EnergyCal!$A$70:$A$75,0))</f>
        <v>11641.502249999998</v>
      </c>
      <c r="AL15" s="66">
        <f>INDEX((EnergyCal!$C$70:$C$75),MATCH(AB15,EnergyCal!$A$70:$A$75,0))</f>
        <v>31271.910975000006</v>
      </c>
      <c r="AM15" s="66">
        <f>INDEX((EnergyCal!$D$70:$D$75),MATCH(AB15,EnergyCal!$A$70:$A$75,0))</f>
        <v>28939.863300000001</v>
      </c>
      <c r="AN15" s="66">
        <f>INDEX((EnergyCal!$K$70:$K$75),MATCH(AB15,EnergyCal!$A$70:$A$75,0))</f>
        <v>83151.826256642613</v>
      </c>
      <c r="AO15" s="66">
        <f t="shared" si="16"/>
        <v>155005.10278164264</v>
      </c>
      <c r="AP15" s="66"/>
      <c r="AQ15" s="66">
        <f>INDEX((EnergyCal!$B$57:$B$62),MATCH(AB15,EnergyCal!$A$57:$A$62,0))</f>
        <v>131.05811745000003</v>
      </c>
      <c r="AR15" s="146">
        <f>INDEX((EnergyCal!$C$57:$C$62),MATCH(AB15,EnergyCal!$A$57:$A$62,0))</f>
        <v>12.763599299999999</v>
      </c>
      <c r="AS15" s="66">
        <f>INDEX((EnergyCal!$F$57:$F$62),MATCH(AB15,EnergyCal!$A$57:$A$62,0))</f>
        <v>4219.1782832500003</v>
      </c>
      <c r="AT15" s="66">
        <f t="shared" si="17"/>
        <v>4363</v>
      </c>
      <c r="AU15" s="31">
        <f t="shared" si="18"/>
        <v>43630</v>
      </c>
      <c r="AW15" s="148">
        <f t="shared" si="3"/>
        <v>282720.10278164264</v>
      </c>
      <c r="AX15" s="165"/>
      <c r="AY15" s="163">
        <f t="shared" si="4"/>
        <v>123352</v>
      </c>
      <c r="AZ15" s="163">
        <f t="shared" si="5"/>
        <v>155005.10278164264</v>
      </c>
      <c r="BA15" s="163">
        <f t="shared" si="6"/>
        <v>4363</v>
      </c>
      <c r="BB15" s="163">
        <f t="shared" si="19"/>
        <v>282720.10278164264</v>
      </c>
      <c r="BC15" s="117">
        <f t="shared" ref="BC15:BC32" si="30">BC14+1</f>
        <v>2012</v>
      </c>
      <c r="BD15" s="163"/>
      <c r="BE15" s="163"/>
      <c r="BF15" s="163">
        <f t="shared" si="20"/>
        <v>123352</v>
      </c>
      <c r="BJ15" s="117">
        <f t="shared" ref="BJ15:BJ32" si="31">BJ14+1</f>
        <v>2012</v>
      </c>
      <c r="BK15" s="85">
        <f t="shared" si="21"/>
        <v>382.96355327999999</v>
      </c>
      <c r="BL15" s="85">
        <f t="shared" si="22"/>
        <v>0.18236359679999994</v>
      </c>
      <c r="BM15" s="85">
        <f t="shared" si="23"/>
        <v>1.7683742719999999E-2</v>
      </c>
      <c r="BN15" s="85">
        <f t="shared" si="24"/>
        <v>497.33852242798383</v>
      </c>
      <c r="BO15" s="85">
        <f t="shared" si="7"/>
        <v>2.617571170673599E-2</v>
      </c>
      <c r="BP15" s="85">
        <f t="shared" si="8"/>
        <v>2.617571170673599E-2</v>
      </c>
      <c r="BQ15" s="85">
        <f t="shared" si="25"/>
        <v>14.37093666</v>
      </c>
      <c r="BR15" s="85">
        <f t="shared" si="9"/>
        <v>1.4120413199999999E-2</v>
      </c>
      <c r="BS15" s="85">
        <f t="shared" si="10"/>
        <v>4.5549720000000003E-5</v>
      </c>
      <c r="BU15" s="39">
        <f t="shared" si="26"/>
        <v>894.6730123679838</v>
      </c>
      <c r="BV15" s="39">
        <f t="shared" si="26"/>
        <v>0.22265972170673592</v>
      </c>
      <c r="BW15" s="39">
        <f t="shared" si="26"/>
        <v>4.3905004146735989E-2</v>
      </c>
      <c r="BX15" s="159">
        <f t="shared" si="27"/>
        <v>913.32319664637953</v>
      </c>
    </row>
    <row r="16" spans="1:92" x14ac:dyDescent="0.25">
      <c r="A16" s="117">
        <f t="shared" si="28"/>
        <v>2013</v>
      </c>
      <c r="B16" s="66">
        <f>INDEX((Proj_PasMob!$Q$6:$Q$46),MATCH(A16,Proj_PasMob!$M$6:M$46,0))</f>
        <v>10425988957.632849</v>
      </c>
      <c r="C16" s="119">
        <f>B16*Table1101826[Gasoline]%</f>
        <v>5727033491.5056925</v>
      </c>
      <c r="D16" s="123">
        <f>B16*Table1101826[[Diesel ]]%</f>
        <v>4693243740.1514654</v>
      </c>
      <c r="E16" s="121">
        <f>B16*Table1101826[LPG]%</f>
        <v>5711725.9756915988</v>
      </c>
      <c r="F16" s="66">
        <f t="shared" si="11"/>
        <v>0</v>
      </c>
      <c r="H16" s="31">
        <f>C16*Table2111927[Autocycle]%</f>
        <v>647800422.85901737</v>
      </c>
      <c r="I16" s="66">
        <f>C16*Table2111927[Motocycle]%</f>
        <v>421766387.49781495</v>
      </c>
      <c r="J16" s="66">
        <f>C16*Table2111927[cars]%</f>
        <v>4454905259.9434261</v>
      </c>
      <c r="K16" s="66">
        <f>C16*Table2111927[DPV]%</f>
        <v>144456056.95483309</v>
      </c>
      <c r="L16" s="66">
        <f>C16*Table2111927[Hybrid]%</f>
        <v>58105364.250601023</v>
      </c>
      <c r="M16" s="66">
        <f t="shared" si="12"/>
        <v>0</v>
      </c>
      <c r="P16" s="66">
        <f>D16*Table3122028[Cars]%</f>
        <v>396880604.92695874</v>
      </c>
      <c r="Q16" s="66">
        <f>D16*Table3122028[DPV]%</f>
        <v>572449903.37806976</v>
      </c>
      <c r="R16" s="66">
        <f>D16*Table3122028[Buses]%</f>
        <v>3723913231.846437</v>
      </c>
      <c r="S16" s="66">
        <f t="shared" si="13"/>
        <v>0</v>
      </c>
      <c r="W16" s="66">
        <f>E16*Table4132129[Cars]%</f>
        <v>5398424.5508646332</v>
      </c>
      <c r="X16" s="66">
        <f>E16*Table4132129[DPV]%</f>
        <v>313301.42482696532</v>
      </c>
      <c r="Y16" s="66">
        <f t="shared" si="14"/>
        <v>0</v>
      </c>
      <c r="AB16" s="117">
        <f t="shared" si="29"/>
        <v>2013</v>
      </c>
      <c r="AD16" s="66">
        <f>INDEX((EnergyCal!$B$43:$B$48),MATCH(AB16,EnergyCal!$A$43:$A$48,0))</f>
        <v>12426.2922</v>
      </c>
      <c r="AE16" s="66">
        <f>INDEX((EnergyCal!$C$43:$C$48),MATCH(AB16,EnergyCal!$A$43:$A$48,0))</f>
        <v>7947.74568</v>
      </c>
      <c r="AF16" s="66">
        <f>INDEX((EnergyCal!$D$43:$D$48),MATCH(AB16,EnergyCal!$A$43:$A$48,0))</f>
        <v>99708.297975000009</v>
      </c>
      <c r="AG16" s="66">
        <f>INDEX((EnergyCal!$E$43:$E$48),MATCH(AB16,EnergyCal!$A$43:$A$48,0))</f>
        <v>6974.0939250000001</v>
      </c>
      <c r="AH16" s="66">
        <f>INDEX((EnergyCal!$F$43:$F$48),MATCH(AB16,EnergyCal!$A$43:$A$48,0))</f>
        <v>532.54259999999999</v>
      </c>
      <c r="AI16" s="66">
        <f>INDEX((EnergyCal!$I$43:$I$48),MATCH(AB16,EnergyCal!$A$43:$A$48,0))</f>
        <v>1339.0276199999935</v>
      </c>
      <c r="AJ16" s="66">
        <f t="shared" si="15"/>
        <v>128928</v>
      </c>
      <c r="AK16" s="66">
        <f>INDEX((EnergyCal!$B$70:$B$75),MATCH(AB16,EnergyCal!$A$70:$A$75,0))</f>
        <v>12162.008250000003</v>
      </c>
      <c r="AL16" s="66">
        <f>INDEX((EnergyCal!$C$70:$C$75),MATCH(AB16,EnergyCal!$A$70:$A$75,0))</f>
        <v>31277.097675000005</v>
      </c>
      <c r="AM16" s="66">
        <f>INDEX((EnergyCal!$D$70:$D$75),MATCH(AB16,EnergyCal!$A$70:$A$75,0))</f>
        <v>28998.584699999999</v>
      </c>
      <c r="AN16" s="66">
        <f>INDEX((EnergyCal!$K$70:$K$75),MATCH(AB16,EnergyCal!$A$70:$A$75,0))</f>
        <v>86346.373610082257</v>
      </c>
      <c r="AO16" s="66">
        <f t="shared" si="16"/>
        <v>158784.06423508227</v>
      </c>
      <c r="AP16" s="66"/>
      <c r="AQ16" s="66">
        <f>INDEX((EnergyCal!$B$57:$B$62),MATCH(AB16,EnergyCal!$A$57:$A$62,0))</f>
        <v>131.05811745000003</v>
      </c>
      <c r="AR16" s="146">
        <f>INDEX((EnergyCal!$C$57:$C$62),MATCH(AB16,EnergyCal!$A$57:$A$62,0))</f>
        <v>12.763599299999999</v>
      </c>
      <c r="AS16" s="66">
        <f>INDEX((EnergyCal!$F$57:$F$62),MATCH(AB16,EnergyCal!$A$57:$A$62,0))</f>
        <v>3924.1782832499998</v>
      </c>
      <c r="AT16" s="66">
        <f t="shared" si="17"/>
        <v>4068</v>
      </c>
      <c r="AU16" s="31">
        <f t="shared" si="18"/>
        <v>40680</v>
      </c>
      <c r="AW16" s="148">
        <f t="shared" si="3"/>
        <v>291780.06423508225</v>
      </c>
      <c r="AX16" s="165"/>
      <c r="AY16" s="163">
        <f t="shared" si="4"/>
        <v>128928</v>
      </c>
      <c r="AZ16" s="163">
        <f t="shared" si="5"/>
        <v>158784.06423508227</v>
      </c>
      <c r="BA16" s="163">
        <f t="shared" si="6"/>
        <v>4068</v>
      </c>
      <c r="BB16" s="163">
        <f t="shared" si="19"/>
        <v>291780.06423508225</v>
      </c>
      <c r="BC16" s="117">
        <f t="shared" si="30"/>
        <v>2013</v>
      </c>
      <c r="BD16" s="163"/>
      <c r="BE16" s="163"/>
      <c r="BF16" s="163">
        <f t="shared" si="20"/>
        <v>128928</v>
      </c>
      <c r="BJ16" s="117">
        <f t="shared" si="31"/>
        <v>2013</v>
      </c>
      <c r="BK16" s="85">
        <f t="shared" si="21"/>
        <v>400.27502591999996</v>
      </c>
      <c r="BL16" s="85">
        <f t="shared" si="22"/>
        <v>0.19060715519999996</v>
      </c>
      <c r="BM16" s="85">
        <f t="shared" si="23"/>
        <v>1.8483118079999996E-2</v>
      </c>
      <c r="BN16" s="85">
        <f t="shared" si="24"/>
        <v>509.46343362018848</v>
      </c>
      <c r="BO16" s="85">
        <f t="shared" si="7"/>
        <v>2.6813864927378341E-2</v>
      </c>
      <c r="BP16" s="85">
        <f t="shared" si="8"/>
        <v>2.6813864927378341E-2</v>
      </c>
      <c r="BQ16" s="85">
        <f t="shared" si="25"/>
        <v>13.39925976</v>
      </c>
      <c r="BR16" s="85">
        <f t="shared" si="9"/>
        <v>1.3165675199999999E-2</v>
      </c>
      <c r="BS16" s="85">
        <f t="shared" si="10"/>
        <v>4.2469919999999999E-5</v>
      </c>
      <c r="BU16" s="160">
        <f t="shared" si="26"/>
        <v>923.13771930018834</v>
      </c>
      <c r="BV16" s="39">
        <f t="shared" si="26"/>
        <v>0.2305866953273783</v>
      </c>
      <c r="BW16" s="39">
        <f t="shared" si="26"/>
        <v>4.5339452927378336E-2</v>
      </c>
      <c r="BX16" s="159">
        <f t="shared" si="27"/>
        <v>942.41354365573159</v>
      </c>
    </row>
    <row r="17" spans="1:88" x14ac:dyDescent="0.25">
      <c r="A17" s="117">
        <f t="shared" si="28"/>
        <v>2014</v>
      </c>
      <c r="B17" s="66">
        <f>INDEX((Proj_PasMob!$Q$6:$Q$46),MATCH(A17,Proj_PasMob!$M$6:M$46,0))</f>
        <v>10561741153.304186</v>
      </c>
      <c r="C17" s="119">
        <f>B17*Table1101826[Gasoline]%</f>
        <v>5801602664.2061882</v>
      </c>
      <c r="D17" s="123">
        <f>B17*Table1101826[[Diesel ]]%</f>
        <v>4754352393.2620068</v>
      </c>
      <c r="E17" s="121">
        <f>B17*Table1101826[LPG]%</f>
        <v>5786095.8359920438</v>
      </c>
      <c r="F17" s="66">
        <f t="shared" si="11"/>
        <v>0</v>
      </c>
      <c r="H17" s="31">
        <f>C17*Table2111927[Autocycle]%</f>
        <v>656235145.94545913</v>
      </c>
      <c r="I17" s="66">
        <f>C17*Table2111927[Motocycle]%</f>
        <v>427258021.2791149</v>
      </c>
      <c r="J17" s="66">
        <f>C17*Table2111927[cars]%</f>
        <v>4512910613.0089855</v>
      </c>
      <c r="K17" s="66">
        <f>C17*Table2111927[DPV]%</f>
        <v>146336955.44698867</v>
      </c>
      <c r="L17" s="66">
        <f>C17*Table2111927[Hybrid]%</f>
        <v>58861928.525640577</v>
      </c>
      <c r="M17" s="66">
        <f t="shared" si="12"/>
        <v>9.5367431640625E-7</v>
      </c>
      <c r="P17" s="66">
        <f>D17*Table3122028[Cars]%</f>
        <v>402048211.92876351</v>
      </c>
      <c r="Q17" s="66">
        <f>D17*Table3122028[DPV]%</f>
        <v>579903520.64269638</v>
      </c>
      <c r="R17" s="66">
        <f>D17*Table3122028[Buses]%</f>
        <v>3772400660.690547</v>
      </c>
      <c r="S17" s="66">
        <f t="shared" si="13"/>
        <v>0</v>
      </c>
      <c r="W17" s="66">
        <f>E17*Table4132129[Cars]%</f>
        <v>5468715.0517393155</v>
      </c>
      <c r="X17" s="66">
        <f>E17*Table4132129[DPV]%</f>
        <v>317380.7842527281</v>
      </c>
      <c r="Y17" s="66">
        <f t="shared" si="14"/>
        <v>0</v>
      </c>
      <c r="AB17" s="117">
        <f t="shared" si="29"/>
        <v>2014</v>
      </c>
      <c r="AD17" s="66">
        <f>INDEX((EnergyCal!$B$43:$B$48),MATCH(AB17,EnergyCal!$A$43:$A$48,0))</f>
        <v>12297.072199999999</v>
      </c>
      <c r="AE17" s="66">
        <f>INDEX((EnergyCal!$C$43:$C$48),MATCH(AB17,EnergyCal!$A$43:$A$48,0))</f>
        <v>8836.3816800000004</v>
      </c>
      <c r="AF17" s="66">
        <f>INDEX((EnergyCal!$D$43:$D$48),MATCH(AB17,EnergyCal!$A$43:$A$48,0))</f>
        <v>107193.32032499999</v>
      </c>
      <c r="AG17" s="66">
        <f>INDEX((EnergyCal!$E$43:$E$48),MATCH(AB17,EnergyCal!$A$43:$A$48,0))</f>
        <v>6893.6278499999989</v>
      </c>
      <c r="AH17" s="66">
        <f>INDEX((EnergyCal!$F$43:$F$48),MATCH(AB17,EnergyCal!$A$43:$A$48,0))</f>
        <v>699.3216000000001</v>
      </c>
      <c r="AI17" s="66">
        <f>INDEX((EnergyCal!$I$43:$I$48),MATCH(AB17,EnergyCal!$A$43:$A$48,0))</f>
        <v>1324.2763450000202</v>
      </c>
      <c r="AJ17" s="66">
        <f t="shared" si="15"/>
        <v>137244</v>
      </c>
      <c r="AK17" s="66">
        <f>INDEX((EnergyCal!$B$70:$B$75),MATCH(AB17,EnergyCal!$A$70:$A$75,0))</f>
        <v>12703.39875</v>
      </c>
      <c r="AL17" s="66">
        <f>INDEX((EnergyCal!$C$70:$C$75),MATCH(AB17,EnergyCal!$A$70:$A$75,0))</f>
        <v>31448.258774999998</v>
      </c>
      <c r="AM17" s="66">
        <f>INDEX((EnergyCal!$D$70:$D$75),MATCH(AB17,EnergyCal!$A$70:$A$75,0))</f>
        <v>29419.421399999999</v>
      </c>
      <c r="AN17" s="66">
        <f>INDEX((EnergyCal!$K$70:$K$75),MATCH(AB17,EnergyCal!$A$70:$A$75,0))</f>
        <v>89662.726070838195</v>
      </c>
      <c r="AO17" s="66">
        <f t="shared" si="16"/>
        <v>163233.8049958382</v>
      </c>
      <c r="AP17" s="66"/>
      <c r="AQ17" s="66">
        <f>INDEX((EnergyCal!$B$57:$B$62),MATCH(AB17,EnergyCal!$A$57:$A$62,0))</f>
        <v>132.26048550000004</v>
      </c>
      <c r="AR17" s="146">
        <f>INDEX((EnergyCal!$C$57:$C$62),MATCH(AB17,EnergyCal!$A$57:$A$62,0))</f>
        <v>13.827232575000002</v>
      </c>
      <c r="AS17" s="66">
        <f>INDEX((EnergyCal!$F$57:$F$62),MATCH(AB17,EnergyCal!$A$57:$A$62,0))</f>
        <v>3597.9122819250001</v>
      </c>
      <c r="AT17" s="66">
        <f t="shared" si="17"/>
        <v>3744</v>
      </c>
      <c r="AU17" s="31">
        <f t="shared" si="18"/>
        <v>37440</v>
      </c>
      <c r="AW17" s="148">
        <f t="shared" si="3"/>
        <v>304221.8049958382</v>
      </c>
      <c r="AX17" s="165"/>
      <c r="AY17" s="163">
        <f t="shared" si="4"/>
        <v>137244</v>
      </c>
      <c r="AZ17" s="163">
        <f t="shared" si="5"/>
        <v>163233.8049958382</v>
      </c>
      <c r="BA17" s="163">
        <f t="shared" si="6"/>
        <v>3744</v>
      </c>
      <c r="BB17" s="163">
        <f t="shared" si="19"/>
        <v>304221.8049958382</v>
      </c>
      <c r="BC17" s="117">
        <f t="shared" si="30"/>
        <v>2014</v>
      </c>
      <c r="BD17" s="163"/>
      <c r="BE17" s="163"/>
      <c r="BF17" s="163">
        <f t="shared" si="20"/>
        <v>137244</v>
      </c>
      <c r="BJ17" s="117">
        <f t="shared" si="31"/>
        <v>2014</v>
      </c>
      <c r="BK17" s="85">
        <f t="shared" si="21"/>
        <v>426.09321216000001</v>
      </c>
      <c r="BL17" s="85">
        <f t="shared" si="22"/>
        <v>0.20290152959999996</v>
      </c>
      <c r="BM17" s="85">
        <f t="shared" si="23"/>
        <v>1.9675299839999997E-2</v>
      </c>
      <c r="BN17" s="85">
        <f t="shared" si="24"/>
        <v>523.74056034329669</v>
      </c>
      <c r="BO17" s="85">
        <f t="shared" si="7"/>
        <v>2.7565292649647195E-2</v>
      </c>
      <c r="BP17" s="85">
        <f t="shared" si="8"/>
        <v>2.7565292649647195E-2</v>
      </c>
      <c r="BQ17" s="85">
        <f t="shared" si="25"/>
        <v>12.33206208</v>
      </c>
      <c r="BR17" s="85">
        <f t="shared" si="9"/>
        <v>1.2117081600000001E-2</v>
      </c>
      <c r="BS17" s="85">
        <f t="shared" si="10"/>
        <v>3.9087359999999998E-5</v>
      </c>
      <c r="BU17" s="39">
        <f t="shared" si="26"/>
        <v>962.16583458329671</v>
      </c>
      <c r="BV17" s="39">
        <f t="shared" si="26"/>
        <v>0.24258390384964715</v>
      </c>
      <c r="BW17" s="39">
        <f t="shared" si="26"/>
        <v>4.7279679849647198E-2</v>
      </c>
      <c r="BX17" s="159">
        <f t="shared" si="27"/>
        <v>982.31977677473276</v>
      </c>
      <c r="CJ17" s="39"/>
    </row>
    <row r="18" spans="1:88" x14ac:dyDescent="0.25">
      <c r="A18" s="117">
        <f t="shared" si="28"/>
        <v>2015</v>
      </c>
      <c r="B18" s="66">
        <f>INDEX((Proj_PasMob!$Q$6:$Q$46),MATCH(A18,Proj_PasMob!$M$6:M$46,0))</f>
        <v>10685868200.205055</v>
      </c>
      <c r="C18" s="119">
        <f>B18*Table1101826[Gasoline]%</f>
        <v>5869786100.5873041</v>
      </c>
      <c r="D18" s="123">
        <f>B18*Table1101826[[Diesel ]]%</f>
        <v>4810228002.5896473</v>
      </c>
      <c r="E18" s="121">
        <f>B18*Table1101826[LPG]%</f>
        <v>5854097.0281044282</v>
      </c>
      <c r="F18" s="66">
        <f t="shared" si="11"/>
        <v>0</v>
      </c>
      <c r="H18" s="31">
        <f>C18*CA18%</f>
        <v>663947560.93049109</v>
      </c>
      <c r="I18" s="66">
        <f>C18*CB18%</f>
        <v>432279378.61748272</v>
      </c>
      <c r="J18" s="66">
        <f>C18*CC18%</f>
        <v>4565948673.6080322</v>
      </c>
      <c r="K18" s="66">
        <f>C18*CD18%</f>
        <v>148056783.0652234</v>
      </c>
      <c r="L18" s="66">
        <f>C18*CE18%</f>
        <v>59553704.366075002</v>
      </c>
      <c r="M18" s="66">
        <f t="shared" si="12"/>
        <v>0</v>
      </c>
      <c r="N18" s="31">
        <f>C18*CF18%</f>
        <v>0</v>
      </c>
      <c r="P18" s="66">
        <f>D18*Table3122028[Cars]%</f>
        <v>406773290.54355985</v>
      </c>
      <c r="Q18" s="66">
        <f>D18*Table3122028[DPV]%</f>
        <v>586718846.87158</v>
      </c>
      <c r="R18" s="66">
        <f>D18*Table3122028[Buses]%</f>
        <v>3816735865.1745071</v>
      </c>
      <c r="S18" s="66">
        <f t="shared" si="13"/>
        <v>0</v>
      </c>
      <c r="W18" s="66">
        <f>E18*Table4132129[Cars]%</f>
        <v>5532986.220655662</v>
      </c>
      <c r="X18" s="66">
        <f>E18*Table4132129[DPV]%</f>
        <v>321110.80744876608</v>
      </c>
      <c r="Y18" s="66">
        <f t="shared" si="14"/>
        <v>0</v>
      </c>
      <c r="AB18" s="117">
        <f t="shared" si="29"/>
        <v>2015</v>
      </c>
      <c r="AD18" s="66">
        <f>H18*Table5142230[Autocycle]*0.01*$AD$7/1000</f>
        <v>11785.069206516215</v>
      </c>
      <c r="AE18" s="66">
        <f>I18*Table5142230[Motocycle]*0.01*$AD$7/1000</f>
        <v>9207.550764552383</v>
      </c>
      <c r="AF18" s="66">
        <f>J18*Table5142230[Car]*0.01*$AD$7/$AL$8/1000</f>
        <v>110904.49015105827</v>
      </c>
      <c r="AG18" s="66">
        <f>INDEX((EnergyCal!$E$43:$E$48),MATCH(AB18,EnergyCal!$A$43:$A$48,0))</f>
        <v>6607.0363499999994</v>
      </c>
      <c r="AH18" s="66">
        <f>L18*Table5142230[Car_Hbrid]*0.01*$AD$7/$AL$8/1000</f>
        <v>890.17115999817372</v>
      </c>
      <c r="AI18" s="66">
        <f>INDEX((EnergyCal!$I$43:$I$48),MATCH(AB18,EnergyCal!$A$43:$A$48,0))</f>
        <v>3067.8302799999947</v>
      </c>
      <c r="AJ18" s="66">
        <f>SUM(AD18:AI18)</f>
        <v>142462.14791212504</v>
      </c>
      <c r="AK18" s="66">
        <f>P18*Table5142230[Car_Dsl]*0.01*$AD$8/$AL$8/1000</f>
        <v>12738.426730179901</v>
      </c>
      <c r="AL18" s="66">
        <f>INDEX((EnergyCal!$C$70:$C$75),MATCH(AB18,EnergyCal!$A$70:$A$75,0))</f>
        <v>30799.921274999997</v>
      </c>
      <c r="AM18" s="66">
        <f>INDEX((EnergyCal!$D$70:$D$75),MATCH(AB18,EnergyCal!$A$70:$A$75,0))</f>
        <v>29164.962</v>
      </c>
      <c r="AN18" s="66">
        <f>INDEX((EnergyCal!$K$70:$K$75),MATCH(AB18,EnergyCal!$A$70:$A$75,0))</f>
        <v>93106.157905683358</v>
      </c>
      <c r="AO18" s="66">
        <f t="shared" si="16"/>
        <v>165809.46791086326</v>
      </c>
      <c r="AP18" s="66"/>
      <c r="AQ18" s="66">
        <f>INDEX((EnergyCal!$B$57:$B$62),MATCH(AB18,EnergyCal!$A$57:$A$62,0))</f>
        <v>134.66522160000002</v>
      </c>
      <c r="AR18" s="146">
        <f>INDEX((EnergyCal!$C$57:$C$62),MATCH(AB18,EnergyCal!$A$57:$A$62,0))</f>
        <v>13.827232575000002</v>
      </c>
      <c r="AS18" s="66">
        <f>INDEX((EnergyCal!$F$57:$F$62),MATCH(AB18,EnergyCal!$A$57:$A$62,0))</f>
        <v>3041.5075458249999</v>
      </c>
      <c r="AT18" s="66">
        <f>SUM(AQ18:AS18)</f>
        <v>3190</v>
      </c>
      <c r="AU18" s="31">
        <f t="shared" si="18"/>
        <v>31900</v>
      </c>
      <c r="AW18" s="148">
        <f t="shared" si="3"/>
        <v>311461.61582298833</v>
      </c>
      <c r="AX18" s="165"/>
      <c r="AY18" s="163">
        <f t="shared" si="4"/>
        <v>142462.14791212504</v>
      </c>
      <c r="AZ18" s="163">
        <f t="shared" si="5"/>
        <v>165809.46791086326</v>
      </c>
      <c r="BA18" s="163">
        <f t="shared" si="6"/>
        <v>3190</v>
      </c>
      <c r="BB18" s="163">
        <f t="shared" si="19"/>
        <v>311461.61582298833</v>
      </c>
      <c r="BC18" s="117">
        <f t="shared" si="30"/>
        <v>2015</v>
      </c>
      <c r="BD18" s="163"/>
      <c r="BE18" s="163"/>
      <c r="BF18" s="163">
        <f t="shared" si="20"/>
        <v>142462.14791212504</v>
      </c>
      <c r="BJ18" s="117">
        <f t="shared" si="31"/>
        <v>2015</v>
      </c>
      <c r="BK18" s="85">
        <f t="shared" si="21"/>
        <v>442.29368289389987</v>
      </c>
      <c r="BL18" s="85">
        <f t="shared" si="22"/>
        <v>0.21061603947328564</v>
      </c>
      <c r="BM18" s="85">
        <f t="shared" si="23"/>
        <v>2.0423373524682244E-2</v>
      </c>
      <c r="BN18" s="85">
        <f t="shared" si="24"/>
        <v>532.00465207604202</v>
      </c>
      <c r="BO18" s="85">
        <f t="shared" si="7"/>
        <v>2.8000244846107473E-2</v>
      </c>
      <c r="BP18" s="85">
        <f t="shared" si="8"/>
        <v>2.8000244846107473E-2</v>
      </c>
      <c r="BQ18" s="85">
        <f t="shared" si="25"/>
        <v>10.5072858</v>
      </c>
      <c r="BR18" s="85">
        <f t="shared" si="9"/>
        <v>1.0324116E-2</v>
      </c>
      <c r="BS18" s="85">
        <f t="shared" si="10"/>
        <v>3.3303600000000004E-5</v>
      </c>
      <c r="BU18" s="39">
        <f t="shared" si="26"/>
        <v>984.80562076994181</v>
      </c>
      <c r="BV18" s="39">
        <f t="shared" si="26"/>
        <v>0.2489404003193931</v>
      </c>
      <c r="BW18" s="39">
        <f t="shared" si="26"/>
        <v>4.8456921970789719E-2</v>
      </c>
      <c r="BX18" s="159">
        <f t="shared" si="27"/>
        <v>1005.4692935252219</v>
      </c>
      <c r="BZ18" s="117">
        <v>2015</v>
      </c>
      <c r="CA18" s="85">
        <f>EnergyCal!C$19</f>
        <v>11.311273520921988</v>
      </c>
      <c r="CB18" s="85">
        <f>EnergyCal!D$19</f>
        <v>7.3644826439967002</v>
      </c>
      <c r="CC18" s="85">
        <f>EnergyCal!E$19</f>
        <v>77.787309373184556</v>
      </c>
      <c r="CD18" s="85">
        <f>EnergyCal!F$19</f>
        <v>2.5223539755632576</v>
      </c>
      <c r="CE18" s="85">
        <f>EnergyCal!G$19</f>
        <v>1.0145804863335024</v>
      </c>
      <c r="CF18" s="85">
        <v>0</v>
      </c>
      <c r="CG18" s="85">
        <f>SUM(CA18:CF18)</f>
        <v>100.00000000000001</v>
      </c>
    </row>
    <row r="19" spans="1:88" x14ac:dyDescent="0.25">
      <c r="A19" s="117">
        <f t="shared" si="28"/>
        <v>2016</v>
      </c>
      <c r="B19" s="66">
        <f>INDEX((Proj_PasMob!$Q$6:$Q$46),MATCH(A19,Proj_PasMob!$M$6:M$46,0))</f>
        <v>10805486955.126375</v>
      </c>
      <c r="C19" s="119">
        <f>B19*Table1101826[Gasoline]%</f>
        <v>5935493115.8575516</v>
      </c>
      <c r="D19" s="123">
        <f>B19*Table1101826[[Diesel ]]%</f>
        <v>4864074210.8506098</v>
      </c>
      <c r="E19" s="121">
        <f>B19*Table1101826[LPG]%</f>
        <v>5919628.4182143128</v>
      </c>
      <c r="F19" s="66">
        <f t="shared" si="11"/>
        <v>0</v>
      </c>
      <c r="H19" s="31">
        <f t="shared" ref="H19:H53" si="32">C19*CA19%</f>
        <v>671379861.15014267</v>
      </c>
      <c r="I19" s="66">
        <f t="shared" ref="I19:I53" si="33">C19*CB19%</f>
        <v>437118360.35294837</v>
      </c>
      <c r="J19" s="66">
        <f t="shared" ref="J19:J32" si="34">C19*CC19%</f>
        <v>4604595857.3128853</v>
      </c>
      <c r="K19" s="66">
        <f t="shared" ref="K19:K53" si="35">C19*CD19%</f>
        <v>149714146.57711643</v>
      </c>
      <c r="L19" s="66">
        <f t="shared" ref="L19:L53" si="36">C19*CE19%</f>
        <v>72684890.464459956</v>
      </c>
      <c r="M19" s="66">
        <f t="shared" si="12"/>
        <v>9.5367431640625E-7</v>
      </c>
      <c r="N19" s="31">
        <f t="shared" ref="N19:N53" si="37">C19*CF19%</f>
        <v>0</v>
      </c>
      <c r="P19" s="66">
        <f>D19*Table3122028[Cars]%</f>
        <v>411326754.39305174</v>
      </c>
      <c r="Q19" s="66">
        <f>D19*Table3122028[DPV]%</f>
        <v>593286640.5816226</v>
      </c>
      <c r="R19" s="66">
        <f>D19*Table3122028[Buses]%</f>
        <v>3859460815.8759356</v>
      </c>
      <c r="S19" s="66">
        <f t="shared" si="13"/>
        <v>0</v>
      </c>
      <c r="W19" s="66">
        <f>E19*Table4132129[Cars]%</f>
        <v>5594923.0619409541</v>
      </c>
      <c r="X19" s="66">
        <f>E19*Table4132129[DPV]%</f>
        <v>324705.35627335892</v>
      </c>
      <c r="Y19" s="66">
        <f t="shared" si="14"/>
        <v>0</v>
      </c>
      <c r="AB19" s="117">
        <f t="shared" si="29"/>
        <v>2016</v>
      </c>
      <c r="AD19" s="66">
        <f>H19*Table5142230[Autocycle]*0.01*$AD$7/1000</f>
        <v>11916.992535415033</v>
      </c>
      <c r="AE19" s="66">
        <f>I19*Table5142230[Motocycle]*0.01*$AD$7/1000</f>
        <v>9310.6210755177999</v>
      </c>
      <c r="AF19" s="66">
        <f>J19*Table5142230[Car]*0.01*$AD$7/$AL$8/1000</f>
        <v>111843.20990262613</v>
      </c>
      <c r="AG19" s="66">
        <f>K19*Table5142230[DPV]*0.01*$AD$7/$AL$8/1000</f>
        <v>6433.7684568534514</v>
      </c>
      <c r="AH19" s="66">
        <f>L19*Table5142230[Car_Hbrid]*0.01*$AD$7/$AL$8/1000</f>
        <v>1086.4478364161384</v>
      </c>
      <c r="AI19" s="66">
        <f>Freight!E11*$AG$8*$AI$8*$AD$7/1000</f>
        <v>3183.1175452134653</v>
      </c>
      <c r="AJ19" s="66">
        <f t="shared" ref="AJ19:AJ53" si="38">SUM(AD19:AI19)</f>
        <v>143774.15735204201</v>
      </c>
      <c r="AK19" s="66">
        <f>P19*Table5142230[Car_Dsl]*0.01*$AD$8/$AL$8/1000</f>
        <v>12881.022045466623</v>
      </c>
      <c r="AL19" s="66">
        <f>Q19*Table5142230[DPV_Dsl]*0.01*$AD$8/$AL$8/1000</f>
        <v>29992.200962034138</v>
      </c>
      <c r="AM19" s="66">
        <f>R19*Table5142230[Bus]*0.01*$AD$8/$AL$9/1000</f>
        <v>28400.11808939563</v>
      </c>
      <c r="AN19" s="66">
        <f>Freight!E11*$AG$9*$AI$9*$AD$8/1000</f>
        <v>96680.460183838222</v>
      </c>
      <c r="AO19" s="66">
        <f t="shared" si="16"/>
        <v>167953.80128073459</v>
      </c>
      <c r="AP19" s="66"/>
      <c r="AQ19" s="66">
        <f>W19*Table5142230[Car_LPG]*0.01*$AD$9/$AL$8/1000</f>
        <v>131.13365949095467</v>
      </c>
      <c r="AR19" s="66">
        <f>X19*Table5142230[DPV_LPG]*0.01*$AD$9/$AL$8/1000</f>
        <v>13.464616822731953</v>
      </c>
      <c r="AS19" s="66">
        <f>AS18*(1-$AT$11)</f>
        <v>2825.5605100714251</v>
      </c>
      <c r="AT19" s="66">
        <f t="shared" si="17"/>
        <v>2970.1587863851119</v>
      </c>
      <c r="AU19" s="31">
        <f t="shared" si="18"/>
        <v>29701.58786385112</v>
      </c>
      <c r="AW19" s="148">
        <f t="shared" si="3"/>
        <v>314698.11741916172</v>
      </c>
      <c r="AX19" s="165"/>
      <c r="AY19" s="163">
        <f t="shared" si="4"/>
        <v>143774.15735204201</v>
      </c>
      <c r="AZ19" s="163">
        <f t="shared" si="5"/>
        <v>167953.80128073459</v>
      </c>
      <c r="BA19" s="163">
        <f t="shared" si="6"/>
        <v>2970.1587863851119</v>
      </c>
      <c r="BB19" s="163">
        <f t="shared" si="19"/>
        <v>314698.11741916172</v>
      </c>
      <c r="BC19" s="117">
        <f t="shared" si="30"/>
        <v>2016</v>
      </c>
      <c r="BD19" s="163"/>
      <c r="BE19" s="163"/>
      <c r="BF19" s="163">
        <f t="shared" si="20"/>
        <v>143774.15735204201</v>
      </c>
      <c r="BJ19" s="117">
        <f t="shared" si="31"/>
        <v>2016</v>
      </c>
      <c r="BK19" s="85">
        <f t="shared" si="21"/>
        <v>446.36699988144369</v>
      </c>
      <c r="BL19" s="85">
        <f t="shared" si="22"/>
        <v>0.21255571422925884</v>
      </c>
      <c r="BM19" s="85">
        <f t="shared" si="23"/>
        <v>2.061146319798874E-2</v>
      </c>
      <c r="BN19" s="85">
        <f t="shared" si="24"/>
        <v>538.88481002327535</v>
      </c>
      <c r="BO19" s="85">
        <f t="shared" si="7"/>
        <v>2.8362358422277648E-2</v>
      </c>
      <c r="BP19" s="85">
        <f t="shared" si="8"/>
        <v>2.8362358422277648E-2</v>
      </c>
      <c r="BQ19" s="85">
        <f t="shared" si="25"/>
        <v>9.7831684137710084</v>
      </c>
      <c r="BR19" s="85">
        <f t="shared" si="9"/>
        <v>9.6126218962567754E-3</v>
      </c>
      <c r="BS19" s="85">
        <f t="shared" si="10"/>
        <v>3.1008457729860564E-5</v>
      </c>
      <c r="BU19" s="39">
        <f t="shared" si="26"/>
        <v>995.03497831849006</v>
      </c>
      <c r="BV19" s="39">
        <f t="shared" si="26"/>
        <v>0.25053069454779325</v>
      </c>
      <c r="BW19" s="39">
        <f t="shared" si="26"/>
        <v>4.9004830077996248E-2</v>
      </c>
      <c r="BX19" s="159">
        <f t="shared" si="27"/>
        <v>1015.9016850454277</v>
      </c>
      <c r="BZ19" s="117">
        <v>2016</v>
      </c>
      <c r="CA19" s="85">
        <f>EnergyCal!C$19</f>
        <v>11.311273520921988</v>
      </c>
      <c r="CB19" s="85">
        <f>EnergyCal!D$19</f>
        <v>7.3644826439967002</v>
      </c>
      <c r="CC19" s="85">
        <f>CC18-$CB$8</f>
        <v>77.577309373184562</v>
      </c>
      <c r="CD19" s="85">
        <f>EnergyCal!F$19</f>
        <v>2.5223539755632576</v>
      </c>
      <c r="CE19" s="179">
        <f>CE18+$CB$8</f>
        <v>1.2245804863335024</v>
      </c>
      <c r="CF19" s="85">
        <v>0</v>
      </c>
      <c r="CG19" s="85">
        <f t="shared" ref="CG19:CG53" si="39">SUM(CA19:CF19)</f>
        <v>100.00000000000001</v>
      </c>
    </row>
    <row r="20" spans="1:88" x14ac:dyDescent="0.25">
      <c r="A20" s="117">
        <f t="shared" si="28"/>
        <v>2017</v>
      </c>
      <c r="B20" s="66">
        <f>INDEX((Proj_PasMob!$Q$6:$Q$46),MATCH(A20,Proj_PasMob!$M$6:M$46,0))</f>
        <v>10920457866.053516</v>
      </c>
      <c r="C20" s="119">
        <f>B20*Table1101826[Gasoline]%</f>
        <v>5998647053.5899153</v>
      </c>
      <c r="D20" s="123">
        <f>B20*Table1101826[[Diesel ]]%</f>
        <v>4915828198.9088163</v>
      </c>
      <c r="E20" s="121">
        <f>B20*Table1101826[LPG]%</f>
        <v>5982613.5547860069</v>
      </c>
      <c r="F20" s="66">
        <f t="shared" si="11"/>
        <v>0</v>
      </c>
      <c r="H20" s="31">
        <f t="shared" si="32"/>
        <v>678523375.78628314</v>
      </c>
      <c r="I20" s="66">
        <f t="shared" si="33"/>
        <v>441769321.13624877</v>
      </c>
      <c r="J20" s="66">
        <f t="shared" si="34"/>
        <v>4640991824.1563301</v>
      </c>
      <c r="K20" s="66">
        <f t="shared" si="35"/>
        <v>151307112.43623346</v>
      </c>
      <c r="L20" s="66">
        <f t="shared" si="36"/>
        <v>86055420.074820518</v>
      </c>
      <c r="M20" s="66">
        <f t="shared" si="12"/>
        <v>9.5367431640625E-7</v>
      </c>
      <c r="N20" s="31">
        <f t="shared" si="37"/>
        <v>0</v>
      </c>
      <c r="P20" s="66">
        <f>D20*Table3122028[Cars]%</f>
        <v>415703291.22453982</v>
      </c>
      <c r="Q20" s="66">
        <f>D20*Table3122028[DPV]%</f>
        <v>599599239.52249801</v>
      </c>
      <c r="R20" s="66">
        <f>D20*Table3122028[Buses]%</f>
        <v>3900525668.1617785</v>
      </c>
      <c r="S20" s="66">
        <f t="shared" si="13"/>
        <v>0</v>
      </c>
      <c r="W20" s="66">
        <f>E20*Table4132129[Cars]%</f>
        <v>5654453.3176036524</v>
      </c>
      <c r="X20" s="66">
        <f>E20*Table4132129[DPV]%</f>
        <v>328160.23718235479</v>
      </c>
      <c r="Y20" s="66">
        <f t="shared" si="14"/>
        <v>0</v>
      </c>
      <c r="AB20" s="117">
        <f t="shared" si="29"/>
        <v>2017</v>
      </c>
      <c r="AD20" s="66">
        <f>H20*Table5142230[Autocycle]*0.01*$AD$7/1000</f>
        <v>12043.789920206525</v>
      </c>
      <c r="AE20" s="66">
        <f>I20*Table5142230[Motocycle]*0.01*$AD$7/1000</f>
        <v>9409.6865402020976</v>
      </c>
      <c r="AF20" s="66">
        <f>J20*Table5142230[Car]*0.01*$AD$7/$AL$8/1000</f>
        <v>112727.24878148138</v>
      </c>
      <c r="AG20" s="66">
        <f>K20*Table5142230[DPV]*0.01*$AD$7/$AL$8/1000</f>
        <v>6502.224068641297</v>
      </c>
      <c r="AH20" s="66">
        <f>L20*Table5142230[Car_Hbrid]*0.01*$AD$7/$AL$8/1000</f>
        <v>1286.3020684867909</v>
      </c>
      <c r="AI20" s="66">
        <f>Freight!E12*$AG$8*$AI$8*$AD$7/1000</f>
        <v>3305.2707720748726</v>
      </c>
      <c r="AJ20" s="66">
        <f t="shared" si="38"/>
        <v>145274.52215109294</v>
      </c>
      <c r="AK20" s="66">
        <f>P20*Table5142230[Car_Dsl]*0.01*$AD$8/$AL$8/1000</f>
        <v>13018.076751505325</v>
      </c>
      <c r="AL20" s="66">
        <f>Q20*Table5142230[DPV_Dsl]*0.01*$AD$8/$AL$8/1000</f>
        <v>30311.319450597861</v>
      </c>
      <c r="AM20" s="66">
        <f>R20*Table5142230[Bus]*0.01*$AD$8/$AL$9/1000</f>
        <v>28702.296738144745</v>
      </c>
      <c r="AN20" s="66">
        <f>Freight!E12*$AG$9*$AI$9*$AD$8/1000</f>
        <v>100390.60598214857</v>
      </c>
      <c r="AO20" s="66">
        <f t="shared" si="16"/>
        <v>172422.2989223965</v>
      </c>
      <c r="AP20" s="66"/>
      <c r="AQ20" s="66">
        <f>W20*Table5142230[Car_LPG]*0.01*$AD$9/$AL$8/1000</f>
        <v>132.52892805659133</v>
      </c>
      <c r="AR20" s="66">
        <f>X20*Table5142230[DPV_LPG]*0.01*$AD$9/$AL$8/1000</f>
        <v>13.607881005810716</v>
      </c>
      <c r="AS20" s="66">
        <f t="shared" ref="AS20:AS53" si="40">AS19*(1-$AT$11)</f>
        <v>2624.9457138563539</v>
      </c>
      <c r="AT20" s="66">
        <f t="shared" si="17"/>
        <v>2771.0825229187558</v>
      </c>
      <c r="AU20" s="31">
        <f t="shared" si="18"/>
        <v>27710.825229187558</v>
      </c>
      <c r="AW20" s="148">
        <f t="shared" si="3"/>
        <v>320467.9035964082</v>
      </c>
      <c r="AX20" s="165"/>
      <c r="AY20" s="163">
        <f t="shared" si="4"/>
        <v>145274.52215109294</v>
      </c>
      <c r="AZ20" s="163">
        <f t="shared" si="5"/>
        <v>172422.2989223965</v>
      </c>
      <c r="BA20" s="163">
        <f t="shared" si="6"/>
        <v>2771.0825229187558</v>
      </c>
      <c r="BB20" s="163">
        <f t="shared" si="19"/>
        <v>320467.9035964082</v>
      </c>
      <c r="BC20" s="117">
        <f t="shared" si="30"/>
        <v>2017</v>
      </c>
      <c r="BD20" s="163"/>
      <c r="BE20" s="163"/>
      <c r="BF20" s="163">
        <f t="shared" si="20"/>
        <v>145274.52215109294</v>
      </c>
      <c r="BJ20" s="117">
        <f t="shared" si="31"/>
        <v>2017</v>
      </c>
      <c r="BK20" s="85">
        <f t="shared" si="21"/>
        <v>451.02509245116914</v>
      </c>
      <c r="BL20" s="85">
        <f t="shared" si="22"/>
        <v>0.21477385354817577</v>
      </c>
      <c r="BM20" s="85">
        <f t="shared" si="23"/>
        <v>2.0826555495580681E-2</v>
      </c>
      <c r="BN20" s="85">
        <f t="shared" si="24"/>
        <v>553.22211876147685</v>
      </c>
      <c r="BO20" s="85">
        <f t="shared" si="7"/>
        <v>2.9116953619025093E-2</v>
      </c>
      <c r="BP20" s="85">
        <f t="shared" si="8"/>
        <v>2.9116953619025093E-2</v>
      </c>
      <c r="BQ20" s="85">
        <f t="shared" si="25"/>
        <v>9.1274470356402571</v>
      </c>
      <c r="BR20" s="85">
        <f t="shared" si="9"/>
        <v>8.9683314771742614E-3</v>
      </c>
      <c r="BS20" s="85">
        <f t="shared" si="10"/>
        <v>2.8930101539271812E-5</v>
      </c>
      <c r="BU20" s="39">
        <f t="shared" si="26"/>
        <v>1013.3746582482862</v>
      </c>
      <c r="BV20" s="39">
        <f t="shared" si="26"/>
        <v>0.25285913864437509</v>
      </c>
      <c r="BW20" s="39">
        <f t="shared" si="26"/>
        <v>4.9972439216145047E-2</v>
      </c>
      <c r="BX20" s="159">
        <f t="shared" si="27"/>
        <v>1034.5879236008068</v>
      </c>
      <c r="BZ20" s="117">
        <v>2017</v>
      </c>
      <c r="CA20" s="85">
        <f>EnergyCal!C$19</f>
        <v>11.311273520921988</v>
      </c>
      <c r="CB20" s="85">
        <f>EnergyCal!D$19</f>
        <v>7.3644826439967002</v>
      </c>
      <c r="CC20" s="85">
        <f t="shared" ref="CC20:CC23" si="41">CC19-$CB$8</f>
        <v>77.367309373184568</v>
      </c>
      <c r="CD20" s="85">
        <f>EnergyCal!F$19</f>
        <v>2.5223539755632576</v>
      </c>
      <c r="CE20" s="179">
        <f t="shared" ref="CE20:CE23" si="42">CE19+$CB$8</f>
        <v>1.4345804863335023</v>
      </c>
      <c r="CF20" s="85">
        <v>0</v>
      </c>
      <c r="CG20" s="85">
        <f t="shared" si="39"/>
        <v>100.00000000000003</v>
      </c>
    </row>
    <row r="21" spans="1:88" x14ac:dyDescent="0.25">
      <c r="A21" s="117">
        <f t="shared" si="28"/>
        <v>2018</v>
      </c>
      <c r="B21" s="66">
        <f>INDEX((Proj_PasMob!$Q$6:$Q$46),MATCH(A21,Proj_PasMob!$M$6:M$46,0))</f>
        <v>11030662221.254807</v>
      </c>
      <c r="C21" s="119">
        <f>B21*Table1101826[Gasoline]%</f>
        <v>6059182705.0002804</v>
      </c>
      <c r="D21" s="123">
        <f>B21*Table1101826[[Diesel ]]%</f>
        <v>4965436528.8511982</v>
      </c>
      <c r="E21" s="121">
        <f>B21*Table1101826[LPG]%</f>
        <v>6042987.4033288565</v>
      </c>
      <c r="F21" s="66">
        <f t="shared" si="11"/>
        <v>0</v>
      </c>
      <c r="H21" s="31">
        <f t="shared" si="32"/>
        <v>685370728.89498138</v>
      </c>
      <c r="I21" s="66">
        <f t="shared" si="33"/>
        <v>446227458.67779541</v>
      </c>
      <c r="J21" s="66">
        <f t="shared" si="34"/>
        <v>4675102345.1835604</v>
      </c>
      <c r="K21" s="66">
        <f t="shared" si="35"/>
        <v>152834035.8462159</v>
      </c>
      <c r="L21" s="66">
        <f t="shared" si="36"/>
        <v>99648136.397729069</v>
      </c>
      <c r="M21" s="66">
        <f t="shared" si="12"/>
        <v>1.9073486328125E-6</v>
      </c>
      <c r="N21" s="31">
        <f t="shared" si="37"/>
        <v>0</v>
      </c>
      <c r="P21" s="66">
        <f>D21*Table3122028[Cars]%</f>
        <v>419898382.10134846</v>
      </c>
      <c r="Q21" s="66">
        <f>D21*Table3122028[DPV]%</f>
        <v>605650125.70156252</v>
      </c>
      <c r="R21" s="66">
        <f>D21*Table3122028[Buses]%</f>
        <v>3939888021.0482869</v>
      </c>
      <c r="S21" s="66">
        <f t="shared" si="13"/>
        <v>0</v>
      </c>
      <c r="W21" s="66">
        <f>E21*Table4132129[Cars]%</f>
        <v>5711515.5204458386</v>
      </c>
      <c r="X21" s="66">
        <f>E21*Table4132129[DPV]%</f>
        <v>331471.88288301742</v>
      </c>
      <c r="Y21" s="66">
        <f t="shared" si="14"/>
        <v>0</v>
      </c>
      <c r="AB21" s="117">
        <f t="shared" si="29"/>
        <v>2018</v>
      </c>
      <c r="AD21" s="66">
        <f>H21*Table5142230[Autocycle]*0.01*$AD$7/1000</f>
        <v>12165.330437885919</v>
      </c>
      <c r="AE21" s="66">
        <f>I21*Table5142230[Motocycle]*0.01*$AD$7/1000</f>
        <v>9504.6448698370423</v>
      </c>
      <c r="AF21" s="66">
        <f>J21*Table5142230[Car]*0.01*$AD$7/$AL$8/1000</f>
        <v>113555.775384327</v>
      </c>
      <c r="AG21" s="66">
        <f>K21*Table5142230[DPV]*0.01*$AD$7/$AL$8/1000</f>
        <v>6567.8415930755409</v>
      </c>
      <c r="AH21" s="66">
        <f>L21*Table5142230[Car_Hbrid]*0.01*$AD$7/$AL$8/1000</f>
        <v>1489.4774072081609</v>
      </c>
      <c r="AI21" s="66">
        <f>Freight!E13*$AG$8*$AI$8*$AD$7/1000</f>
        <v>3432.0664811448746</v>
      </c>
      <c r="AJ21" s="66">
        <f t="shared" si="38"/>
        <v>146715.13617347853</v>
      </c>
      <c r="AK21" s="66">
        <f>P21*Table5142230[Car_Dsl]*0.01*$AD$8/$AL$8/1000</f>
        <v>13149.44933422644</v>
      </c>
      <c r="AL21" s="66">
        <f>Q21*Table5142230[DPV_Dsl]*0.01*$AD$8/$AL$8/1000</f>
        <v>30617.207670334257</v>
      </c>
      <c r="AM21" s="66">
        <f>R21*Table5142230[Bus]*0.01*$AD$8/$AL$9/1000</f>
        <v>28991.94742345675</v>
      </c>
      <c r="AN21" s="66">
        <f>Freight!E13*$AG$9*$AI$9*$AD$8/1000</f>
        <v>104241.75735438037</v>
      </c>
      <c r="AO21" s="66">
        <f t="shared" si="16"/>
        <v>177000.36178239781</v>
      </c>
      <c r="AP21" s="66"/>
      <c r="AQ21" s="66">
        <f>W21*Table5142230[Car_LPG]*0.01*$AD$9/$AL$8/1000</f>
        <v>133.86635046516955</v>
      </c>
      <c r="AR21" s="66">
        <f>X21*Table5142230[DPV_LPG]*0.01*$AD$9/$AL$8/1000</f>
        <v>13.74520562812009</v>
      </c>
      <c r="AS21" s="66">
        <f t="shared" si="40"/>
        <v>2438.574568172553</v>
      </c>
      <c r="AT21" s="66">
        <f t="shared" si="17"/>
        <v>2586.1861242658424</v>
      </c>
      <c r="AU21" s="31">
        <f t="shared" si="18"/>
        <v>25861.861242658422</v>
      </c>
      <c r="AW21" s="148">
        <f t="shared" si="3"/>
        <v>326301.68408014218</v>
      </c>
      <c r="AX21" s="165"/>
      <c r="AY21" s="163">
        <f>AJ21*(1-$AZ$10)</f>
        <v>146715.13617347853</v>
      </c>
      <c r="AZ21" s="163">
        <f>AO21*(1-$AZ$10)</f>
        <v>177000.36178239781</v>
      </c>
      <c r="BA21" s="163">
        <f t="shared" si="6"/>
        <v>2586.1861242658424</v>
      </c>
      <c r="BB21" s="163">
        <f t="shared" si="19"/>
        <v>326301.68408014218</v>
      </c>
      <c r="BC21" s="117">
        <f t="shared" si="30"/>
        <v>2018</v>
      </c>
      <c r="BD21" s="163"/>
      <c r="BE21" s="163"/>
      <c r="BF21" s="163">
        <f t="shared" si="20"/>
        <v>146715.13617347853</v>
      </c>
      <c r="BJ21" s="117">
        <f t="shared" si="31"/>
        <v>2018</v>
      </c>
      <c r="BK21" s="85">
        <f t="shared" si="21"/>
        <v>455.49768036962837</v>
      </c>
      <c r="BL21" s="85">
        <f t="shared" si="22"/>
        <v>0.21690365731887062</v>
      </c>
      <c r="BM21" s="85">
        <f t="shared" si="23"/>
        <v>2.1033081921829878E-2</v>
      </c>
      <c r="BN21" s="85">
        <f t="shared" si="24"/>
        <v>567.91097078967675</v>
      </c>
      <c r="BO21" s="85">
        <f t="shared" si="7"/>
        <v>2.9890051094193511E-2</v>
      </c>
      <c r="BP21" s="85">
        <f t="shared" si="8"/>
        <v>2.9890051094193511E-2</v>
      </c>
      <c r="BQ21" s="85">
        <f t="shared" si="25"/>
        <v>8.5184315798293149</v>
      </c>
      <c r="BR21" s="85">
        <f t="shared" si="9"/>
        <v>8.3699327725739719E-3</v>
      </c>
      <c r="BS21" s="85">
        <f t="shared" si="10"/>
        <v>2.6999783137335397E-5</v>
      </c>
      <c r="BU21" s="39">
        <f t="shared" si="26"/>
        <v>1031.9270827391344</v>
      </c>
      <c r="BV21" s="39">
        <f t="shared" si="26"/>
        <v>0.25516364118563811</v>
      </c>
      <c r="BW21" s="39">
        <f t="shared" si="26"/>
        <v>5.0950132799160719E-2</v>
      </c>
      <c r="BX21" s="159">
        <f t="shared" si="27"/>
        <v>1053.4893133429252</v>
      </c>
      <c r="BZ21" s="117">
        <v>2018</v>
      </c>
      <c r="CA21" s="85">
        <f>EnergyCal!C$19</f>
        <v>11.311273520921988</v>
      </c>
      <c r="CB21" s="85">
        <f>EnergyCal!D$19</f>
        <v>7.3644826439967002</v>
      </c>
      <c r="CC21" s="85">
        <f t="shared" si="41"/>
        <v>77.157309373184574</v>
      </c>
      <c r="CD21" s="85">
        <f>EnergyCal!F$19</f>
        <v>2.5223539755632576</v>
      </c>
      <c r="CE21" s="179">
        <f t="shared" si="42"/>
        <v>1.6445804863335023</v>
      </c>
      <c r="CF21" s="85">
        <v>0</v>
      </c>
      <c r="CG21" s="85">
        <f t="shared" si="39"/>
        <v>100.00000000000001</v>
      </c>
    </row>
    <row r="22" spans="1:88" x14ac:dyDescent="0.25">
      <c r="A22" s="117">
        <f t="shared" si="28"/>
        <v>2019</v>
      </c>
      <c r="B22" s="66">
        <f>INDEX((Proj_PasMob!$Q$6:$Q$46),MATCH(A22,Proj_PasMob!$M$6:M$46,0))</f>
        <v>11136003379.607237</v>
      </c>
      <c r="C22" s="119">
        <f>B22*Table1101826[Gasoline]%</f>
        <v>6117046984.7697983</v>
      </c>
      <c r="D22" s="123">
        <f>B22*Table1101826[[Diesel ]]%</f>
        <v>5012855697.8170261</v>
      </c>
      <c r="E22" s="121">
        <f>B22*Table1101826[LPG]%</f>
        <v>6100697.0204132423</v>
      </c>
      <c r="F22" s="66">
        <f t="shared" si="11"/>
        <v>0</v>
      </c>
      <c r="H22" s="31">
        <f t="shared" si="32"/>
        <v>691915915.85062313</v>
      </c>
      <c r="I22" s="66">
        <f t="shared" si="33"/>
        <v>450488863.51849526</v>
      </c>
      <c r="J22" s="66">
        <f t="shared" si="34"/>
        <v>4706903067.8738756</v>
      </c>
      <c r="K22" s="66">
        <f t="shared" si="35"/>
        <v>154293577.8074134</v>
      </c>
      <c r="L22" s="66">
        <f t="shared" si="36"/>
        <v>113445559.71939257</v>
      </c>
      <c r="M22" s="66">
        <f t="shared" si="12"/>
        <v>1.9073486328125E-6</v>
      </c>
      <c r="N22" s="31">
        <f t="shared" si="37"/>
        <v>0</v>
      </c>
      <c r="P22" s="66">
        <f>D22*Table3122028[Cars]%</f>
        <v>423908348.23698407</v>
      </c>
      <c r="Q22" s="66">
        <f>D22*Table3122028[DPV]%</f>
        <v>611433992.93618453</v>
      </c>
      <c r="R22" s="66">
        <f>D22*Table3122028[Buses]%</f>
        <v>3977513356.6438575</v>
      </c>
      <c r="S22" s="66">
        <f t="shared" si="13"/>
        <v>0</v>
      </c>
      <c r="W22" s="66">
        <f>E22*Table4132129[Cars]%</f>
        <v>5766059.6311078742</v>
      </c>
      <c r="X22" s="66">
        <f>E22*Table4132129[DPV]%</f>
        <v>334637.38930536772</v>
      </c>
      <c r="Y22" s="66">
        <f t="shared" si="14"/>
        <v>0</v>
      </c>
      <c r="AB22" s="117">
        <f t="shared" si="29"/>
        <v>2019</v>
      </c>
      <c r="AD22" s="66">
        <f>H22*Table5142230[Autocycle]*0.01*$AD$7/1000</f>
        <v>12281.50750634856</v>
      </c>
      <c r="AE22" s="66">
        <f>I22*Table5142230[Motocycle]*0.01*$AD$7/1000</f>
        <v>9595.4127929439492</v>
      </c>
      <c r="AF22" s="66">
        <f>J22*Table5142230[Car]*0.01*$AD$7/$AL$8/1000</f>
        <v>114328.19820125231</v>
      </c>
      <c r="AG22" s="66">
        <f>K22*Table5142230[DPV]*0.01*$AD$7/$AL$8/1000</f>
        <v>6630.5634884080555</v>
      </c>
      <c r="AH22" s="66">
        <f>L22*Table5142230[Car_Hbrid]*0.01*$AD$7/$AL$8/1000</f>
        <v>1695.7125768582889</v>
      </c>
      <c r="AI22" s="66">
        <f>Freight!E14*$AG$8*$AI$8*$AD$7/1000</f>
        <v>3563.6810867473969</v>
      </c>
      <c r="AJ22" s="66">
        <f t="shared" si="38"/>
        <v>148095.07565255853</v>
      </c>
      <c r="AK22" s="66">
        <f>P22*Table5142230[Car_Dsl]*0.01*$AD$8/$AL$8/1000</f>
        <v>13275.024589526607</v>
      </c>
      <c r="AL22" s="66">
        <f>Q22*Table5142230[DPV_Dsl]*0.01*$AD$8/$AL$8/1000</f>
        <v>30909.597379747647</v>
      </c>
      <c r="AM22" s="66">
        <f>R22*Table5142230[Bus]*0.01*$AD$8/$AL$9/1000</f>
        <v>29268.816142960728</v>
      </c>
      <c r="AN22" s="66">
        <f>Freight!E14*$AG$9*$AI$9*$AD$8/1000</f>
        <v>108239.27251234255</v>
      </c>
      <c r="AO22" s="66">
        <f t="shared" si="16"/>
        <v>181692.71062457754</v>
      </c>
      <c r="AP22" s="66"/>
      <c r="AQ22" s="66">
        <f>W22*Table5142230[Car_LPG]*0.01*$AD$9/$AL$8/1000</f>
        <v>135.14475389549506</v>
      </c>
      <c r="AR22" s="66">
        <f>X22*Table5142230[DPV_LPG]*0.01*$AD$9/$AL$8/1000</f>
        <v>13.876470266055295</v>
      </c>
      <c r="AS22" s="66">
        <f t="shared" si="40"/>
        <v>2265.4357738323019</v>
      </c>
      <c r="AT22" s="66">
        <f t="shared" si="17"/>
        <v>2414.4569979938524</v>
      </c>
      <c r="AU22" s="31">
        <f t="shared" si="18"/>
        <v>24144.569979938526</v>
      </c>
      <c r="AW22" s="148">
        <f t="shared" si="3"/>
        <v>332202.24327512993</v>
      </c>
      <c r="AX22" s="165"/>
      <c r="AY22" s="163">
        <f>AJ22*(1-$BB$10)</f>
        <v>148095.07565255853</v>
      </c>
      <c r="AZ22" s="163">
        <f>AO22*(1-$BB$10)</f>
        <v>181692.71062457754</v>
      </c>
      <c r="BA22" s="163">
        <f t="shared" si="6"/>
        <v>2414.4569979938524</v>
      </c>
      <c r="BB22" s="163">
        <f t="shared" si="19"/>
        <v>332202.24327512993</v>
      </c>
      <c r="BC22" s="117">
        <f t="shared" si="30"/>
        <v>2019</v>
      </c>
      <c r="BD22" s="163"/>
      <c r="BE22" s="163"/>
      <c r="BF22" s="163">
        <f t="shared" si="20"/>
        <v>148095.07565255853</v>
      </c>
      <c r="BJ22" s="117">
        <f t="shared" si="31"/>
        <v>2019</v>
      </c>
      <c r="BK22" s="85">
        <f t="shared" si="21"/>
        <v>459.7818956739593</v>
      </c>
      <c r="BL22" s="85">
        <f t="shared" si="22"/>
        <v>0.21894375984474249</v>
      </c>
      <c r="BM22" s="85">
        <f t="shared" si="23"/>
        <v>2.1230910045550791E-2</v>
      </c>
      <c r="BN22" s="85">
        <f t="shared" si="24"/>
        <v>582.96651282027574</v>
      </c>
      <c r="BO22" s="85">
        <f t="shared" si="7"/>
        <v>3.0682448043172404E-2</v>
      </c>
      <c r="BP22" s="85">
        <f t="shared" si="8"/>
        <v>3.0682448043172404E-2</v>
      </c>
      <c r="BQ22" s="85">
        <f t="shared" si="25"/>
        <v>7.9527867491321107</v>
      </c>
      <c r="BR22" s="85">
        <f t="shared" si="9"/>
        <v>7.8141486283073037E-3</v>
      </c>
      <c r="BS22" s="85">
        <f t="shared" si="10"/>
        <v>2.5206931059055817E-5</v>
      </c>
      <c r="BU22" s="39">
        <f t="shared" si="26"/>
        <v>1050.7011952433672</v>
      </c>
      <c r="BV22" s="39">
        <f t="shared" si="26"/>
        <v>0.25744035651622221</v>
      </c>
      <c r="BW22" s="39">
        <f t="shared" si="26"/>
        <v>5.1938565019782251E-2</v>
      </c>
      <c r="BX22" s="159">
        <f t="shared" si="27"/>
        <v>1072.6148965321679</v>
      </c>
      <c r="BZ22" s="117">
        <v>2019</v>
      </c>
      <c r="CA22" s="85">
        <f>EnergyCal!C$19</f>
        <v>11.311273520921988</v>
      </c>
      <c r="CB22" s="85">
        <f>EnergyCal!D$19</f>
        <v>7.3644826439967002</v>
      </c>
      <c r="CC22" s="85">
        <f t="shared" si="41"/>
        <v>76.947309373184581</v>
      </c>
      <c r="CD22" s="85">
        <f>EnergyCal!F$19</f>
        <v>2.5223539755632576</v>
      </c>
      <c r="CE22" s="179">
        <f t="shared" si="42"/>
        <v>1.8545804863335023</v>
      </c>
      <c r="CF22" s="85">
        <v>0</v>
      </c>
      <c r="CG22" s="85">
        <f t="shared" si="39"/>
        <v>100.00000000000004</v>
      </c>
    </row>
    <row r="23" spans="1:88" x14ac:dyDescent="0.25">
      <c r="A23" s="117">
        <f t="shared" si="28"/>
        <v>2020</v>
      </c>
      <c r="B23" s="66">
        <f>INDEX((Proj_PasMob!$Q$6:$Q$46),MATCH(A23,Proj_PasMob!$M$6:M$46,0))</f>
        <v>11226441524.739933</v>
      </c>
      <c r="C23" s="119">
        <f>B23*Table1101826[Gasoline]%</f>
        <v>6166724985.4073706</v>
      </c>
      <c r="D23" s="123">
        <f>B23*Table1101826[[Diesel ]]%</f>
        <v>5053566297.0934811</v>
      </c>
      <c r="E23" s="121">
        <f>B23*Table1101826[LPG]%</f>
        <v>6150242.2390823653</v>
      </c>
      <c r="F23" s="66">
        <f t="shared" si="11"/>
        <v>0</v>
      </c>
      <c r="H23" s="31">
        <f t="shared" si="32"/>
        <v>697535130.38246429</v>
      </c>
      <c r="I23" s="66">
        <f t="shared" si="33"/>
        <v>454147391.25333387</v>
      </c>
      <c r="J23" s="66">
        <f t="shared" si="34"/>
        <v>4732178830.2455263</v>
      </c>
      <c r="K23" s="66">
        <f t="shared" si="35"/>
        <v>155546632.83147553</v>
      </c>
      <c r="L23" s="66">
        <f t="shared" si="36"/>
        <v>127317000.69457309</v>
      </c>
      <c r="M23" s="66">
        <f t="shared" si="12"/>
        <v>2.86102294921875E-6</v>
      </c>
      <c r="N23" s="31">
        <f t="shared" si="37"/>
        <v>0</v>
      </c>
      <c r="P23" s="66">
        <f>D23*Table3122028[Cars]%</f>
        <v>427351009.2540437</v>
      </c>
      <c r="Q23" s="66">
        <f>D23*Table3122028[DPV]%</f>
        <v>616399594.53554189</v>
      </c>
      <c r="R23" s="66">
        <f>D23*Table3122028[Buses]%</f>
        <v>4009815693.3038955</v>
      </c>
      <c r="S23" s="66">
        <f t="shared" si="13"/>
        <v>0</v>
      </c>
      <c r="W23" s="66">
        <f>E23*Table4132129[Cars]%</f>
        <v>5812887.1795546403</v>
      </c>
      <c r="X23" s="66">
        <f>E23*Table4132129[DPV]%</f>
        <v>337355.05952772463</v>
      </c>
      <c r="Y23" s="66">
        <f t="shared" si="14"/>
        <v>0</v>
      </c>
      <c r="AB23" s="117">
        <f t="shared" si="29"/>
        <v>2020</v>
      </c>
      <c r="AD23" s="66">
        <f>H23*Table5142230[Autocycle]*0.01*$AD$7/1000</f>
        <v>12381.248564288742</v>
      </c>
      <c r="AE23" s="66">
        <f>I23*Table5142230[Motocycle]*0.01*$AD$7/1000</f>
        <v>9673.3394336960118</v>
      </c>
      <c r="AF23" s="66">
        <f>J23*Table5142230[Car]*0.01*$AD$7/$AL$8/1000</f>
        <v>114942.13316622686</v>
      </c>
      <c r="AG23" s="66">
        <f>K23*Table5142230[DPV]*0.01*$AD$7/$AL$8/1000</f>
        <v>6684.4118793105135</v>
      </c>
      <c r="AH23" s="66">
        <f>L23*Table5142230[Car_Hbrid]*0.01*$AD$7/$AL$8/1000</f>
        <v>1903.054115645198</v>
      </c>
      <c r="AI23" s="66">
        <f>Freight!E15*$AG$8*$AI$8*$AD$7/1000</f>
        <v>3700.3341521094567</v>
      </c>
      <c r="AJ23" s="66">
        <f t="shared" si="38"/>
        <v>149284.5213112768</v>
      </c>
      <c r="AK23" s="66">
        <f>P23*Table5142230[Car_Dsl]*0.01*$AD$8/$AL$8/1000</f>
        <v>13382.834237166107</v>
      </c>
      <c r="AL23" s="66">
        <f>Q23*Table5142230[DPV_Dsl]*0.01*$AD$8/$AL$8/1000</f>
        <v>31160.621607967798</v>
      </c>
      <c r="AM23" s="66">
        <f>R23*Table5142230[Bus]*0.01*$AD$8/$AL$9/1000</f>
        <v>29506.515194583382</v>
      </c>
      <c r="AN23" s="66">
        <f>Freight!E15*$AG$9*$AI$9*$AD$8/1000</f>
        <v>112389.82022447552</v>
      </c>
      <c r="AO23" s="66">
        <f t="shared" si="16"/>
        <v>186439.79126419281</v>
      </c>
      <c r="AP23" s="66"/>
      <c r="AQ23" s="66">
        <f>W23*Table5142230[Car_LPG]*0.01*$AD$9/$AL$8/1000</f>
        <v>136.24229674368644</v>
      </c>
      <c r="AR23" s="66">
        <f>X23*Table5142230[DPV_LPG]*0.01*$AD$9/$AL$8/1000</f>
        <v>13.98916439778923</v>
      </c>
      <c r="AS23" s="66">
        <f t="shared" si="40"/>
        <v>2104.5898338902084</v>
      </c>
      <c r="AT23" s="66">
        <f t="shared" si="17"/>
        <v>2254.8212950316843</v>
      </c>
      <c r="AU23" s="31">
        <f t="shared" si="18"/>
        <v>22548.212950316843</v>
      </c>
      <c r="AW23" s="148">
        <f t="shared" si="3"/>
        <v>337979.1338705013</v>
      </c>
      <c r="AX23" s="165"/>
      <c r="AY23" s="163">
        <f t="shared" ref="AY23:AY53" si="43">AJ23*(1-$BB$10)</f>
        <v>149284.5213112768</v>
      </c>
      <c r="AZ23" s="163">
        <f t="shared" ref="AZ23:AZ53" si="44">AO23*(1-$BB$10)</f>
        <v>186439.79126419281</v>
      </c>
      <c r="BA23" s="163">
        <f t="shared" si="6"/>
        <v>2254.8212950316843</v>
      </c>
      <c r="BB23" s="163">
        <f t="shared" si="19"/>
        <v>337979.1338705013</v>
      </c>
      <c r="BC23" s="117">
        <f t="shared" si="30"/>
        <v>2020</v>
      </c>
      <c r="BD23" s="177">
        <f>BD10</f>
        <v>0.25</v>
      </c>
      <c r="BE23" s="163">
        <f>BD23*$BE$7</f>
        <v>2139.5089285714284</v>
      </c>
      <c r="BF23" s="163">
        <f t="shared" si="20"/>
        <v>147145.01238270538</v>
      </c>
      <c r="BJ23" s="117">
        <f t="shared" si="31"/>
        <v>2020</v>
      </c>
      <c r="BK23" s="85">
        <f t="shared" si="21"/>
        <v>456.83229124384241</v>
      </c>
      <c r="BL23" s="85">
        <f t="shared" si="22"/>
        <v>0.21753918630659158</v>
      </c>
      <c r="BM23" s="85">
        <f t="shared" si="23"/>
        <v>2.1094708975184642E-2</v>
      </c>
      <c r="BN23" s="85">
        <f t="shared" si="24"/>
        <v>598.19766346490042</v>
      </c>
      <c r="BO23" s="85">
        <f t="shared" si="7"/>
        <v>3.1484087550784232E-2</v>
      </c>
      <c r="BP23" s="85">
        <f t="shared" si="8"/>
        <v>3.1484087550784232E-2</v>
      </c>
      <c r="BQ23" s="85">
        <f t="shared" si="25"/>
        <v>7.4269754780012613</v>
      </c>
      <c r="BR23" s="85">
        <f t="shared" si="9"/>
        <v>7.2975036392405428E-3</v>
      </c>
      <c r="BS23" s="85">
        <f t="shared" si="10"/>
        <v>2.3540334320130782E-5</v>
      </c>
      <c r="BU23" s="39">
        <f t="shared" si="26"/>
        <v>1062.4569301867441</v>
      </c>
      <c r="BV23" s="39">
        <f t="shared" si="26"/>
        <v>0.25632077749661636</v>
      </c>
      <c r="BW23" s="39">
        <f t="shared" si="26"/>
        <v>5.2602336860289006E-2</v>
      </c>
      <c r="BX23" s="159">
        <f t="shared" si="27"/>
        <v>1084.5404460085256</v>
      </c>
      <c r="BZ23" s="191">
        <v>2020</v>
      </c>
      <c r="CA23" s="192">
        <f>EnergyCal!C$19</f>
        <v>11.311273520921988</v>
      </c>
      <c r="CB23" s="192">
        <f>EnergyCal!D$19</f>
        <v>7.3644826439967002</v>
      </c>
      <c r="CC23" s="192">
        <f t="shared" si="41"/>
        <v>76.737309373184587</v>
      </c>
      <c r="CD23" s="192">
        <f>EnergyCal!F$19</f>
        <v>2.5223539755632576</v>
      </c>
      <c r="CE23" s="193">
        <f t="shared" si="42"/>
        <v>2.0645804863335022</v>
      </c>
      <c r="CF23" s="192">
        <v>0</v>
      </c>
      <c r="CG23" s="192">
        <f t="shared" si="39"/>
        <v>100.00000000000003</v>
      </c>
    </row>
    <row r="24" spans="1:88" x14ac:dyDescent="0.25">
      <c r="A24" s="117">
        <f t="shared" si="28"/>
        <v>2021</v>
      </c>
      <c r="B24" s="66">
        <f>INDEX((Proj_PasMob!$Q$6:$Q$46),MATCH(A24,Proj_PasMob!$M$6:M$46,0))</f>
        <v>11311365658.45142</v>
      </c>
      <c r="C24" s="119">
        <f>B24*Table1101826[Gasoline]%</f>
        <v>6213374119.6026182</v>
      </c>
      <c r="D24" s="123">
        <f>B24*Table1101826[[Diesel ]]%</f>
        <v>5091794772.1617794</v>
      </c>
      <c r="E24" s="121">
        <f>B24*Table1101826[LPG]%</f>
        <v>6196766.6870224234</v>
      </c>
      <c r="F24" s="66">
        <f t="shared" si="11"/>
        <v>0</v>
      </c>
      <c r="H24" s="31">
        <f t="shared" si="32"/>
        <v>702811741.54643071</v>
      </c>
      <c r="I24" s="66">
        <f t="shared" si="33"/>
        <v>457582858.64471757</v>
      </c>
      <c r="J24" s="66">
        <f t="shared" si="34"/>
        <v>4730695875.9552298</v>
      </c>
      <c r="K24" s="66">
        <f t="shared" si="35"/>
        <v>156723289.12241521</v>
      </c>
      <c r="L24" s="66">
        <f t="shared" si="36"/>
        <v>159346980.21422479</v>
      </c>
      <c r="M24" s="66">
        <f t="shared" si="12"/>
        <v>2.3227185010910034E-6</v>
      </c>
      <c r="N24" s="31">
        <f t="shared" si="37"/>
        <v>6213374.1196026187</v>
      </c>
      <c r="P24" s="66">
        <f>D24*Table3122028[Cars]%</f>
        <v>430583771.31597143</v>
      </c>
      <c r="Q24" s="66">
        <f>D24*Table3122028[DPV]%</f>
        <v>621062443.53098571</v>
      </c>
      <c r="R24" s="66">
        <f>D24*Table3122028[Buses]%</f>
        <v>4040148557.3148222</v>
      </c>
      <c r="S24" s="66">
        <f t="shared" si="13"/>
        <v>0</v>
      </c>
      <c r="W24" s="66">
        <f>E24*Table4132129[Cars]%</f>
        <v>5856859.6535570584</v>
      </c>
      <c r="X24" s="66">
        <f>E24*Table4132129[DPV]%</f>
        <v>339907.03346536495</v>
      </c>
      <c r="Y24" s="66">
        <f t="shared" si="14"/>
        <v>0</v>
      </c>
      <c r="AB24" s="117">
        <f t="shared" si="29"/>
        <v>2021</v>
      </c>
      <c r="AD24" s="66">
        <f>H24*Table5142230[Autocycle]*0.01*$AD$7/1000</f>
        <v>12474.908412449146</v>
      </c>
      <c r="AE24" s="66">
        <f>I24*Table5142230[Motocycle]*0.01*$AD$7/1000</f>
        <v>9746.5148891324825</v>
      </c>
      <c r="AF24" s="66">
        <f>J24*Table5142230[Car]*0.01*$AD$7/$AL$8/1000</f>
        <v>114906.11298701781</v>
      </c>
      <c r="AG24" s="66">
        <f>K24*Table5142230[DPV]*0.01*$AD$7/$AL$8/1000</f>
        <v>6734.9771351816853</v>
      </c>
      <c r="AH24" s="66">
        <f>L24*Table5142230[Car_Hbrid]*0.01*$AD$7/$AL$8/1000</f>
        <v>2381.8180200442021</v>
      </c>
      <c r="AI24" s="66">
        <f>Freight!E16*$AG$8*$AI$8*$AD$7/1000</f>
        <v>3842.1793086271005</v>
      </c>
      <c r="AJ24" s="66">
        <f t="shared" si="38"/>
        <v>150086.51075245242</v>
      </c>
      <c r="AK24" s="66">
        <f>P24*Table5142230[Car_Dsl]*0.01*$AD$8/$AL$8/1000</f>
        <v>13484.070733315946</v>
      </c>
      <c r="AL24" s="66">
        <f>Q24*Table5142230[DPV_Dsl]*0.01*$AD$8/$AL$8/1000</f>
        <v>31396.340895342728</v>
      </c>
      <c r="AM24" s="66">
        <f>R24*Table5142230[Bus]*0.01*$AD$8/$AL$9/1000</f>
        <v>29729.721741040925</v>
      </c>
      <c r="AN24" s="66">
        <f>Freight!E16*$AG$9*$AI$9*$AD$8/1000</f>
        <v>116698.066719361</v>
      </c>
      <c r="AO24" s="66">
        <f t="shared" si="16"/>
        <v>191308.20008906059</v>
      </c>
      <c r="AP24" s="66"/>
      <c r="AQ24" s="66">
        <f>W24*Table5142230[Car_LPG]*0.01*$AD$9/$AL$8/1000</f>
        <v>137.27292243218474</v>
      </c>
      <c r="AR24" s="66">
        <f>X24*Table5142230[DPV_LPG]*0.01*$AD$9/$AL$8/1000</f>
        <v>14.094987571161825</v>
      </c>
      <c r="AS24" s="66">
        <f t="shared" si="40"/>
        <v>1955.1639556840037</v>
      </c>
      <c r="AT24" s="66">
        <f t="shared" si="17"/>
        <v>2106.5318656873501</v>
      </c>
      <c r="AU24" s="31">
        <f t="shared" si="18"/>
        <v>21065.3186568735</v>
      </c>
      <c r="AW24" s="148">
        <f t="shared" si="3"/>
        <v>343501.24270720035</v>
      </c>
      <c r="AX24" s="165"/>
      <c r="AY24" s="163">
        <f t="shared" si="43"/>
        <v>150086.51075245242</v>
      </c>
      <c r="AZ24" s="163">
        <f t="shared" si="44"/>
        <v>191308.20008906059</v>
      </c>
      <c r="BA24" s="163">
        <f t="shared" si="6"/>
        <v>2106.5318656873501</v>
      </c>
      <c r="BB24" s="163">
        <f t="shared" si="19"/>
        <v>343501.24270720035</v>
      </c>
      <c r="BC24" s="117">
        <f t="shared" si="30"/>
        <v>2021</v>
      </c>
      <c r="BD24" s="177">
        <f>BD23+$BE$8</f>
        <v>0.3</v>
      </c>
      <c r="BE24" s="163">
        <f t="shared" ref="BE24:BE32" si="45">BD24*$BE$7</f>
        <v>2567.4107142857142</v>
      </c>
      <c r="BF24" s="163">
        <f t="shared" si="20"/>
        <v>147519.10003816671</v>
      </c>
      <c r="BJ24" s="117">
        <f t="shared" si="31"/>
        <v>2021</v>
      </c>
      <c r="BK24" s="85">
        <f t="shared" si="21"/>
        <v>457.99369874249385</v>
      </c>
      <c r="BL24" s="85">
        <f t="shared" si="22"/>
        <v>0.21809223749642562</v>
      </c>
      <c r="BM24" s="85">
        <f t="shared" si="23"/>
        <v>2.1148338181471577E-2</v>
      </c>
      <c r="BN24" s="85">
        <f t="shared" si="24"/>
        <v>613.81809923175354</v>
      </c>
      <c r="BO24" s="85">
        <f t="shared" si="7"/>
        <v>3.2306215749039656E-2</v>
      </c>
      <c r="BP24" s="85">
        <f t="shared" si="8"/>
        <v>3.2306215749039656E-2</v>
      </c>
      <c r="BQ24" s="85">
        <f t="shared" si="25"/>
        <v>6.9385367898383068</v>
      </c>
      <c r="BR24" s="85">
        <f t="shared" si="9"/>
        <v>6.8175797301105396E-3</v>
      </c>
      <c r="BS24" s="85">
        <f t="shared" si="10"/>
        <v>2.1992192677775934E-5</v>
      </c>
      <c r="BU24" s="39">
        <f t="shared" si="26"/>
        <v>1078.7503347640857</v>
      </c>
      <c r="BV24" s="39">
        <f t="shared" si="26"/>
        <v>0.25721603297557583</v>
      </c>
      <c r="BW24" s="39">
        <f t="shared" si="26"/>
        <v>5.3476546123189007E-2</v>
      </c>
      <c r="BX24" s="159">
        <f t="shared" si="27"/>
        <v>1101.1167463331853</v>
      </c>
      <c r="BZ24" s="117">
        <v>2021</v>
      </c>
      <c r="CA24" s="85">
        <f>EnergyCal!C$19</f>
        <v>11.311273520921988</v>
      </c>
      <c r="CB24" s="85">
        <f>EnergyCal!D$19</f>
        <v>7.3644826439967002</v>
      </c>
      <c r="CC24" s="85">
        <f>CC23-$CD$8-$CD$9</f>
        <v>76.137309373184593</v>
      </c>
      <c r="CD24" s="85">
        <f>EnergyCal!F$19</f>
        <v>2.5223539755632576</v>
      </c>
      <c r="CE24" s="179">
        <f>CE23+$CD$8</f>
        <v>2.5645804863335022</v>
      </c>
      <c r="CF24" s="85">
        <f>CF23+$CD$9</f>
        <v>0.1</v>
      </c>
      <c r="CG24" s="85">
        <f t="shared" si="39"/>
        <v>100.00000000000003</v>
      </c>
    </row>
    <row r="25" spans="1:88" x14ac:dyDescent="0.25">
      <c r="A25" s="117">
        <f t="shared" si="28"/>
        <v>2022</v>
      </c>
      <c r="B25" s="66">
        <f>INDEX((Proj_PasMob!$Q$6:$Q$46),MATCH(A25,Proj_PasMob!$M$6:M$46,0))</f>
        <v>11390768424.65041</v>
      </c>
      <c r="C25" s="119">
        <f>B25*Table1101826[Gasoline]%</f>
        <v>6256990346.6279593</v>
      </c>
      <c r="D25" s="123">
        <f>B25*Table1101826[[Diesel ]]%</f>
        <v>5127537811.6881447</v>
      </c>
      <c r="E25" s="121">
        <f>B25*Table1101826[LPG]%</f>
        <v>6240266.3343061004</v>
      </c>
      <c r="F25" s="66">
        <f t="shared" si="11"/>
        <v>0</v>
      </c>
      <c r="H25" s="31">
        <f t="shared" si="32"/>
        <v>707745292.28477323</v>
      </c>
      <c r="I25" s="66">
        <f t="shared" si="33"/>
        <v>460794968.11396503</v>
      </c>
      <c r="J25" s="66">
        <f t="shared" si="34"/>
        <v>4726362155.5826569</v>
      </c>
      <c r="K25" s="66">
        <f t="shared" si="35"/>
        <v>157823444.75877959</v>
      </c>
      <c r="L25" s="66">
        <f t="shared" si="36"/>
        <v>191750505.19453141</v>
      </c>
      <c r="M25" s="66">
        <f t="shared" si="12"/>
        <v>3.3546239137649536E-6</v>
      </c>
      <c r="N25" s="31">
        <f t="shared" si="37"/>
        <v>12513980.693255918</v>
      </c>
      <c r="P25" s="66">
        <f>D25*Table3122028[Cars]%</f>
        <v>433606354.40233254</v>
      </c>
      <c r="Q25" s="66">
        <f>D25*Table3122028[DPV]%</f>
        <v>625422136.02857709</v>
      </c>
      <c r="R25" s="66">
        <f>D25*Table3122028[Buses]%</f>
        <v>4068509321.2572351</v>
      </c>
      <c r="S25" s="66">
        <f t="shared" si="13"/>
        <v>0</v>
      </c>
      <c r="W25" s="66">
        <f>E25*Table4132129[Cars]%</f>
        <v>5897973.2442386774</v>
      </c>
      <c r="X25" s="66">
        <f>E25*Table4132129[DPV]%</f>
        <v>342293.09006742318</v>
      </c>
      <c r="Y25" s="66">
        <f t="shared" si="14"/>
        <v>0</v>
      </c>
      <c r="AB25" s="117">
        <f t="shared" si="29"/>
        <v>2022</v>
      </c>
      <c r="AD25" s="66">
        <f>H25*Table5142230[Autocycle]*0.01*$AD$7/1000</f>
        <v>12562.478938054726</v>
      </c>
      <c r="AE25" s="66">
        <f>I25*Table5142230[Motocycle]*0.01*$AD$7/1000</f>
        <v>9814.9328208274546</v>
      </c>
      <c r="AF25" s="66">
        <f>J25*Table5142230[Car]*0.01*$AD$7/$AL$8/1000</f>
        <v>114800.84920007348</v>
      </c>
      <c r="AG25" s="66">
        <f>K25*Table5142230[DPV]*0.01*$AD$7/$AL$8/1000</f>
        <v>6782.2548760812388</v>
      </c>
      <c r="AH25" s="66">
        <f>L25*Table5142230[Car_Hbrid]*0.01*$AD$7/$AL$8/1000</f>
        <v>2866.1654460656268</v>
      </c>
      <c r="AI25" s="66">
        <f>Freight!E17*$AG$8*$AI$8*$AD$7/1000</f>
        <v>3989.4138557642418</v>
      </c>
      <c r="AJ25" s="66">
        <f t="shared" si="38"/>
        <v>150816.09513686679</v>
      </c>
      <c r="AK25" s="66">
        <f>P25*Table5142230[Car_Dsl]*0.01*$AD$8/$AL$8/1000</f>
        <v>13578.725308915151</v>
      </c>
      <c r="AL25" s="66">
        <f>Q25*Table5142230[DPV_Dsl]*0.01*$AD$8/$AL$8/1000</f>
        <v>31616.734823970964</v>
      </c>
      <c r="AM25" s="66">
        <f>R25*Table5142230[Bus]*0.01*$AD$8/$AL$9/1000</f>
        <v>29938.416448280022</v>
      </c>
      <c r="AN25" s="66">
        <f>Freight!E17*$AG$9*$AI$9*$AD$8/1000</f>
        <v>121170.0045507436</v>
      </c>
      <c r="AO25" s="66">
        <f t="shared" si="16"/>
        <v>196303.88113190973</v>
      </c>
      <c r="AP25" s="66"/>
      <c r="AQ25" s="66">
        <f>W25*Table5142230[Car_LPG]*0.01*$AD$9/$AL$8/1000</f>
        <v>138.23654168864394</v>
      </c>
      <c r="AR25" s="66">
        <f>X25*Table5142230[DPV_LPG]*0.01*$AD$9/$AL$8/1000</f>
        <v>14.193930619816113</v>
      </c>
      <c r="AS25" s="66">
        <f t="shared" si="40"/>
        <v>1816.3473148304395</v>
      </c>
      <c r="AT25" s="66">
        <f t="shared" si="17"/>
        <v>1968.7777871388996</v>
      </c>
      <c r="AU25" s="31">
        <f t="shared" si="18"/>
        <v>19687.777871388997</v>
      </c>
      <c r="AW25" s="148">
        <f t="shared" si="3"/>
        <v>349088.7540559154</v>
      </c>
      <c r="AX25" s="165"/>
      <c r="AY25" s="163">
        <f t="shared" si="43"/>
        <v>150816.09513686679</v>
      </c>
      <c r="AZ25" s="163">
        <f t="shared" si="44"/>
        <v>196303.88113190973</v>
      </c>
      <c r="BA25" s="163">
        <f t="shared" si="6"/>
        <v>1968.7777871388996</v>
      </c>
      <c r="BB25" s="163">
        <f t="shared" si="19"/>
        <v>349088.7540559154</v>
      </c>
      <c r="BC25" s="117">
        <f t="shared" si="30"/>
        <v>2022</v>
      </c>
      <c r="BD25" s="177">
        <f t="shared" ref="BD25:BD37" si="46">BD24+$BE$8</f>
        <v>0.35</v>
      </c>
      <c r="BE25" s="163">
        <f t="shared" si="45"/>
        <v>2995.3124999999995</v>
      </c>
      <c r="BF25" s="163">
        <f t="shared" si="20"/>
        <v>147820.78263686679</v>
      </c>
      <c r="BJ25" s="117">
        <f t="shared" si="31"/>
        <v>2022</v>
      </c>
      <c r="BK25" s="85">
        <f t="shared" si="21"/>
        <v>458.93031460572206</v>
      </c>
      <c r="BL25" s="85">
        <f t="shared" si="22"/>
        <v>0.2185382450503438</v>
      </c>
      <c r="BM25" s="85">
        <f t="shared" si="23"/>
        <v>2.119158739882122E-2</v>
      </c>
      <c r="BN25" s="85">
        <f t="shared" si="24"/>
        <v>629.84689172816627</v>
      </c>
      <c r="BO25" s="85">
        <f t="shared" si="7"/>
        <v>3.3149836406745591E-2</v>
      </c>
      <c r="BP25" s="85">
        <f t="shared" si="8"/>
        <v>3.3149836406745591E-2</v>
      </c>
      <c r="BQ25" s="85">
        <f t="shared" si="25"/>
        <v>6.4847996508338506</v>
      </c>
      <c r="BR25" s="85">
        <f t="shared" si="9"/>
        <v>6.3717524302963346E-3</v>
      </c>
      <c r="BS25" s="85">
        <f t="shared" si="10"/>
        <v>2.0554040097730112E-5</v>
      </c>
      <c r="BU25" s="39">
        <f t="shared" si="26"/>
        <v>1095.2620059847222</v>
      </c>
      <c r="BV25" s="39">
        <f t="shared" si="26"/>
        <v>0.25805983388738574</v>
      </c>
      <c r="BW25" s="39">
        <f t="shared" si="26"/>
        <v>5.4361977845664537E-2</v>
      </c>
      <c r="BX25" s="159">
        <f t="shared" si="27"/>
        <v>1117.9133712299149</v>
      </c>
      <c r="BZ25" s="117">
        <v>2022</v>
      </c>
      <c r="CA25" s="85">
        <f>EnergyCal!C$19</f>
        <v>11.311273520921988</v>
      </c>
      <c r="CB25" s="85">
        <f>EnergyCal!D$19</f>
        <v>7.3644826439967002</v>
      </c>
      <c r="CC25" s="85">
        <f t="shared" ref="CC25:CC28" si="47">CC24-$CD$8-$CD$9</f>
        <v>75.537309373184598</v>
      </c>
      <c r="CD25" s="85">
        <f>EnergyCal!F$19</f>
        <v>2.5223539755632576</v>
      </c>
      <c r="CE25" s="179">
        <f t="shared" ref="CE25:CE28" si="48">CE24+$CD$8</f>
        <v>3.0645804863335022</v>
      </c>
      <c r="CF25" s="85">
        <f t="shared" ref="CF25:CF28" si="49">CF24+$CD$9</f>
        <v>0.2</v>
      </c>
      <c r="CG25" s="85">
        <f t="shared" si="39"/>
        <v>100.00000000000004</v>
      </c>
    </row>
    <row r="26" spans="1:88" x14ac:dyDescent="0.25">
      <c r="A26" s="117">
        <f t="shared" si="28"/>
        <v>2023</v>
      </c>
      <c r="B26" s="66">
        <f>INDEX((Proj_PasMob!$Q$6:$Q$46),MATCH(A26,Proj_PasMob!$M$6:M$46,0))</f>
        <v>11464670555.718056</v>
      </c>
      <c r="C26" s="119">
        <f>B26*Table1101826[Gasoline]%</f>
        <v>6297585054.8554411</v>
      </c>
      <c r="D26" s="123">
        <f>B26*Table1101826[[Diesel ]]%</f>
        <v>5160804748.3237495</v>
      </c>
      <c r="E26" s="121">
        <f>B26*Table1101826[LPG]%</f>
        <v>6280752.5388660058</v>
      </c>
      <c r="F26" s="66">
        <f t="shared" si="11"/>
        <v>0</v>
      </c>
      <c r="H26" s="31">
        <f t="shared" si="32"/>
        <v>712337070.76740396</v>
      </c>
      <c r="I26" s="66">
        <f t="shared" si="33"/>
        <v>463784558.35575902</v>
      </c>
      <c r="J26" s="66">
        <f t="shared" si="34"/>
        <v>4719240795.5964594</v>
      </c>
      <c r="K26" s="66">
        <f t="shared" si="35"/>
        <v>158847386.99562377</v>
      </c>
      <c r="L26" s="66">
        <f t="shared" si="36"/>
        <v>224482487.97563204</v>
      </c>
      <c r="M26" s="66">
        <f t="shared" si="12"/>
        <v>3.1478703022003174E-6</v>
      </c>
      <c r="N26" s="31">
        <f t="shared" si="37"/>
        <v>18892755.164566327</v>
      </c>
      <c r="P26" s="66">
        <f>D26*Table3122028[Cars]%</f>
        <v>436419547.72171032</v>
      </c>
      <c r="Q26" s="66">
        <f>D26*Table3122028[DPV]%</f>
        <v>629479810.36153686</v>
      </c>
      <c r="R26" s="66">
        <f>D26*Table3122028[Buses]%</f>
        <v>4094905390.2405024</v>
      </c>
      <c r="S26" s="66">
        <f t="shared" si="13"/>
        <v>0</v>
      </c>
      <c r="W26" s="66">
        <f>E26*Table4132129[Cars]%</f>
        <v>5936238.6865231451</v>
      </c>
      <c r="X26" s="66">
        <f>E26*Table4132129[DPV]%</f>
        <v>344513.85234286106</v>
      </c>
      <c r="Y26" s="66">
        <f t="shared" si="14"/>
        <v>0</v>
      </c>
      <c r="AB26" s="117">
        <f t="shared" si="29"/>
        <v>2023</v>
      </c>
      <c r="AD26" s="66">
        <f>H26*Table5142230[Autocycle]*0.01*$AD$7/1000</f>
        <v>12643.98300612142</v>
      </c>
      <c r="AE26" s="66">
        <f>I26*Table5142230[Motocycle]*0.01*$AD$7/1000</f>
        <v>9878.6110929776678</v>
      </c>
      <c r="AF26" s="66">
        <f>J26*Table5142230[Car]*0.01*$AD$7/$AL$8/1000</f>
        <v>114627.87511409295</v>
      </c>
      <c r="AG26" s="66">
        <f>K26*Table5142230[DPV]*0.01*$AD$7/$AL$8/1000</f>
        <v>6826.2574464172012</v>
      </c>
      <c r="AH26" s="66">
        <f>L26*Table5142230[Car_Hbrid]*0.01*$AD$7/$AL$8/1000</f>
        <v>3355.4224518462893</v>
      </c>
      <c r="AI26" s="66">
        <f>Freight!E18*$AG$8*$AI$8*$AD$7/1000</f>
        <v>4142.2425903644207</v>
      </c>
      <c r="AJ26" s="66">
        <f t="shared" si="38"/>
        <v>151474.39170181996</v>
      </c>
      <c r="AK26" s="66">
        <f>P26*Table5142230[Car_Dsl]*0.01*$AD$8/$AL$8/1000</f>
        <v>13666.82267865356</v>
      </c>
      <c r="AL26" s="66">
        <f>Q26*Table5142230[DPV_Dsl]*0.01*$AD$8/$AL$8/1000</f>
        <v>31821.86093959244</v>
      </c>
      <c r="AM26" s="66">
        <f>R26*Table5142230[Bus]*0.01*$AD$8/$AL$9/1000</f>
        <v>30132.653807326893</v>
      </c>
      <c r="AN26" s="66">
        <f>Freight!E18*$AG$9*$AI$9*$AD$8/1000</f>
        <v>125811.85398941019</v>
      </c>
      <c r="AO26" s="66">
        <f t="shared" si="16"/>
        <v>201433.19141498307</v>
      </c>
      <c r="AP26" s="66"/>
      <c r="AQ26" s="66">
        <f>W26*Table5142230[Car_LPG]*0.01*$AD$9/$AL$8/1000</f>
        <v>139.13340611792196</v>
      </c>
      <c r="AR26" s="66">
        <f>X26*Table5142230[DPV_LPG]*0.01*$AD$9/$AL$8/1000</f>
        <v>14.286019378179482</v>
      </c>
      <c r="AS26" s="66">
        <f t="shared" si="40"/>
        <v>1687.3866554774784</v>
      </c>
      <c r="AT26" s="66">
        <f t="shared" si="17"/>
        <v>1840.8060809735798</v>
      </c>
      <c r="AU26" s="31">
        <f t="shared" si="18"/>
        <v>18408.060809735798</v>
      </c>
      <c r="AW26" s="148">
        <f t="shared" si="3"/>
        <v>354748.38919777662</v>
      </c>
      <c r="AX26" s="165"/>
      <c r="AY26" s="163">
        <f t="shared" si="43"/>
        <v>151474.39170181996</v>
      </c>
      <c r="AZ26" s="163">
        <f t="shared" si="44"/>
        <v>201433.19141498307</v>
      </c>
      <c r="BA26" s="163">
        <f t="shared" si="6"/>
        <v>1840.8060809735798</v>
      </c>
      <c r="BB26" s="163">
        <f t="shared" si="19"/>
        <v>354748.38919777662</v>
      </c>
      <c r="BC26" s="117">
        <f t="shared" si="30"/>
        <v>2023</v>
      </c>
      <c r="BD26" s="177">
        <f t="shared" si="46"/>
        <v>0.39999999999999997</v>
      </c>
      <c r="BE26" s="163">
        <f t="shared" si="45"/>
        <v>3423.2142857142853</v>
      </c>
      <c r="BF26" s="163">
        <f t="shared" si="20"/>
        <v>148051.17741610567</v>
      </c>
      <c r="BJ26" s="117">
        <f t="shared" si="31"/>
        <v>2023</v>
      </c>
      <c r="BK26" s="85">
        <f t="shared" si="21"/>
        <v>459.64560745313827</v>
      </c>
      <c r="BL26" s="85">
        <f t="shared" si="22"/>
        <v>0.21887886069197057</v>
      </c>
      <c r="BM26" s="85">
        <f t="shared" si="23"/>
        <v>2.1224616794372906E-2</v>
      </c>
      <c r="BN26" s="85">
        <f t="shared" si="24"/>
        <v>646.30443765071561</v>
      </c>
      <c r="BO26" s="85">
        <f t="shared" si="7"/>
        <v>3.4016023034248187E-2</v>
      </c>
      <c r="BP26" s="85">
        <f t="shared" si="8"/>
        <v>3.4016023034248187E-2</v>
      </c>
      <c r="BQ26" s="85">
        <f t="shared" si="25"/>
        <v>6.0632838856323961</v>
      </c>
      <c r="BR26" s="85">
        <f t="shared" si="9"/>
        <v>5.957584800462894E-3</v>
      </c>
      <c r="BS26" s="85">
        <f t="shared" si="10"/>
        <v>1.9218015485364172E-5</v>
      </c>
      <c r="BU26" s="39">
        <f t="shared" si="26"/>
        <v>1112.0133289894864</v>
      </c>
      <c r="BV26" s="39">
        <f t="shared" si="26"/>
        <v>0.25885246852668164</v>
      </c>
      <c r="BW26" s="39">
        <f t="shared" si="26"/>
        <v>5.5259857844106461E-2</v>
      </c>
      <c r="BX26" s="159">
        <f t="shared" si="27"/>
        <v>1134.9520783401972</v>
      </c>
      <c r="BZ26" s="117">
        <v>2023</v>
      </c>
      <c r="CA26" s="85">
        <f>EnergyCal!C$19</f>
        <v>11.311273520921988</v>
      </c>
      <c r="CB26" s="85">
        <f>EnergyCal!D$19</f>
        <v>7.3644826439967002</v>
      </c>
      <c r="CC26" s="85">
        <f t="shared" si="47"/>
        <v>74.937309373184604</v>
      </c>
      <c r="CD26" s="85">
        <f>EnergyCal!F$19</f>
        <v>2.5223539755632576</v>
      </c>
      <c r="CE26" s="179">
        <f t="shared" si="48"/>
        <v>3.5645804863335022</v>
      </c>
      <c r="CF26" s="85">
        <f t="shared" si="49"/>
        <v>0.30000000000000004</v>
      </c>
      <c r="CG26" s="85">
        <f t="shared" si="39"/>
        <v>100.00000000000004</v>
      </c>
    </row>
    <row r="27" spans="1:88" x14ac:dyDescent="0.25">
      <c r="A27" s="117">
        <f t="shared" si="28"/>
        <v>2024</v>
      </c>
      <c r="B27" s="66">
        <f>INDEX((Proj_PasMob!$Q$6:$Q$46),MATCH(A27,Proj_PasMob!$M$6:M$46,0))</f>
        <v>11533120767.919504</v>
      </c>
      <c r="C27" s="119">
        <f>B27*Table1101826[Gasoline]%</f>
        <v>6335185004.305932</v>
      </c>
      <c r="D27" s="123">
        <f>B27*Table1101826[[Diesel ]]%</f>
        <v>5191617511.6243763</v>
      </c>
      <c r="E27" s="121">
        <f>B27*Table1101826[LPG]%</f>
        <v>6318251.9891974181</v>
      </c>
      <c r="F27" s="66">
        <f t="shared" si="11"/>
        <v>0</v>
      </c>
      <c r="H27" s="31">
        <f t="shared" si="32"/>
        <v>716590103.89347744</v>
      </c>
      <c r="I27" s="66">
        <f t="shared" si="33"/>
        <v>466553600.10719198</v>
      </c>
      <c r="J27" s="66">
        <f t="shared" si="34"/>
        <v>4709406076.0144997</v>
      </c>
      <c r="K27" s="66">
        <f t="shared" si="35"/>
        <v>159795790.81539801</v>
      </c>
      <c r="L27" s="66">
        <f t="shared" si="36"/>
        <v>257498693.4581452</v>
      </c>
      <c r="M27" s="66">
        <f t="shared" si="12"/>
        <v>4.1835010051727295E-6</v>
      </c>
      <c r="N27" s="31">
        <f t="shared" si="37"/>
        <v>25340740.017223727</v>
      </c>
      <c r="P27" s="66">
        <f>D27*Table3122028[Cars]%</f>
        <v>439025205.73039263</v>
      </c>
      <c r="Q27" s="66">
        <f>D27*Table3122028[DPV]%</f>
        <v>633238141.34770584</v>
      </c>
      <c r="R27" s="66">
        <f>D27*Table3122028[Buses]%</f>
        <v>4119354164.5462775</v>
      </c>
      <c r="S27" s="66">
        <f t="shared" si="13"/>
        <v>0</v>
      </c>
      <c r="W27" s="66">
        <f>E27*Table4132129[Cars]%</f>
        <v>5971681.2049798379</v>
      </c>
      <c r="X27" s="66">
        <f>E27*Table4132129[DPV]%</f>
        <v>346570.78421757987</v>
      </c>
      <c r="Y27" s="66">
        <f t="shared" si="14"/>
        <v>0</v>
      </c>
      <c r="AB27" s="117">
        <f t="shared" si="29"/>
        <v>2024</v>
      </c>
      <c r="AD27" s="66">
        <f>H27*Table5142230[Autocycle]*0.01*$AD$7/1000</f>
        <v>12719.474344109225</v>
      </c>
      <c r="AE27" s="66">
        <f>I27*Table5142230[Motocycle]*0.01*$AD$7/1000</f>
        <v>9937.5916822831896</v>
      </c>
      <c r="AF27" s="66">
        <f>J27*Table5142230[Car]*0.01*$AD$7/$AL$8/1000</f>
        <v>114388.99495161533</v>
      </c>
      <c r="AG27" s="66">
        <f>K27*Table5142230[DPV]*0.01*$AD$7/$AL$8/1000</f>
        <v>6867.0138526722349</v>
      </c>
      <c r="AH27" s="66">
        <f>L27*Table5142230[Car_Hbrid]*0.01*$AD$7/$AL$8/1000</f>
        <v>3848.927839058591</v>
      </c>
      <c r="AI27" s="66">
        <f>Freight!E19*$AG$8*$AI$8*$AD$7/1000</f>
        <v>4300.8780915512325</v>
      </c>
      <c r="AJ27" s="66">
        <f t="shared" si="38"/>
        <v>152062.88076128979</v>
      </c>
      <c r="AK27" s="66">
        <f>P27*Table5142230[Car_Dsl]*0.01*$AD$8/$AL$8/1000</f>
        <v>13748.420916293877</v>
      </c>
      <c r="AL27" s="66">
        <f>Q27*Table5142230[DPV_Dsl]*0.01*$AD$8/$AL$8/1000</f>
        <v>32011.854461287974</v>
      </c>
      <c r="AM27" s="66">
        <f>R27*Table5142230[Bus]*0.01*$AD$8/$AL$9/1000</f>
        <v>30312.561859396967</v>
      </c>
      <c r="AN27" s="66">
        <f>Freight!E19*$AG$9*$AI$9*$AD$8/1000</f>
        <v>130630.07167643761</v>
      </c>
      <c r="AO27" s="66">
        <f t="shared" si="16"/>
        <v>206702.90891341644</v>
      </c>
      <c r="AP27" s="66"/>
      <c r="AQ27" s="66">
        <f>W27*Table5142230[Car_LPG]*0.01*$AD$9/$AL$8/1000</f>
        <v>139.96410693281209</v>
      </c>
      <c r="AR27" s="66">
        <f>X27*Table5142230[DPV_LPG]*0.01*$AD$9/$AL$8/1000</f>
        <v>14.371314551136951</v>
      </c>
      <c r="AS27" s="66">
        <f t="shared" si="40"/>
        <v>1567.5822029385774</v>
      </c>
      <c r="AT27" s="66">
        <f t="shared" si="17"/>
        <v>1721.9176244225264</v>
      </c>
      <c r="AU27" s="31">
        <f t="shared" si="18"/>
        <v>17219.176244225266</v>
      </c>
      <c r="AW27" s="148">
        <f t="shared" si="3"/>
        <v>360487.70729912876</v>
      </c>
      <c r="AX27" s="165"/>
      <c r="AY27" s="163">
        <f t="shared" si="43"/>
        <v>152062.88076128979</v>
      </c>
      <c r="AZ27" s="163">
        <f t="shared" si="44"/>
        <v>206702.90891341644</v>
      </c>
      <c r="BA27" s="163">
        <f t="shared" si="6"/>
        <v>1721.9176244225264</v>
      </c>
      <c r="BB27" s="163">
        <f t="shared" si="19"/>
        <v>360487.70729912876</v>
      </c>
      <c r="BC27" s="117">
        <f t="shared" si="30"/>
        <v>2024</v>
      </c>
      <c r="BD27" s="177">
        <f t="shared" si="46"/>
        <v>0.44999999999999996</v>
      </c>
      <c r="BE27" s="163">
        <f t="shared" si="45"/>
        <v>3851.1160714285706</v>
      </c>
      <c r="BF27" s="163">
        <f t="shared" si="20"/>
        <v>148211.76468986121</v>
      </c>
      <c r="BJ27" s="117">
        <f t="shared" si="31"/>
        <v>2024</v>
      </c>
      <c r="BK27" s="85">
        <f t="shared" si="21"/>
        <v>460.14417312673072</v>
      </c>
      <c r="BL27" s="85">
        <f t="shared" si="22"/>
        <v>0.21911627291749078</v>
      </c>
      <c r="BM27" s="85">
        <f t="shared" si="23"/>
        <v>2.1247638585938498E-2</v>
      </c>
      <c r="BN27" s="85">
        <f t="shared" si="24"/>
        <v>663.21248433596395</v>
      </c>
      <c r="BO27" s="85">
        <f t="shared" si="7"/>
        <v>3.4905920228208626E-2</v>
      </c>
      <c r="BP27" s="85">
        <f t="shared" si="8"/>
        <v>3.4905920228208626E-2</v>
      </c>
      <c r="BQ27" s="85">
        <f t="shared" si="25"/>
        <v>5.6716867096754058</v>
      </c>
      <c r="BR27" s="85">
        <f t="shared" si="9"/>
        <v>5.5728141996810648E-3</v>
      </c>
      <c r="BS27" s="85">
        <f t="shared" si="10"/>
        <v>1.7976819998971175E-5</v>
      </c>
      <c r="BU27" s="39">
        <f t="shared" si="26"/>
        <v>1129.0283441723702</v>
      </c>
      <c r="BV27" s="39">
        <f t="shared" si="26"/>
        <v>0.25959500734538049</v>
      </c>
      <c r="BW27" s="39">
        <f t="shared" si="26"/>
        <v>5.6171535634146098E-2</v>
      </c>
      <c r="BX27" s="159">
        <f t="shared" si="27"/>
        <v>1152.2573369749803</v>
      </c>
      <c r="BZ27" s="117">
        <v>2024</v>
      </c>
      <c r="CA27" s="85">
        <f>EnergyCal!C$19</f>
        <v>11.311273520921988</v>
      </c>
      <c r="CB27" s="85">
        <f>EnergyCal!D$19</f>
        <v>7.3644826439967002</v>
      </c>
      <c r="CC27" s="85">
        <f t="shared" si="47"/>
        <v>74.33730937318461</v>
      </c>
      <c r="CD27" s="85">
        <f>EnergyCal!F$19</f>
        <v>2.5223539755632576</v>
      </c>
      <c r="CE27" s="179">
        <f t="shared" si="48"/>
        <v>4.0645804863335027</v>
      </c>
      <c r="CF27" s="85">
        <f t="shared" si="49"/>
        <v>0.4</v>
      </c>
      <c r="CG27" s="85">
        <f t="shared" si="39"/>
        <v>100.00000000000006</v>
      </c>
    </row>
    <row r="28" spans="1:88" x14ac:dyDescent="0.25">
      <c r="A28" s="117">
        <f t="shared" si="28"/>
        <v>2025</v>
      </c>
      <c r="B28" s="66">
        <f>INDEX((Proj_PasMob!$Q$6:$Q$46),MATCH(A28,Proj_PasMob!$M$6:M$46,0))</f>
        <v>11579968602.290739</v>
      </c>
      <c r="C28" s="119">
        <f>B28*Table1101826[Gasoline]%</f>
        <v>6360918689.3826027</v>
      </c>
      <c r="D28" s="123">
        <f>B28*Table1101826[[Diesel ]]%</f>
        <v>5212705996.0162077</v>
      </c>
      <c r="E28" s="121">
        <f>B28*Table1101826[LPG]%</f>
        <v>6343916.8919294691</v>
      </c>
      <c r="F28" s="66">
        <f t="shared" si="11"/>
        <v>0</v>
      </c>
      <c r="H28" s="31">
        <f t="shared" si="32"/>
        <v>719500911.39951229</v>
      </c>
      <c r="I28" s="66">
        <f t="shared" si="33"/>
        <v>468448752.87832415</v>
      </c>
      <c r="J28" s="66">
        <f t="shared" si="34"/>
        <v>4690370292.9667692</v>
      </c>
      <c r="K28" s="66">
        <f t="shared" si="35"/>
        <v>160444885.44398835</v>
      </c>
      <c r="L28" s="66">
        <f t="shared" si="36"/>
        <v>290349253.24709904</v>
      </c>
      <c r="M28" s="66">
        <f t="shared" si="12"/>
        <v>4.0642917156219482E-6</v>
      </c>
      <c r="N28" s="31">
        <f t="shared" si="37"/>
        <v>31804593.446913015</v>
      </c>
      <c r="P28" s="66">
        <f>D28*Table3122028[Cars]%</f>
        <v>440808537.45271927</v>
      </c>
      <c r="Q28" s="66">
        <f>D28*Table3122028[DPV]%</f>
        <v>635810371.02953875</v>
      </c>
      <c r="R28" s="66">
        <f>D28*Table3122028[Buses]%</f>
        <v>4136087087.5339499</v>
      </c>
      <c r="S28" s="66">
        <f t="shared" si="13"/>
        <v>0</v>
      </c>
      <c r="W28" s="66">
        <f>E28*Table4132129[Cars]%</f>
        <v>5995938.328237135</v>
      </c>
      <c r="X28" s="66">
        <f>E28*Table4132129[DPV]%</f>
        <v>347978.5636923337</v>
      </c>
      <c r="Y28" s="66">
        <f t="shared" si="14"/>
        <v>0</v>
      </c>
      <c r="AB28" s="117">
        <f t="shared" si="29"/>
        <v>2025</v>
      </c>
      <c r="AD28" s="66">
        <f>H28*Table5142230[Autocycle]*0.01*$AD$7/1000</f>
        <v>12771.141177341342</v>
      </c>
      <c r="AE28" s="66">
        <f>I28*Table5142230[Motocycle]*0.01*$AD$7/1000</f>
        <v>9977.9584363083031</v>
      </c>
      <c r="AF28" s="66">
        <f>J28*Table5142230[Car]*0.01*$AD$7/$AL$8/1000</f>
        <v>113926.62580021915</v>
      </c>
      <c r="AG28" s="66">
        <f>K28*Table5142230[DPV]*0.01*$AD$7/$AL$8/1000</f>
        <v>6894.9078402640253</v>
      </c>
      <c r="AH28" s="66">
        <f>L28*Table5142230[Car_Hbrid]*0.01*$AD$7/$AL$8/1000</f>
        <v>4339.9572590619018</v>
      </c>
      <c r="AI28" s="66">
        <f>Freight!E20*$AG$8*$AI$8*$AD$7/1000</f>
        <v>4465.5936066152526</v>
      </c>
      <c r="AJ28" s="66">
        <f t="shared" si="38"/>
        <v>152376.18411980997</v>
      </c>
      <c r="AK28" s="66">
        <f>P28*Table5142230[Car_Dsl]*0.01*$AD$8/$AL$8/1000</f>
        <v>13804.267357072</v>
      </c>
      <c r="AL28" s="66">
        <f>Q28*Table5142230[DPV_Dsl]*0.01*$AD$8/$AL$8/1000</f>
        <v>32141.887440730105</v>
      </c>
      <c r="AM28" s="66">
        <f>R28*Table5142230[Bus]*0.01*$AD$8/$AL$9/1000</f>
        <v>30435.692268410538</v>
      </c>
      <c r="AN28" s="66">
        <f>Freight!E20*$AG$9*$AI$9*$AD$8/1000</f>
        <v>135632.95692010506</v>
      </c>
      <c r="AO28" s="66">
        <f t="shared" si="16"/>
        <v>212014.80398631771</v>
      </c>
      <c r="AP28" s="66"/>
      <c r="AQ28" s="66">
        <f>W28*Table5142230[Car_LPG]*0.01*$AD$9/$AL$8/1000</f>
        <v>140.53264474937126</v>
      </c>
      <c r="AR28" s="66">
        <f>X28*Table5142230[DPV_LPG]*0.01*$AD$9/$AL$8/1000</f>
        <v>14.429691201944367</v>
      </c>
      <c r="AS28" s="66">
        <f t="shared" si="40"/>
        <v>1456.2838665299385</v>
      </c>
      <c r="AT28" s="66">
        <f t="shared" si="17"/>
        <v>1611.2462024812542</v>
      </c>
      <c r="AU28" s="31">
        <f t="shared" si="18"/>
        <v>16112.462024812541</v>
      </c>
      <c r="AW28" s="148">
        <f t="shared" si="3"/>
        <v>366002.23430860892</v>
      </c>
      <c r="AX28" s="165"/>
      <c r="AY28" s="163">
        <f t="shared" si="43"/>
        <v>152376.18411980997</v>
      </c>
      <c r="AZ28" s="163">
        <f t="shared" si="44"/>
        <v>212014.80398631771</v>
      </c>
      <c r="BA28" s="163">
        <f t="shared" si="6"/>
        <v>1611.2462024812542</v>
      </c>
      <c r="BB28" s="163">
        <f t="shared" si="19"/>
        <v>366002.23430860892</v>
      </c>
      <c r="BC28" s="117">
        <f t="shared" si="30"/>
        <v>2025</v>
      </c>
      <c r="BD28" s="177">
        <f t="shared" si="46"/>
        <v>0.49999999999999994</v>
      </c>
      <c r="BE28" s="163">
        <f t="shared" si="45"/>
        <v>4279.017857142856</v>
      </c>
      <c r="BF28" s="163">
        <f t="shared" si="20"/>
        <v>148097.1662626671</v>
      </c>
      <c r="BJ28" s="117">
        <f t="shared" si="31"/>
        <v>2025</v>
      </c>
      <c r="BK28" s="85">
        <f t="shared" si="21"/>
        <v>459.78838626572679</v>
      </c>
      <c r="BL28" s="85">
        <f t="shared" si="22"/>
        <v>0.21894685060272701</v>
      </c>
      <c r="BM28" s="85">
        <f t="shared" si="23"/>
        <v>2.1231209755415953E-2</v>
      </c>
      <c r="BN28" s="85">
        <f t="shared" si="24"/>
        <v>680.25585903421984</v>
      </c>
      <c r="BO28" s="85">
        <f t="shared" si="7"/>
        <v>3.5802939949169464E-2</v>
      </c>
      <c r="BP28" s="85">
        <f t="shared" si="8"/>
        <v>3.5802939949169464E-2</v>
      </c>
      <c r="BQ28" s="85">
        <f t="shared" si="25"/>
        <v>5.3071549666568041</v>
      </c>
      <c r="BR28" s="85">
        <f t="shared" si="9"/>
        <v>5.214637209710331E-3</v>
      </c>
      <c r="BS28" s="85">
        <f t="shared" si="10"/>
        <v>1.6821410353904293E-5</v>
      </c>
      <c r="BU28" s="39">
        <f t="shared" si="26"/>
        <v>1145.3514002666034</v>
      </c>
      <c r="BV28" s="39">
        <f t="shared" si="26"/>
        <v>0.25996442776160678</v>
      </c>
      <c r="BW28" s="39">
        <f t="shared" si="26"/>
        <v>5.7050971114939321E-2</v>
      </c>
      <c r="BX28" s="159">
        <f t="shared" si="27"/>
        <v>1168.8517003528955</v>
      </c>
      <c r="BZ28" s="117">
        <v>2025</v>
      </c>
      <c r="CA28" s="85">
        <f>EnergyCal!C$19</f>
        <v>11.311273520921988</v>
      </c>
      <c r="CB28" s="85">
        <f>EnergyCal!D$19</f>
        <v>7.3644826439967002</v>
      </c>
      <c r="CC28" s="85">
        <f t="shared" si="47"/>
        <v>73.737309373184615</v>
      </c>
      <c r="CD28" s="85">
        <f>EnergyCal!F$19</f>
        <v>2.5223539755632576</v>
      </c>
      <c r="CE28" s="179">
        <f t="shared" si="48"/>
        <v>4.5645804863335027</v>
      </c>
      <c r="CF28" s="85">
        <f t="shared" si="49"/>
        <v>0.5</v>
      </c>
      <c r="CG28" s="85">
        <f t="shared" si="39"/>
        <v>100.00000000000006</v>
      </c>
    </row>
    <row r="29" spans="1:88" x14ac:dyDescent="0.25">
      <c r="A29" s="117">
        <f t="shared" si="28"/>
        <v>2026</v>
      </c>
      <c r="B29" s="66">
        <f>INDEX((Proj_PasMob!$Q$6:$Q$46),MATCH(A29,Proj_PasMob!$M$6:M$46,0))</f>
        <v>11620868294.841003</v>
      </c>
      <c r="C29" s="119">
        <f>B29*Table1101826[Gasoline]%</f>
        <v>6383385038.6161852</v>
      </c>
      <c r="D29" s="123">
        <f>B29*Table1101826[[Diesel ]]%</f>
        <v>5231116933.0328941</v>
      </c>
      <c r="E29" s="121">
        <f>B29*Table1101826[LPG]%</f>
        <v>6366323.1919252239</v>
      </c>
      <c r="F29" s="66">
        <f t="shared" si="11"/>
        <v>0</v>
      </c>
      <c r="H29" s="31">
        <f t="shared" si="32"/>
        <v>722042141.61148834</v>
      </c>
      <c r="I29" s="66">
        <f t="shared" si="33"/>
        <v>470103283.26837105</v>
      </c>
      <c r="J29" s="66">
        <f t="shared" si="34"/>
        <v>4646294216.5391426</v>
      </c>
      <c r="K29" s="66">
        <f t="shared" si="35"/>
        <v>161011566.29704553</v>
      </c>
      <c r="L29" s="66">
        <f t="shared" si="36"/>
        <v>339250135.6298281</v>
      </c>
      <c r="M29" s="66">
        <f t="shared" si="12"/>
        <v>4.7981739044189453E-6</v>
      </c>
      <c r="N29" s="31">
        <f t="shared" si="37"/>
        <v>44683695.270313293</v>
      </c>
      <c r="P29" s="66">
        <f>D29*Table3122028[Cars]%</f>
        <v>442365444.40769851</v>
      </c>
      <c r="Q29" s="66">
        <f>D29*Table3122028[DPV]%</f>
        <v>638056011.7206744</v>
      </c>
      <c r="R29" s="66">
        <f>D29*Table3122028[Buses]%</f>
        <v>4150695476.904521</v>
      </c>
      <c r="S29" s="66">
        <f t="shared" si="13"/>
        <v>0</v>
      </c>
      <c r="W29" s="66">
        <f>E29*Table4132129[Cars]%</f>
        <v>6017115.5906803804</v>
      </c>
      <c r="X29" s="66">
        <f>E29*Table4132129[DPV]%</f>
        <v>349207.60124484351</v>
      </c>
      <c r="Y29" s="66">
        <f t="shared" si="14"/>
        <v>0</v>
      </c>
      <c r="AB29" s="117">
        <f t="shared" si="29"/>
        <v>2026</v>
      </c>
      <c r="AD29" s="66">
        <f>H29*Table5142230[Autocycle]*0.01*$AD$7/1000</f>
        <v>12816.248013603916</v>
      </c>
      <c r="AE29" s="66">
        <f>I29*Table5142230[Motocycle]*0.01*$AD$7/1000</f>
        <v>10013.199933616303</v>
      </c>
      <c r="AF29" s="66">
        <f>J29*Table5142230[Car]*0.01*$AD$7/$AL$8/1000</f>
        <v>112856.04110172707</v>
      </c>
      <c r="AG29" s="66">
        <f>K29*Table5142230[DPV]*0.01*$AD$7/$AL$8/1000</f>
        <v>6919.260204291455</v>
      </c>
      <c r="AH29" s="66">
        <f>L29*Table5142230[Car_Hbrid]*0.01*$AD$7/$AL$8/1000</f>
        <v>5070.8967641511153</v>
      </c>
      <c r="AI29" s="66">
        <f>Freight!E21*$AG$8*$AI$8*$AD$7/1000</f>
        <v>4636.5655874974436</v>
      </c>
      <c r="AJ29" s="66">
        <f t="shared" si="38"/>
        <v>152312.2116048873</v>
      </c>
      <c r="AK29" s="66">
        <f>P29*Table5142230[Car_Dsl]*0.01*$AD$8/$AL$8/1000</f>
        <v>13853.023127504242</v>
      </c>
      <c r="AL29" s="66">
        <f>Q29*Table5142230[DPV_Dsl]*0.01*$AD$8/$AL$8/1000</f>
        <v>32255.410487247773</v>
      </c>
      <c r="AM29" s="66">
        <f>R29*Table5142230[Bus]*0.01*$AD$8/$AL$9/1000</f>
        <v>30543.18914505027</v>
      </c>
      <c r="AN29" s="66">
        <f>Freight!E21*$AG$9*$AI$9*$AD$8/1000</f>
        <v>140825.86907475945</v>
      </c>
      <c r="AO29" s="66">
        <f t="shared" si="16"/>
        <v>217477.49183456175</v>
      </c>
      <c r="AP29" s="66"/>
      <c r="AQ29" s="66">
        <f>W29*Table5142230[Car_LPG]*0.01*$AD$9/$AL$8/1000</f>
        <v>141.02899686921967</v>
      </c>
      <c r="AR29" s="66">
        <f>X29*Table5142230[DPV_LPG]*0.01*$AD$9/$AL$8/1000</f>
        <v>14.480655928535947</v>
      </c>
      <c r="AS29" s="66">
        <f t="shared" si="40"/>
        <v>1352.887712006313</v>
      </c>
      <c r="AT29" s="66">
        <f t="shared" si="17"/>
        <v>1508.3973648040687</v>
      </c>
      <c r="AU29" s="31">
        <f t="shared" si="18"/>
        <v>15083.973648040686</v>
      </c>
      <c r="AW29" s="148">
        <f t="shared" si="3"/>
        <v>371298.10080425313</v>
      </c>
      <c r="AX29" s="165"/>
      <c r="AY29" s="163">
        <f t="shared" si="43"/>
        <v>152312.2116048873</v>
      </c>
      <c r="AZ29" s="163">
        <f t="shared" si="44"/>
        <v>217477.49183456175</v>
      </c>
      <c r="BA29" s="163">
        <f t="shared" si="6"/>
        <v>1508.3973648040687</v>
      </c>
      <c r="BB29" s="163">
        <f t="shared" si="19"/>
        <v>371298.10080425313</v>
      </c>
      <c r="BC29" s="117">
        <f t="shared" si="30"/>
        <v>2026</v>
      </c>
      <c r="BD29" s="177">
        <f t="shared" si="46"/>
        <v>0.54999999999999993</v>
      </c>
      <c r="BE29" s="163">
        <f t="shared" si="45"/>
        <v>4706.9196428571422</v>
      </c>
      <c r="BF29" s="163">
        <f t="shared" si="20"/>
        <v>147605.29196203017</v>
      </c>
      <c r="BJ29" s="117">
        <f t="shared" si="31"/>
        <v>2026</v>
      </c>
      <c r="BK29" s="85">
        <f t="shared" si="21"/>
        <v>458.26129363699732</v>
      </c>
      <c r="BL29" s="85">
        <f t="shared" si="22"/>
        <v>0.21821966363666537</v>
      </c>
      <c r="BM29" s="85">
        <f t="shared" si="23"/>
        <v>2.1160694655676642E-2</v>
      </c>
      <c r="BN29" s="85">
        <f t="shared" si="24"/>
        <v>697.78305687594639</v>
      </c>
      <c r="BO29" s="85">
        <f t="shared" si="7"/>
        <v>3.6725424046102441E-2</v>
      </c>
      <c r="BP29" s="85">
        <f t="shared" si="8"/>
        <v>3.6725424046102441E-2</v>
      </c>
      <c r="BQ29" s="85">
        <f t="shared" si="25"/>
        <v>4.968389408138937</v>
      </c>
      <c r="BR29" s="85">
        <f t="shared" si="9"/>
        <v>4.8817772314518884E-3</v>
      </c>
      <c r="BS29" s="85">
        <f t="shared" si="10"/>
        <v>1.5747668488554476E-5</v>
      </c>
      <c r="BU29" s="39">
        <f t="shared" si="26"/>
        <v>1161.0127399210828</v>
      </c>
      <c r="BV29" s="39">
        <f t="shared" si="26"/>
        <v>0.25982686491421969</v>
      </c>
      <c r="BW29" s="39">
        <f t="shared" si="26"/>
        <v>5.7901866370267632E-2</v>
      </c>
      <c r="BX29" s="159">
        <f t="shared" si="27"/>
        <v>1184.763167722278</v>
      </c>
      <c r="BZ29" s="117">
        <v>2026</v>
      </c>
      <c r="CA29" s="85">
        <f>EnergyCal!C$19</f>
        <v>11.311273520921988</v>
      </c>
      <c r="CB29" s="85">
        <f>EnergyCal!D$19</f>
        <v>7.3644826439967002</v>
      </c>
      <c r="CC29" s="85">
        <f>CC28-$CF$8-$CF$9</f>
        <v>72.787309373184613</v>
      </c>
      <c r="CD29" s="85">
        <f>EnergyCal!F$19</f>
        <v>2.5223539755632576</v>
      </c>
      <c r="CE29" s="179">
        <f>CE28+$CF$8</f>
        <v>5.3145804863335027</v>
      </c>
      <c r="CF29" s="85">
        <f>CF28+$CF$9</f>
        <v>0.7</v>
      </c>
      <c r="CG29" s="85">
        <f t="shared" si="39"/>
        <v>100.00000000000007</v>
      </c>
    </row>
    <row r="30" spans="1:88" x14ac:dyDescent="0.25">
      <c r="A30" s="117">
        <f t="shared" si="28"/>
        <v>2027</v>
      </c>
      <c r="B30" s="66">
        <f>INDEX((Proj_PasMob!$Q$6:$Q$46),MATCH(A30,Proj_PasMob!$M$6:M$46,0))</f>
        <v>11655992787.406569</v>
      </c>
      <c r="C30" s="119">
        <f>B30*Table1101826[Gasoline]%</f>
        <v>6402679049.5836401</v>
      </c>
      <c r="D30" s="123">
        <f>B30*Table1101826[[Diesel ]]%</f>
        <v>5246928172.1900826</v>
      </c>
      <c r="E30" s="121">
        <f>B30*Table1101826[LPG]%</f>
        <v>6385565.6328471322</v>
      </c>
      <c r="F30" s="66">
        <f t="shared" si="11"/>
        <v>0</v>
      </c>
      <c r="H30" s="31">
        <f t="shared" si="32"/>
        <v>724224539.96517396</v>
      </c>
      <c r="I30" s="66">
        <f t="shared" si="33"/>
        <v>471524187.35740006</v>
      </c>
      <c r="J30" s="66">
        <f t="shared" si="34"/>
        <v>4599512357.0214758</v>
      </c>
      <c r="K30" s="66">
        <f t="shared" si="35"/>
        <v>161498229.54972875</v>
      </c>
      <c r="L30" s="66">
        <f t="shared" si="36"/>
        <v>388295624.24361283</v>
      </c>
      <c r="M30" s="66">
        <f t="shared" si="12"/>
        <v>3.7476420402526855E-6</v>
      </c>
      <c r="N30" s="31">
        <f t="shared" si="37"/>
        <v>57624111.446252756</v>
      </c>
      <c r="P30" s="66">
        <f>D30*Table3122028[Cars]%</f>
        <v>443702509.88070273</v>
      </c>
      <c r="Q30" s="66">
        <f>D30*Table3122028[DPV]%</f>
        <v>639984558.97475922</v>
      </c>
      <c r="R30" s="66">
        <f>D30*Table3122028[Buses]%</f>
        <v>4163241103.3346205</v>
      </c>
      <c r="S30" s="66">
        <f t="shared" si="13"/>
        <v>0</v>
      </c>
      <c r="W30" s="66">
        <f>E30*Table4132129[Cars]%</f>
        <v>6035302.5390622681</v>
      </c>
      <c r="X30" s="66">
        <f>E30*Table4132129[DPV]%</f>
        <v>350263.09378486377</v>
      </c>
      <c r="Y30" s="66">
        <f t="shared" si="14"/>
        <v>0</v>
      </c>
      <c r="AB30" s="117">
        <f t="shared" si="29"/>
        <v>2027</v>
      </c>
      <c r="AD30" s="66">
        <f>H30*Table5142230[Autocycle]*0.01*$AD$7/1000</f>
        <v>12854.985584381835</v>
      </c>
      <c r="AE30" s="66">
        <f>I30*Table5142230[Motocycle]*0.01*$AD$7/1000</f>
        <v>10043.465190712621</v>
      </c>
      <c r="AF30" s="66">
        <f>J30*Table5142230[Car]*0.01*$AD$7/$AL$8/1000</f>
        <v>111719.73435607426</v>
      </c>
      <c r="AG30" s="66">
        <f>K30*Table5142230[DPV]*0.01*$AD$7/$AL$8/1000</f>
        <v>6940.1739172291327</v>
      </c>
      <c r="AH30" s="66">
        <f>L30*Table5142230[Car_Hbrid]*0.01*$AD$7/$AL$8/1000</f>
        <v>5803.9977518518972</v>
      </c>
      <c r="AI30" s="66">
        <f>Freight!E22*$AG$8*$AI$8*$AD$7/1000</f>
        <v>4814.0317798988908</v>
      </c>
      <c r="AJ30" s="66">
        <f t="shared" si="38"/>
        <v>152176.38858014863</v>
      </c>
      <c r="AK30" s="66">
        <f>P30*Table5142230[Car_Dsl]*0.01*$AD$8/$AL$8/1000</f>
        <v>13894.894388369376</v>
      </c>
      <c r="AL30" s="66">
        <f>Q30*Table5142230[DPV_Dsl]*0.01*$AD$8/$AL$8/1000</f>
        <v>32352.90362606612</v>
      </c>
      <c r="AM30" s="66">
        <f>R30*Table5142230[Bus]*0.01*$AD$8/$AL$9/1000</f>
        <v>30635.507033252328</v>
      </c>
      <c r="AN30" s="66">
        <f>Freight!E22*$AG$9*$AI$9*$AD$8/1000</f>
        <v>146216.02916301816</v>
      </c>
      <c r="AO30" s="66">
        <f t="shared" si="16"/>
        <v>223099.334210706</v>
      </c>
      <c r="AP30" s="66"/>
      <c r="AQ30" s="66">
        <f>W30*Table5142230[Car_LPG]*0.01*$AD$9/$AL$8/1000</f>
        <v>141.45526208679044</v>
      </c>
      <c r="AR30" s="66">
        <f>X30*Table5142230[DPV_LPG]*0.01*$AD$9/$AL$8/1000</f>
        <v>14.524424232125805</v>
      </c>
      <c r="AS30" s="66">
        <f t="shared" si="40"/>
        <v>1256.8326844538649</v>
      </c>
      <c r="AT30" s="66">
        <f t="shared" si="17"/>
        <v>1412.8123707727812</v>
      </c>
      <c r="AU30" s="31">
        <f t="shared" si="18"/>
        <v>14128.123707727811</v>
      </c>
      <c r="AW30" s="148">
        <f t="shared" si="3"/>
        <v>376688.53516162746</v>
      </c>
      <c r="AX30" s="165"/>
      <c r="AY30" s="163">
        <f t="shared" si="43"/>
        <v>152176.38858014863</v>
      </c>
      <c r="AZ30" s="163">
        <f t="shared" si="44"/>
        <v>223099.334210706</v>
      </c>
      <c r="BA30" s="163">
        <f t="shared" si="6"/>
        <v>1412.8123707727812</v>
      </c>
      <c r="BB30" s="163">
        <f t="shared" si="19"/>
        <v>376688.53516162746</v>
      </c>
      <c r="BC30" s="117">
        <f t="shared" si="30"/>
        <v>2027</v>
      </c>
      <c r="BD30" s="177">
        <f t="shared" si="46"/>
        <v>0.6</v>
      </c>
      <c r="BE30" s="163">
        <f t="shared" si="45"/>
        <v>5134.8214285714284</v>
      </c>
      <c r="BF30" s="163">
        <f t="shared" si="20"/>
        <v>147041.56715157721</v>
      </c>
      <c r="BJ30" s="117">
        <f t="shared" si="31"/>
        <v>2027</v>
      </c>
      <c r="BK30" s="85">
        <f t="shared" si="21"/>
        <v>456.51113104147265</v>
      </c>
      <c r="BL30" s="85">
        <f t="shared" si="22"/>
        <v>0.21738625287689173</v>
      </c>
      <c r="BM30" s="85">
        <f t="shared" si="23"/>
        <v>2.1079879066850108E-2</v>
      </c>
      <c r="BN30" s="85">
        <f t="shared" si="24"/>
        <v>715.82090679507644</v>
      </c>
      <c r="BO30" s="85">
        <f t="shared" si="7"/>
        <v>3.7674784568161916E-2</v>
      </c>
      <c r="BP30" s="85">
        <f t="shared" si="8"/>
        <v>3.7674784568161916E-2</v>
      </c>
      <c r="BQ30" s="85">
        <f t="shared" si="25"/>
        <v>4.6535496430988017</v>
      </c>
      <c r="BR30" s="85">
        <f t="shared" si="9"/>
        <v>4.5724259567690283E-3</v>
      </c>
      <c r="BS30" s="85">
        <f t="shared" si="10"/>
        <v>1.4749761150867836E-5</v>
      </c>
      <c r="BU30" s="39">
        <f t="shared" si="26"/>
        <v>1176.9855874796478</v>
      </c>
      <c r="BV30" s="39">
        <f t="shared" si="26"/>
        <v>0.2596334634018227</v>
      </c>
      <c r="BW30" s="39">
        <f t="shared" si="26"/>
        <v>5.8769413396162894E-2</v>
      </c>
      <c r="BX30" s="159">
        <f t="shared" si="27"/>
        <v>1200.9897092567501</v>
      </c>
      <c r="BZ30" s="117">
        <v>2027</v>
      </c>
      <c r="CA30" s="85">
        <f>EnergyCal!C$19</f>
        <v>11.311273520921988</v>
      </c>
      <c r="CB30" s="85">
        <f>EnergyCal!D$19</f>
        <v>7.3644826439967002</v>
      </c>
      <c r="CC30" s="85">
        <f t="shared" ref="CC30:CC33" si="50">CC29-$CF$8-$CF$9</f>
        <v>71.83730937318461</v>
      </c>
      <c r="CD30" s="85">
        <f>EnergyCal!F$19</f>
        <v>2.5223539755632576</v>
      </c>
      <c r="CE30" s="179">
        <f t="shared" ref="CE30:CE33" si="51">CE29+$CF$8</f>
        <v>6.0645804863335027</v>
      </c>
      <c r="CF30" s="85">
        <f t="shared" ref="CF30:CF33" si="52">CF29+$CF$9</f>
        <v>0.89999999999999991</v>
      </c>
      <c r="CG30" s="85">
        <f t="shared" si="39"/>
        <v>100.00000000000006</v>
      </c>
    </row>
    <row r="31" spans="1:88" x14ac:dyDescent="0.25">
      <c r="A31" s="117">
        <f t="shared" si="28"/>
        <v>2028</v>
      </c>
      <c r="B31" s="66">
        <f>INDEX((Proj_PasMob!$Q$6:$Q$46),MATCH(A31,Proj_PasMob!$M$6:M$46,0))</f>
        <v>11685542498.092731</v>
      </c>
      <c r="C31" s="119">
        <f>B31*Table1101826[Gasoline]%</f>
        <v>6418910812.6760092</v>
      </c>
      <c r="D31" s="123">
        <f>B31*Table1101826[[Diesel ]]%</f>
        <v>5260229931.4058914</v>
      </c>
      <c r="E31" s="121">
        <f>B31*Table1101826[LPG]%</f>
        <v>6401754.0108308597</v>
      </c>
      <c r="F31" s="66">
        <f t="shared" si="11"/>
        <v>0</v>
      </c>
      <c r="H31" s="31">
        <f t="shared" si="32"/>
        <v>726060559.08581984</v>
      </c>
      <c r="I31" s="66">
        <f t="shared" si="33"/>
        <v>472719572.73315227</v>
      </c>
      <c r="J31" s="66">
        <f t="shared" si="34"/>
        <v>4550193166.1704407</v>
      </c>
      <c r="K31" s="66">
        <f t="shared" si="35"/>
        <v>161907652.07139313</v>
      </c>
      <c r="L31" s="66">
        <f t="shared" si="36"/>
        <v>437421843.67577064</v>
      </c>
      <c r="M31" s="66">
        <f t="shared" si="12"/>
        <v>2.9951333999633789E-6</v>
      </c>
      <c r="N31" s="31">
        <f t="shared" si="37"/>
        <v>70608018.939436093</v>
      </c>
      <c r="P31" s="66">
        <f>D31*Table3122028[Cars]%</f>
        <v>444827363.08169854</v>
      </c>
      <c r="Q31" s="66">
        <f>D31*Table3122028[DPV]%</f>
        <v>641607016.95892572</v>
      </c>
      <c r="R31" s="66">
        <f>D31*Table3122028[Buses]%</f>
        <v>4173795551.3652673</v>
      </c>
      <c r="S31" s="66">
        <f t="shared" si="13"/>
        <v>0</v>
      </c>
      <c r="W31" s="66">
        <f>E31*Table4132129[Cars]%</f>
        <v>6050602.9469456226</v>
      </c>
      <c r="X31" s="66">
        <f>E31*Table4132129[DPV]%</f>
        <v>351151.06388523703</v>
      </c>
      <c r="Y31" s="66">
        <f t="shared" si="14"/>
        <v>0</v>
      </c>
      <c r="AB31" s="117">
        <f t="shared" si="29"/>
        <v>2028</v>
      </c>
      <c r="AD31" s="66">
        <f>H31*Table5142230[Autocycle]*0.01*$AD$7/1000</f>
        <v>12887.574923773302</v>
      </c>
      <c r="AE31" s="66">
        <f>I31*Table5142230[Motocycle]*0.01*$AD$7/1000</f>
        <v>10068.926899216141</v>
      </c>
      <c r="AF31" s="66">
        <f>J31*Table5142230[Car]*0.01*$AD$7/$AL$8/1000</f>
        <v>110521.79716777152</v>
      </c>
      <c r="AG31" s="66">
        <f>K31*Table5142230[DPV]*0.01*$AD$7/$AL$8/1000</f>
        <v>6957.7683113838166</v>
      </c>
      <c r="AH31" s="66">
        <f>L31*Table5142230[Car_Hbrid]*0.01*$AD$7/$AL$8/1000</f>
        <v>6538.3054528378343</v>
      </c>
      <c r="AI31" s="66">
        <f>Freight!E23*$AG$8*$AI$8*$AD$7/1000</f>
        <v>4998.2389638573313</v>
      </c>
      <c r="AJ31" s="66">
        <f t="shared" si="38"/>
        <v>151972.61171883994</v>
      </c>
      <c r="AK31" s="66">
        <f>P31*Table5142230[Car_Dsl]*0.01*$AD$8/$AL$8/1000</f>
        <v>13930.120054400559</v>
      </c>
      <c r="AL31" s="66">
        <f>Q31*Table5142230[DPV_Dsl]*0.01*$AD$8/$AL$8/1000</f>
        <v>32434.923146792018</v>
      </c>
      <c r="AM31" s="66">
        <f>R31*Table5142230[Bus]*0.01*$AD$8/$AL$9/1000</f>
        <v>30713.172692974989</v>
      </c>
      <c r="AN31" s="66">
        <f>Freight!E23*$AG$9*$AI$9*$AD$8/1000</f>
        <v>151810.93260635817</v>
      </c>
      <c r="AO31" s="66">
        <f t="shared" si="16"/>
        <v>228889.14850052574</v>
      </c>
      <c r="AP31" s="66"/>
      <c r="AQ31" s="66">
        <f>W31*Table5142230[Car_LPG]*0.01*$AD$9/$AL$8/1000</f>
        <v>141.81387264411819</v>
      </c>
      <c r="AR31" s="66">
        <f>X31*Table5142230[DPV_LPG]*0.01*$AD$9/$AL$8/1000</f>
        <v>14.561245851851419</v>
      </c>
      <c r="AS31" s="66">
        <f t="shared" si="40"/>
        <v>1167.5975638576406</v>
      </c>
      <c r="AT31" s="66">
        <f t="shared" si="17"/>
        <v>1323.9726823536103</v>
      </c>
      <c r="AU31" s="31">
        <f t="shared" si="18"/>
        <v>13239.726823536103</v>
      </c>
      <c r="AW31" s="148">
        <f t="shared" si="3"/>
        <v>382185.73290171928</v>
      </c>
      <c r="AX31" s="165"/>
      <c r="AY31" s="163">
        <f t="shared" si="43"/>
        <v>151972.61171883994</v>
      </c>
      <c r="AZ31" s="163">
        <f t="shared" si="44"/>
        <v>228889.14850052574</v>
      </c>
      <c r="BA31" s="163">
        <f t="shared" si="6"/>
        <v>1323.9726823536103</v>
      </c>
      <c r="BB31" s="163">
        <f t="shared" si="19"/>
        <v>382185.73290171928</v>
      </c>
      <c r="BC31" s="117">
        <f t="shared" si="30"/>
        <v>2028</v>
      </c>
      <c r="BD31" s="177">
        <f t="shared" si="46"/>
        <v>0.65</v>
      </c>
      <c r="BE31" s="163">
        <f t="shared" si="45"/>
        <v>5562.7232142857138</v>
      </c>
      <c r="BF31" s="163">
        <f t="shared" si="20"/>
        <v>146409.88850455423</v>
      </c>
      <c r="BJ31" s="117">
        <f t="shared" si="31"/>
        <v>2028</v>
      </c>
      <c r="BK31" s="85">
        <f t="shared" si="21"/>
        <v>454.54999624677924</v>
      </c>
      <c r="BL31" s="85">
        <f t="shared" si="22"/>
        <v>0.21645237916513294</v>
      </c>
      <c r="BM31" s="85">
        <f t="shared" si="23"/>
        <v>2.0989321616012892E-2</v>
      </c>
      <c r="BN31" s="85">
        <f t="shared" si="24"/>
        <v>734.39769963839171</v>
      </c>
      <c r="BO31" s="85">
        <f t="shared" si="7"/>
        <v>3.8652510507283779E-2</v>
      </c>
      <c r="BP31" s="85">
        <f t="shared" si="8"/>
        <v>3.8652510507283779E-2</v>
      </c>
      <c r="BQ31" s="85">
        <f t="shared" si="25"/>
        <v>4.3609277005899685</v>
      </c>
      <c r="BR31" s="85">
        <f t="shared" si="9"/>
        <v>4.2849051891692249E-3</v>
      </c>
      <c r="BS31" s="85">
        <f t="shared" si="10"/>
        <v>1.382227480377169E-5</v>
      </c>
      <c r="BU31" s="39">
        <f t="shared" si="26"/>
        <v>1193.3086235857609</v>
      </c>
      <c r="BV31" s="39">
        <f t="shared" si="26"/>
        <v>0.25938979486158598</v>
      </c>
      <c r="BW31" s="39">
        <f t="shared" si="26"/>
        <v>5.9655654398100444E-2</v>
      </c>
      <c r="BX31" s="159">
        <f t="shared" si="27"/>
        <v>1217.5707534679345</v>
      </c>
      <c r="BZ31" s="117">
        <v>2028</v>
      </c>
      <c r="CA31" s="85">
        <f>EnergyCal!C$19</f>
        <v>11.311273520921988</v>
      </c>
      <c r="CB31" s="85">
        <f>EnergyCal!D$19</f>
        <v>7.3644826439967002</v>
      </c>
      <c r="CC31" s="85">
        <f t="shared" si="50"/>
        <v>70.887309373184607</v>
      </c>
      <c r="CD31" s="85">
        <f>EnergyCal!F$19</f>
        <v>2.5223539755632576</v>
      </c>
      <c r="CE31" s="179">
        <f t="shared" si="51"/>
        <v>6.8145804863335027</v>
      </c>
      <c r="CF31" s="85">
        <f t="shared" si="52"/>
        <v>1.0999999999999999</v>
      </c>
      <c r="CG31" s="85">
        <f t="shared" si="39"/>
        <v>100.00000000000006</v>
      </c>
    </row>
    <row r="32" spans="1:88" x14ac:dyDescent="0.25">
      <c r="A32" s="117">
        <f t="shared" si="28"/>
        <v>2029</v>
      </c>
      <c r="B32" s="66">
        <f>INDEX((Proj_PasMob!$Q$6:$Q$46),MATCH(A32,Proj_PasMob!$M$6:M$46,0))</f>
        <v>11709742850.126944</v>
      </c>
      <c r="C32" s="119">
        <f>B32*Table1101826[Gasoline]%</f>
        <v>6432204153.688489</v>
      </c>
      <c r="D32" s="123">
        <f>B32*Table1101826[[Diesel ]]%</f>
        <v>5271123684.6177521</v>
      </c>
      <c r="E32" s="121">
        <f>B32*Table1101826[LPG]%</f>
        <v>6415011.8207035139</v>
      </c>
      <c r="F32" s="66">
        <f t="shared" si="11"/>
        <v>0</v>
      </c>
      <c r="H32" s="31">
        <f t="shared" si="32"/>
        <v>727564205.24781036</v>
      </c>
      <c r="I32" s="66">
        <f t="shared" si="33"/>
        <v>473698558.52482361</v>
      </c>
      <c r="J32" s="66">
        <f t="shared" si="34"/>
        <v>4498510518.479949</v>
      </c>
      <c r="K32" s="66">
        <f t="shared" si="35"/>
        <v>162242957.18690661</v>
      </c>
      <c r="L32" s="66">
        <f t="shared" si="36"/>
        <v>486569260.25105244</v>
      </c>
      <c r="M32" s="66">
        <f t="shared" si="12"/>
        <v>3.6060810089111328E-6</v>
      </c>
      <c r="N32" s="31">
        <f t="shared" si="37"/>
        <v>83618653.997950345</v>
      </c>
      <c r="P32" s="66">
        <f>D32*Table3122028[Cars]%</f>
        <v>445748585.07740694</v>
      </c>
      <c r="Q32" s="66">
        <f>D32*Table3122028[DPV]%</f>
        <v>642935762.77287161</v>
      </c>
      <c r="R32" s="66">
        <f>D32*Table3122028[Buses]%</f>
        <v>4182439336.7674732</v>
      </c>
      <c r="S32" s="66">
        <f t="shared" si="13"/>
        <v>0</v>
      </c>
      <c r="W32" s="66">
        <f>E32*Table4132129[Cars]%</f>
        <v>6063133.5351796923</v>
      </c>
      <c r="X32" s="66">
        <f>E32*Table4132129[DPV]%</f>
        <v>351878.28552382143</v>
      </c>
      <c r="Y32" s="66">
        <f t="shared" si="14"/>
        <v>0</v>
      </c>
      <c r="AB32" s="117">
        <f t="shared" si="29"/>
        <v>2029</v>
      </c>
      <c r="AD32" s="66">
        <f>H32*Table5142230[Autocycle]*0.01*$AD$7/1000</f>
        <v>12914.264643148632</v>
      </c>
      <c r="AE32" s="66">
        <f>I32*Table5142230[Motocycle]*0.01*$AD$7/1000</f>
        <v>10089.779296578743</v>
      </c>
      <c r="AF32" s="66">
        <f>J32*Table5142230[Car]*0.01*$AD$7/$AL$8/1000</f>
        <v>109266.45285676296</v>
      </c>
      <c r="AG32" s="66">
        <f>K32*Table5142230[DPV]*0.01*$AD$7/$AL$8/1000</f>
        <v>6972.1776075320658</v>
      </c>
      <c r="AH32" s="66">
        <f>L32*Table5142230[Car_Hbrid]*0.01*$AD$7/$AL$8/1000</f>
        <v>7272.9299953315212</v>
      </c>
      <c r="AI32" s="66">
        <f>Freight!E24*$AG$8*$AI$8*$AD$7/1000</f>
        <v>5189.4432970519274</v>
      </c>
      <c r="AJ32" s="66">
        <f t="shared" si="38"/>
        <v>151705.04769640588</v>
      </c>
      <c r="AK32" s="66">
        <f>P32*Table5142230[Car_Dsl]*0.01*$AD$8/$AL$8/1000</f>
        <v>13958.968848476692</v>
      </c>
      <c r="AL32" s="66">
        <f>Q32*Table5142230[DPV_Dsl]*0.01*$AD$8/$AL$8/1000</f>
        <v>32502.094744386482</v>
      </c>
      <c r="AM32" s="66">
        <f>R32*Table5142230[Bus]*0.01*$AD$8/$AL$9/1000</f>
        <v>30776.778605270367</v>
      </c>
      <c r="AN32" s="66">
        <f>Freight!E24*$AG$9*$AI$9*$AD$8/1000</f>
        <v>157618.35965227257</v>
      </c>
      <c r="AO32" s="66">
        <f t="shared" si="16"/>
        <v>234856.20185040613</v>
      </c>
      <c r="AP32" s="66"/>
      <c r="AQ32" s="66">
        <f>W32*Table5142230[Car_LPG]*0.01*$AD$9/$AL$8/1000</f>
        <v>142.10756424139601</v>
      </c>
      <c r="AR32" s="66">
        <f>X32*Table5142230[DPV_LPG]*0.01*$AD$9/$AL$8/1000</f>
        <v>14.591401685500481</v>
      </c>
      <c r="AS32" s="66">
        <f t="shared" si="40"/>
        <v>1084.6981368237482</v>
      </c>
      <c r="AT32" s="66">
        <f t="shared" si="17"/>
        <v>1241.3971027506448</v>
      </c>
      <c r="AU32" s="31">
        <f t="shared" si="18"/>
        <v>12413.971027506448</v>
      </c>
      <c r="AW32" s="148">
        <f>AT32+AO32+AJ32</f>
        <v>387802.64664956264</v>
      </c>
      <c r="AX32" s="165"/>
      <c r="AY32" s="163">
        <f>AJ32*(1-$BB$10)</f>
        <v>151705.04769640588</v>
      </c>
      <c r="AZ32" s="163">
        <f t="shared" si="44"/>
        <v>234856.20185040613</v>
      </c>
      <c r="BA32" s="163">
        <f t="shared" si="6"/>
        <v>1241.3971027506448</v>
      </c>
      <c r="BB32" s="163">
        <f t="shared" si="19"/>
        <v>387802.64664956264</v>
      </c>
      <c r="BC32" s="117">
        <f t="shared" si="30"/>
        <v>2029</v>
      </c>
      <c r="BD32" s="177">
        <f t="shared" si="46"/>
        <v>0.70000000000000007</v>
      </c>
      <c r="BE32" s="163">
        <f t="shared" si="45"/>
        <v>5990.625</v>
      </c>
      <c r="BF32" s="163">
        <f t="shared" si="20"/>
        <v>145714.42269640588</v>
      </c>
      <c r="BJ32" s="117">
        <f t="shared" si="31"/>
        <v>2029</v>
      </c>
      <c r="BK32" s="85">
        <f t="shared" si="21"/>
        <v>452.39082528016951</v>
      </c>
      <c r="BL32" s="85">
        <f t="shared" si="22"/>
        <v>0.21542420251436642</v>
      </c>
      <c r="BM32" s="85">
        <f t="shared" si="23"/>
        <v>2.0889619637756745E-2</v>
      </c>
      <c r="BN32" s="85">
        <f t="shared" si="24"/>
        <v>753.54316932308348</v>
      </c>
      <c r="BO32" s="85">
        <f t="shared" si="7"/>
        <v>3.9660166806478075E-2</v>
      </c>
      <c r="BP32" s="85">
        <f t="shared" si="8"/>
        <v>3.9660166806478075E-2</v>
      </c>
      <c r="BQ32" s="85">
        <f t="shared" si="25"/>
        <v>4.0889386049821281</v>
      </c>
      <c r="BR32" s="85">
        <f t="shared" si="9"/>
        <v>4.0176575833421871E-3</v>
      </c>
      <c r="BS32" s="85">
        <f t="shared" si="10"/>
        <v>1.2960185752716732E-5</v>
      </c>
      <c r="BU32" s="39">
        <f t="shared" si="26"/>
        <v>1210.0229332082351</v>
      </c>
      <c r="BV32" s="39">
        <f t="shared" si="26"/>
        <v>0.25910202690418666</v>
      </c>
      <c r="BW32" s="39">
        <f t="shared" si="26"/>
        <v>6.0562746629987542E-2</v>
      </c>
      <c r="BX32" s="159">
        <f t="shared" si="27"/>
        <v>1234.5481823765761</v>
      </c>
      <c r="BZ32" s="117">
        <v>2029</v>
      </c>
      <c r="CA32" s="85">
        <f>EnergyCal!C$19</f>
        <v>11.311273520921988</v>
      </c>
      <c r="CB32" s="85">
        <f>EnergyCal!D$19</f>
        <v>7.3644826439967002</v>
      </c>
      <c r="CC32" s="85">
        <f t="shared" si="50"/>
        <v>69.937309373184604</v>
      </c>
      <c r="CD32" s="85">
        <f>EnergyCal!F$19</f>
        <v>2.5223539755632576</v>
      </c>
      <c r="CE32" s="179">
        <f t="shared" si="51"/>
        <v>7.5645804863335027</v>
      </c>
      <c r="CF32" s="85">
        <f t="shared" si="52"/>
        <v>1.2999999999999998</v>
      </c>
      <c r="CG32" s="85">
        <f t="shared" si="39"/>
        <v>100.00000000000004</v>
      </c>
    </row>
    <row r="33" spans="1:85" x14ac:dyDescent="0.25">
      <c r="A33" s="117">
        <f>A32+1</f>
        <v>2030</v>
      </c>
      <c r="B33" s="66">
        <f>INDEX((Proj_PasMob!$Q$6:$Q$46),MATCH(A33,Proj_PasMob!$M$6:M$46,0))</f>
        <v>11728841435.309381</v>
      </c>
      <c r="C33" s="119">
        <f>B33*Table1101826[Gasoline]%</f>
        <v>6442695075.6935539</v>
      </c>
      <c r="D33" s="123">
        <f>B33*Table1101826[[Diesel ]]%</f>
        <v>5279720884.9138069</v>
      </c>
      <c r="E33" s="121">
        <f>B33*Table1101826[LPG]%</f>
        <v>6425474.7020214181</v>
      </c>
      <c r="F33" s="66">
        <f t="shared" si="11"/>
        <v>0</v>
      </c>
      <c r="H33" s="31">
        <f t="shared" si="32"/>
        <v>728750862.13066983</v>
      </c>
      <c r="I33" s="66">
        <f t="shared" si="33"/>
        <v>474471160.65508187</v>
      </c>
      <c r="J33" s="66">
        <f>C33*CC33%</f>
        <v>4444641983.8396416</v>
      </c>
      <c r="K33" s="66">
        <f t="shared" si="35"/>
        <v>162507575.37517458</v>
      </c>
      <c r="L33" s="66">
        <f t="shared" si="36"/>
        <v>535683067.55758578</v>
      </c>
      <c r="M33" s="66">
        <f t="shared" si="12"/>
        <v>2.5182962417602539E-6</v>
      </c>
      <c r="N33" s="31">
        <f t="shared" si="37"/>
        <v>96640426.13540329</v>
      </c>
      <c r="O33">
        <f>2347.35*(BO6+BP6*25+BQ6*298)/1000</f>
        <v>7.4747165566079996</v>
      </c>
      <c r="P33" s="66">
        <f>D33*Table3122028[Cars]%</f>
        <v>446475600.81387633</v>
      </c>
      <c r="Q33" s="66">
        <f>D33*Table3122028[DPV]%</f>
        <v>643984390.70512557</v>
      </c>
      <c r="R33" s="66">
        <f>D33*Table3122028[Buses]%</f>
        <v>4189260893.394805</v>
      </c>
      <c r="S33" s="66">
        <f t="shared" si="13"/>
        <v>0</v>
      </c>
      <c r="W33" s="66">
        <f>E33*Table4132129[Cars]%</f>
        <v>6073022.5031763613</v>
      </c>
      <c r="X33" s="66">
        <f>E33*Table4132129[DPV]%</f>
        <v>352452.19884505664</v>
      </c>
      <c r="Y33" s="66">
        <f t="shared" si="14"/>
        <v>0</v>
      </c>
      <c r="AB33" s="117">
        <f>AB32+1</f>
        <v>2030</v>
      </c>
      <c r="AD33" s="66">
        <f>H33*Table5142230[Autocycle]*0.01*$AD$7/1000</f>
        <v>12935.327802819387</v>
      </c>
      <c r="AE33" s="66">
        <f>I33*Table5142230[Motocycle]*0.01*$AD$7/1000</f>
        <v>10106.235721953242</v>
      </c>
      <c r="AF33" s="66">
        <f>J33*Table5142230[Car]*0.01*$AD$7/$AL$8/1000</f>
        <v>107958.01450221025</v>
      </c>
      <c r="AG33" s="66">
        <f>K33*Table5142230[DPV]*0.01*$AD$7/$AL$8/1000</f>
        <v>6983.5492259910561</v>
      </c>
      <c r="AH33" s="66">
        <f>L33*Table5142230[Car_Hbrid]*0.01*$AD$7/$AL$8/1000</f>
        <v>8007.0521677028619</v>
      </c>
      <c r="AI33" s="66">
        <f>Freight!E25*$AG$8*$AI$8*$AD$7/1000</f>
        <v>5387.9106711536515</v>
      </c>
      <c r="AJ33" s="66">
        <f t="shared" si="38"/>
        <v>151378.09009183047</v>
      </c>
      <c r="AK33" s="66">
        <f>P33*Table5142230[Car_Dsl]*0.01*$AD$8/$AL$8/1000</f>
        <v>13981.735920224024</v>
      </c>
      <c r="AL33" s="66">
        <f>Q33*Table5142230[DPV_Dsl]*0.01*$AD$8/$AL$8/1000</f>
        <v>32555.105645909116</v>
      </c>
      <c r="AM33" s="66">
        <f>R33*Table5142230[Bus]*0.01*$AD$8/$AL$9/1000</f>
        <v>30826.975516966631</v>
      </c>
      <c r="AN33" s="66">
        <f>Freight!E25*$AG$9*$AI$9*$AD$8/1000</f>
        <v>163646.38619765919</v>
      </c>
      <c r="AO33" s="66">
        <f t="shared" si="16"/>
        <v>241010.20328075896</v>
      </c>
      <c r="AP33" s="66"/>
      <c r="AQ33" s="66">
        <f>W33*Table5142230[Car_LPG]*0.01*$AD$9/$AL$8/1000</f>
        <v>142.33934161306593</v>
      </c>
      <c r="AR33" s="66">
        <f>X33*Table5142230[DPV_LPG]*0.01*$AD$9/$AL$8/1000</f>
        <v>14.615200254913017</v>
      </c>
      <c r="AS33" s="66">
        <f t="shared" si="40"/>
        <v>1007.6845691092622</v>
      </c>
      <c r="AT33" s="66">
        <f t="shared" si="17"/>
        <v>1164.6391109772412</v>
      </c>
      <c r="AU33" s="31">
        <f t="shared" si="18"/>
        <v>11646.391109772412</v>
      </c>
      <c r="AW33" s="148">
        <f t="shared" si="3"/>
        <v>393552.93248356669</v>
      </c>
      <c r="AX33" s="165"/>
      <c r="AY33" s="163">
        <f t="shared" si="43"/>
        <v>151378.09009183047</v>
      </c>
      <c r="AZ33" s="163">
        <f t="shared" si="44"/>
        <v>241010.20328075896</v>
      </c>
      <c r="BA33" s="163">
        <f t="shared" si="6"/>
        <v>1164.6391109772412</v>
      </c>
      <c r="BB33" s="163">
        <f t="shared" si="19"/>
        <v>393552.93248356669</v>
      </c>
      <c r="BC33" s="117">
        <f>BC32+1</f>
        <v>2030</v>
      </c>
      <c r="BD33" s="177">
        <f t="shared" si="46"/>
        <v>0.75000000000000011</v>
      </c>
      <c r="BE33" s="163">
        <f>BD33*$BE$7</f>
        <v>6418.5267857142862</v>
      </c>
      <c r="BF33" s="163">
        <f t="shared" si="20"/>
        <v>144959.56330611618</v>
      </c>
      <c r="BI33">
        <f>BE33*(BO6+BP6*25+BQ6*298)/1000</f>
        <v>20.43865143</v>
      </c>
      <c r="BJ33" s="117">
        <f>BJ32+1</f>
        <v>2030</v>
      </c>
      <c r="BK33" s="85">
        <f>BF33*$BO$6/1000</f>
        <v>450.0472586227005</v>
      </c>
      <c r="BL33" s="85">
        <f t="shared" si="22"/>
        <v>0.21430821839176212</v>
      </c>
      <c r="BM33" s="85">
        <f t="shared" si="23"/>
        <v>2.0781402995564816E-2</v>
      </c>
      <c r="BN33" s="85">
        <f t="shared" si="24"/>
        <v>773.28846753241339</v>
      </c>
      <c r="BO33" s="85">
        <f t="shared" si="7"/>
        <v>4.0699393028021759E-2</v>
      </c>
      <c r="BP33" s="85">
        <f t="shared" si="8"/>
        <v>4.0699393028021759E-2</v>
      </c>
      <c r="BQ33" s="85">
        <f t="shared" si="25"/>
        <v>3.8361115965190566</v>
      </c>
      <c r="BR33" s="85">
        <f t="shared" si="9"/>
        <v>3.7692380187667432E-3</v>
      </c>
      <c r="BS33" s="85">
        <f t="shared" si="10"/>
        <v>1.2158832318602397E-5</v>
      </c>
      <c r="BU33" s="39">
        <f t="shared" si="26"/>
        <v>1227.1718377516329</v>
      </c>
      <c r="BV33" s="39">
        <f t="shared" si="26"/>
        <v>0.25877684943855062</v>
      </c>
      <c r="BW33" s="39">
        <f t="shared" si="26"/>
        <v>6.1492954855905176E-2</v>
      </c>
      <c r="BX33" s="159">
        <f t="shared" si="27"/>
        <v>1251.9661595346565</v>
      </c>
      <c r="BZ33" s="191">
        <v>2030</v>
      </c>
      <c r="CA33" s="192">
        <f>EnergyCal!C$19</f>
        <v>11.311273520921988</v>
      </c>
      <c r="CB33" s="192">
        <f>EnergyCal!D$19</f>
        <v>7.3644826439967002</v>
      </c>
      <c r="CC33" s="192">
        <f t="shared" si="50"/>
        <v>68.987309373184601</v>
      </c>
      <c r="CD33" s="192">
        <f>EnergyCal!F$19</f>
        <v>2.5223539755632576</v>
      </c>
      <c r="CE33" s="193">
        <f t="shared" si="51"/>
        <v>8.3145804863335027</v>
      </c>
      <c r="CF33" s="192">
        <f t="shared" si="52"/>
        <v>1.4999999999999998</v>
      </c>
      <c r="CG33" s="192">
        <f t="shared" si="39"/>
        <v>100.00000000000006</v>
      </c>
    </row>
    <row r="34" spans="1:85" x14ac:dyDescent="0.25">
      <c r="A34" s="117">
        <f t="shared" ref="A34:A52" si="53">A33+1</f>
        <v>2031</v>
      </c>
      <c r="B34" s="66">
        <f>INDEX((Proj_PasMob!$Q$6:$Q$46),MATCH(A34,Proj_PasMob!$M$6:M$46,0))</f>
        <v>11735439516.144716</v>
      </c>
      <c r="C34" s="119">
        <f>B34*Table1101826[Gasoline]%</f>
        <v>6446319425.3909473</v>
      </c>
      <c r="D34" s="123">
        <f>B34*Table1101826[[Diesel ]]%</f>
        <v>5282691001.3894024</v>
      </c>
      <c r="E34" s="121">
        <f>B34*Table1101826[LPG]%</f>
        <v>6429089.3643666441</v>
      </c>
      <c r="F34" s="66">
        <f t="shared" si="11"/>
        <v>0</v>
      </c>
      <c r="H34" s="31">
        <f t="shared" si="32"/>
        <v>729160822.23829675</v>
      </c>
      <c r="I34" s="66">
        <f t="shared" si="33"/>
        <v>474738075.25950414</v>
      </c>
      <c r="J34" s="66">
        <f>C34*CC34%</f>
        <v>4356893853.2226753</v>
      </c>
      <c r="K34" s="66">
        <f t="shared" si="35"/>
        <v>162598994.30385512</v>
      </c>
      <c r="L34" s="66">
        <f t="shared" si="36"/>
        <v>600447611.28419113</v>
      </c>
      <c r="M34" s="66">
        <f t="shared" si="12"/>
        <v>2.8759241104125977E-6</v>
      </c>
      <c r="N34" s="31">
        <f t="shared" si="37"/>
        <v>122480069.08242799</v>
      </c>
      <c r="P34" s="66">
        <f>D34*Table3122028[Cars]%</f>
        <v>446726766.46577996</v>
      </c>
      <c r="Q34" s="66">
        <f>D34*Table3122028[DPV]%</f>
        <v>644346665.28186023</v>
      </c>
      <c r="R34" s="66">
        <f>D34*Table3122028[Buses]%</f>
        <v>4191617569.6417623</v>
      </c>
      <c r="S34" s="66">
        <f t="shared" si="13"/>
        <v>0</v>
      </c>
      <c r="W34" s="66">
        <f>E34*Table4132129[Cars]%</f>
        <v>6076438.8929034946</v>
      </c>
      <c r="X34" s="66">
        <f>E34*Table4132129[DPV]%</f>
        <v>352650.47146314924</v>
      </c>
      <c r="Y34" s="66">
        <f t="shared" si="14"/>
        <v>0</v>
      </c>
      <c r="AB34" s="117">
        <f t="shared" ref="AB34:AB53" si="54">AB33+1</f>
        <v>2031</v>
      </c>
      <c r="AD34" s="66">
        <f>H34*Table5142230[Autocycle]*0.01*$AD$7/1000</f>
        <v>12942.604594729766</v>
      </c>
      <c r="AE34" s="66">
        <f>I34*Table5142230[Motocycle]*0.01*$AD$7/1000</f>
        <v>10111.921003027437</v>
      </c>
      <c r="AF34" s="66">
        <f>J34*Table5142230[Car]*0.01*$AD$7/$AL$8/1000</f>
        <v>105826.65859275077</v>
      </c>
      <c r="AG34" s="66">
        <f>K34*Table5142230[DPV]*0.01*$AD$7/$AL$8/1000</f>
        <v>6987.4778341630381</v>
      </c>
      <c r="AH34" s="66">
        <f>L34*Table5142230[Car_Hbrid]*0.01*$AD$7/$AL$8/1000</f>
        <v>8975.1116634058053</v>
      </c>
      <c r="AI34" s="66">
        <f>Freight!E26*$AG$8*$AI$8*$AD$7/1000</f>
        <v>5550.5624011233949</v>
      </c>
      <c r="AJ34" s="66">
        <f t="shared" si="38"/>
        <v>150394.33608920022</v>
      </c>
      <c r="AK34" s="66">
        <f>P34*Table5142230[Car_Dsl]*0.01*$AD$8/$AL$8/1000</f>
        <v>13989.601370902057</v>
      </c>
      <c r="AL34" s="66">
        <f>Q34*Table5142230[DPV_Dsl]*0.01*$AD$8/$AL$8/1000</f>
        <v>32573.419579117202</v>
      </c>
      <c r="AM34" s="66">
        <f>R34*Table5142230[Bus]*0.01*$AD$8/$AL$9/1000</f>
        <v>30844.317287463884</v>
      </c>
      <c r="AN34" s="66">
        <f>Freight!E26*$AG$9*$AI$9*$AD$8/1000</f>
        <v>168586.5883359116</v>
      </c>
      <c r="AO34" s="66">
        <f t="shared" si="16"/>
        <v>245993.92657339474</v>
      </c>
      <c r="AQ34" s="66">
        <f>W34*Table5142230[Car_LPG]*0.01*$AD$9/$AL$8/1000</f>
        <v>142.41941486558548</v>
      </c>
      <c r="AR34" s="66">
        <f>X34*Table5142230[DPV_LPG]*0.01*$AD$9/$AL$8/1000</f>
        <v>14.623422062091365</v>
      </c>
      <c r="AS34" s="66">
        <f t="shared" si="40"/>
        <v>936.13896470250461</v>
      </c>
      <c r="AT34" s="66">
        <f t="shared" si="17"/>
        <v>1093.1818016301813</v>
      </c>
      <c r="AU34" s="31">
        <f t="shared" si="18"/>
        <v>10931.818016301813</v>
      </c>
      <c r="AW34" s="148">
        <f t="shared" si="3"/>
        <v>397481.44446422515</v>
      </c>
      <c r="AX34" s="165"/>
      <c r="AY34" s="163">
        <f t="shared" si="43"/>
        <v>150394.33608920022</v>
      </c>
      <c r="AZ34" s="163">
        <f t="shared" si="44"/>
        <v>245993.92657339474</v>
      </c>
      <c r="BA34" s="163">
        <f t="shared" si="6"/>
        <v>1093.1818016301813</v>
      </c>
      <c r="BB34" s="163">
        <f t="shared" si="19"/>
        <v>397481.44446422515</v>
      </c>
      <c r="BC34" s="117">
        <f t="shared" ref="BC34:BC53" si="55">BC33+1</f>
        <v>2031</v>
      </c>
      <c r="BD34" s="177">
        <f t="shared" si="46"/>
        <v>0.80000000000000016</v>
      </c>
      <c r="BE34" s="163">
        <f t="shared" ref="BE34:BE53" si="56">BD34*$BE$7</f>
        <v>6846.4285714285725</v>
      </c>
      <c r="BF34" s="163">
        <f t="shared" si="20"/>
        <v>143547.90751777164</v>
      </c>
      <c r="BJ34" s="117">
        <f t="shared" ref="BJ34:BJ53" si="57">BJ33+1</f>
        <v>2031</v>
      </c>
      <c r="BK34" s="85">
        <f t="shared" si="21"/>
        <v>445.6645755959745</v>
      </c>
      <c r="BL34" s="85">
        <f t="shared" si="22"/>
        <v>0.21222122647427355</v>
      </c>
      <c r="BM34" s="85">
        <f t="shared" si="23"/>
        <v>2.0579028021747738E-2</v>
      </c>
      <c r="BN34" s="85">
        <f t="shared" si="24"/>
        <v>789.27889322853412</v>
      </c>
      <c r="BO34" s="85">
        <f t="shared" si="7"/>
        <v>4.1540994380449163E-2</v>
      </c>
      <c r="BP34" s="85">
        <f t="shared" si="8"/>
        <v>4.1540994380449163E-2</v>
      </c>
      <c r="BQ34" s="85">
        <f t="shared" si="25"/>
        <v>3.6007440818455234</v>
      </c>
      <c r="BR34" s="85">
        <f t="shared" si="9"/>
        <v>3.5379735827959185E-3</v>
      </c>
      <c r="BS34" s="85">
        <f t="shared" si="10"/>
        <v>1.1412818009019093E-5</v>
      </c>
      <c r="BU34" s="39">
        <f t="shared" si="26"/>
        <v>1238.5442129063542</v>
      </c>
      <c r="BV34" s="39">
        <f t="shared" si="26"/>
        <v>0.25730019443751861</v>
      </c>
      <c r="BW34" s="39">
        <f t="shared" si="26"/>
        <v>6.2131435220205915E-2</v>
      </c>
      <c r="BX34" s="159">
        <f t="shared" si="27"/>
        <v>1263.4918854629136</v>
      </c>
      <c r="BZ34" s="117">
        <f>BZ33+1</f>
        <v>2031</v>
      </c>
      <c r="CA34" s="85">
        <f>EnergyCal!C$19</f>
        <v>11.311273520921988</v>
      </c>
      <c r="CB34" s="85">
        <f>EnergyCal!D$19</f>
        <v>7.3644826439967002</v>
      </c>
      <c r="CC34" s="85">
        <f>CC33-$CH$8-$CH$9</f>
        <v>67.587309373184596</v>
      </c>
      <c r="CD34" s="85">
        <f>EnergyCal!F$19</f>
        <v>2.5223539755632576</v>
      </c>
      <c r="CE34" s="179">
        <f>CE33+$CH$8</f>
        <v>9.3145804863335027</v>
      </c>
      <c r="CF34" s="85">
        <f>CF33+$CH$9</f>
        <v>1.9</v>
      </c>
      <c r="CG34" s="85">
        <f t="shared" si="39"/>
        <v>100.00000000000006</v>
      </c>
    </row>
    <row r="35" spans="1:85" x14ac:dyDescent="0.25">
      <c r="A35" s="117">
        <f t="shared" si="53"/>
        <v>2032</v>
      </c>
      <c r="B35" s="66">
        <f>INDEX((Proj_PasMob!$Q$6:$Q$46),MATCH(A35,Proj_PasMob!$M$6:M$46,0))</f>
        <v>11739028415.162449</v>
      </c>
      <c r="C35" s="119">
        <f>B35*Table1101826[Gasoline]%</f>
        <v>6448290820.6183653</v>
      </c>
      <c r="D35" s="123">
        <f>B35*Table1101826[[Diesel ]]%</f>
        <v>5284306539.0537386</v>
      </c>
      <c r="E35" s="121">
        <f>B35*Table1101826[LPG]%</f>
        <v>6431055.4903453896</v>
      </c>
      <c r="F35" s="66">
        <f t="shared" si="11"/>
        <v>0</v>
      </c>
      <c r="H35" s="31">
        <f t="shared" si="32"/>
        <v>729383812.14464831</v>
      </c>
      <c r="I35" s="66">
        <f t="shared" si="33"/>
        <v>474883258.31887192</v>
      </c>
      <c r="J35" s="66">
        <f t="shared" ref="J35:J53" si="58">C35*CC35%</f>
        <v>4267950194.7253408</v>
      </c>
      <c r="K35" s="66">
        <f t="shared" si="35"/>
        <v>162648719.86974794</v>
      </c>
      <c r="L35" s="66">
        <f t="shared" si="36"/>
        <v>665114146.68553638</v>
      </c>
      <c r="M35" s="66">
        <f t="shared" si="12"/>
        <v>2.5033950805664063E-6</v>
      </c>
      <c r="N35" s="31">
        <f t="shared" si="37"/>
        <v>148310688.8742224</v>
      </c>
      <c r="P35" s="66">
        <f>D35*Table3122028[Cars]%</f>
        <v>446863383.18568707</v>
      </c>
      <c r="Q35" s="66">
        <f>D35*Table3122028[DPV]%</f>
        <v>644543717.56191576</v>
      </c>
      <c r="R35" s="66">
        <f>D35*Table3122028[Buses]%</f>
        <v>4192899438.3061357</v>
      </c>
      <c r="S35" s="66">
        <f t="shared" si="13"/>
        <v>0</v>
      </c>
      <c r="W35" s="66">
        <f>E35*Table4132129[Cars]%</f>
        <v>6078297.1723095663</v>
      </c>
      <c r="X35" s="66">
        <f>E35*Table4132129[DPV]%</f>
        <v>352758.31803582306</v>
      </c>
      <c r="Y35" s="66">
        <f t="shared" si="14"/>
        <v>0</v>
      </c>
      <c r="AB35" s="117">
        <f t="shared" si="54"/>
        <v>2032</v>
      </c>
      <c r="AD35" s="66">
        <f>H35*Table5142230[Autocycle]*0.01*$AD$7/1000</f>
        <v>12946.56266556751</v>
      </c>
      <c r="AE35" s="66">
        <f>I35*Table5142230[Motocycle]*0.01*$AD$7/1000</f>
        <v>10115.013402191971</v>
      </c>
      <c r="AF35" s="66">
        <f>J35*Table5142230[Car]*0.01*$AD$7/$AL$8/1000</f>
        <v>103666.26394030236</v>
      </c>
      <c r="AG35" s="66">
        <f>K35*Table5142230[DPV]*0.01*$AD$7/$AL$8/1000</f>
        <v>6989.6147249289033</v>
      </c>
      <c r="AH35" s="66">
        <f>L35*Table5142230[Car_Hbrid]*0.01*$AD$7/$AL$8/1000</f>
        <v>9941.7061925627549</v>
      </c>
      <c r="AI35" s="66">
        <f>Freight!E27*$AG$8*$AI$8*$AD$7/1000</f>
        <v>5718.0915326599152</v>
      </c>
      <c r="AJ35" s="66">
        <f t="shared" si="38"/>
        <v>149377.25245821342</v>
      </c>
      <c r="AK35" s="66">
        <f>P35*Table5142230[Car_Dsl]*0.01*$AD$8/$AL$8/1000</f>
        <v>13993.879631341253</v>
      </c>
      <c r="AL35" s="66">
        <f>Q35*Table5142230[DPV_Dsl]*0.01*$AD$8/$AL$8/1000</f>
        <v>32583.381090432642</v>
      </c>
      <c r="AM35" s="66">
        <f>R35*Table5142230[Bus]*0.01*$AD$8/$AL$9/1000</f>
        <v>30853.750009592724</v>
      </c>
      <c r="AN35" s="66">
        <f>Freight!E27*$AG$9*$AI$9*$AD$8/1000</f>
        <v>173674.93122651742</v>
      </c>
      <c r="AO35" s="66">
        <f t="shared" si="16"/>
        <v>251105.94195788406</v>
      </c>
      <c r="AQ35" s="66">
        <f>W35*Table5142230[Car_LPG]*0.01*$AD$9/$AL$8/1000</f>
        <v>142.4629691694029</v>
      </c>
      <c r="AR35" s="66">
        <f>X35*Table5142230[DPV_LPG]*0.01*$AD$9/$AL$8/1000</f>
        <v>14.627894155786905</v>
      </c>
      <c r="AS35" s="66">
        <f t="shared" si="40"/>
        <v>869.67309820862681</v>
      </c>
      <c r="AT35" s="66">
        <f t="shared" si="17"/>
        <v>1026.7639615338167</v>
      </c>
      <c r="AU35" s="31">
        <f t="shared" si="18"/>
        <v>10267.639615338167</v>
      </c>
      <c r="AW35" s="148">
        <f t="shared" si="3"/>
        <v>401509.95837763126</v>
      </c>
      <c r="AY35" s="163">
        <f t="shared" si="43"/>
        <v>149377.25245821342</v>
      </c>
      <c r="AZ35" s="163">
        <f t="shared" si="44"/>
        <v>251105.94195788406</v>
      </c>
      <c r="BA35" s="163">
        <f t="shared" si="6"/>
        <v>1026.7639615338167</v>
      </c>
      <c r="BB35" s="163">
        <f t="shared" si="19"/>
        <v>401509.95837763126</v>
      </c>
      <c r="BC35" s="117">
        <f t="shared" si="55"/>
        <v>2032</v>
      </c>
      <c r="BD35" s="177">
        <f t="shared" si="46"/>
        <v>0.8500000000000002</v>
      </c>
      <c r="BE35" s="163">
        <f t="shared" si="56"/>
        <v>7274.3303571428587</v>
      </c>
      <c r="BF35" s="163">
        <f t="shared" si="20"/>
        <v>142102.92210107055</v>
      </c>
      <c r="BJ35" s="117">
        <f t="shared" si="57"/>
        <v>2032</v>
      </c>
      <c r="BK35" s="85">
        <f t="shared" si="21"/>
        <v>441.17841607186762</v>
      </c>
      <c r="BL35" s="85">
        <f t="shared" si="22"/>
        <v>0.21008496003422267</v>
      </c>
      <c r="BM35" s="85">
        <f t="shared" si="23"/>
        <v>2.0371874912409469E-2</v>
      </c>
      <c r="BN35" s="85">
        <f t="shared" si="24"/>
        <v>805.68094795012962</v>
      </c>
      <c r="BO35" s="85">
        <f t="shared" si="7"/>
        <v>4.2404260418427875E-2</v>
      </c>
      <c r="BP35" s="85">
        <f t="shared" si="8"/>
        <v>4.2404260418427875E-2</v>
      </c>
      <c r="BQ35" s="85">
        <f t="shared" si="25"/>
        <v>3.3819756717793159</v>
      </c>
      <c r="BR35" s="85">
        <f t="shared" si="9"/>
        <v>3.3230188851080438E-3</v>
      </c>
      <c r="BS35" s="85">
        <f t="shared" si="10"/>
        <v>1.0719415758413045E-5</v>
      </c>
      <c r="BU35" s="39">
        <f t="shared" ref="BU35:BW53" si="59">BK35+BN35+BQ35</f>
        <v>1250.2413396937766</v>
      </c>
      <c r="BV35" s="39">
        <f t="shared" si="59"/>
        <v>0.2558122393377586</v>
      </c>
      <c r="BW35" s="39">
        <f t="shared" si="59"/>
        <v>6.2786854746595747E-2</v>
      </c>
      <c r="BX35" s="159">
        <f t="shared" si="27"/>
        <v>1275.3471283917061</v>
      </c>
      <c r="BZ35" s="117">
        <f t="shared" ref="BZ35:BZ52" si="60">BZ34+1</f>
        <v>2032</v>
      </c>
      <c r="CA35" s="85">
        <f>EnergyCal!C$19</f>
        <v>11.311273520921988</v>
      </c>
      <c r="CB35" s="85">
        <f>EnergyCal!D$19</f>
        <v>7.3644826439967002</v>
      </c>
      <c r="CC35" s="85">
        <f t="shared" ref="CC35:CC38" si="61">CC34-$CH$8-$CH$9</f>
        <v>66.18730937318459</v>
      </c>
      <c r="CD35" s="85">
        <f>EnergyCal!F$19</f>
        <v>2.5223539755632576</v>
      </c>
      <c r="CE35" s="179">
        <f t="shared" ref="CE35:CE38" si="62">CE34+$CH$8</f>
        <v>10.314580486333503</v>
      </c>
      <c r="CF35" s="85">
        <f t="shared" ref="CF35:CF38" si="63">CF34+$CH$9</f>
        <v>2.2999999999999998</v>
      </c>
      <c r="CG35" s="85">
        <f t="shared" si="39"/>
        <v>100.00000000000004</v>
      </c>
    </row>
    <row r="36" spans="1:85" x14ac:dyDescent="0.25">
      <c r="A36" s="117">
        <f t="shared" si="53"/>
        <v>2033</v>
      </c>
      <c r="B36" s="66">
        <f>INDEX((Proj_PasMob!$Q$6:$Q$46),MATCH(A36,Proj_PasMob!$M$6:M$46,0))</f>
        <v>11739762981.532864</v>
      </c>
      <c r="C36" s="119">
        <f>B36*Table1101826[Gasoline]%</f>
        <v>6448694320.5858212</v>
      </c>
      <c r="D36" s="123">
        <f>B36*Table1101826[[Diesel ]]%</f>
        <v>5284637203.0352259</v>
      </c>
      <c r="E36" s="121">
        <f>B36*Table1101826[LPG]%</f>
        <v>6431457.9118169462</v>
      </c>
      <c r="F36" s="66">
        <f t="shared" si="11"/>
        <v>0</v>
      </c>
      <c r="H36" s="31">
        <f t="shared" si="32"/>
        <v>729429453.12962413</v>
      </c>
      <c r="I36" s="66">
        <f t="shared" si="33"/>
        <v>474912974.00394374</v>
      </c>
      <c r="J36" s="66">
        <f t="shared" si="58"/>
        <v>4177935540.0089197</v>
      </c>
      <c r="K36" s="66">
        <f t="shared" si="35"/>
        <v>162658897.56721848</v>
      </c>
      <c r="L36" s="66">
        <f t="shared" si="36"/>
        <v>729642709.2203002</v>
      </c>
      <c r="M36" s="66">
        <f t="shared" si="12"/>
        <v>2.0265579223632813E-6</v>
      </c>
      <c r="N36" s="31">
        <f t="shared" si="37"/>
        <v>174114746.65581715</v>
      </c>
      <c r="P36" s="66">
        <f>D36*Table3122028[Cars]%</f>
        <v>446891345.53502715</v>
      </c>
      <c r="Q36" s="66">
        <f>D36*Table3122028[DPV]%</f>
        <v>644584049.70205867</v>
      </c>
      <c r="R36" s="66">
        <f>D36*Table3122028[Buses]%</f>
        <v>4193161807.79814</v>
      </c>
      <c r="S36" s="66">
        <f t="shared" si="13"/>
        <v>0</v>
      </c>
      <c r="W36" s="66">
        <f>E36*Table4132129[Cars]%</f>
        <v>6078677.5200295188</v>
      </c>
      <c r="X36" s="66">
        <f>E36*Table4132129[DPV]%</f>
        <v>352780.39178742742</v>
      </c>
      <c r="Y36" s="66">
        <f t="shared" si="14"/>
        <v>0</v>
      </c>
      <c r="AB36" s="117">
        <f t="shared" si="54"/>
        <v>2033</v>
      </c>
      <c r="AD36" s="66">
        <f>H36*Table5142230[Autocycle]*0.01*$AD$7/1000</f>
        <v>12947.372793050827</v>
      </c>
      <c r="AE36" s="66">
        <f>I36*Table5142230[Motocycle]*0.01*$AD$7/1000</f>
        <v>10115.646346284002</v>
      </c>
      <c r="AF36" s="66">
        <f>J36*Table5142230[Car]*0.01*$AD$7/$AL$8/1000</f>
        <v>101479.85535337456</v>
      </c>
      <c r="AG36" s="66">
        <f>K36*Table5142230[DPV]*0.01*$AD$7/$AL$8/1000</f>
        <v>6990.0520980859956</v>
      </c>
      <c r="AH36" s="66">
        <f>L36*Table5142230[Car_Hbrid]*0.01*$AD$7/$AL$8/1000</f>
        <v>10906.238390450804</v>
      </c>
      <c r="AI36" s="66">
        <f>Freight!E28*$AG$8*$AI$8*$AD$7/1000</f>
        <v>5890.6443878102173</v>
      </c>
      <c r="AJ36" s="66">
        <f t="shared" si="38"/>
        <v>148329.8093690564</v>
      </c>
      <c r="AK36" s="66">
        <f>P36*Table5142230[Car_Dsl]*0.01*$AD$8/$AL$8/1000</f>
        <v>13994.755294386379</v>
      </c>
      <c r="AL36" s="66">
        <f>Q36*Table5142230[DPV_Dsl]*0.01*$AD$8/$AL$8/1000</f>
        <v>32585.419986254074</v>
      </c>
      <c r="AM36" s="66">
        <f>R36*Table5142230[Bus]*0.01*$AD$8/$AL$9/1000</f>
        <v>30855.68067424031</v>
      </c>
      <c r="AN36" s="66">
        <f>Freight!E28*$AG$9*$AI$9*$AD$8/1000</f>
        <v>178915.85909204735</v>
      </c>
      <c r="AO36" s="66">
        <f t="shared" si="16"/>
        <v>256351.71504692812</v>
      </c>
      <c r="AQ36" s="66">
        <f>W36*Table5142230[Car_LPG]*0.01*$AD$9/$AL$8/1000</f>
        <v>142.47188374925398</v>
      </c>
      <c r="AR36" s="66">
        <f>X36*Table5142230[DPV_LPG]*0.01*$AD$9/$AL$8/1000</f>
        <v>14.628809492110902</v>
      </c>
      <c r="AS36" s="66">
        <f t="shared" si="40"/>
        <v>807.9263082358143</v>
      </c>
      <c r="AT36" s="66">
        <f t="shared" si="17"/>
        <v>965.02700147717917</v>
      </c>
      <c r="AU36" s="31">
        <f t="shared" si="18"/>
        <v>9650.2700147717915</v>
      </c>
      <c r="AW36" s="148">
        <f t="shared" si="3"/>
        <v>405646.55141746171</v>
      </c>
      <c r="AY36" s="163">
        <f t="shared" si="43"/>
        <v>148329.8093690564</v>
      </c>
      <c r="AZ36" s="163">
        <f t="shared" si="44"/>
        <v>256351.71504692812</v>
      </c>
      <c r="BA36" s="163">
        <f t="shared" si="6"/>
        <v>965.02700147717917</v>
      </c>
      <c r="BB36" s="163">
        <f t="shared" si="19"/>
        <v>405646.55141746171</v>
      </c>
      <c r="BC36" s="117">
        <f t="shared" si="55"/>
        <v>2033</v>
      </c>
      <c r="BD36" s="177">
        <f t="shared" si="46"/>
        <v>0.90000000000000024</v>
      </c>
      <c r="BE36" s="163">
        <f t="shared" si="56"/>
        <v>7702.232142857144</v>
      </c>
      <c r="BF36" s="163">
        <f t="shared" si="20"/>
        <v>140627.57722619927</v>
      </c>
      <c r="BJ36" s="117">
        <f t="shared" si="57"/>
        <v>2033</v>
      </c>
      <c r="BK36" s="85">
        <f t="shared" si="21"/>
        <v>436.59800135954725</v>
      </c>
      <c r="BL36" s="85">
        <f t="shared" si="22"/>
        <v>0.20790381017121295</v>
      </c>
      <c r="BM36" s="85">
        <f t="shared" si="23"/>
        <v>2.0160369471147924E-2</v>
      </c>
      <c r="BN36" s="85">
        <f t="shared" si="24"/>
        <v>822.51216827952021</v>
      </c>
      <c r="BO36" s="85">
        <f t="shared" si="7"/>
        <v>4.3290114119974743E-2</v>
      </c>
      <c r="BP36" s="85">
        <f t="shared" si="8"/>
        <v>4.3290114119974743E-2</v>
      </c>
      <c r="BQ36" s="85">
        <f t="shared" si="25"/>
        <v>3.1786252380055622</v>
      </c>
      <c r="BR36" s="85">
        <f t="shared" si="9"/>
        <v>3.1232133875807424E-3</v>
      </c>
      <c r="BS36" s="85">
        <f t="shared" si="10"/>
        <v>1.007488189542175E-5</v>
      </c>
      <c r="BU36" s="39">
        <f t="shared" si="59"/>
        <v>1262.2887948770729</v>
      </c>
      <c r="BV36" s="39">
        <f t="shared" si="59"/>
        <v>0.25431713767876846</v>
      </c>
      <c r="BW36" s="39">
        <f t="shared" si="59"/>
        <v>6.3460558473018083E-2</v>
      </c>
      <c r="BX36" s="159">
        <f t="shared" si="27"/>
        <v>1287.5579697440016</v>
      </c>
      <c r="BZ36" s="117">
        <f t="shared" si="60"/>
        <v>2033</v>
      </c>
      <c r="CA36" s="85">
        <f>EnergyCal!C$19</f>
        <v>11.311273520921988</v>
      </c>
      <c r="CB36" s="85">
        <f>EnergyCal!D$19</f>
        <v>7.3644826439967002</v>
      </c>
      <c r="CC36" s="85">
        <f t="shared" si="61"/>
        <v>64.787309373184584</v>
      </c>
      <c r="CD36" s="85">
        <f>EnergyCal!F$19</f>
        <v>2.5223539755632576</v>
      </c>
      <c r="CE36" s="179">
        <f t="shared" si="62"/>
        <v>11.314580486333503</v>
      </c>
      <c r="CF36" s="85">
        <f t="shared" si="63"/>
        <v>2.6999999999999997</v>
      </c>
      <c r="CG36" s="85">
        <f t="shared" si="39"/>
        <v>100.00000000000004</v>
      </c>
    </row>
    <row r="37" spans="1:85" x14ac:dyDescent="0.25">
      <c r="A37" s="117">
        <f t="shared" si="53"/>
        <v>2034</v>
      </c>
      <c r="B37" s="66">
        <f>INDEX((Proj_PasMob!$Q$6:$Q$46),MATCH(A37,Proj_PasMob!$M$6:M$46,0))</f>
        <v>11624757297.551462</v>
      </c>
      <c r="C37" s="119">
        <f>B37*Table1101826[Gasoline]%</f>
        <v>6385521281.8888235</v>
      </c>
      <c r="D37" s="123">
        <f>B37*Table1101826[[Diesel ]]%</f>
        <v>5232867561.9373045</v>
      </c>
      <c r="E37" s="121">
        <f>B37*Table1101826[LPG]%</f>
        <v>6368453.7253346797</v>
      </c>
      <c r="F37" s="66">
        <f t="shared" si="11"/>
        <v>0</v>
      </c>
      <c r="H37" s="31">
        <f t="shared" si="32"/>
        <v>722283777.93112886</v>
      </c>
      <c r="I37" s="66">
        <f t="shared" si="33"/>
        <v>470260606.533418</v>
      </c>
      <c r="J37" s="66">
        <f t="shared" si="58"/>
        <v>4047610130.0414109</v>
      </c>
      <c r="K37" s="66">
        <f t="shared" si="35"/>
        <v>161065449.91416064</v>
      </c>
      <c r="L37" s="66">
        <f t="shared" si="36"/>
        <v>786350157.73015404</v>
      </c>
      <c r="M37" s="66">
        <f t="shared" si="12"/>
        <v>2.3543834686279297E-6</v>
      </c>
      <c r="N37" s="31">
        <f t="shared" si="37"/>
        <v>197951159.73855349</v>
      </c>
      <c r="P37" s="66">
        <f>D37*Table3122028[Cars]%</f>
        <v>442513485.01608217</v>
      </c>
      <c r="Q37" s="66">
        <f>D37*Table3122028[DPV]%</f>
        <v>638269541.51001966</v>
      </c>
      <c r="R37" s="66">
        <f>D37*Table3122028[Buses]%</f>
        <v>4152084535.4112024</v>
      </c>
      <c r="S37" s="66">
        <f t="shared" si="13"/>
        <v>0</v>
      </c>
      <c r="W37" s="66">
        <f>E37*Table4132129[Cars]%</f>
        <v>6019129.2593880519</v>
      </c>
      <c r="X37" s="66">
        <f>E37*Table4132129[DPV]%</f>
        <v>349324.46594662796</v>
      </c>
      <c r="Y37" s="66">
        <f t="shared" si="14"/>
        <v>0</v>
      </c>
      <c r="AB37" s="117">
        <f t="shared" si="54"/>
        <v>2034</v>
      </c>
      <c r="AD37" s="66">
        <f>H37*Table5142230[Autocycle]*0.01*$AD$7/1000</f>
        <v>12820.537058277538</v>
      </c>
      <c r="AE37" s="66">
        <f>I37*Table5142230[Motocycle]*0.01*$AD$7/1000</f>
        <v>10016.550919161804</v>
      </c>
      <c r="AF37" s="66">
        <f>J37*Table5142230[Car]*0.01*$AD$7/$AL$8/1000</f>
        <v>98314.319737584796</v>
      </c>
      <c r="AG37" s="66">
        <f>K37*Table5142230[DPV]*0.01*$AD$7/$AL$8/1000</f>
        <v>6921.5757818374841</v>
      </c>
      <c r="AH37" s="66">
        <f>L37*Table5142230[Car_Hbrid]*0.01*$AD$7/$AL$8/1000</f>
        <v>11753.86551554546</v>
      </c>
      <c r="AI37" s="66">
        <f>Freight!E29*$AG$8*$AI$8*$AD$7/1000</f>
        <v>6068.6914423461449</v>
      </c>
      <c r="AJ37" s="66">
        <f t="shared" si="38"/>
        <v>145895.54045475321</v>
      </c>
      <c r="AK37" s="66">
        <f>P37*Table5142230[Car_Dsl]*0.01*$AD$8/$AL$8/1000</f>
        <v>13857.659136029943</v>
      </c>
      <c r="AL37" s="66">
        <f>Q37*Table5142230[DPV_Dsl]*0.01*$AD$8/$AL$8/1000</f>
        <v>32266.20498001968</v>
      </c>
      <c r="AM37" s="66">
        <f>R37*Table5142230[Bus]*0.01*$AD$8/$AL$9/1000</f>
        <v>30553.410631290149</v>
      </c>
      <c r="AN37" s="66">
        <f>Freight!E29*$AG$9*$AI$9*$AD$8/1000</f>
        <v>184323.66163857753</v>
      </c>
      <c r="AO37" s="66">
        <f t="shared" si="16"/>
        <v>261000.9363859173</v>
      </c>
      <c r="AQ37" s="66">
        <f>W37*Table5142230[Car_LPG]*0.01*$AD$9/$AL$8/1000</f>
        <v>141.07619318339877</v>
      </c>
      <c r="AR37" s="66">
        <f>X37*Table5142230[DPV_LPG]*0.01*$AD$9/$AL$8/1000</f>
        <v>14.485501978652549</v>
      </c>
      <c r="AS37" s="66">
        <f t="shared" si="40"/>
        <v>750.56354035107154</v>
      </c>
      <c r="AT37" s="66">
        <f t="shared" si="17"/>
        <v>906.12523551312279</v>
      </c>
      <c r="AU37" s="31">
        <f t="shared" si="18"/>
        <v>9061.2523551312279</v>
      </c>
      <c r="AW37" s="148">
        <f t="shared" si="3"/>
        <v>407802.60207618366</v>
      </c>
      <c r="AY37" s="163">
        <f t="shared" si="43"/>
        <v>145895.54045475321</v>
      </c>
      <c r="AZ37" s="163">
        <f t="shared" si="44"/>
        <v>261000.9363859173</v>
      </c>
      <c r="BA37" s="163">
        <f t="shared" si="6"/>
        <v>906.12523551312279</v>
      </c>
      <c r="BB37" s="163">
        <f t="shared" si="19"/>
        <v>407802.60207618366</v>
      </c>
      <c r="BC37" s="117">
        <f t="shared" si="55"/>
        <v>2034</v>
      </c>
      <c r="BD37" s="177">
        <f t="shared" si="46"/>
        <v>0.95000000000000029</v>
      </c>
      <c r="BE37" s="163">
        <f t="shared" si="56"/>
        <v>8130.1339285714303</v>
      </c>
      <c r="BF37" s="163">
        <f t="shared" si="20"/>
        <v>137765.40652618179</v>
      </c>
      <c r="BJ37" s="117">
        <f t="shared" si="57"/>
        <v>2034</v>
      </c>
      <c r="BK37" s="85">
        <f t="shared" si="21"/>
        <v>427.71199171744502</v>
      </c>
      <c r="BL37" s="85">
        <f t="shared" si="22"/>
        <v>0.20367237700830712</v>
      </c>
      <c r="BM37" s="85">
        <f t="shared" si="23"/>
        <v>1.9750048679593419E-2</v>
      </c>
      <c r="BN37" s="85">
        <f t="shared" si="24"/>
        <v>837.42933442230719</v>
      </c>
      <c r="BO37" s="85">
        <f t="shared" si="7"/>
        <v>4.4075228127489853E-2</v>
      </c>
      <c r="BP37" s="85">
        <f t="shared" si="8"/>
        <v>4.4075228127489853E-2</v>
      </c>
      <c r="BQ37" s="85">
        <f t="shared" si="25"/>
        <v>2.9846134232378341</v>
      </c>
      <c r="BR37" s="85">
        <f t="shared" si="9"/>
        <v>2.9325837122146704E-3</v>
      </c>
      <c r="BS37" s="85">
        <f t="shared" si="10"/>
        <v>9.4599474587570025E-6</v>
      </c>
      <c r="BU37" s="39">
        <f t="shared" si="59"/>
        <v>1268.12593956299</v>
      </c>
      <c r="BV37" s="39">
        <f t="shared" si="59"/>
        <v>0.25068018884801163</v>
      </c>
      <c r="BW37" s="39">
        <f t="shared" si="59"/>
        <v>6.3834736754542029E-2</v>
      </c>
      <c r="BX37" s="159">
        <f t="shared" si="27"/>
        <v>1293.4156958370438</v>
      </c>
      <c r="BZ37" s="117">
        <f t="shared" si="60"/>
        <v>2034</v>
      </c>
      <c r="CA37" s="85">
        <f>EnergyCal!C$19</f>
        <v>11.311273520921988</v>
      </c>
      <c r="CB37" s="85">
        <f>EnergyCal!D$19</f>
        <v>7.3644826439967002</v>
      </c>
      <c r="CC37" s="85">
        <f t="shared" si="61"/>
        <v>63.387309373184586</v>
      </c>
      <c r="CD37" s="85">
        <f>EnergyCal!F$19</f>
        <v>2.5223539755632576</v>
      </c>
      <c r="CE37" s="179">
        <f t="shared" si="62"/>
        <v>12.314580486333503</v>
      </c>
      <c r="CF37" s="85">
        <f t="shared" si="63"/>
        <v>3.0999999999999996</v>
      </c>
      <c r="CG37" s="85">
        <f t="shared" si="39"/>
        <v>100.00000000000003</v>
      </c>
    </row>
    <row r="38" spans="1:85" x14ac:dyDescent="0.25">
      <c r="A38" s="117">
        <f t="shared" si="53"/>
        <v>2035</v>
      </c>
      <c r="B38" s="66">
        <f>INDEX((Proj_PasMob!$Q$6:$Q$46),MATCH(A38,Proj_PasMob!$M$6:M$46,0))</f>
        <v>11596440643.258757</v>
      </c>
      <c r="C38" s="119">
        <f>B38*Table1101826[Gasoline]%</f>
        <v>6369966841.1388187</v>
      </c>
      <c r="D38" s="123">
        <f>B38*Table1101826[[Diesel ]]%</f>
        <v>5220120861.2606287</v>
      </c>
      <c r="E38" s="121">
        <f>B38*Table1101826[LPG]%</f>
        <v>6352940.8593105972</v>
      </c>
      <c r="F38" s="66">
        <f t="shared" si="11"/>
        <v>0</v>
      </c>
      <c r="H38" s="31">
        <f t="shared" si="32"/>
        <v>720524372.59324598</v>
      </c>
      <c r="I38" s="66">
        <f t="shared" si="33"/>
        <v>469115102.44401318</v>
      </c>
      <c r="J38" s="66">
        <f t="shared" si="58"/>
        <v>3948571052.7859931</v>
      </c>
      <c r="K38" s="66">
        <f t="shared" si="35"/>
        <v>160673111.85952625</v>
      </c>
      <c r="L38" s="66">
        <f t="shared" si="36"/>
        <v>848134362.01618373</v>
      </c>
      <c r="M38" s="66">
        <f t="shared" si="12"/>
        <v>2.1159648895263672E-6</v>
      </c>
      <c r="N38" s="31">
        <f t="shared" si="37"/>
        <v>222948839.43985865</v>
      </c>
      <c r="P38" s="66">
        <f>D38*Table3122028[Cars]%</f>
        <v>441435569.92036659</v>
      </c>
      <c r="Q38" s="66">
        <f>D38*Table3122028[DPV]%</f>
        <v>636714785.7856735</v>
      </c>
      <c r="R38" s="66">
        <f>D38*Table3122028[Buses]%</f>
        <v>4141970505.5545883</v>
      </c>
      <c r="S38" s="66">
        <f t="shared" si="13"/>
        <v>0</v>
      </c>
      <c r="W38" s="66">
        <f>E38*Table4132129[Cars]%</f>
        <v>6004467.3100657118</v>
      </c>
      <c r="X38" s="66">
        <f>E38*Table4132129[DPV]%</f>
        <v>348473.54924488504</v>
      </c>
      <c r="Y38" s="66">
        <f t="shared" si="14"/>
        <v>0</v>
      </c>
      <c r="AB38" s="117">
        <f t="shared" si="54"/>
        <v>2035</v>
      </c>
      <c r="AD38" s="66">
        <f>H38*Table5142230[Autocycle]*0.01*$AD$7/1000</f>
        <v>12789.307613530114</v>
      </c>
      <c r="AE38" s="66">
        <f>I38*Table5142230[Motocycle]*0.01*$AD$7/1000</f>
        <v>9992.1516820574816</v>
      </c>
      <c r="AF38" s="66">
        <f>J38*Table5142230[Car]*0.01*$AD$7/$AL$8/1000</f>
        <v>95908.712676880838</v>
      </c>
      <c r="AG38" s="66">
        <f>K38*Table5142230[DPV]*0.01*$AD$7/$AL$8/1000</f>
        <v>6904.715570173852</v>
      </c>
      <c r="AH38" s="66">
        <f>L38*Table5142230[Car_Hbrid]*0.01*$AD$7/$AL$8/1000</f>
        <v>12677.376779610324</v>
      </c>
      <c r="AI38" s="66">
        <f>Freight!E30*$AG$8*$AI$8*$AD$7/1000</f>
        <v>6251.8123540131874</v>
      </c>
      <c r="AJ38" s="66">
        <f t="shared" si="38"/>
        <v>144524.0766762658</v>
      </c>
      <c r="AK38" s="66">
        <f>P38*Table5142230[Car_Dsl]*0.01*$AD$8/$AL$8/1000</f>
        <v>13823.903373822006</v>
      </c>
      <c r="AL38" s="66">
        <f>Q38*Table5142230[DPV_Dsl]*0.01*$AD$8/$AL$8/1000</f>
        <v>32187.607986691553</v>
      </c>
      <c r="AM38" s="66">
        <f>R38*Table5142230[Bus]*0.01*$AD$8/$AL$9/1000</f>
        <v>30478.985820159553</v>
      </c>
      <c r="AN38" s="66">
        <f>Freight!E30*$AG$9*$AI$9*$AD$8/1000</f>
        <v>189885.57185954187</v>
      </c>
      <c r="AO38" s="66">
        <f t="shared" si="16"/>
        <v>266376.06904021499</v>
      </c>
      <c r="AQ38" s="66">
        <f>W38*Table5142230[Car_LPG]*0.01*$AD$9/$AL$8/1000</f>
        <v>140.73254680102258</v>
      </c>
      <c r="AR38" s="66">
        <f>X38*Table5142230[DPV_LPG]*0.01*$AD$9/$AL$8/1000</f>
        <v>14.450216859033564</v>
      </c>
      <c r="AS38" s="66">
        <f t="shared" si="40"/>
        <v>697.27352898614549</v>
      </c>
      <c r="AT38" s="66">
        <f t="shared" si="17"/>
        <v>852.45629264620163</v>
      </c>
      <c r="AU38" s="31">
        <f t="shared" si="18"/>
        <v>8524.5629264620165</v>
      </c>
      <c r="AW38" s="148">
        <f t="shared" si="3"/>
        <v>411752.60200912697</v>
      </c>
      <c r="AY38" s="163">
        <f t="shared" si="43"/>
        <v>144524.0766762658</v>
      </c>
      <c r="AZ38" s="163">
        <f t="shared" si="44"/>
        <v>266376.06904021499</v>
      </c>
      <c r="BA38" s="163">
        <f t="shared" si="6"/>
        <v>852.45629264620163</v>
      </c>
      <c r="BB38" s="163">
        <f t="shared" si="19"/>
        <v>411752.60200912697</v>
      </c>
      <c r="BC38" s="117">
        <f t="shared" si="55"/>
        <v>2035</v>
      </c>
      <c r="BD38" s="177">
        <f>BD37+$BE$8</f>
        <v>1.0000000000000002</v>
      </c>
      <c r="BE38" s="163">
        <f t="shared" si="56"/>
        <v>8558.0357142857156</v>
      </c>
      <c r="BF38" s="163">
        <f t="shared" si="20"/>
        <v>135966.04096198009</v>
      </c>
      <c r="BJ38" s="117">
        <f t="shared" si="57"/>
        <v>2035</v>
      </c>
      <c r="BK38" s="85">
        <f t="shared" si="21"/>
        <v>422.12560941220187</v>
      </c>
      <c r="BL38" s="85">
        <f t="shared" si="22"/>
        <v>0.20101219495819134</v>
      </c>
      <c r="BM38" s="85">
        <f t="shared" si="23"/>
        <v>1.9492091632309465E-2</v>
      </c>
      <c r="BN38" s="85">
        <f t="shared" si="24"/>
        <v>854.67560879760094</v>
      </c>
      <c r="BO38" s="85">
        <f t="shared" si="7"/>
        <v>4.4982926778821097E-2</v>
      </c>
      <c r="BP38" s="85">
        <f t="shared" si="8"/>
        <v>4.4982926778821097E-2</v>
      </c>
      <c r="BQ38" s="85">
        <f t="shared" si="25"/>
        <v>2.8078375858439117</v>
      </c>
      <c r="BR38" s="85">
        <f t="shared" si="9"/>
        <v>2.7588895455201668E-3</v>
      </c>
      <c r="BS38" s="85">
        <f t="shared" si="10"/>
        <v>8.8996436952263451E-6</v>
      </c>
      <c r="BU38" s="39">
        <f t="shared" si="59"/>
        <v>1279.6090557956466</v>
      </c>
      <c r="BV38" s="39">
        <f t="shared" si="59"/>
        <v>0.24875401128253261</v>
      </c>
      <c r="BW38" s="39">
        <f t="shared" si="59"/>
        <v>6.4483918054825798E-2</v>
      </c>
      <c r="BX38" s="159">
        <f t="shared" si="27"/>
        <v>1305.044113658048</v>
      </c>
      <c r="BZ38" s="117">
        <f t="shared" si="60"/>
        <v>2035</v>
      </c>
      <c r="CA38" s="85">
        <f>EnergyCal!C$19</f>
        <v>11.311273520921988</v>
      </c>
      <c r="CB38" s="85">
        <f>EnergyCal!D$19</f>
        <v>7.3644826439967002</v>
      </c>
      <c r="CC38" s="85">
        <f t="shared" si="61"/>
        <v>61.987309373184587</v>
      </c>
      <c r="CD38" s="85">
        <f>EnergyCal!F$19</f>
        <v>2.5223539755632576</v>
      </c>
      <c r="CE38" s="179">
        <f t="shared" si="62"/>
        <v>13.314580486333503</v>
      </c>
      <c r="CF38" s="85">
        <f t="shared" si="63"/>
        <v>3.4999999999999996</v>
      </c>
      <c r="CG38" s="85">
        <f t="shared" si="39"/>
        <v>100.00000000000003</v>
      </c>
    </row>
    <row r="39" spans="1:85" x14ac:dyDescent="0.25">
      <c r="A39" s="117">
        <f t="shared" si="53"/>
        <v>2036</v>
      </c>
      <c r="B39" s="66">
        <f>INDEX((Proj_PasMob!$Q$6:$Q$46),MATCH(A39,Proj_PasMob!$M$6:M$46,0))</f>
        <v>11565453970.828867</v>
      </c>
      <c r="C39" s="119">
        <f>B39*Table1101826[Gasoline]%</f>
        <v>6352945749.7567511</v>
      </c>
      <c r="D39" s="123">
        <f>B39*Table1101826[[Diesel ]]%</f>
        <v>5206172255.8093214</v>
      </c>
      <c r="E39" s="121">
        <f>B39*Table1101826[LPG]%</f>
        <v>6335965.2627952686</v>
      </c>
      <c r="F39" s="66">
        <f t="shared" si="11"/>
        <v>0</v>
      </c>
      <c r="H39" s="31">
        <f t="shared" si="32"/>
        <v>718599070.39077425</v>
      </c>
      <c r="I39" s="66">
        <f t="shared" si="33"/>
        <v>467861587.123362</v>
      </c>
      <c r="J39" s="66">
        <f t="shared" si="58"/>
        <v>3791902383.9678936</v>
      </c>
      <c r="K39" s="66">
        <f t="shared" si="35"/>
        <v>160243779.68436641</v>
      </c>
      <c r="L39" s="66">
        <f t="shared" si="36"/>
        <v>941162261.35081732</v>
      </c>
      <c r="M39" s="66">
        <f t="shared" si="12"/>
        <v>3.0398368835449219E-6</v>
      </c>
      <c r="N39" s="31">
        <f t="shared" si="37"/>
        <v>273176667.23954028</v>
      </c>
      <c r="P39" s="66">
        <f>D39*Table3122028[Cars]%</f>
        <v>440256016.65701455</v>
      </c>
      <c r="Q39" s="66">
        <f>D39*Table3122028[DPV]%</f>
        <v>635013429.90369618</v>
      </c>
      <c r="R39" s="66">
        <f>D39*Table3122028[Buses]%</f>
        <v>4130902809.2486105</v>
      </c>
      <c r="S39" s="66">
        <f t="shared" si="13"/>
        <v>0</v>
      </c>
      <c r="W39" s="66">
        <f>E39*Table4132129[Cars]%</f>
        <v>5988422.8644140931</v>
      </c>
      <c r="X39" s="66">
        <f>E39*Table4132129[DPV]%</f>
        <v>347542.39838117507</v>
      </c>
      <c r="Y39" s="66">
        <f t="shared" si="14"/>
        <v>0</v>
      </c>
      <c r="AB39" s="117">
        <f t="shared" si="54"/>
        <v>2036</v>
      </c>
      <c r="AD39" s="66">
        <f>H39*Table5142230[Autocycle]*0.01*$AD$7/1000</f>
        <v>12755.133499436242</v>
      </c>
      <c r="AE39" s="66">
        <f>I39*Table5142230[Motocycle]*0.01*$AD$7/1000</f>
        <v>9965.4518057276109</v>
      </c>
      <c r="AF39" s="66">
        <f>J39*Table5142230[Car]*0.01*$AD$7/$AL$8/1000</f>
        <v>92103.313168483321</v>
      </c>
      <c r="AG39" s="66">
        <f>K39*Table5142230[DPV]*0.01*$AD$7/$AL$8/1000</f>
        <v>6886.2655848571148</v>
      </c>
      <c r="AH39" s="66">
        <f>L39*Table5142230[Car_Hbrid]*0.01*$AD$7/$AL$8/1000</f>
        <v>14067.899064401694</v>
      </c>
      <c r="AI39" s="66">
        <f>Freight!E31*$AG$8*$AI$8*$AD$7/1000</f>
        <v>6440.4228241135461</v>
      </c>
      <c r="AJ39" s="66">
        <f t="shared" si="38"/>
        <v>142218.48594701954</v>
      </c>
      <c r="AK39" s="66">
        <f>P39*Table5142230[Car_Dsl]*0.01*$AD$8/$AL$8/1000</f>
        <v>13786.964732153878</v>
      </c>
      <c r="AL39" s="66">
        <f>Q39*Table5142230[DPV_Dsl]*0.01*$AD$8/$AL$8/1000</f>
        <v>32101.599969605275</v>
      </c>
      <c r="AM39" s="66">
        <f>R39*Table5142230[Bus]*0.01*$AD$8/$AL$9/1000</f>
        <v>30397.543386342273</v>
      </c>
      <c r="AN39" s="66">
        <f>Freight!E31*$AG$9*$AI$9*$AD$8/1000</f>
        <v>195614.21580240008</v>
      </c>
      <c r="AO39" s="66">
        <f t="shared" si="16"/>
        <v>271900.32389050152</v>
      </c>
      <c r="AQ39" s="66">
        <f>W39*Table5142230[Car_LPG]*0.01*$AD$9/$AL$8/1000</f>
        <v>140.35649750606214</v>
      </c>
      <c r="AR39" s="66">
        <f>X39*Table5142230[DPV_LPG]*0.01*$AD$9/$AL$8/1000</f>
        <v>14.411604654640312</v>
      </c>
      <c r="AS39" s="66">
        <f t="shared" si="40"/>
        <v>647.76710842812918</v>
      </c>
      <c r="AT39" s="66">
        <f t="shared" si="17"/>
        <v>802.53521058883166</v>
      </c>
      <c r="AU39" s="31">
        <f t="shared" si="18"/>
        <v>8025.3521058883161</v>
      </c>
      <c r="AW39" s="148">
        <f t="shared" si="3"/>
        <v>414921.34504810988</v>
      </c>
      <c r="AY39" s="163">
        <f t="shared" si="43"/>
        <v>142218.48594701954</v>
      </c>
      <c r="AZ39" s="163">
        <f t="shared" si="44"/>
        <v>271900.32389050152</v>
      </c>
      <c r="BA39" s="163">
        <f t="shared" si="6"/>
        <v>802.53521058883166</v>
      </c>
      <c r="BB39" s="163">
        <f t="shared" si="19"/>
        <v>414921.34504810988</v>
      </c>
      <c r="BC39" s="117">
        <f t="shared" si="55"/>
        <v>2036</v>
      </c>
      <c r="BD39" s="177">
        <f>BD38+$BE$9</f>
        <v>1.0000000000000002</v>
      </c>
      <c r="BE39" s="163">
        <f t="shared" si="56"/>
        <v>8558.0357142857156</v>
      </c>
      <c r="BF39" s="163">
        <f t="shared" si="20"/>
        <v>133660.45023273383</v>
      </c>
      <c r="BJ39" s="117">
        <f t="shared" si="57"/>
        <v>2036</v>
      </c>
      <c r="BK39" s="85">
        <f t="shared" si="21"/>
        <v>414.96758021055473</v>
      </c>
      <c r="BL39" s="85">
        <f t="shared" si="22"/>
        <v>0.19760360962407364</v>
      </c>
      <c r="BM39" s="85">
        <f t="shared" si="23"/>
        <v>1.916156214536472E-2</v>
      </c>
      <c r="BN39" s="85">
        <f t="shared" si="24"/>
        <v>872.40034621239067</v>
      </c>
      <c r="BO39" s="85">
        <f t="shared" si="7"/>
        <v>4.5915807695388985E-2</v>
      </c>
      <c r="BP39" s="85">
        <f t="shared" si="8"/>
        <v>4.5915807695388985E-2</v>
      </c>
      <c r="BQ39" s="85">
        <f t="shared" si="25"/>
        <v>2.6434065273417056</v>
      </c>
      <c r="BR39" s="85">
        <f t="shared" si="9"/>
        <v>2.5973249555496947E-3</v>
      </c>
      <c r="BS39" s="85">
        <f t="shared" si="10"/>
        <v>8.3784675985474034E-6</v>
      </c>
      <c r="BU39" s="39">
        <f t="shared" si="59"/>
        <v>1290.0113329502872</v>
      </c>
      <c r="BV39" s="39">
        <f t="shared" si="59"/>
        <v>0.24611674227501235</v>
      </c>
      <c r="BW39" s="39">
        <f t="shared" si="59"/>
        <v>6.5085748308352259E-2</v>
      </c>
      <c r="BX39" s="159">
        <f t="shared" si="27"/>
        <v>1315.5598045030515</v>
      </c>
      <c r="BZ39" s="117">
        <f t="shared" si="60"/>
        <v>2036</v>
      </c>
      <c r="CA39" s="85">
        <f>EnergyCal!C$19</f>
        <v>11.311273520921988</v>
      </c>
      <c r="CB39" s="85">
        <f>EnergyCal!D$19</f>
        <v>7.3644826439967002</v>
      </c>
      <c r="CC39" s="85">
        <f>CC38-$CJ$8-$CJ$9</f>
        <v>59.68730937318459</v>
      </c>
      <c r="CD39" s="85">
        <f>EnergyCal!F$19</f>
        <v>2.5223539755632576</v>
      </c>
      <c r="CE39" s="179">
        <f>CE38+$CJ$8</f>
        <v>14.814580486333503</v>
      </c>
      <c r="CF39" s="85">
        <f>CF38+$CJ$9</f>
        <v>4.3</v>
      </c>
      <c r="CG39" s="85">
        <f t="shared" si="39"/>
        <v>100.00000000000004</v>
      </c>
    </row>
    <row r="40" spans="1:85" x14ac:dyDescent="0.25">
      <c r="A40" s="117">
        <f t="shared" si="53"/>
        <v>2037</v>
      </c>
      <c r="B40" s="66">
        <f>INDEX((Proj_PasMob!$Q$6:$Q$46),MATCH(A40,Proj_PasMob!$M$6:M$46,0))</f>
        <v>11532002952.297762</v>
      </c>
      <c r="C40" s="119">
        <f>B40*Table1101826[Gasoline]%</f>
        <v>6334570984.1368084</v>
      </c>
      <c r="D40" s="123">
        <f>B40*Table1101826[[Diesel ]]%</f>
        <v>5191114328.5507412</v>
      </c>
      <c r="E40" s="121">
        <f>B40*Table1101826[LPG]%</f>
        <v>6317639.610213642</v>
      </c>
      <c r="F40" s="66">
        <f t="shared" si="11"/>
        <v>0</v>
      </c>
      <c r="H40" s="31">
        <f t="shared" si="32"/>
        <v>716520650.39267421</v>
      </c>
      <c r="I40" s="66">
        <f t="shared" si="33"/>
        <v>466508380.69840622</v>
      </c>
      <c r="J40" s="66">
        <f t="shared" si="58"/>
        <v>3635239848.1305742</v>
      </c>
      <c r="K40" s="66">
        <f t="shared" si="35"/>
        <v>159780303.05325136</v>
      </c>
      <c r="L40" s="66">
        <f t="shared" si="36"/>
        <v>1033458681.670928</v>
      </c>
      <c r="M40" s="66">
        <f t="shared" si="12"/>
        <v>2.9802322387695313E-6</v>
      </c>
      <c r="N40" s="31">
        <f t="shared" si="37"/>
        <v>323063120.19097722</v>
      </c>
      <c r="P40" s="66">
        <f>D40*Table3122028[Cars]%</f>
        <v>438982654.43459165</v>
      </c>
      <c r="Q40" s="66">
        <f>D40*Table3122028[DPV]%</f>
        <v>633176766.50381708</v>
      </c>
      <c r="R40" s="66">
        <f>D40*Table3122028[Buses]%</f>
        <v>4118954907.6123323</v>
      </c>
      <c r="S40" s="66">
        <f t="shared" si="13"/>
        <v>0</v>
      </c>
      <c r="W40" s="66">
        <f>E40*Table4132129[Cars]%</f>
        <v>5971102.416404455</v>
      </c>
      <c r="X40" s="66">
        <f>E40*Table4132129[DPV]%</f>
        <v>346537.1938091871</v>
      </c>
      <c r="Y40" s="66">
        <f t="shared" si="14"/>
        <v>0</v>
      </c>
      <c r="AB40" s="117">
        <f t="shared" si="54"/>
        <v>2037</v>
      </c>
      <c r="AD40" s="66">
        <f>H40*Table5142230[Autocycle]*0.01*$AD$7/1000</f>
        <v>12718.241544469965</v>
      </c>
      <c r="AE40" s="66">
        <f>I40*Table5142230[Motocycle]*0.01*$AD$7/1000</f>
        <v>9936.6285088760524</v>
      </c>
      <c r="AF40" s="66">
        <f>J40*Table5142230[Car]*0.01*$AD$7/$AL$8/1000</f>
        <v>88298.062626961051</v>
      </c>
      <c r="AG40" s="66">
        <f>K40*Table5142230[DPV]*0.01*$AD$7/$AL$8/1000</f>
        <v>6866.3482864726184</v>
      </c>
      <c r="AH40" s="66">
        <f>L40*Table5142230[Car_Hbrid]*0.01*$AD$7/$AL$8/1000</f>
        <v>15447.487662870715</v>
      </c>
      <c r="AI40" s="66">
        <f>Freight!E32*$AG$8*$AI$8*$AD$7/1000</f>
        <v>6634.6875394002236</v>
      </c>
      <c r="AJ40" s="66">
        <f t="shared" si="38"/>
        <v>139901.45616905062</v>
      </c>
      <c r="AK40" s="66">
        <f>P40*Table5142230[Car_Dsl]*0.01*$AD$8/$AL$8/1000</f>
        <v>13747.088388872739</v>
      </c>
      <c r="AL40" s="66">
        <f>Q40*Table5142230[DPV_Dsl]*0.01*$AD$8/$AL$8/1000</f>
        <v>32008.751801416645</v>
      </c>
      <c r="AM40" s="66">
        <f>R40*Table5142230[Bus]*0.01*$AD$8/$AL$9/1000</f>
        <v>30309.623898730177</v>
      </c>
      <c r="AN40" s="66">
        <f>Freight!E32*$AG$9*$AI$9*$AD$8/1000</f>
        <v>201514.595478809</v>
      </c>
      <c r="AO40" s="66">
        <f t="shared" si="16"/>
        <v>277580.05956782855</v>
      </c>
      <c r="AQ40" s="66">
        <f>W40*Table5142230[Car_LPG]*0.01*$AD$9/$AL$8/1000</f>
        <v>139.95054130141355</v>
      </c>
      <c r="AR40" s="66">
        <f>X40*Table5142230[DPV_LPG]*0.01*$AD$9/$AL$8/1000</f>
        <v>14.369921651484423</v>
      </c>
      <c r="AS40" s="66">
        <f t="shared" si="40"/>
        <v>601.775643729732</v>
      </c>
      <c r="AT40" s="66">
        <f t="shared" si="17"/>
        <v>756.09610668262997</v>
      </c>
      <c r="AU40" s="31">
        <f t="shared" si="18"/>
        <v>7560.9610668262994</v>
      </c>
      <c r="AW40" s="148">
        <f t="shared" si="3"/>
        <v>418237.61184356175</v>
      </c>
      <c r="AY40" s="163">
        <f t="shared" si="43"/>
        <v>139901.45616905062</v>
      </c>
      <c r="AZ40" s="163">
        <f t="shared" si="44"/>
        <v>277580.05956782855</v>
      </c>
      <c r="BA40" s="163">
        <f t="shared" si="6"/>
        <v>756.09610668262997</v>
      </c>
      <c r="BB40" s="163">
        <f t="shared" si="19"/>
        <v>418237.61184356175</v>
      </c>
      <c r="BC40" s="117">
        <f t="shared" si="55"/>
        <v>2037</v>
      </c>
      <c r="BD40" s="177">
        <f t="shared" ref="BD40:BD53" si="64">BD39+$BE$9</f>
        <v>1.0000000000000002</v>
      </c>
      <c r="BE40" s="163">
        <f t="shared" si="56"/>
        <v>8558.0357142857156</v>
      </c>
      <c r="BF40" s="163">
        <f t="shared" si="20"/>
        <v>131343.42045476491</v>
      </c>
      <c r="BJ40" s="117">
        <f t="shared" si="57"/>
        <v>2037</v>
      </c>
      <c r="BK40" s="85">
        <f t="shared" si="21"/>
        <v>407.77403688068131</v>
      </c>
      <c r="BL40" s="85">
        <f t="shared" si="22"/>
        <v>0.1941781128003244</v>
      </c>
      <c r="BM40" s="85">
        <f t="shared" si="23"/>
        <v>1.8829392756395093E-2</v>
      </c>
      <c r="BN40" s="85">
        <f t="shared" si="24"/>
        <v>890.62394852516491</v>
      </c>
      <c r="BO40" s="85">
        <f t="shared" si="7"/>
        <v>4.6874944659219195E-2</v>
      </c>
      <c r="BP40" s="85">
        <f t="shared" si="8"/>
        <v>4.6874944659219195E-2</v>
      </c>
      <c r="BQ40" s="85">
        <f t="shared" si="25"/>
        <v>2.4904444781133801</v>
      </c>
      <c r="BR40" s="85">
        <f t="shared" si="9"/>
        <v>2.4470294396676637E-3</v>
      </c>
      <c r="BS40" s="85">
        <f t="shared" si="10"/>
        <v>7.8936433537666573E-6</v>
      </c>
      <c r="BU40" s="39">
        <f t="shared" si="59"/>
        <v>1300.8884298839596</v>
      </c>
      <c r="BV40" s="39">
        <f t="shared" si="59"/>
        <v>0.24350008689921124</v>
      </c>
      <c r="BW40" s="39">
        <f t="shared" si="59"/>
        <v>6.5712231058968062E-2</v>
      </c>
      <c r="BX40" s="159">
        <f t="shared" si="27"/>
        <v>1326.5581769120124</v>
      </c>
      <c r="BZ40" s="117">
        <f t="shared" si="60"/>
        <v>2037</v>
      </c>
      <c r="CA40" s="85">
        <f>EnergyCal!C$19</f>
        <v>11.311273520921988</v>
      </c>
      <c r="CB40" s="85">
        <f>EnergyCal!D$19</f>
        <v>7.3644826439967002</v>
      </c>
      <c r="CC40" s="85">
        <f t="shared" ref="CC40:CC43" si="65">CC39-$CJ$8-$CJ$9</f>
        <v>57.387309373184593</v>
      </c>
      <c r="CD40" s="85">
        <f>EnergyCal!F$19</f>
        <v>2.5223539755632576</v>
      </c>
      <c r="CE40" s="179">
        <f t="shared" ref="CE40:CE43" si="66">CE39+$CJ$8</f>
        <v>16.314580486333504</v>
      </c>
      <c r="CF40" s="85">
        <f t="shared" ref="CF40:CF43" si="67">CF39+$CJ$9</f>
        <v>5.0999999999999996</v>
      </c>
      <c r="CG40" s="85">
        <f t="shared" si="39"/>
        <v>100.00000000000003</v>
      </c>
    </row>
    <row r="41" spans="1:85" x14ac:dyDescent="0.25">
      <c r="A41" s="117">
        <f t="shared" si="53"/>
        <v>2038</v>
      </c>
      <c r="B41" s="66">
        <f>INDEX((Proj_PasMob!$Q$6:$Q$46),MATCH(A41,Proj_PasMob!$M$6:M$46,0))</f>
        <v>11496290126.490973</v>
      </c>
      <c r="C41" s="119">
        <f>B41*Table1101826[Gasoline]%</f>
        <v>6314953799.5893354</v>
      </c>
      <c r="D41" s="123">
        <f>B41*Table1101826[[Diesel ]]%</f>
        <v>5175038252.0421305</v>
      </c>
      <c r="E41" s="121">
        <f>B41*Table1101826[LPG]%</f>
        <v>6298074.8595070289</v>
      </c>
      <c r="F41" s="66">
        <f t="shared" si="11"/>
        <v>0</v>
      </c>
      <c r="H41" s="31">
        <f t="shared" si="32"/>
        <v>714301696.99140549</v>
      </c>
      <c r="I41" s="66">
        <f t="shared" si="33"/>
        <v>465063676.54716676</v>
      </c>
      <c r="J41" s="66">
        <f t="shared" si="58"/>
        <v>3478738136.3534532</v>
      </c>
      <c r="K41" s="66">
        <f t="shared" si="35"/>
        <v>159285488.21892461</v>
      </c>
      <c r="L41" s="66">
        <f t="shared" si="36"/>
        <v>1124982527.3026178</v>
      </c>
      <c r="M41" s="66">
        <f t="shared" si="12"/>
        <v>2.86102294921875E-6</v>
      </c>
      <c r="N41" s="31">
        <f t="shared" si="37"/>
        <v>372582274.17577076</v>
      </c>
      <c r="P41" s="66">
        <f>D41*Table3122028[Cars]%</f>
        <v>437623193.19139963</v>
      </c>
      <c r="Q41" s="66">
        <f>D41*Table3122028[DPV]%</f>
        <v>631215916.19354618</v>
      </c>
      <c r="R41" s="66">
        <f>D41*Table3122028[Buses]%</f>
        <v>4106199142.6571846</v>
      </c>
      <c r="S41" s="66">
        <f t="shared" si="13"/>
        <v>0</v>
      </c>
      <c r="W41" s="66">
        <f>E41*Table4132129[Cars]%</f>
        <v>5952610.8376775291</v>
      </c>
      <c r="X41" s="66">
        <f>E41*Table4132129[DPV]%</f>
        <v>345464.02182949946</v>
      </c>
      <c r="Y41" s="66">
        <f t="shared" si="14"/>
        <v>0</v>
      </c>
      <c r="AB41" s="117">
        <f t="shared" si="54"/>
        <v>2038</v>
      </c>
      <c r="AD41" s="66">
        <f>H41*Table5142230[Autocycle]*0.01*$AD$7/1000</f>
        <v>12678.855121597446</v>
      </c>
      <c r="AE41" s="66">
        <f>I41*Table5142230[Motocycle]*0.01*$AD$7/1000</f>
        <v>9905.856310454652</v>
      </c>
      <c r="AF41" s="66">
        <f>J41*Table5142230[Car]*0.01*$AD$7/$AL$8/1000</f>
        <v>84496.718417216776</v>
      </c>
      <c r="AG41" s="66">
        <f>K41*Table5142230[DPV]*0.01*$AD$7/$AL$8/1000</f>
        <v>6845.0842700395751</v>
      </c>
      <c r="AH41" s="66">
        <f>L41*Table5142230[Car_Hbrid]*0.01*$AD$7/$AL$8/1000</f>
        <v>16815.528302839131</v>
      </c>
      <c r="AI41" s="66">
        <f>Freight!E33*$AG$8*$AI$8*$AD$7/1000</f>
        <v>6834.7761272288035</v>
      </c>
      <c r="AJ41" s="66">
        <f t="shared" si="38"/>
        <v>137576.81854937636</v>
      </c>
      <c r="AK41" s="66">
        <f>P41*Table5142230[Car_Dsl]*0.01*$AD$8/$AL$8/1000</f>
        <v>13704.515786783306</v>
      </c>
      <c r="AL41" s="66">
        <f>Q41*Table5142230[DPV_Dsl]*0.01*$AD$8/$AL$8/1000</f>
        <v>31909.62565810006</v>
      </c>
      <c r="AM41" s="66">
        <f>R41*Table5142230[Bus]*0.01*$AD$8/$AL$9/1000</f>
        <v>30215.759691181651</v>
      </c>
      <c r="AN41" s="66">
        <f>Freight!E33*$AG$9*$AI$9*$AD$8/1000</f>
        <v>207591.86296077512</v>
      </c>
      <c r="AO41" s="66">
        <f t="shared" si="16"/>
        <v>283421.76409684017</v>
      </c>
      <c r="AQ41" s="66">
        <f>W41*Table5142230[Car_LPG]*0.01*$AD$9/$AL$8/1000</f>
        <v>139.51713616583234</v>
      </c>
      <c r="AR41" s="66">
        <f>X41*Table5142230[DPV_LPG]*0.01*$AD$9/$AL$8/1000</f>
        <v>14.325420231313139</v>
      </c>
      <c r="AS41" s="66">
        <f t="shared" si="40"/>
        <v>559.04957302492107</v>
      </c>
      <c r="AT41" s="66">
        <f t="shared" si="17"/>
        <v>712.89212942206655</v>
      </c>
      <c r="AU41" s="31">
        <f t="shared" si="18"/>
        <v>7128.921294220665</v>
      </c>
      <c r="AW41" s="148">
        <f t="shared" si="3"/>
        <v>421711.47477563855</v>
      </c>
      <c r="AY41" s="163">
        <f t="shared" si="43"/>
        <v>137576.81854937636</v>
      </c>
      <c r="AZ41" s="163">
        <f t="shared" si="44"/>
        <v>283421.76409684017</v>
      </c>
      <c r="BA41" s="163">
        <f t="shared" si="6"/>
        <v>712.89212942206655</v>
      </c>
      <c r="BB41" s="163">
        <f t="shared" si="19"/>
        <v>421711.47477563855</v>
      </c>
      <c r="BC41" s="117">
        <f t="shared" si="55"/>
        <v>2038</v>
      </c>
      <c r="BD41" s="177">
        <f t="shared" si="64"/>
        <v>1.0000000000000002</v>
      </c>
      <c r="BE41" s="163">
        <f t="shared" si="56"/>
        <v>8558.0357142857156</v>
      </c>
      <c r="BF41" s="163">
        <f t="shared" si="20"/>
        <v>129018.78283509065</v>
      </c>
      <c r="BJ41" s="117">
        <f t="shared" si="57"/>
        <v>2038</v>
      </c>
      <c r="BK41" s="85">
        <f t="shared" si="21"/>
        <v>400.55687394113585</v>
      </c>
      <c r="BL41" s="85">
        <f t="shared" si="22"/>
        <v>0.19074136854339799</v>
      </c>
      <c r="BM41" s="85">
        <f t="shared" si="23"/>
        <v>1.8496132707238593E-2</v>
      </c>
      <c r="BN41" s="85">
        <f t="shared" si="24"/>
        <v>909.3672327576345</v>
      </c>
      <c r="BO41" s="85">
        <f t="shared" si="7"/>
        <v>4.7861433303033392E-2</v>
      </c>
      <c r="BP41" s="85">
        <f t="shared" si="8"/>
        <v>4.7861433303033392E-2</v>
      </c>
      <c r="BQ41" s="85">
        <f t="shared" si="25"/>
        <v>2.348138353732991</v>
      </c>
      <c r="BR41" s="85">
        <f t="shared" si="9"/>
        <v>2.3072040876615761E-3</v>
      </c>
      <c r="BS41" s="85">
        <f t="shared" si="10"/>
        <v>7.4425938311663741E-6</v>
      </c>
      <c r="BU41" s="39">
        <f t="shared" si="59"/>
        <v>1312.2722450525034</v>
      </c>
      <c r="BV41" s="39">
        <f t="shared" si="59"/>
        <v>0.24091000593409295</v>
      </c>
      <c r="BW41" s="39">
        <f t="shared" si="59"/>
        <v>6.6365008604103146E-2</v>
      </c>
      <c r="BX41" s="159">
        <f t="shared" si="27"/>
        <v>1338.0717677648786</v>
      </c>
      <c r="BZ41" s="117">
        <f t="shared" si="60"/>
        <v>2038</v>
      </c>
      <c r="CA41" s="85">
        <f>EnergyCal!C$19</f>
        <v>11.311273520921988</v>
      </c>
      <c r="CB41" s="85">
        <f>EnergyCal!D$19</f>
        <v>7.3644826439967002</v>
      </c>
      <c r="CC41" s="85">
        <f t="shared" si="65"/>
        <v>55.087309373184596</v>
      </c>
      <c r="CD41" s="85">
        <f>EnergyCal!F$19</f>
        <v>2.5223539755632576</v>
      </c>
      <c r="CE41" s="179">
        <f t="shared" si="66"/>
        <v>17.814580486333504</v>
      </c>
      <c r="CF41" s="85">
        <f t="shared" si="67"/>
        <v>5.8999999999999995</v>
      </c>
      <c r="CG41" s="85">
        <f t="shared" si="39"/>
        <v>100.00000000000006</v>
      </c>
    </row>
    <row r="42" spans="1:85" x14ac:dyDescent="0.25">
      <c r="A42" s="117">
        <f t="shared" si="53"/>
        <v>2039</v>
      </c>
      <c r="B42" s="66">
        <f>INDEX((Proj_PasMob!$Q$6:$Q$46),MATCH(A42,Proj_PasMob!$M$6:M$46,0))</f>
        <v>11332573339.975914</v>
      </c>
      <c r="C42" s="119">
        <f>B42*Table1101826[Gasoline]%</f>
        <v>6225023575.8663378</v>
      </c>
      <c r="D42" s="123">
        <f>B42*Table1101826[[Diesel ]]%</f>
        <v>5101341379.103569</v>
      </c>
      <c r="E42" s="121">
        <f>B42*Table1101826[LPG]%</f>
        <v>6208385.0060077859</v>
      </c>
      <c r="F42" s="66">
        <f t="shared" si="11"/>
        <v>0</v>
      </c>
      <c r="H42" s="31">
        <f t="shared" si="32"/>
        <v>704129443.40812016</v>
      </c>
      <c r="I42" s="66">
        <f t="shared" si="33"/>
        <v>458440780.8293792</v>
      </c>
      <c r="J42" s="66">
        <f t="shared" si="58"/>
        <v>3286022453.5462422</v>
      </c>
      <c r="K42" s="66">
        <f t="shared" si="35"/>
        <v>157017129.64561462</v>
      </c>
      <c r="L42" s="66">
        <f t="shared" si="36"/>
        <v>1202337188.8539398</v>
      </c>
      <c r="M42" s="66">
        <f t="shared" si="12"/>
        <v>2.4437904357910156E-6</v>
      </c>
      <c r="N42" s="31">
        <f t="shared" si="37"/>
        <v>417076579.58304459</v>
      </c>
      <c r="P42" s="66">
        <f>D42*Table3122028[Cars]%</f>
        <v>431391072.90690374</v>
      </c>
      <c r="Q42" s="66">
        <f>D42*Table3122028[DPV]%</f>
        <v>622226873.61899972</v>
      </c>
      <c r="R42" s="66">
        <f>D42*Table3122028[Buses]%</f>
        <v>4047723432.5776653</v>
      </c>
      <c r="S42" s="66">
        <f t="shared" si="13"/>
        <v>0</v>
      </c>
      <c r="W42" s="66">
        <f>E42*Table4132129[Cars]%</f>
        <v>5867840.68078373</v>
      </c>
      <c r="X42" s="66">
        <f>E42*Table4132129[DPV]%</f>
        <v>340544.32522405573</v>
      </c>
      <c r="Y42" s="66">
        <f t="shared" si="14"/>
        <v>0</v>
      </c>
      <c r="AB42" s="117">
        <f t="shared" si="54"/>
        <v>2039</v>
      </c>
      <c r="AD42" s="66">
        <f>H42*Table5142230[Autocycle]*0.01*$AD$7/1000</f>
        <v>12498.297620494131</v>
      </c>
      <c r="AE42" s="66">
        <f>I42*Table5142230[Motocycle]*0.01*$AD$7/1000</f>
        <v>9764.7886316657768</v>
      </c>
      <c r="AF42" s="66">
        <f>J42*Table5142230[Car]*0.01*$AD$7/$AL$8/1000</f>
        <v>79815.755911136381</v>
      </c>
      <c r="AG42" s="66">
        <f>K42*Table5142230[DPV]*0.01*$AD$7/$AL$8/1000</f>
        <v>6747.6045450339125</v>
      </c>
      <c r="AH42" s="66">
        <f>L42*Table5142230[Car_Hbrid]*0.01*$AD$7/$AL$8/1000</f>
        <v>17971.776928132575</v>
      </c>
      <c r="AI42" s="66">
        <f>Freight!E34*$AG$8*$AI$8*$AD$7/1000</f>
        <v>7041.2054900003395</v>
      </c>
      <c r="AJ42" s="66">
        <f t="shared" si="38"/>
        <v>133839.4291264631</v>
      </c>
      <c r="AK42" s="66">
        <f>P42*Table5142230[Car_Dsl]*0.01*$AD$8/$AL$8/1000</f>
        <v>13509.352019979355</v>
      </c>
      <c r="AL42" s="66">
        <f>Q42*Table5142230[DPV_Dsl]*0.01*$AD$8/$AL$8/1000</f>
        <v>31455.205900581543</v>
      </c>
      <c r="AM42" s="66">
        <f>R42*Table5142230[Bus]*0.01*$AD$8/$AL$9/1000</f>
        <v>29785.462001725075</v>
      </c>
      <c r="AN42" s="66">
        <f>Freight!E34*$AG$9*$AI$9*$AD$8/1000</f>
        <v>213861.71806500125</v>
      </c>
      <c r="AO42" s="66">
        <f t="shared" si="16"/>
        <v>288611.73798728723</v>
      </c>
      <c r="AQ42" s="66">
        <f>W42*Table5142230[Car_LPG]*0.01*$AD$9/$AL$8/1000</f>
        <v>137.53029545934905</v>
      </c>
      <c r="AR42" s="66">
        <f>X42*Table5142230[DPV_LPG]*0.01*$AD$9/$AL$8/1000</f>
        <v>14.121414265915307</v>
      </c>
      <c r="AS42" s="66">
        <f t="shared" si="40"/>
        <v>519.35705334015165</v>
      </c>
      <c r="AT42" s="66">
        <f t="shared" si="17"/>
        <v>671.00876306541602</v>
      </c>
      <c r="AU42" s="31">
        <f t="shared" si="18"/>
        <v>6710.0876306541604</v>
      </c>
      <c r="AW42" s="148">
        <f t="shared" si="3"/>
        <v>423122.17587681569</v>
      </c>
      <c r="AY42" s="163">
        <f t="shared" si="43"/>
        <v>133839.4291264631</v>
      </c>
      <c r="AZ42" s="163">
        <f t="shared" si="44"/>
        <v>288611.73798728723</v>
      </c>
      <c r="BA42" s="163">
        <f t="shared" si="6"/>
        <v>671.00876306541602</v>
      </c>
      <c r="BB42" s="163">
        <f t="shared" si="19"/>
        <v>423122.17587681569</v>
      </c>
      <c r="BC42" s="117">
        <f t="shared" si="55"/>
        <v>2039</v>
      </c>
      <c r="BD42" s="177">
        <f t="shared" si="64"/>
        <v>1.0000000000000002</v>
      </c>
      <c r="BE42" s="163">
        <f t="shared" si="56"/>
        <v>8558.0357142857156</v>
      </c>
      <c r="BF42" s="163">
        <f t="shared" si="20"/>
        <v>125281.39341217739</v>
      </c>
      <c r="BJ42" s="117">
        <f t="shared" si="57"/>
        <v>2039</v>
      </c>
      <c r="BK42" s="85">
        <f t="shared" si="21"/>
        <v>388.95362524318239</v>
      </c>
      <c r="BL42" s="85">
        <f t="shared" si="22"/>
        <v>0.18521601202056304</v>
      </c>
      <c r="BM42" s="85">
        <f t="shared" si="23"/>
        <v>1.7960340559569746E-2</v>
      </c>
      <c r="BN42" s="85">
        <f t="shared" si="24"/>
        <v>926.01941968435062</v>
      </c>
      <c r="BO42" s="85">
        <f t="shared" si="7"/>
        <v>4.873786419391319E-2</v>
      </c>
      <c r="BP42" s="85">
        <f t="shared" si="8"/>
        <v>4.873786419391319E-2</v>
      </c>
      <c r="BQ42" s="85">
        <f t="shared" si="25"/>
        <v>2.2101820839601283</v>
      </c>
      <c r="BR42" s="85">
        <f t="shared" si="9"/>
        <v>2.1716527607849121E-3</v>
      </c>
      <c r="BS42" s="85">
        <f t="shared" si="10"/>
        <v>7.0053314864029435E-6</v>
      </c>
      <c r="BU42" s="39">
        <f t="shared" si="59"/>
        <v>1317.183227011493</v>
      </c>
      <c r="BV42" s="39">
        <f t="shared" si="59"/>
        <v>0.23612552897526112</v>
      </c>
      <c r="BW42" s="39">
        <f t="shared" si="59"/>
        <v>6.6705210084969338E-2</v>
      </c>
      <c r="BX42" s="159">
        <f t="shared" si="27"/>
        <v>1342.9645178411954</v>
      </c>
      <c r="BZ42" s="117">
        <f t="shared" si="60"/>
        <v>2039</v>
      </c>
      <c r="CA42" s="85">
        <f>EnergyCal!C$19</f>
        <v>11.311273520921988</v>
      </c>
      <c r="CB42" s="85">
        <f>EnergyCal!D$19</f>
        <v>7.3644826439967002</v>
      </c>
      <c r="CC42" s="85">
        <f t="shared" si="65"/>
        <v>52.787309373184598</v>
      </c>
      <c r="CD42" s="85">
        <f>EnergyCal!F$19</f>
        <v>2.5223539755632576</v>
      </c>
      <c r="CE42" s="179">
        <f t="shared" si="66"/>
        <v>19.314580486333504</v>
      </c>
      <c r="CF42" s="85">
        <f t="shared" si="67"/>
        <v>6.6999999999999993</v>
      </c>
      <c r="CG42" s="85">
        <f t="shared" si="39"/>
        <v>100.00000000000004</v>
      </c>
    </row>
    <row r="43" spans="1:85" x14ac:dyDescent="0.25">
      <c r="A43" s="117">
        <f t="shared" si="53"/>
        <v>2040</v>
      </c>
      <c r="B43" s="66">
        <f>INDEX((Proj_PasMob!$Q$6:$Q$46),MATCH(A43,Proj_PasMob!$M$6:M$46,0))</f>
        <v>11247537992.736448</v>
      </c>
      <c r="C43" s="119">
        <f>B43*Table1101826[Gasoline]%</f>
        <v>6178313351.6774178</v>
      </c>
      <c r="D43" s="123">
        <f>B43*Table1101826[[Diesel ]]%</f>
        <v>5063062841.4276724</v>
      </c>
      <c r="E43" s="121">
        <f>B43*Table1101826[LPG]%</f>
        <v>6161799.6313585993</v>
      </c>
      <c r="F43" s="66">
        <f t="shared" si="11"/>
        <v>0</v>
      </c>
      <c r="H43" s="31">
        <f t="shared" si="32"/>
        <v>698845922.18787551</v>
      </c>
      <c r="I43" s="66">
        <f t="shared" si="33"/>
        <v>455000814.47601426</v>
      </c>
      <c r="J43" s="66">
        <f t="shared" si="58"/>
        <v>3119264175.9061484</v>
      </c>
      <c r="K43" s="66">
        <f t="shared" si="35"/>
        <v>155838932.44879091</v>
      </c>
      <c r="L43" s="66">
        <f t="shared" si="36"/>
        <v>1285990005.2827852</v>
      </c>
      <c r="M43" s="66">
        <f t="shared" si="12"/>
        <v>3.337860107421875E-6</v>
      </c>
      <c r="N43" s="31">
        <f t="shared" si="37"/>
        <v>463373501.37580633</v>
      </c>
      <c r="P43" s="66">
        <f>D43*Table3122028[Cars]%</f>
        <v>428154077.33845305</v>
      </c>
      <c r="Q43" s="66">
        <f>D43*Table3122028[DPV]%</f>
        <v>617557918.32768261</v>
      </c>
      <c r="R43" s="66">
        <f>D43*Table3122028[Buses]%</f>
        <v>4017350845.7615366</v>
      </c>
      <c r="S43" s="66">
        <f t="shared" si="13"/>
        <v>0</v>
      </c>
      <c r="W43" s="66">
        <f>E43*Table4132129[Cars]%</f>
        <v>5823810.6220435705</v>
      </c>
      <c r="X43" s="66">
        <f>E43*Table4132129[DPV]%</f>
        <v>337989.00931502861</v>
      </c>
      <c r="Y43" s="66">
        <f t="shared" si="14"/>
        <v>0</v>
      </c>
      <c r="AB43" s="117">
        <f t="shared" si="54"/>
        <v>2040</v>
      </c>
      <c r="AD43" s="66">
        <f>H43*Table5142230[Autocycle]*0.01*$AD$7/1000</f>
        <v>12404.51511883479</v>
      </c>
      <c r="AE43" s="66">
        <f>I43*Table5142230[Motocycle]*0.01*$AD$7/1000</f>
        <v>9691.5173483391045</v>
      </c>
      <c r="AF43" s="66">
        <f>J43*Table5142230[Car]*0.01*$AD$7/$AL$8/1000</f>
        <v>75765.28511477304</v>
      </c>
      <c r="AG43" s="66">
        <f>K43*Table5142230[DPV]*0.01*$AD$7/$AL$8/1000</f>
        <v>6696.9730707598819</v>
      </c>
      <c r="AH43" s="66">
        <f>L43*Table5142230[Car_Hbrid]*0.01*$AD$7/$AL$8/1000</f>
        <v>19222.166394753211</v>
      </c>
      <c r="AI43" s="66">
        <f>Freight!E35*$AG$8*$AI$8*$AD$7/1000</f>
        <v>7253.5918744692608</v>
      </c>
      <c r="AJ43" s="66">
        <f t="shared" si="38"/>
        <v>131034.04892192928</v>
      </c>
      <c r="AK43" s="66">
        <f>P43*Table5142230[Car_Dsl]*0.01*$AD$8/$AL$8/1000</f>
        <v>13407.982948230501</v>
      </c>
      <c r="AL43" s="66">
        <f>Q43*Table5142230[DPV_Dsl]*0.01*$AD$8/$AL$8/1000</f>
        <v>31219.177923881005</v>
      </c>
      <c r="AM43" s="66">
        <f>R43*Table5142230[Bus]*0.01*$AD$8/$AL$9/1000</f>
        <v>29561.963152168108</v>
      </c>
      <c r="AN43" s="66">
        <f>Freight!E35*$AG$9*$AI$9*$AD$8/1000</f>
        <v>220312.50509864814</v>
      </c>
      <c r="AO43" s="66">
        <f t="shared" si="16"/>
        <v>294501.62912292778</v>
      </c>
      <c r="AQ43" s="66">
        <f>W43*Table5142230[Car_LPG]*0.01*$AD$9/$AL$8/1000</f>
        <v>136.49832010128296</v>
      </c>
      <c r="AR43" s="66">
        <f>X43*Table5142230[DPV_LPG]*0.01*$AD$9/$AL$8/1000</f>
        <v>14.015452510399589</v>
      </c>
      <c r="AS43" s="66">
        <f t="shared" si="40"/>
        <v>482.48270255300093</v>
      </c>
      <c r="AT43" s="66">
        <f t="shared" si="17"/>
        <v>632.99647516468349</v>
      </c>
      <c r="AU43" s="31">
        <f t="shared" si="18"/>
        <v>6329.9647516468349</v>
      </c>
      <c r="AW43" s="148">
        <f t="shared" si="3"/>
        <v>426168.67452002171</v>
      </c>
      <c r="AY43" s="163">
        <f t="shared" si="43"/>
        <v>131034.04892192928</v>
      </c>
      <c r="AZ43" s="163">
        <f t="shared" si="44"/>
        <v>294501.62912292778</v>
      </c>
      <c r="BA43" s="163">
        <f t="shared" si="6"/>
        <v>632.99647516468349</v>
      </c>
      <c r="BB43" s="163">
        <f t="shared" si="19"/>
        <v>426168.67452002171</v>
      </c>
      <c r="BC43" s="117">
        <f t="shared" si="55"/>
        <v>2040</v>
      </c>
      <c r="BD43" s="177">
        <f t="shared" si="64"/>
        <v>1.0000000000000002</v>
      </c>
      <c r="BE43" s="163">
        <f t="shared" si="56"/>
        <v>8558.0357142857156</v>
      </c>
      <c r="BF43" s="163">
        <f t="shared" si="20"/>
        <v>122476.01320764357</v>
      </c>
      <c r="BJ43" s="117">
        <f t="shared" si="57"/>
        <v>2040</v>
      </c>
      <c r="BK43" s="85">
        <f t="shared" si="21"/>
        <v>380.24392964497849</v>
      </c>
      <c r="BL43" s="85">
        <f t="shared" si="22"/>
        <v>0.18106853792618022</v>
      </c>
      <c r="BM43" s="85">
        <f t="shared" si="23"/>
        <v>1.7558161253447779E-2</v>
      </c>
      <c r="BN43" s="85">
        <f t="shared" si="24"/>
        <v>944.91731208978729</v>
      </c>
      <c r="BO43" s="85">
        <f t="shared" si="7"/>
        <v>4.9732490109988807E-2</v>
      </c>
      <c r="BP43" s="85">
        <f t="shared" si="8"/>
        <v>4.9732490109988807E-2</v>
      </c>
      <c r="BQ43" s="85">
        <f t="shared" si="25"/>
        <v>2.0849764498269376</v>
      </c>
      <c r="BR43" s="85">
        <f t="shared" si="9"/>
        <v>2.0486297922229814E-3</v>
      </c>
      <c r="BS43" s="85">
        <f t="shared" si="10"/>
        <v>6.6084832007192957E-6</v>
      </c>
      <c r="BU43" s="39">
        <f t="shared" si="59"/>
        <v>1327.2462181845926</v>
      </c>
      <c r="BV43" s="39">
        <f t="shared" si="59"/>
        <v>0.23284965782839201</v>
      </c>
      <c r="BW43" s="39">
        <f t="shared" si="59"/>
        <v>6.7297259846637314E-2</v>
      </c>
      <c r="BX43" s="159">
        <f t="shared" si="27"/>
        <v>1353.1220430646003</v>
      </c>
      <c r="BZ43" s="191">
        <f t="shared" si="60"/>
        <v>2040</v>
      </c>
      <c r="CA43" s="192">
        <f>EnergyCal!C$19</f>
        <v>11.311273520921988</v>
      </c>
      <c r="CB43" s="192">
        <f>EnergyCal!D$19</f>
        <v>7.3644826439967002</v>
      </c>
      <c r="CC43" s="192">
        <f t="shared" si="65"/>
        <v>50.487309373184601</v>
      </c>
      <c r="CD43" s="192">
        <f>EnergyCal!F$19</f>
        <v>2.5223539755632576</v>
      </c>
      <c r="CE43" s="193">
        <f t="shared" si="66"/>
        <v>20.814580486333504</v>
      </c>
      <c r="CF43" s="192">
        <f t="shared" si="67"/>
        <v>7.4999999999999991</v>
      </c>
      <c r="CG43" s="192">
        <f t="shared" si="39"/>
        <v>100.00000000000006</v>
      </c>
    </row>
    <row r="44" spans="1:85" x14ac:dyDescent="0.25">
      <c r="A44" s="117">
        <f t="shared" si="53"/>
        <v>2041</v>
      </c>
      <c r="B44" s="66">
        <f>INDEX((Proj_PasMob!$Q$6:$Q$46),MATCH(A44,Proj_PasMob!$M$6:M$46,0))</f>
        <v>11160440688.593815</v>
      </c>
      <c r="C44" s="119">
        <f>B44*Table1101826[Gasoline]%</f>
        <v>6130470487.0943375</v>
      </c>
      <c r="D44" s="123">
        <f>B44*Table1101826[[Diesel ]]%</f>
        <v>5023856116.8557825</v>
      </c>
      <c r="E44" s="121">
        <f>B44*Table1101826[LPG]%</f>
        <v>6114084.6436959673</v>
      </c>
      <c r="F44" s="66">
        <f t="shared" si="11"/>
        <v>0</v>
      </c>
      <c r="H44" s="31">
        <f t="shared" si="32"/>
        <v>693434284.914639</v>
      </c>
      <c r="I44" s="66">
        <f t="shared" si="33"/>
        <v>451477435.01740247</v>
      </c>
      <c r="J44" s="66">
        <f t="shared" si="58"/>
        <v>2911195486.238265</v>
      </c>
      <c r="K44" s="66">
        <f t="shared" si="35"/>
        <v>154632166.05195624</v>
      </c>
      <c r="L44" s="66">
        <f t="shared" si="36"/>
        <v>1398641123.4690592</v>
      </c>
      <c r="M44" s="66">
        <f t="shared" si="12"/>
        <v>2.6226043701171875E-6</v>
      </c>
      <c r="N44" s="31">
        <f t="shared" si="37"/>
        <v>521089991.40301871</v>
      </c>
      <c r="P44" s="66">
        <f>D44*Table3122028[Cars]%</f>
        <v>424838590.34761667</v>
      </c>
      <c r="Q44" s="66">
        <f>D44*Table3122028[DPV]%</f>
        <v>612775749.12114048</v>
      </c>
      <c r="R44" s="66">
        <f>D44*Table3122028[Buses]%</f>
        <v>3986241777.3870254</v>
      </c>
      <c r="S44" s="66">
        <f t="shared" si="13"/>
        <v>0</v>
      </c>
      <c r="W44" s="66">
        <f>E44*Table4132129[Cars]%</f>
        <v>5778712.9121852182</v>
      </c>
      <c r="X44" s="66">
        <f>E44*Table4132129[DPV]%</f>
        <v>335371.73151074926</v>
      </c>
      <c r="Y44" s="66">
        <f t="shared" si="14"/>
        <v>0</v>
      </c>
      <c r="AB44" s="117">
        <f t="shared" si="54"/>
        <v>2041</v>
      </c>
      <c r="AD44" s="66">
        <f>H44*Table5142230[Autocycle]*0.01*$AD$7/1000</f>
        <v>12308.458557234842</v>
      </c>
      <c r="AE44" s="66">
        <f>I44*Table5142230[Motocycle]*0.01*$AD$7/1000</f>
        <v>9616.469365870671</v>
      </c>
      <c r="AF44" s="66">
        <f>J44*Table5142230[Car]*0.01*$AD$7/$AL$8/1000</f>
        <v>70711.406152576805</v>
      </c>
      <c r="AG44" s="66">
        <f>K44*Table5142230[DPV]*0.01*$AD$7/$AL$8/1000</f>
        <v>6645.1138727064344</v>
      </c>
      <c r="AH44" s="66">
        <f>L44*Table5142230[Car_Hbrid]*0.01*$AD$7/$AL$8/1000</f>
        <v>20906.00416132699</v>
      </c>
      <c r="AI44" s="66">
        <f>Freight!E36*$AG$8*$AI$8*$AD$7/1000</f>
        <v>7472.3421617092827</v>
      </c>
      <c r="AJ44" s="66">
        <f t="shared" si="38"/>
        <v>127659.79427142502</v>
      </c>
      <c r="AK44" s="66">
        <f>P44*Table5142230[Car_Dsl]*0.01*$AD$8/$AL$8/1000</f>
        <v>13304.155855622734</v>
      </c>
      <c r="AL44" s="66">
        <f>Q44*Table5142230[DPV_Dsl]*0.01*$AD$8/$AL$8/1000</f>
        <v>30977.426685834496</v>
      </c>
      <c r="AM44" s="66">
        <f>R44*Table5142230[Bus]*0.01*$AD$8/$AL$9/1000</f>
        <v>29333.044850457954</v>
      </c>
      <c r="AN44" s="66">
        <f>Freight!E36*$AG$9*$AI$9*$AD$8/1000</f>
        <v>226956.58221339819</v>
      </c>
      <c r="AO44" s="66">
        <f t="shared" si="16"/>
        <v>300571.20960531337</v>
      </c>
      <c r="AQ44" s="66">
        <f>W44*Table5142230[Car_LPG]*0.01*$AD$9/$AL$8/1000</f>
        <v>135.44132116440474</v>
      </c>
      <c r="AR44" s="66">
        <f>X44*Table5142230[DPV_LPG]*0.01*$AD$9/$AL$8/1000</f>
        <v>13.906921369559413</v>
      </c>
      <c r="AS44" s="66">
        <f t="shared" si="40"/>
        <v>448.22643067173789</v>
      </c>
      <c r="AT44" s="66">
        <f t="shared" si="17"/>
        <v>597.57467320570208</v>
      </c>
      <c r="AU44" s="31">
        <f t="shared" si="18"/>
        <v>5975.7467320570213</v>
      </c>
      <c r="AW44" s="148">
        <f t="shared" si="3"/>
        <v>428828.5785499441</v>
      </c>
      <c r="AY44" s="163">
        <f t="shared" si="43"/>
        <v>127659.79427142502</v>
      </c>
      <c r="AZ44" s="163">
        <f t="shared" si="44"/>
        <v>300571.20960531337</v>
      </c>
      <c r="BA44" s="163">
        <f t="shared" si="6"/>
        <v>597.57467320570208</v>
      </c>
      <c r="BB44" s="163">
        <f t="shared" si="19"/>
        <v>428828.5785499441</v>
      </c>
      <c r="BC44" s="117">
        <f t="shared" si="55"/>
        <v>2041</v>
      </c>
      <c r="BD44" s="177">
        <f t="shared" si="64"/>
        <v>1.0000000000000002</v>
      </c>
      <c r="BE44" s="163">
        <f t="shared" si="56"/>
        <v>8558.0357142857156</v>
      </c>
      <c r="BF44" s="163">
        <f t="shared" si="20"/>
        <v>119101.75855713931</v>
      </c>
      <c r="BJ44" s="117">
        <f t="shared" si="57"/>
        <v>2041</v>
      </c>
      <c r="BK44" s="85">
        <f t="shared" si="21"/>
        <v>369.76808368683697</v>
      </c>
      <c r="BL44" s="85">
        <f t="shared" si="22"/>
        <v>0.17608003985087473</v>
      </c>
      <c r="BM44" s="85">
        <f t="shared" si="23"/>
        <v>1.7074428106751492E-2</v>
      </c>
      <c r="BN44" s="85">
        <f t="shared" si="24"/>
        <v>964.39174315493597</v>
      </c>
      <c r="BO44" s="85">
        <f t="shared" si="7"/>
        <v>5.0757460166049262E-2</v>
      </c>
      <c r="BP44" s="85">
        <f t="shared" si="8"/>
        <v>5.0757460166049262E-2</v>
      </c>
      <c r="BQ44" s="85">
        <f t="shared" si="25"/>
        <v>1.9683034100984056</v>
      </c>
      <c r="BR44" s="85">
        <f t="shared" si="9"/>
        <v>1.933990672362934E-3</v>
      </c>
      <c r="BS44" s="85">
        <f t="shared" si="10"/>
        <v>6.2386795882675296E-6</v>
      </c>
      <c r="BU44" s="39">
        <f t="shared" si="59"/>
        <v>1336.1281302518712</v>
      </c>
      <c r="BV44" s="39">
        <f t="shared" si="59"/>
        <v>0.22877149068928693</v>
      </c>
      <c r="BW44" s="39">
        <f t="shared" si="59"/>
        <v>6.7838126952389027E-2</v>
      </c>
      <c r="BX44" s="159">
        <f t="shared" si="27"/>
        <v>1362.0631793509153</v>
      </c>
      <c r="BZ44" s="117">
        <f t="shared" si="60"/>
        <v>2041</v>
      </c>
      <c r="CA44" s="85">
        <f>EnergyCal!C$19</f>
        <v>11.311273520921988</v>
      </c>
      <c r="CB44" s="85">
        <f>EnergyCal!D$19</f>
        <v>7.3644826439967002</v>
      </c>
      <c r="CC44" s="85">
        <f>CC43-$CL$8-$CL$9</f>
        <v>47.487309373184601</v>
      </c>
      <c r="CD44" s="85">
        <f>EnergyCal!F$19</f>
        <v>2.5223539755632576</v>
      </c>
      <c r="CE44" s="179">
        <f>CE43+$CL$8</f>
        <v>22.814580486333504</v>
      </c>
      <c r="CF44" s="85">
        <f>CF43+$CL$9</f>
        <v>8.5</v>
      </c>
      <c r="CG44" s="85">
        <f t="shared" si="39"/>
        <v>100.00000000000006</v>
      </c>
    </row>
    <row r="45" spans="1:85" x14ac:dyDescent="0.25">
      <c r="A45" s="117">
        <f t="shared" si="53"/>
        <v>2042</v>
      </c>
      <c r="B45" s="66">
        <f>INDEX((Proj_PasMob!$Q$6:$Q$46),MATCH(A45,Proj_PasMob!$M$6:M$46,0))</f>
        <v>11071531741.267399</v>
      </c>
      <c r="C45" s="119">
        <f>B45*Table1101826[Gasoline]%</f>
        <v>6081632480.3496513</v>
      </c>
      <c r="D45" s="123">
        <f>B45*Table1101826[[Diesel ]]%</f>
        <v>4983833883.744009</v>
      </c>
      <c r="E45" s="121">
        <f>B45*Table1101826[LPG]%</f>
        <v>6065377.1737399483</v>
      </c>
      <c r="F45" s="66">
        <f t="shared" si="11"/>
        <v>0</v>
      </c>
      <c r="H45" s="31">
        <f t="shared" si="32"/>
        <v>687910084.3895812</v>
      </c>
      <c r="I45" s="66">
        <f t="shared" si="33"/>
        <v>447880768.48701614</v>
      </c>
      <c r="J45" s="66">
        <f t="shared" si="58"/>
        <v>2705554656.4732299</v>
      </c>
      <c r="K45" s="66">
        <f t="shared" si="35"/>
        <v>153400298.64724579</v>
      </c>
      <c r="L45" s="66">
        <f t="shared" si="36"/>
        <v>1509131586.7193649</v>
      </c>
      <c r="M45" s="66">
        <f t="shared" si="12"/>
        <v>3.814697265625E-6</v>
      </c>
      <c r="N45" s="31">
        <f t="shared" si="37"/>
        <v>577755085.63321686</v>
      </c>
      <c r="P45" s="66">
        <f>D45*Table3122028[Cars]%</f>
        <v>421454140.49430144</v>
      </c>
      <c r="Q45" s="66">
        <f>D45*Table3122028[DPV]%</f>
        <v>607894109.73774254</v>
      </c>
      <c r="R45" s="66">
        <f>D45*Table3122028[Buses]%</f>
        <v>3954485633.5119648</v>
      </c>
      <c r="S45" s="66">
        <f t="shared" si="13"/>
        <v>0</v>
      </c>
      <c r="W45" s="66">
        <f>E45*Table4132129[Cars]%</f>
        <v>5732677.1599904997</v>
      </c>
      <c r="X45" s="66">
        <f>E45*Table4132129[DPV]%</f>
        <v>332700.01374944864</v>
      </c>
      <c r="Y45" s="66">
        <f t="shared" si="14"/>
        <v>0</v>
      </c>
      <c r="AB45" s="117">
        <f t="shared" si="54"/>
        <v>2042</v>
      </c>
      <c r="AD45" s="66">
        <f>H45*Table5142230[Autocycle]*0.01*$AD$7/1000</f>
        <v>12210.403997915068</v>
      </c>
      <c r="AE45" s="66">
        <f>I45*Table5142230[Motocycle]*0.01*$AD$7/1000</f>
        <v>9539.860368773443</v>
      </c>
      <c r="AF45" s="66">
        <f>J45*Table5142230[Car]*0.01*$AD$7/$AL$8/1000</f>
        <v>65716.498629599751</v>
      </c>
      <c r="AG45" s="66">
        <f>K45*Table5142230[DPV]*0.01*$AD$7/$AL$8/1000</f>
        <v>6592.1759918671678</v>
      </c>
      <c r="AH45" s="66">
        <f>L45*Table5142230[Car_Hbrid]*0.01*$AD$7/$AL$8/1000</f>
        <v>22557.545822542081</v>
      </c>
      <c r="AI45" s="66">
        <f>Freight!E37*$AG$8*$AI$8*$AD$7/1000</f>
        <v>7697.6472688035337</v>
      </c>
      <c r="AJ45" s="66">
        <f t="shared" si="38"/>
        <v>124314.13207950105</v>
      </c>
      <c r="AK45" s="66">
        <f>P45*Table5142230[Car_Dsl]*0.01*$AD$8/$AL$8/1000</f>
        <v>13198.169136532073</v>
      </c>
      <c r="AL45" s="66">
        <f>Q45*Table5142230[DPV_Dsl]*0.01*$AD$8/$AL$8/1000</f>
        <v>30730.646968584308</v>
      </c>
      <c r="AM45" s="66">
        <f>R45*Table5142230[Bus]*0.01*$AD$8/$AL$9/1000</f>
        <v>29099.364997457331</v>
      </c>
      <c r="AN45" s="66">
        <f>Freight!E37*$AG$9*$AI$9*$AD$8/1000</f>
        <v>233799.74811168434</v>
      </c>
      <c r="AO45" s="66">
        <f t="shared" si="16"/>
        <v>306827.92921425804</v>
      </c>
      <c r="AQ45" s="66">
        <f>W45*Table5142230[Car_LPG]*0.01*$AD$9/$AL$8/1000</f>
        <v>134.36233641593208</v>
      </c>
      <c r="AR45" s="66">
        <f>X45*Table5142230[DPV_LPG]*0.01*$AD$9/$AL$8/1000</f>
        <v>13.796132756993027</v>
      </c>
      <c r="AS45" s="66">
        <f t="shared" si="40"/>
        <v>416.40235409404454</v>
      </c>
      <c r="AT45" s="66">
        <f t="shared" si="17"/>
        <v>564.56082326696969</v>
      </c>
      <c r="AU45" s="31">
        <f t="shared" si="18"/>
        <v>5645.6082326696969</v>
      </c>
      <c r="AW45" s="148">
        <f t="shared" si="3"/>
        <v>431706.62211702607</v>
      </c>
      <c r="AY45" s="163">
        <f t="shared" si="43"/>
        <v>124314.13207950105</v>
      </c>
      <c r="AZ45" s="163">
        <f t="shared" si="44"/>
        <v>306827.92921425804</v>
      </c>
      <c r="BA45" s="163">
        <f t="shared" si="6"/>
        <v>564.56082326696969</v>
      </c>
      <c r="BB45" s="163">
        <f t="shared" si="19"/>
        <v>431706.62211702607</v>
      </c>
      <c r="BC45" s="117">
        <f t="shared" si="55"/>
        <v>2042</v>
      </c>
      <c r="BD45" s="177">
        <f t="shared" si="64"/>
        <v>1.0000000000000002</v>
      </c>
      <c r="BE45" s="163">
        <f t="shared" si="56"/>
        <v>8558.0357142857156</v>
      </c>
      <c r="BF45" s="163">
        <f t="shared" si="20"/>
        <v>115756.09636521534</v>
      </c>
      <c r="BJ45" s="117">
        <f t="shared" si="57"/>
        <v>2042</v>
      </c>
      <c r="BK45" s="85">
        <f t="shared" si="21"/>
        <v>359.38100701930216</v>
      </c>
      <c r="BL45" s="85">
        <f t="shared" si="22"/>
        <v>0.17113381286633433</v>
      </c>
      <c r="BM45" s="85">
        <f t="shared" si="23"/>
        <v>1.6594793974917268E-2</v>
      </c>
      <c r="BN45" s="85">
        <f t="shared" si="24"/>
        <v>984.46661572182313</v>
      </c>
      <c r="BO45" s="85">
        <f t="shared" si="7"/>
        <v>5.1814032406411747E-2</v>
      </c>
      <c r="BP45" s="85">
        <f t="shared" si="8"/>
        <v>5.1814032406411747E-2</v>
      </c>
      <c r="BQ45" s="85">
        <f t="shared" si="25"/>
        <v>1.85956173089321</v>
      </c>
      <c r="BR45" s="85">
        <f t="shared" si="9"/>
        <v>1.8271446484212205E-3</v>
      </c>
      <c r="BS45" s="85">
        <f t="shared" si="10"/>
        <v>5.8940149949071636E-6</v>
      </c>
      <c r="BU45" s="39">
        <f t="shared" si="59"/>
        <v>1345.7071844720183</v>
      </c>
      <c r="BV45" s="39">
        <f t="shared" si="59"/>
        <v>0.22477498992116729</v>
      </c>
      <c r="BW45" s="39">
        <f t="shared" si="59"/>
        <v>6.8414720396323916E-2</v>
      </c>
      <c r="BX45" s="159">
        <f t="shared" si="27"/>
        <v>1371.7141458981521</v>
      </c>
      <c r="BZ45" s="117">
        <f t="shared" si="60"/>
        <v>2042</v>
      </c>
      <c r="CA45" s="85">
        <f>EnergyCal!C$19</f>
        <v>11.311273520921988</v>
      </c>
      <c r="CB45" s="85">
        <f>EnergyCal!D$19</f>
        <v>7.3644826439967002</v>
      </c>
      <c r="CC45" s="85">
        <f t="shared" ref="CC45:CC48" si="68">CC44-$CL$8-$CL$9</f>
        <v>44.487309373184601</v>
      </c>
      <c r="CD45" s="85">
        <f>EnergyCal!F$19</f>
        <v>2.5223539755632576</v>
      </c>
      <c r="CE45" s="179">
        <f t="shared" ref="CE45:CE48" si="69">CE44+$CL$8</f>
        <v>24.814580486333504</v>
      </c>
      <c r="CF45" s="85">
        <f t="shared" ref="CF45:CF48" si="70">CF44+$CL$9</f>
        <v>9.5</v>
      </c>
      <c r="CG45" s="85">
        <f t="shared" si="39"/>
        <v>100.00000000000006</v>
      </c>
    </row>
    <row r="46" spans="1:85" x14ac:dyDescent="0.25">
      <c r="A46" s="117">
        <f t="shared" si="53"/>
        <v>2043</v>
      </c>
      <c r="B46" s="66">
        <f>INDEX((Proj_PasMob!$Q$6:$Q$46),MATCH(A46,Proj_PasMob!$M$6:M$46,0))</f>
        <v>10981044657.809532</v>
      </c>
      <c r="C46" s="119">
        <f>B46*Table1101826[Gasoline]%</f>
        <v>6031927597.7128353</v>
      </c>
      <c r="D46" s="123">
        <f>B46*Table1101826[[Diesel ]]%</f>
        <v>4943101254.9517736</v>
      </c>
      <c r="E46" s="121">
        <f>B46*Table1101826[LPG]%</f>
        <v>6015805.1449231999</v>
      </c>
      <c r="F46" s="66">
        <f t="shared" si="11"/>
        <v>0</v>
      </c>
      <c r="H46" s="31">
        <f t="shared" si="32"/>
        <v>682287829.16127777</v>
      </c>
      <c r="I46" s="66">
        <f t="shared" si="33"/>
        <v>444220261.03200889</v>
      </c>
      <c r="J46" s="66">
        <f t="shared" si="58"/>
        <v>2502484463.6296258</v>
      </c>
      <c r="K46" s="66">
        <f t="shared" si="35"/>
        <v>152146565.56400701</v>
      </c>
      <c r="L46" s="66">
        <f t="shared" si="36"/>
        <v>1617436080.5660713</v>
      </c>
      <c r="M46" s="66">
        <f t="shared" si="12"/>
        <v>2.86102294921875E-6</v>
      </c>
      <c r="N46" s="31">
        <f t="shared" si="37"/>
        <v>633352397.75984764</v>
      </c>
      <c r="P46" s="66">
        <f>D46*Table3122028[Cars]%</f>
        <v>418009616.56791234</v>
      </c>
      <c r="Q46" s="66">
        <f>D46*Table3122028[DPV]%</f>
        <v>602925821.12810445</v>
      </c>
      <c r="R46" s="66">
        <f>D46*Table3122028[Buses]%</f>
        <v>3922165817.2557569</v>
      </c>
      <c r="S46" s="66">
        <f t="shared" si="13"/>
        <v>0</v>
      </c>
      <c r="W46" s="66">
        <f>E46*Table4132129[Cars]%</f>
        <v>5685824.2719949232</v>
      </c>
      <c r="X46" s="66">
        <f>E46*Table4132129[DPV]%</f>
        <v>329980.87292827677</v>
      </c>
      <c r="Y46" s="66">
        <f t="shared" si="14"/>
        <v>0</v>
      </c>
      <c r="AB46" s="117">
        <f t="shared" si="54"/>
        <v>2043</v>
      </c>
      <c r="AD46" s="66">
        <f>H46*Table5142230[Autocycle]*0.01*$AD$7/1000</f>
        <v>12110.608967612678</v>
      </c>
      <c r="AE46" s="66">
        <f>I46*Table5142230[Motocycle]*0.01*$AD$7/1000</f>
        <v>9461.8915599817901</v>
      </c>
      <c r="AF46" s="66">
        <f>J46*Table5142230[Car]*0.01*$AD$7/$AL$8/1000</f>
        <v>60784.030524477486</v>
      </c>
      <c r="AG46" s="66">
        <f>K46*Table5142230[DPV]*0.01*$AD$7/$AL$8/1000</f>
        <v>6538.298462263775</v>
      </c>
      <c r="AH46" s="66">
        <f>L46*Table5142230[Car_Hbrid]*0.01*$AD$7/$AL$8/1000</f>
        <v>24176.412993724432</v>
      </c>
      <c r="AI46" s="66">
        <f>Freight!E38*$AG$8*$AI$8*$AD$7/1000</f>
        <v>7929.7038403476463</v>
      </c>
      <c r="AJ46" s="66">
        <f t="shared" si="38"/>
        <v>121000.9463484078</v>
      </c>
      <c r="AK46" s="66">
        <f>P46*Table5142230[Car_Dsl]*0.01*$AD$8/$AL$8/1000</f>
        <v>13090.301150416202</v>
      </c>
      <c r="AL46" s="66">
        <f>Q46*Table5142230[DPV_Dsl]*0.01*$AD$8/$AL$8/1000</f>
        <v>30479.486904923386</v>
      </c>
      <c r="AM46" s="66">
        <f>R46*Table5142230[Bus]*0.01*$AD$8/$AL$9/1000</f>
        <v>28861.537320977721</v>
      </c>
      <c r="AN46" s="66">
        <f>Freight!E38*$AG$9*$AI$9*$AD$8/1000</f>
        <v>240847.97545701289</v>
      </c>
      <c r="AO46" s="66">
        <f t="shared" si="16"/>
        <v>313279.3008333302</v>
      </c>
      <c r="AQ46" s="66">
        <f>W46*Table5142230[Car_LPG]*0.01*$AD$9/$AL$8/1000</f>
        <v>133.2641996600625</v>
      </c>
      <c r="AR46" s="66">
        <f>X46*Table5142230[DPV_LPG]*0.01*$AD$9/$AL$8/1000</f>
        <v>13.683377643667132</v>
      </c>
      <c r="AS46" s="66">
        <f t="shared" si="40"/>
        <v>386.83778695336741</v>
      </c>
      <c r="AT46" s="66">
        <f t="shared" si="17"/>
        <v>533.78536425709706</v>
      </c>
      <c r="AU46" s="31">
        <f t="shared" si="18"/>
        <v>5337.8536425709708</v>
      </c>
      <c r="AW46" s="148">
        <f t="shared" si="3"/>
        <v>434814.03254599508</v>
      </c>
      <c r="AY46" s="163">
        <f t="shared" si="43"/>
        <v>121000.9463484078</v>
      </c>
      <c r="AZ46" s="163">
        <f t="shared" si="44"/>
        <v>313279.3008333302</v>
      </c>
      <c r="BA46" s="163">
        <f t="shared" si="6"/>
        <v>533.78536425709706</v>
      </c>
      <c r="BB46" s="163">
        <f t="shared" si="19"/>
        <v>434814.03254599508</v>
      </c>
      <c r="BC46" s="117">
        <f t="shared" si="55"/>
        <v>2043</v>
      </c>
      <c r="BD46" s="177">
        <f t="shared" si="64"/>
        <v>1.0000000000000002</v>
      </c>
      <c r="BE46" s="163">
        <f t="shared" si="56"/>
        <v>8558.0357142857156</v>
      </c>
      <c r="BF46" s="163">
        <f t="shared" si="20"/>
        <v>112442.91063412209</v>
      </c>
      <c r="BJ46" s="117">
        <f t="shared" si="57"/>
        <v>2043</v>
      </c>
      <c r="BK46" s="85">
        <f t="shared" si="21"/>
        <v>349.09475807112079</v>
      </c>
      <c r="BL46" s="85">
        <f t="shared" si="22"/>
        <v>0.16623559908148608</v>
      </c>
      <c r="BM46" s="85">
        <f t="shared" si="23"/>
        <v>1.6119815668507741E-2</v>
      </c>
      <c r="BN46" s="85">
        <f t="shared" si="24"/>
        <v>1005.1660351027648</v>
      </c>
      <c r="BO46" s="85">
        <f t="shared" si="7"/>
        <v>5.2903475531724461E-2</v>
      </c>
      <c r="BP46" s="85">
        <f t="shared" si="8"/>
        <v>5.2903475531724461E-2</v>
      </c>
      <c r="BQ46" s="85">
        <f t="shared" si="25"/>
        <v>1.7581929084973111</v>
      </c>
      <c r="BR46" s="85">
        <f t="shared" si="9"/>
        <v>1.7275429528816688E-3</v>
      </c>
      <c r="BS46" s="85">
        <f t="shared" si="10"/>
        <v>5.5727192028440938E-6</v>
      </c>
      <c r="BU46" s="39">
        <f t="shared" si="59"/>
        <v>1356.0189860823828</v>
      </c>
      <c r="BV46" s="39">
        <f t="shared" si="59"/>
        <v>0.22086661756609219</v>
      </c>
      <c r="BW46" s="39">
        <f t="shared" si="59"/>
        <v>6.9028863919435052E-2</v>
      </c>
      <c r="BX46" s="159">
        <f t="shared" si="27"/>
        <v>1382.1112529695267</v>
      </c>
      <c r="BZ46" s="117">
        <f t="shared" si="60"/>
        <v>2043</v>
      </c>
      <c r="CA46" s="85">
        <f>EnergyCal!C$19</f>
        <v>11.311273520921988</v>
      </c>
      <c r="CB46" s="85">
        <f>EnergyCal!D$19</f>
        <v>7.3644826439967002</v>
      </c>
      <c r="CC46" s="85">
        <f t="shared" si="68"/>
        <v>41.487309373184601</v>
      </c>
      <c r="CD46" s="85">
        <f>EnergyCal!F$19</f>
        <v>2.5223539755632576</v>
      </c>
      <c r="CE46" s="179">
        <f t="shared" si="69"/>
        <v>26.814580486333504</v>
      </c>
      <c r="CF46" s="85">
        <f t="shared" si="70"/>
        <v>10.5</v>
      </c>
      <c r="CG46" s="85">
        <f t="shared" si="39"/>
        <v>100.00000000000006</v>
      </c>
    </row>
    <row r="47" spans="1:85" x14ac:dyDescent="0.25">
      <c r="A47" s="117">
        <f t="shared" si="53"/>
        <v>2044</v>
      </c>
      <c r="B47" s="66">
        <f>INDEX((Proj_PasMob!$Q$6:$Q$46),MATCH(A47,Proj_PasMob!$M$6:M$46,0))</f>
        <v>10889195065.958414</v>
      </c>
      <c r="C47" s="119">
        <f>B47*Table1101826[Gasoline]%</f>
        <v>5981474284.2813673</v>
      </c>
      <c r="D47" s="123">
        <f>B47*Table1101826[[Diesel ]]%</f>
        <v>4901755294.991291</v>
      </c>
      <c r="E47" s="121">
        <f>B47*Table1101826[LPG]%</f>
        <v>5965486.6857569236</v>
      </c>
      <c r="F47" s="66">
        <f t="shared" si="11"/>
        <v>0</v>
      </c>
      <c r="H47" s="31">
        <f t="shared" si="32"/>
        <v>676580916.8786763</v>
      </c>
      <c r="I47" s="66">
        <f t="shared" si="33"/>
        <v>440504635.52102715</v>
      </c>
      <c r="J47" s="66">
        <f t="shared" si="58"/>
        <v>2302108512.8688493</v>
      </c>
      <c r="K47" s="66">
        <f t="shared" si="35"/>
        <v>150873954.40686497</v>
      </c>
      <c r="L47" s="66">
        <f t="shared" si="36"/>
        <v>1723536721.9135954</v>
      </c>
      <c r="M47" s="66">
        <f t="shared" si="12"/>
        <v>3.0994415283203125E-6</v>
      </c>
      <c r="N47" s="31">
        <f t="shared" si="37"/>
        <v>687869542.6923573</v>
      </c>
      <c r="P47" s="66">
        <f>D47*Table3122028[Cars]%</f>
        <v>414513226.75546408</v>
      </c>
      <c r="Q47" s="66">
        <f>D47*Table3122028[DPV]%</f>
        <v>597882722.56027091</v>
      </c>
      <c r="R47" s="66">
        <f>D47*Table3122028[Buses]%</f>
        <v>3889359345.6755562</v>
      </c>
      <c r="S47" s="66">
        <f t="shared" si="13"/>
        <v>0</v>
      </c>
      <c r="W47" s="66">
        <f>E47*Table4132129[Cars]%</f>
        <v>5638265.8970867125</v>
      </c>
      <c r="X47" s="66">
        <f>E47*Table4132129[DPV]%</f>
        <v>327220.78867021098</v>
      </c>
      <c r="Y47" s="66">
        <f t="shared" si="14"/>
        <v>0</v>
      </c>
      <c r="AB47" s="117">
        <f t="shared" si="54"/>
        <v>2044</v>
      </c>
      <c r="AD47" s="66">
        <f>H47*Table5142230[Autocycle]*0.01*$AD$7/1000</f>
        <v>12009.311274596503</v>
      </c>
      <c r="AE47" s="66">
        <f>I47*Table5142230[Motocycle]*0.01*$AD$7/1000</f>
        <v>9382.7487365978795</v>
      </c>
      <c r="AF47" s="66">
        <f>J47*Table5142230[Car]*0.01*$AD$7/$AL$8/1000</f>
        <v>55917.004141524943</v>
      </c>
      <c r="AG47" s="66">
        <f>K47*Table5142230[DPV]*0.01*$AD$7/$AL$8/1000</f>
        <v>6483.6096722739612</v>
      </c>
      <c r="AH47" s="66">
        <f>L47*Table5142230[Car_Hbrid]*0.01*$AD$7/$AL$8/1000</f>
        <v>25762.338369655852</v>
      </c>
      <c r="AI47" s="66">
        <f>Freight!E39*$AG$8*$AI$8*$AD$7/1000</f>
        <v>8168.7144202751133</v>
      </c>
      <c r="AJ47" s="66">
        <f t="shared" si="38"/>
        <v>117723.72661492425</v>
      </c>
      <c r="AK47" s="66">
        <f>P47*Table5142230[Car_Dsl]*0.01*$AD$8/$AL$8/1000</f>
        <v>12980.808943131638</v>
      </c>
      <c r="AL47" s="66">
        <f>Q47*Table5142230[DPV_Dsl]*0.01*$AD$8/$AL$8/1000</f>
        <v>30224.54500100738</v>
      </c>
      <c r="AM47" s="66">
        <f>R47*Table5142230[Bus]*0.01*$AD$8/$AL$9/1000</f>
        <v>28620.128556535419</v>
      </c>
      <c r="AN47" s="66">
        <f>Freight!E39*$AG$9*$AI$9*$AD$8/1000</f>
        <v>248107.41609279497</v>
      </c>
      <c r="AO47" s="66">
        <f t="shared" si="16"/>
        <v>319932.89859346941</v>
      </c>
      <c r="AQ47" s="66">
        <f>W47*Table5142230[Car_LPG]*0.01*$AD$9/$AL$8/1000</f>
        <v>132.14952772050003</v>
      </c>
      <c r="AR47" s="66">
        <f>X47*Table5142230[DPV_LPG]*0.01*$AD$9/$AL$8/1000</f>
        <v>13.568924721301341</v>
      </c>
      <c r="AS47" s="66">
        <f t="shared" si="40"/>
        <v>359.37230407967837</v>
      </c>
      <c r="AT47" s="66">
        <f t="shared" si="17"/>
        <v>505.09075652147976</v>
      </c>
      <c r="AU47" s="31">
        <f t="shared" si="18"/>
        <v>5050.9075652147976</v>
      </c>
      <c r="AW47" s="148">
        <f t="shared" si="3"/>
        <v>438161.71596491517</v>
      </c>
      <c r="AY47" s="163">
        <f t="shared" si="43"/>
        <v>117723.72661492425</v>
      </c>
      <c r="AZ47" s="163">
        <f t="shared" si="44"/>
        <v>319932.89859346941</v>
      </c>
      <c r="BA47" s="163">
        <f t="shared" si="6"/>
        <v>505.09075652147976</v>
      </c>
      <c r="BB47" s="163">
        <f t="shared" si="19"/>
        <v>438161.71596491517</v>
      </c>
      <c r="BC47" s="117">
        <f t="shared" si="55"/>
        <v>2044</v>
      </c>
      <c r="BD47" s="177">
        <f t="shared" si="64"/>
        <v>1.0000000000000002</v>
      </c>
      <c r="BE47" s="163">
        <f t="shared" si="56"/>
        <v>8558.0357142857156</v>
      </c>
      <c r="BF47" s="163">
        <f t="shared" si="20"/>
        <v>109165.69090063854</v>
      </c>
      <c r="BJ47" s="117">
        <f t="shared" si="57"/>
        <v>2044</v>
      </c>
      <c r="BK47" s="85">
        <f t="shared" si="21"/>
        <v>338.92017059775844</v>
      </c>
      <c r="BL47" s="85">
        <f t="shared" si="22"/>
        <v>0.16139055742750397</v>
      </c>
      <c r="BM47" s="85">
        <f t="shared" si="23"/>
        <v>1.5649993447515539E-2</v>
      </c>
      <c r="BN47" s="85">
        <f t="shared" si="24"/>
        <v>1026.5143031241043</v>
      </c>
      <c r="BO47" s="85">
        <f t="shared" si="7"/>
        <v>5.402706858547917E-2</v>
      </c>
      <c r="BP47" s="85">
        <f t="shared" si="8"/>
        <v>5.402706858547917E-2</v>
      </c>
      <c r="BQ47" s="85">
        <f t="shared" si="25"/>
        <v>1.6636780356455805</v>
      </c>
      <c r="BR47" s="85">
        <f t="shared" si="9"/>
        <v>1.6346757244061171E-3</v>
      </c>
      <c r="BS47" s="85">
        <f t="shared" si="10"/>
        <v>5.273147498084249E-6</v>
      </c>
      <c r="BU47" s="39">
        <f t="shared" si="59"/>
        <v>1367.0981517575083</v>
      </c>
      <c r="BV47" s="39">
        <f t="shared" si="59"/>
        <v>0.21705230173738926</v>
      </c>
      <c r="BW47" s="39">
        <f t="shared" si="59"/>
        <v>6.9682335180492785E-2</v>
      </c>
      <c r="BX47" s="159">
        <f t="shared" si="27"/>
        <v>1393.2897951847297</v>
      </c>
      <c r="BZ47" s="117">
        <f t="shared" si="60"/>
        <v>2044</v>
      </c>
      <c r="CA47" s="85">
        <f>EnergyCal!C$19</f>
        <v>11.311273520921988</v>
      </c>
      <c r="CB47" s="85">
        <f>EnergyCal!D$19</f>
        <v>7.3644826439967002</v>
      </c>
      <c r="CC47" s="85">
        <f t="shared" si="68"/>
        <v>38.487309373184601</v>
      </c>
      <c r="CD47" s="85">
        <f>EnergyCal!F$19</f>
        <v>2.5223539755632576</v>
      </c>
      <c r="CE47" s="179">
        <f t="shared" si="69"/>
        <v>28.814580486333504</v>
      </c>
      <c r="CF47" s="85">
        <f t="shared" si="70"/>
        <v>11.5</v>
      </c>
      <c r="CG47" s="85">
        <f t="shared" si="39"/>
        <v>100.00000000000006</v>
      </c>
    </row>
    <row r="48" spans="1:85" x14ac:dyDescent="0.25">
      <c r="A48" s="117">
        <f t="shared" si="53"/>
        <v>2045</v>
      </c>
      <c r="B48" s="66">
        <f>INDEX((Proj_PasMob!$Q$6:$Q$46),MATCH(A48,Proj_PasMob!$M$6:M$46,0))</f>
        <v>10784141087.93745</v>
      </c>
      <c r="C48" s="119">
        <f>B48*Table1101826[Gasoline]%</f>
        <v>5923767753.7079296</v>
      </c>
      <c r="D48" s="123">
        <f>B48*Table1101826[[Diesel ]]%</f>
        <v>4854465399.833293</v>
      </c>
      <c r="E48" s="121">
        <f>B48*Table1101826[LPG]%</f>
        <v>5907934.3962282846</v>
      </c>
      <c r="F48" s="66">
        <f t="shared" si="11"/>
        <v>0</v>
      </c>
      <c r="H48" s="31">
        <f t="shared" si="32"/>
        <v>670053573.36608028</v>
      </c>
      <c r="I48" s="66">
        <f t="shared" si="33"/>
        <v>436254848.09249365</v>
      </c>
      <c r="J48" s="66">
        <f t="shared" si="58"/>
        <v>2102185789.307281</v>
      </c>
      <c r="K48" s="66">
        <f t="shared" si="35"/>
        <v>149418391.43878624</v>
      </c>
      <c r="L48" s="66">
        <f t="shared" si="36"/>
        <v>1825384182.2898002</v>
      </c>
      <c r="M48" s="66">
        <f t="shared" si="12"/>
        <v>2.6226043701171875E-6</v>
      </c>
      <c r="N48" s="31">
        <f t="shared" si="37"/>
        <v>740470969.2134912</v>
      </c>
      <c r="P48" s="66">
        <f>D48*Table3122028[Cars]%</f>
        <v>410514192.56155002</v>
      </c>
      <c r="Q48" s="66">
        <f>D48*Table3122028[DPV]%</f>
        <v>592114623.26417899</v>
      </c>
      <c r="R48" s="66">
        <f>D48*Table3122028[Buses]%</f>
        <v>3851836584.0075641</v>
      </c>
      <c r="S48" s="66">
        <f t="shared" si="13"/>
        <v>0</v>
      </c>
      <c r="W48" s="66">
        <f>E48*Table4132129[Cars]%</f>
        <v>5583870.484198885</v>
      </c>
      <c r="X48" s="66">
        <f>E48*Table4132129[DPV]%</f>
        <v>324063.91202939954</v>
      </c>
      <c r="Y48" s="66">
        <f t="shared" si="14"/>
        <v>0</v>
      </c>
      <c r="AB48" s="117">
        <f t="shared" si="54"/>
        <v>2045</v>
      </c>
      <c r="AD48" s="66">
        <f>H48*Table5142230[Autocycle]*0.01*$AD$7/1000</f>
        <v>11893.450927247924</v>
      </c>
      <c r="AE48" s="66">
        <f>I48*Table5142230[Motocycle]*0.01*$AD$7/1000</f>
        <v>9292.2282643701146</v>
      </c>
      <c r="AF48" s="66">
        <f>J48*Table5142230[Car]*0.01*$AD$7/$AL$8/1000</f>
        <v>51060.986408700541</v>
      </c>
      <c r="AG48" s="66">
        <f>K48*Table5142230[DPV]*0.01*$AD$7/$AL$8/1000</f>
        <v>6421.0587689352087</v>
      </c>
      <c r="AH48" s="66">
        <f>L48*Table5142230[Car_Hbrid]*0.01*$AD$7/$AL$8/1000</f>
        <v>27284.689882647537</v>
      </c>
      <c r="AI48" s="66">
        <f>Freight!E40*$AG$8*$AI$8*$AD$7/1000</f>
        <v>8414.9194745784989</v>
      </c>
      <c r="AJ48" s="66">
        <f t="shared" si="38"/>
        <v>114367.33372647982</v>
      </c>
      <c r="AK48" s="66">
        <f>P48*Table5142230[Car_Dsl]*0.01*$AD$8/$AL$8/1000</f>
        <v>12855.57603021696</v>
      </c>
      <c r="AL48" s="66">
        <f>Q48*Table5142230[DPV_Dsl]*0.01*$AD$8/$AL$8/1000</f>
        <v>29932.952402381263</v>
      </c>
      <c r="AM48" s="66">
        <f>R48*Table5142230[Bus]*0.01*$AD$8/$AL$9/1000</f>
        <v>28344.014634604235</v>
      </c>
      <c r="AN48" s="66">
        <f>Freight!E40*$AG$9*$AI$9*$AD$8/1000</f>
        <v>255585.37366474574</v>
      </c>
      <c r="AO48" s="66">
        <f t="shared" si="16"/>
        <v>326717.91673194821</v>
      </c>
      <c r="AQ48" s="66">
        <f>W48*Table5142230[Car_LPG]*0.01*$AD$9/$AL$8/1000</f>
        <v>130.87460946469335</v>
      </c>
      <c r="AR48" s="66">
        <f>X48*Table5142230[DPV_LPG]*0.01*$AD$9/$AL$8/1000</f>
        <v>13.438017936106906</v>
      </c>
      <c r="AS48" s="66">
        <f t="shared" si="40"/>
        <v>333.85687049002121</v>
      </c>
      <c r="AT48" s="66">
        <f t="shared" si="17"/>
        <v>478.1694978908215</v>
      </c>
      <c r="AU48" s="31">
        <f t="shared" si="18"/>
        <v>4781.6949789082155</v>
      </c>
      <c r="AW48" s="148">
        <f t="shared" si="3"/>
        <v>441563.4199563188</v>
      </c>
      <c r="AY48" s="163">
        <f t="shared" si="43"/>
        <v>114367.33372647982</v>
      </c>
      <c r="AZ48" s="163">
        <f t="shared" si="44"/>
        <v>326717.91673194821</v>
      </c>
      <c r="BA48" s="163">
        <f t="shared" si="6"/>
        <v>478.1694978908215</v>
      </c>
      <c r="BB48" s="163">
        <f t="shared" si="19"/>
        <v>441563.4199563188</v>
      </c>
      <c r="BC48" s="117">
        <f t="shared" si="55"/>
        <v>2045</v>
      </c>
      <c r="BD48" s="177">
        <f t="shared" si="64"/>
        <v>1.0000000000000002</v>
      </c>
      <c r="BE48" s="163">
        <f t="shared" si="56"/>
        <v>8558.0357142857156</v>
      </c>
      <c r="BF48" s="163">
        <f t="shared" si="20"/>
        <v>105809.29801219411</v>
      </c>
      <c r="BJ48" s="117">
        <f t="shared" si="57"/>
        <v>2045</v>
      </c>
      <c r="BK48" s="85">
        <f t="shared" si="21"/>
        <v>328.4997789805783</v>
      </c>
      <c r="BL48" s="85">
        <f t="shared" si="22"/>
        <v>0.15642846618122774</v>
      </c>
      <c r="BM48" s="85">
        <f t="shared" si="23"/>
        <v>1.5168820963028145E-2</v>
      </c>
      <c r="BN48" s="85">
        <f t="shared" si="24"/>
        <v>1048.2842373719577</v>
      </c>
      <c r="BO48" s="85">
        <f t="shared" si="7"/>
        <v>5.5172854598524085E-2</v>
      </c>
      <c r="BP48" s="85">
        <f t="shared" si="8"/>
        <v>5.5172854598524085E-2</v>
      </c>
      <c r="BQ48" s="85">
        <f t="shared" si="25"/>
        <v>1.5750042555427455</v>
      </c>
      <c r="BR48" s="85">
        <f t="shared" si="9"/>
        <v>1.5475477629738547E-3</v>
      </c>
      <c r="BS48" s="85">
        <f t="shared" si="10"/>
        <v>4.9920895579801765E-6</v>
      </c>
      <c r="BU48" s="39">
        <f t="shared" si="59"/>
        <v>1378.3590206080789</v>
      </c>
      <c r="BV48" s="39">
        <f t="shared" si="59"/>
        <v>0.21314886854272569</v>
      </c>
      <c r="BW48" s="39">
        <f t="shared" si="59"/>
        <v>7.0346667651110209E-2</v>
      </c>
      <c r="BX48" s="159">
        <f t="shared" si="27"/>
        <v>1404.6510492816778</v>
      </c>
      <c r="BZ48" s="117">
        <f t="shared" si="60"/>
        <v>2045</v>
      </c>
      <c r="CA48" s="85">
        <f>EnergyCal!C$19</f>
        <v>11.311273520921988</v>
      </c>
      <c r="CB48" s="85">
        <f>EnergyCal!D$19</f>
        <v>7.3644826439967002</v>
      </c>
      <c r="CC48" s="85">
        <f t="shared" si="68"/>
        <v>35.487309373184601</v>
      </c>
      <c r="CD48" s="85">
        <f>EnergyCal!F$19</f>
        <v>2.5223539755632576</v>
      </c>
      <c r="CE48" s="179">
        <f t="shared" si="69"/>
        <v>30.814580486333504</v>
      </c>
      <c r="CF48" s="85">
        <f t="shared" si="70"/>
        <v>12.5</v>
      </c>
      <c r="CG48" s="85">
        <f t="shared" si="39"/>
        <v>100.00000000000006</v>
      </c>
    </row>
    <row r="49" spans="1:85" x14ac:dyDescent="0.25">
      <c r="A49" s="117">
        <f t="shared" si="53"/>
        <v>2046</v>
      </c>
      <c r="B49" s="66">
        <f>INDEX((Proj_PasMob!$Q$6:$Q$46),MATCH(A49,Proj_PasMob!$M$6:M$46,0))</f>
        <v>10678041059.924702</v>
      </c>
      <c r="C49" s="119">
        <f>B49*Table1101826[Gasoline]%</f>
        <v>5865486624.0857983</v>
      </c>
      <c r="D49" s="123">
        <f>B49*Table1101826[[Diesel ]]%</f>
        <v>4806704626.795434</v>
      </c>
      <c r="E49" s="121">
        <f>B49*Table1101826[LPG]%</f>
        <v>5849809.0434694597</v>
      </c>
      <c r="F49" s="66">
        <f t="shared" si="11"/>
        <v>0</v>
      </c>
      <c r="H49" s="31">
        <f t="shared" si="32"/>
        <v>663461235.38343799</v>
      </c>
      <c r="I49" s="66">
        <f t="shared" si="33"/>
        <v>431962744.41674662</v>
      </c>
      <c r="J49" s="66">
        <f t="shared" si="58"/>
        <v>1861547636.1288712</v>
      </c>
      <c r="K49" s="66">
        <f t="shared" si="35"/>
        <v>147948335.04875925</v>
      </c>
      <c r="L49" s="66">
        <f t="shared" si="36"/>
        <v>1954062262.2961893</v>
      </c>
      <c r="M49" s="66">
        <f t="shared" si="12"/>
        <v>4.0531158447265625E-6</v>
      </c>
      <c r="N49" s="31">
        <f t="shared" si="37"/>
        <v>806504410.81179738</v>
      </c>
      <c r="P49" s="66">
        <f>D49*Table3122028[Cars]%</f>
        <v>406475338.93609715</v>
      </c>
      <c r="Q49" s="66">
        <f>D49*Table3122028[DPV]%</f>
        <v>586289089.49168801</v>
      </c>
      <c r="R49" s="66">
        <f>D49*Table3122028[Buses]%</f>
        <v>3813940198.3676486</v>
      </c>
      <c r="S49" s="66">
        <f t="shared" si="13"/>
        <v>0</v>
      </c>
      <c r="W49" s="66">
        <f>E49*Table4132129[Cars]%</f>
        <v>5528933.4419289408</v>
      </c>
      <c r="X49" s="66">
        <f>E49*Table4132129[DPV]%</f>
        <v>320875.60154051887</v>
      </c>
      <c r="Y49" s="66">
        <f t="shared" si="14"/>
        <v>0</v>
      </c>
      <c r="AB49" s="117">
        <f t="shared" si="54"/>
        <v>2046</v>
      </c>
      <c r="AD49" s="66">
        <f>H49*Table5142230[Autocycle]*0.01*$AD$7/1000</f>
        <v>11776.436928056024</v>
      </c>
      <c r="AE49" s="66">
        <f>I49*Table5142230[Motocycle]*0.01*$AD$7/1000</f>
        <v>9200.8064560767016</v>
      </c>
      <c r="AF49" s="66">
        <f>J49*Table5142230[Car]*0.01*$AD$7/$AL$8/1000</f>
        <v>45216.012319656533</v>
      </c>
      <c r="AG49" s="66">
        <f>K49*Table5142230[DPV]*0.01*$AD$7/$AL$8/1000</f>
        <v>6357.885029858523</v>
      </c>
      <c r="AH49" s="66">
        <f>L49*Table5142230[Car_Hbrid]*0.01*$AD$7/$AL$8/1000</f>
        <v>29208.088552216723</v>
      </c>
      <c r="AI49" s="66">
        <f>Freight!E41*$AG$8*$AI$8*$AD$7/1000</f>
        <v>8668.5020363757885</v>
      </c>
      <c r="AJ49" s="66">
        <f t="shared" si="38"/>
        <v>110427.73132224029</v>
      </c>
      <c r="AK49" s="66">
        <f>P49*Table5142230[Car_Dsl]*0.01*$AD$8/$AL$8/1000</f>
        <v>12729.096140367255</v>
      </c>
      <c r="AL49" s="66">
        <f>Q49*Table5142230[DPV_Dsl]*0.01*$AD$8/$AL$8/1000</f>
        <v>29638.456339829809</v>
      </c>
      <c r="AM49" s="66">
        <f>R49*Table5142230[Bus]*0.01*$AD$8/$AL$9/1000</f>
        <v>28065.151373988221</v>
      </c>
      <c r="AN49" s="66">
        <f>Freight!E41*$AG$9*$AI$9*$AD$8/1000</f>
        <v>263287.40741653868</v>
      </c>
      <c r="AO49" s="66">
        <f t="shared" si="16"/>
        <v>333720.11127072398</v>
      </c>
      <c r="AQ49" s="66">
        <f>W49*Table5142230[Car_LPG]*0.01*$AD$9/$AL$8/1000</f>
        <v>129.58699651368207</v>
      </c>
      <c r="AR49" s="66">
        <f>X49*Table5142230[DPV_LPG]*0.01*$AD$9/$AL$8/1000</f>
        <v>13.305807677744138</v>
      </c>
      <c r="AS49" s="66">
        <f t="shared" si="40"/>
        <v>310.15303268522973</v>
      </c>
      <c r="AT49" s="66">
        <f t="shared" si="17"/>
        <v>453.04583687665593</v>
      </c>
      <c r="AU49" s="31">
        <f t="shared" si="18"/>
        <v>4530.458368766559</v>
      </c>
      <c r="AW49" s="148">
        <f t="shared" si="3"/>
        <v>444600.88842984091</v>
      </c>
      <c r="AY49" s="163">
        <f t="shared" si="43"/>
        <v>110427.73132224029</v>
      </c>
      <c r="AZ49" s="163">
        <f t="shared" si="44"/>
        <v>333720.11127072398</v>
      </c>
      <c r="BA49" s="163">
        <f t="shared" si="6"/>
        <v>453.04583687665593</v>
      </c>
      <c r="BB49" s="163">
        <f t="shared" si="19"/>
        <v>444600.88842984091</v>
      </c>
      <c r="BC49" s="117">
        <f t="shared" si="55"/>
        <v>2046</v>
      </c>
      <c r="BD49" s="177">
        <f t="shared" si="64"/>
        <v>1.0000000000000002</v>
      </c>
      <c r="BE49" s="163">
        <f t="shared" si="56"/>
        <v>8558.0357142857156</v>
      </c>
      <c r="BF49" s="163">
        <f t="shared" si="20"/>
        <v>101869.69560795458</v>
      </c>
      <c r="BJ49" s="117">
        <f t="shared" si="57"/>
        <v>2046</v>
      </c>
      <c r="BK49" s="85">
        <f t="shared" si="21"/>
        <v>316.26873177228009</v>
      </c>
      <c r="BL49" s="85">
        <f t="shared" si="22"/>
        <v>0.15060415798680002</v>
      </c>
      <c r="BM49" s="85">
        <f t="shared" si="23"/>
        <v>1.4604039562356366E-2</v>
      </c>
      <c r="BN49" s="85">
        <f t="shared" si="24"/>
        <v>1070.7509886154558</v>
      </c>
      <c r="BO49" s="85">
        <f t="shared" si="7"/>
        <v>5.635531519028715E-2</v>
      </c>
      <c r="BP49" s="85">
        <f t="shared" si="8"/>
        <v>5.635531519028715E-2</v>
      </c>
      <c r="BQ49" s="85">
        <f t="shared" si="25"/>
        <v>1.4922514384210668</v>
      </c>
      <c r="BR49" s="85">
        <f t="shared" si="9"/>
        <v>1.4662375464676092E-3</v>
      </c>
      <c r="BS49" s="85">
        <f t="shared" si="10"/>
        <v>4.7297985369922879E-6</v>
      </c>
      <c r="BU49" s="39">
        <f t="shared" si="59"/>
        <v>1388.5119718261569</v>
      </c>
      <c r="BV49" s="39">
        <f t="shared" si="59"/>
        <v>0.20842571072355479</v>
      </c>
      <c r="BW49" s="39">
        <f t="shared" si="59"/>
        <v>7.0964084551180515E-2</v>
      </c>
      <c r="BX49" s="159">
        <f t="shared" si="27"/>
        <v>1414.8699117904978</v>
      </c>
      <c r="BZ49" s="117">
        <f t="shared" si="60"/>
        <v>2046</v>
      </c>
      <c r="CA49" s="85">
        <f>EnergyCal!C$19</f>
        <v>11.311273520921988</v>
      </c>
      <c r="CB49" s="85">
        <f>EnergyCal!D$19</f>
        <v>7.3644826439967002</v>
      </c>
      <c r="CC49" s="85">
        <f>CC48-$CN$8-$CN$9</f>
        <v>31.737309373184601</v>
      </c>
      <c r="CD49" s="85">
        <f>EnergyCal!F$19</f>
        <v>2.5223539755632576</v>
      </c>
      <c r="CE49" s="179">
        <f>CE48+$CN$8</f>
        <v>33.314580486333504</v>
      </c>
      <c r="CF49" s="85">
        <f>CF48+$CN$9</f>
        <v>13.75</v>
      </c>
      <c r="CG49" s="85">
        <f t="shared" si="39"/>
        <v>100.00000000000006</v>
      </c>
    </row>
    <row r="50" spans="1:85" x14ac:dyDescent="0.25">
      <c r="A50" s="117">
        <f t="shared" si="53"/>
        <v>2047</v>
      </c>
      <c r="B50" s="66">
        <f>INDEX((Proj_PasMob!$Q$6:$Q$46),MATCH(A50,Proj_PasMob!$M$6:M$46,0))</f>
        <v>10571068961.036474</v>
      </c>
      <c r="C50" s="119">
        <f>B50*Table1101826[Gasoline]%</f>
        <v>5806726462.7736168</v>
      </c>
      <c r="D50" s="123">
        <f>B50*Table1101826[[Diesel ]]%</f>
        <v>4758551292.3234568</v>
      </c>
      <c r="E50" s="121">
        <f>B50*Table1101826[LPG]%</f>
        <v>5791205.9394016359</v>
      </c>
      <c r="F50" s="66">
        <f t="shared" si="11"/>
        <v>0</v>
      </c>
      <c r="H50" s="31">
        <f t="shared" si="32"/>
        <v>656814712.81608212</v>
      </c>
      <c r="I50" s="66">
        <f t="shared" si="33"/>
        <v>427635362.53532654</v>
      </c>
      <c r="J50" s="66">
        <f t="shared" si="58"/>
        <v>1625146499.5910311</v>
      </c>
      <c r="K50" s="66">
        <f t="shared" si="35"/>
        <v>146466195.78385407</v>
      </c>
      <c r="L50" s="66">
        <f t="shared" si="36"/>
        <v>2079654722.6312833</v>
      </c>
      <c r="M50" s="66">
        <f t="shared" si="12"/>
        <v>2.9802322387695313E-6</v>
      </c>
      <c r="N50" s="31">
        <f t="shared" si="37"/>
        <v>871008969.41604245</v>
      </c>
      <c r="P50" s="66">
        <f>D50*Table3122028[Cars]%</f>
        <v>402403288.65006799</v>
      </c>
      <c r="Q50" s="66">
        <f>D50*Table3122028[DPV]%</f>
        <v>580415673.7493968</v>
      </c>
      <c r="R50" s="66">
        <f>D50*Table3122028[Buses]%</f>
        <v>3775732329.9239917</v>
      </c>
      <c r="S50" s="66">
        <f t="shared" si="13"/>
        <v>0</v>
      </c>
      <c r="W50" s="66">
        <f>E50*Table4132129[Cars]%</f>
        <v>5473544.8541180016</v>
      </c>
      <c r="X50" s="66">
        <f>E50*Table4132129[DPV]%</f>
        <v>317661.08528363402</v>
      </c>
      <c r="Y50" s="66">
        <f t="shared" si="14"/>
        <v>0</v>
      </c>
      <c r="AB50" s="117">
        <f t="shared" si="54"/>
        <v>2047</v>
      </c>
      <c r="AD50" s="66">
        <f>H50*Table5142230[Autocycle]*0.01*$AD$7/1000</f>
        <v>11658.461152485457</v>
      </c>
      <c r="AE50" s="66">
        <f>I50*Table5142230[Motocycle]*0.01*$AD$7/1000</f>
        <v>9108.633222002456</v>
      </c>
      <c r="AF50" s="66">
        <f>J50*Table5142230[Car]*0.01*$AD$7/$AL$8/1000</f>
        <v>39473.953134803196</v>
      </c>
      <c r="AG50" s="66">
        <f>K50*Table5142230[DPV]*0.01*$AD$7/$AL$8/1000</f>
        <v>6294.1920451324668</v>
      </c>
      <c r="AH50" s="66">
        <f>L50*Table5142230[Car_Hbrid]*0.01*$AD$7/$AL$8/1000</f>
        <v>31085.365327751817</v>
      </c>
      <c r="AI50" s="66">
        <f>Freight!E42*$AG$8*$AI$8*$AD$7/1000</f>
        <v>8929.6834308917969</v>
      </c>
      <c r="AJ50" s="66">
        <f t="shared" si="38"/>
        <v>106550.2883130672</v>
      </c>
      <c r="AK50" s="66">
        <f>P50*Table5142230[Car_Dsl]*0.01*$AD$8/$AL$8/1000</f>
        <v>12601.576670883707</v>
      </c>
      <c r="AL50" s="66">
        <f>Q50*Table5142230[DPV_Dsl]*0.01*$AD$8/$AL$8/1000</f>
        <v>29341.539717699772</v>
      </c>
      <c r="AM50" s="66">
        <f>R50*Table5142230[Bus]*0.01*$AD$8/$AL$9/1000</f>
        <v>27783.996044912117</v>
      </c>
      <c r="AN50" s="66">
        <f>Freight!E42*$AG$9*$AI$9*$AD$8/1000</f>
        <v>271220.2396335692</v>
      </c>
      <c r="AO50" s="66">
        <f t="shared" si="16"/>
        <v>340947.35206706478</v>
      </c>
      <c r="AQ50" s="66">
        <f>W50*Table5142230[Car_LPG]*0.01*$AD$9/$AL$8/1000</f>
        <v>128.28880025016369</v>
      </c>
      <c r="AR50" s="66">
        <f>X50*Table5142230[DPV_LPG]*0.01*$AD$9/$AL$8/1000</f>
        <v>13.172510739972163</v>
      </c>
      <c r="AS50" s="66">
        <f t="shared" si="40"/>
        <v>288.13216736457844</v>
      </c>
      <c r="AT50" s="66">
        <f t="shared" si="17"/>
        <v>429.59347835471431</v>
      </c>
      <c r="AU50" s="31">
        <f t="shared" si="18"/>
        <v>4295.9347835471435</v>
      </c>
      <c r="AW50" s="148">
        <f t="shared" si="3"/>
        <v>447927.23385848675</v>
      </c>
      <c r="AY50" s="163">
        <f t="shared" si="43"/>
        <v>106550.2883130672</v>
      </c>
      <c r="AZ50" s="163">
        <f t="shared" si="44"/>
        <v>340947.35206706478</v>
      </c>
      <c r="BA50" s="163">
        <f t="shared" si="6"/>
        <v>429.59347835471431</v>
      </c>
      <c r="BB50" s="163">
        <f t="shared" si="19"/>
        <v>447927.23385848675</v>
      </c>
      <c r="BC50" s="117">
        <f t="shared" si="55"/>
        <v>2047</v>
      </c>
      <c r="BD50" s="177">
        <f t="shared" si="64"/>
        <v>1.0000000000000002</v>
      </c>
      <c r="BE50" s="163">
        <f t="shared" si="56"/>
        <v>8558.0357142857156</v>
      </c>
      <c r="BF50" s="163">
        <f t="shared" si="20"/>
        <v>97992.252598781488</v>
      </c>
      <c r="BJ50" s="117">
        <f t="shared" si="57"/>
        <v>2047</v>
      </c>
      <c r="BK50" s="85">
        <f t="shared" si="21"/>
        <v>304.23066710828095</v>
      </c>
      <c r="BL50" s="85">
        <f t="shared" si="22"/>
        <v>0.14487174624203852</v>
      </c>
      <c r="BM50" s="85">
        <f t="shared" si="23"/>
        <v>1.4048169332561313E-2</v>
      </c>
      <c r="BN50" s="85">
        <f t="shared" si="24"/>
        <v>1093.9398075277393</v>
      </c>
      <c r="BO50" s="85">
        <f t="shared" si="7"/>
        <v>5.7575779343565225E-2</v>
      </c>
      <c r="BP50" s="85">
        <f t="shared" si="8"/>
        <v>5.7575779343565225E-2</v>
      </c>
      <c r="BQ50" s="85">
        <f t="shared" si="25"/>
        <v>1.415003590874325</v>
      </c>
      <c r="BR50" s="85">
        <f t="shared" si="9"/>
        <v>1.3903363333471973E-3</v>
      </c>
      <c r="BS50" s="85">
        <f t="shared" si="10"/>
        <v>4.4849559140232174E-6</v>
      </c>
      <c r="BU50" s="39">
        <f t="shared" si="59"/>
        <v>1399.5854782268943</v>
      </c>
      <c r="BV50" s="39">
        <f t="shared" si="59"/>
        <v>0.20383786191895095</v>
      </c>
      <c r="BW50" s="39">
        <f t="shared" si="59"/>
        <v>7.1628433632040564E-2</v>
      </c>
      <c r="BX50" s="159">
        <f t="shared" si="27"/>
        <v>1426.0266979972164</v>
      </c>
      <c r="BZ50" s="117">
        <f t="shared" si="60"/>
        <v>2047</v>
      </c>
      <c r="CA50" s="85">
        <f>EnergyCal!C$19</f>
        <v>11.311273520921988</v>
      </c>
      <c r="CB50" s="85">
        <f>EnergyCal!D$19</f>
        <v>7.3644826439967002</v>
      </c>
      <c r="CC50" s="85">
        <f t="shared" ref="CC50:CC53" si="71">CC49-$CN$8-$CN$9</f>
        <v>27.987309373184601</v>
      </c>
      <c r="CD50" s="85">
        <f>EnergyCal!F$19</f>
        <v>2.5223539755632576</v>
      </c>
      <c r="CE50" s="179">
        <f t="shared" ref="CE50:CE53" si="72">CE49+$CN$8</f>
        <v>35.814580486333504</v>
      </c>
      <c r="CF50" s="85">
        <f t="shared" ref="CF50:CF53" si="73">CF49+$CN$9</f>
        <v>15</v>
      </c>
      <c r="CG50" s="85">
        <f t="shared" si="39"/>
        <v>100.00000000000006</v>
      </c>
    </row>
    <row r="51" spans="1:85" x14ac:dyDescent="0.25">
      <c r="A51" s="117">
        <f t="shared" si="53"/>
        <v>2048</v>
      </c>
      <c r="B51" s="66">
        <f>INDEX((Proj_PasMob!$Q$6:$Q$46),MATCH(A51,Proj_PasMob!$M$6:M$46,0))</f>
        <v>10463377993.913282</v>
      </c>
      <c r="C51" s="119">
        <f>B51*Table1101826[Gasoline]%</f>
        <v>5747571424.5366306</v>
      </c>
      <c r="D51" s="123">
        <f>B51*Table1101826[[Diesel ]]%</f>
        <v>4710074360.3627949</v>
      </c>
      <c r="E51" s="121">
        <f>B51*Table1101826[LPG]%</f>
        <v>5732209.0138567872</v>
      </c>
      <c r="F51" s="66">
        <f t="shared" si="11"/>
        <v>0</v>
      </c>
      <c r="H51" s="31">
        <f t="shared" si="32"/>
        <v>650123524.63969064</v>
      </c>
      <c r="I51" s="66">
        <f t="shared" si="33"/>
        <v>423278900.01131409</v>
      </c>
      <c r="J51" s="66">
        <f t="shared" si="58"/>
        <v>1393056667.6096964</v>
      </c>
      <c r="K51" s="66">
        <f t="shared" si="35"/>
        <v>144974096.32513747</v>
      </c>
      <c r="L51" s="66">
        <f t="shared" si="36"/>
        <v>2202157879.4635925</v>
      </c>
      <c r="M51" s="66">
        <f t="shared" si="12"/>
        <v>2.7418136596679688E-6</v>
      </c>
      <c r="N51" s="31">
        <f t="shared" si="37"/>
        <v>933980356.48720253</v>
      </c>
      <c r="P51" s="66">
        <f>D51*Table3122028[Cars]%</f>
        <v>398303873.58731449</v>
      </c>
      <c r="Q51" s="66">
        <f>D51*Table3122028[DPV]%</f>
        <v>574502787.78962123</v>
      </c>
      <c r="R51" s="66">
        <f>D51*Table3122028[Buses]%</f>
        <v>3737267698.9858589</v>
      </c>
      <c r="S51" s="66">
        <f t="shared" si="13"/>
        <v>0</v>
      </c>
      <c r="W51" s="66">
        <f>E51*Table4132129[Cars]%</f>
        <v>5417784.0468519842</v>
      </c>
      <c r="X51" s="66">
        <f>E51*Table4132129[DPV]%</f>
        <v>314424.96700480266</v>
      </c>
      <c r="Y51" s="66">
        <f t="shared" si="14"/>
        <v>0</v>
      </c>
      <c r="AB51" s="117">
        <f t="shared" si="54"/>
        <v>2048</v>
      </c>
      <c r="AD51" s="66">
        <f>H51*Table5142230[Autocycle]*0.01*$AD$7/1000</f>
        <v>11539.692562354507</v>
      </c>
      <c r="AE51" s="66">
        <f>I51*Table5142230[Motocycle]*0.01*$AD$7/1000</f>
        <v>9015.8405702409891</v>
      </c>
      <c r="AF51" s="66">
        <f>J51*Table5142230[Car]*0.01*$AD$7/$AL$8/1000</f>
        <v>33836.61326851973</v>
      </c>
      <c r="AG51" s="66">
        <f>K51*Table5142230[DPV]*0.01*$AD$7/$AL$8/1000</f>
        <v>6230.0710341828808</v>
      </c>
      <c r="AH51" s="66">
        <f>L51*Table5142230[Car_Hbrid]*0.01*$AD$7/$AL$8/1000</f>
        <v>32916.465145666334</v>
      </c>
      <c r="AI51" s="66">
        <f>Freight!E43*$AG$8*$AI$8*$AD$7/1000</f>
        <v>9198.6916231080813</v>
      </c>
      <c r="AJ51" s="66">
        <f t="shared" si="38"/>
        <v>102737.37420407252</v>
      </c>
      <c r="AK51" s="66">
        <f>P51*Table5142230[Car_Dsl]*0.01*$AD$8/$AL$8/1000</f>
        <v>12473.200251813269</v>
      </c>
      <c r="AL51" s="66">
        <f>Q51*Table5142230[DPV_Dsl]*0.01*$AD$8/$AL$8/1000</f>
        <v>29042.627772206906</v>
      </c>
      <c r="AM51" s="66">
        <f>R51*Table5142230[Bus]*0.01*$AD$8/$AL$9/1000</f>
        <v>27500.95131068023</v>
      </c>
      <c r="AN51" s="66">
        <f>Freight!E43*$AG$9*$AI$9*$AD$8/1000</f>
        <v>279390.79426979419</v>
      </c>
      <c r="AO51" s="66">
        <f t="shared" si="16"/>
        <v>348407.57360449457</v>
      </c>
      <c r="AQ51" s="66">
        <f>W51*Table5142230[Car_LPG]*0.01*$AD$9/$AL$8/1000</f>
        <v>126.98187991685242</v>
      </c>
      <c r="AR51" s="66">
        <f>X51*Table5142230[DPV_LPG]*0.01*$AD$9/$AL$8/1000</f>
        <v>13.038318027176812</v>
      </c>
      <c r="AS51" s="66">
        <f t="shared" si="40"/>
        <v>267.6747834816934</v>
      </c>
      <c r="AT51" s="66">
        <f t="shared" si="17"/>
        <v>407.69498142572263</v>
      </c>
      <c r="AU51" s="31">
        <f t="shared" si="18"/>
        <v>4076.9498142572265</v>
      </c>
      <c r="AW51" s="148">
        <f t="shared" si="3"/>
        <v>451552.64278999279</v>
      </c>
      <c r="AY51" s="163">
        <f t="shared" si="43"/>
        <v>102737.37420407252</v>
      </c>
      <c r="AZ51" s="163">
        <f t="shared" si="44"/>
        <v>348407.57360449457</v>
      </c>
      <c r="BA51" s="163">
        <f t="shared" si="6"/>
        <v>407.69498142572263</v>
      </c>
      <c r="BB51" s="163">
        <f t="shared" si="19"/>
        <v>451552.64278999279</v>
      </c>
      <c r="BC51" s="117">
        <f t="shared" si="55"/>
        <v>2048</v>
      </c>
      <c r="BD51" s="177">
        <f t="shared" si="64"/>
        <v>1.0000000000000002</v>
      </c>
      <c r="BE51" s="163">
        <f t="shared" si="56"/>
        <v>8558.0357142857156</v>
      </c>
      <c r="BF51" s="163">
        <f t="shared" si="20"/>
        <v>94179.338489786809</v>
      </c>
      <c r="BJ51" s="117">
        <f t="shared" si="57"/>
        <v>2048</v>
      </c>
      <c r="BK51" s="85">
        <f t="shared" si="21"/>
        <v>292.39294144893171</v>
      </c>
      <c r="BL51" s="85">
        <f t="shared" si="22"/>
        <v>0.1392347340233008</v>
      </c>
      <c r="BM51" s="85">
        <f t="shared" si="23"/>
        <v>1.3501549965895835E-2</v>
      </c>
      <c r="BN51" s="85">
        <f t="shared" si="24"/>
        <v>1117.8761521372287</v>
      </c>
      <c r="BO51" s="85">
        <f t="shared" si="7"/>
        <v>5.8835586954590985E-2</v>
      </c>
      <c r="BP51" s="85">
        <f t="shared" si="8"/>
        <v>5.8835586954590985E-2</v>
      </c>
      <c r="BQ51" s="85">
        <f t="shared" si="25"/>
        <v>1.3428738837196736</v>
      </c>
      <c r="BR51" s="85">
        <f t="shared" si="9"/>
        <v>1.3194640378862087E-3</v>
      </c>
      <c r="BS51" s="85">
        <f t="shared" si="10"/>
        <v>4.2563356060845449E-6</v>
      </c>
      <c r="BU51" s="39">
        <f t="shared" si="59"/>
        <v>1411.61196746988</v>
      </c>
      <c r="BV51" s="39">
        <f t="shared" si="59"/>
        <v>0.199389785015778</v>
      </c>
      <c r="BW51" s="39">
        <f t="shared" si="59"/>
        <v>7.2341393256092901E-2</v>
      </c>
      <c r="BX51" s="159">
        <f t="shared" si="27"/>
        <v>1438.1544472855901</v>
      </c>
      <c r="BZ51" s="117">
        <f t="shared" si="60"/>
        <v>2048</v>
      </c>
      <c r="CA51" s="85">
        <f>EnergyCal!C$19</f>
        <v>11.311273520921988</v>
      </c>
      <c r="CB51" s="85">
        <f>EnergyCal!D$19</f>
        <v>7.3644826439967002</v>
      </c>
      <c r="CC51" s="85">
        <f t="shared" si="71"/>
        <v>24.237309373184601</v>
      </c>
      <c r="CD51" s="85">
        <f>EnergyCal!F$19</f>
        <v>2.5223539755632576</v>
      </c>
      <c r="CE51" s="179">
        <f t="shared" si="72"/>
        <v>38.314580486333504</v>
      </c>
      <c r="CF51" s="85">
        <f t="shared" si="73"/>
        <v>16.25</v>
      </c>
      <c r="CG51" s="85">
        <f t="shared" si="39"/>
        <v>100.00000000000006</v>
      </c>
    </row>
    <row r="52" spans="1:85" x14ac:dyDescent="0.25">
      <c r="A52" s="117">
        <f t="shared" si="53"/>
        <v>2049</v>
      </c>
      <c r="B52" s="66">
        <f>INDEX((Proj_PasMob!$Q$6:$Q$46),MATCH(A52,Proj_PasMob!$M$6:M$46,0))</f>
        <v>10355101402.684845</v>
      </c>
      <c r="C52" s="119">
        <f>B52*Table1101826[Gasoline]%</f>
        <v>5688094700.8578329</v>
      </c>
      <c r="D52" s="123">
        <f>B52*Table1101826[[Diesel ]]%</f>
        <v>4661333810.5643253</v>
      </c>
      <c r="E52" s="121">
        <f>B52*Table1101826[LPG]%</f>
        <v>5672891.2626878638</v>
      </c>
      <c r="F52" s="66">
        <f t="shared" si="11"/>
        <v>0</v>
      </c>
      <c r="H52" s="31">
        <f t="shared" si="32"/>
        <v>643395949.74309886</v>
      </c>
      <c r="I52" s="66">
        <f t="shared" si="33"/>
        <v>418898747.01877111</v>
      </c>
      <c r="J52" s="66">
        <f t="shared" si="58"/>
        <v>1165337558.8044634</v>
      </c>
      <c r="K52" s="66">
        <f t="shared" si="35"/>
        <v>143473882.82089055</v>
      </c>
      <c r="L52" s="66">
        <f t="shared" si="36"/>
        <v>2321571989.8204913</v>
      </c>
      <c r="M52" s="66">
        <f t="shared" si="12"/>
        <v>2.86102294921875E-6</v>
      </c>
      <c r="N52" s="31">
        <f t="shared" si="37"/>
        <v>995416572.65012074</v>
      </c>
      <c r="P52" s="66">
        <f>D52*Table3122028[Cars]%</f>
        <v>394182165.88161904</v>
      </c>
      <c r="Q52" s="66">
        <f>D52*Table3122028[DPV]%</f>
        <v>568557747.52162373</v>
      </c>
      <c r="R52" s="66">
        <f>D52*Table3122028[Buses]%</f>
        <v>3698593897.1610823</v>
      </c>
      <c r="S52" s="66">
        <f t="shared" si="13"/>
        <v>0</v>
      </c>
      <c r="W52" s="66">
        <f>E52*Table4132129[Cars]%</f>
        <v>5361720.011991905</v>
      </c>
      <c r="X52" s="66">
        <f>E52*Table4132129[DPV]%</f>
        <v>311171.25069595873</v>
      </c>
      <c r="Y52" s="66">
        <f t="shared" si="14"/>
        <v>0</v>
      </c>
      <c r="AB52" s="117">
        <f t="shared" si="54"/>
        <v>2049</v>
      </c>
      <c r="AD52" s="66">
        <f>H52*Table5142230[Autocycle]*0.01*$AD$7/1000</f>
        <v>11420.278107940003</v>
      </c>
      <c r="AE52" s="66">
        <f>I52*Table5142230[Motocycle]*0.01*$AD$7/1000</f>
        <v>8922.543311499825</v>
      </c>
      <c r="AF52" s="66">
        <f>J52*Table5142230[Car]*0.01*$AD$7/$AL$8/1000</f>
        <v>28305.435967803151</v>
      </c>
      <c r="AG52" s="66">
        <f>K52*Table5142230[DPV]*0.01*$AD$7/$AL$8/1000</f>
        <v>6165.6013328030076</v>
      </c>
      <c r="AH52" s="66">
        <f>L52*Table5142230[Car_Hbrid]*0.01*$AD$7/$AL$8/1000</f>
        <v>34701.391847843137</v>
      </c>
      <c r="AI52" s="66">
        <f>Freight!E44*$AG$8*$AI$8*$AD$7/1000</f>
        <v>9475.76141695566</v>
      </c>
      <c r="AJ52" s="66">
        <f t="shared" si="38"/>
        <v>98991.011984844794</v>
      </c>
      <c r="AK52" s="66">
        <f>P52*Table5142230[Car_Dsl]*0.01*$AD$8/$AL$8/1000</f>
        <v>12344.12572102965</v>
      </c>
      <c r="AL52" s="66">
        <f>Q52*Table5142230[DPV_Dsl]*0.01*$AD$8/$AL$8/1000</f>
        <v>28742.090341816824</v>
      </c>
      <c r="AM52" s="66">
        <f>R52*Table5142230[Bus]*0.01*$AD$8/$AL$9/1000</f>
        <v>27216.367377538194</v>
      </c>
      <c r="AN52" s="66">
        <f>Freight!E44*$AG$9*$AI$9*$AD$8/1000</f>
        <v>287806.20299778954</v>
      </c>
      <c r="AO52" s="66">
        <f t="shared" si="16"/>
        <v>356108.7864381742</v>
      </c>
      <c r="AQ52" s="66">
        <f>W52*Table5142230[Car_LPG]*0.01*$AD$9/$AL$8/1000</f>
        <v>125.66785254317125</v>
      </c>
      <c r="AR52" s="66">
        <f>X52*Table5142230[DPV_LPG]*0.01*$AD$9/$AL$8/1000</f>
        <v>12.90339557362919</v>
      </c>
      <c r="AS52" s="66">
        <f t="shared" si="40"/>
        <v>248.66987385449318</v>
      </c>
      <c r="AT52" s="66">
        <f t="shared" si="17"/>
        <v>387.24112197129364</v>
      </c>
      <c r="AU52" s="31">
        <f t="shared" si="18"/>
        <v>3872.4112197129361</v>
      </c>
      <c r="AW52" s="148">
        <f t="shared" si="3"/>
        <v>455487.03954499029</v>
      </c>
      <c r="AY52" s="163">
        <f t="shared" si="43"/>
        <v>98991.011984844794</v>
      </c>
      <c r="AZ52" s="163">
        <f t="shared" si="44"/>
        <v>356108.7864381742</v>
      </c>
      <c r="BA52" s="163">
        <f t="shared" si="6"/>
        <v>387.24112197129364</v>
      </c>
      <c r="BB52" s="163">
        <f t="shared" si="19"/>
        <v>455487.03954499029</v>
      </c>
      <c r="BC52" s="117">
        <f t="shared" si="55"/>
        <v>2049</v>
      </c>
      <c r="BD52" s="177">
        <f t="shared" si="64"/>
        <v>1.0000000000000002</v>
      </c>
      <c r="BE52" s="163">
        <f t="shared" si="56"/>
        <v>8558.0357142857156</v>
      </c>
      <c r="BF52" s="163">
        <f t="shared" si="20"/>
        <v>90432.976270559084</v>
      </c>
      <c r="BJ52" s="117">
        <f t="shared" si="57"/>
        <v>2049</v>
      </c>
      <c r="BK52" s="85">
        <f t="shared" si="21"/>
        <v>280.76183544862852</v>
      </c>
      <c r="BL52" s="85">
        <f t="shared" si="22"/>
        <v>0.13369611211839452</v>
      </c>
      <c r="BM52" s="85">
        <f t="shared" si="23"/>
        <v>1.2964471478147348E-2</v>
      </c>
      <c r="BN52" s="85">
        <f t="shared" si="24"/>
        <v>1142.5857245504749</v>
      </c>
      <c r="BO52" s="85">
        <f t="shared" si="7"/>
        <v>6.0136090765814464E-2</v>
      </c>
      <c r="BP52" s="85">
        <f t="shared" si="8"/>
        <v>6.0136090765814464E-2</v>
      </c>
      <c r="BQ52" s="85">
        <f t="shared" si="25"/>
        <v>1.2755025523714862</v>
      </c>
      <c r="BR52" s="85">
        <f t="shared" si="9"/>
        <v>1.2532671671478947E-3</v>
      </c>
      <c r="BS52" s="85">
        <f t="shared" si="10"/>
        <v>4.0427973133803063E-6</v>
      </c>
      <c r="BU52" s="39">
        <f t="shared" si="59"/>
        <v>1424.623062551475</v>
      </c>
      <c r="BV52" s="39">
        <f t="shared" si="59"/>
        <v>0.19508547005135687</v>
      </c>
      <c r="BW52" s="39">
        <f t="shared" si="59"/>
        <v>7.3104605041275195E-2</v>
      </c>
      <c r="BX52" s="159">
        <f t="shared" si="27"/>
        <v>1451.2853716050588</v>
      </c>
      <c r="BZ52" s="117">
        <f t="shared" si="60"/>
        <v>2049</v>
      </c>
      <c r="CA52" s="85">
        <f>EnergyCal!C$19</f>
        <v>11.311273520921988</v>
      </c>
      <c r="CB52" s="85">
        <f>EnergyCal!D$19</f>
        <v>7.3644826439967002</v>
      </c>
      <c r="CC52" s="85">
        <f t="shared" si="71"/>
        <v>20.487309373184601</v>
      </c>
      <c r="CD52" s="85">
        <f>EnergyCal!F$19</f>
        <v>2.5223539755632576</v>
      </c>
      <c r="CE52" s="179">
        <f t="shared" si="72"/>
        <v>40.814580486333504</v>
      </c>
      <c r="CF52" s="85">
        <f t="shared" si="73"/>
        <v>17.5</v>
      </c>
      <c r="CG52" s="85">
        <f t="shared" si="39"/>
        <v>100.00000000000006</v>
      </c>
    </row>
    <row r="53" spans="1:85" x14ac:dyDescent="0.25">
      <c r="A53" s="117">
        <f>A52+1</f>
        <v>2050</v>
      </c>
      <c r="B53" s="66">
        <f>INDEX((Proj_PasMob!$Q$6:$Q$46),MATCH(A53,Proj_PasMob!$M$6:M$46,0))</f>
        <v>10241580100.230583</v>
      </c>
      <c r="C53" s="119">
        <f>B53*Table1101826[Gasoline]%</f>
        <v>5625737038.3092899</v>
      </c>
      <c r="D53" s="123">
        <f>B53*Table1101826[[Diesel ]]%</f>
        <v>4610232361.6483202</v>
      </c>
      <c r="E53" s="121">
        <f>B53*Table1101826[LPG]%</f>
        <v>5610700.2729738709</v>
      </c>
      <c r="F53" s="66">
        <f t="shared" si="11"/>
        <v>0</v>
      </c>
      <c r="H53" s="31">
        <f t="shared" si="32"/>
        <v>636342503.97097957</v>
      </c>
      <c r="I53" s="66">
        <f t="shared" si="33"/>
        <v>414306427.78318167</v>
      </c>
      <c r="J53" s="66">
        <f t="shared" si="58"/>
        <v>941597012.62365854</v>
      </c>
      <c r="K53" s="66">
        <f t="shared" si="35"/>
        <v>141901001.84052905</v>
      </c>
      <c r="L53" s="66">
        <f t="shared" si="36"/>
        <v>2436764397.4079523</v>
      </c>
      <c r="M53" s="66">
        <f t="shared" si="12"/>
        <v>2.7418136596679688E-6</v>
      </c>
      <c r="N53" s="31">
        <f t="shared" si="37"/>
        <v>1054825694.6829919</v>
      </c>
      <c r="P53" s="66">
        <f>D53*Table3122028[Cars]%</f>
        <v>389860810.52883404</v>
      </c>
      <c r="Q53" s="66">
        <f>D53*Table3122028[DPV]%</f>
        <v>562324740.86054146</v>
      </c>
      <c r="R53" s="66">
        <f>D53*Table3122028[Buses]%</f>
        <v>3658046810.2589445</v>
      </c>
      <c r="S53" s="66">
        <f t="shared" si="13"/>
        <v>0</v>
      </c>
      <c r="W53" s="66">
        <f>E53*Table4132129[Cars]%</f>
        <v>5302940.3423888059</v>
      </c>
      <c r="X53" s="66">
        <f>E53*Table4132129[DPV]%</f>
        <v>307759.93058506463</v>
      </c>
      <c r="Y53" s="66">
        <f t="shared" si="14"/>
        <v>0</v>
      </c>
      <c r="AB53" s="117">
        <f t="shared" si="54"/>
        <v>2050</v>
      </c>
      <c r="AD53" s="66">
        <f>H53*Table5142230[Autocycle]*0.01*$AD$7/1000</f>
        <v>11295.079445484887</v>
      </c>
      <c r="AE53" s="66">
        <f>I53*Table5142230[Motocycle]*0.01*$AD$7/1000</f>
        <v>8824.7269117817686</v>
      </c>
      <c r="AF53" s="66">
        <f>J53*Table5142230[Car]*0.01*$AD$7/$AL$8/1000</f>
        <v>22870.8958592536</v>
      </c>
      <c r="AG53" s="66">
        <f>K53*Table5142230[DPV]*0.01*$AD$7/$AL$8/1000</f>
        <v>6098.0088422522085</v>
      </c>
      <c r="AH53" s="66">
        <f>L53*Table5142230[Car_Hbrid]*0.01*$AD$7/$AL$8/1000</f>
        <v>36423.215203360975</v>
      </c>
      <c r="AI53" s="66">
        <f>Freight!E45*$AG$8*$AI$8*$AD$7/1000</f>
        <v>9761.1471782169028</v>
      </c>
      <c r="AJ53" s="66">
        <f t="shared" si="38"/>
        <v>95273.07344035033</v>
      </c>
      <c r="AK53" s="66">
        <f>P53*Table5142230[Car_Dsl]*0.01*$AD$8/$AL$8/1000</f>
        <v>12208.799066560858</v>
      </c>
      <c r="AL53" s="66">
        <f>Q53*Table5142230[DPV_Dsl]*0.01*$AD$8/$AL$8/1000</f>
        <v>28426.995452450006</v>
      </c>
      <c r="AM53" s="66">
        <f>R53*Table5142230[Bus]*0.01*$AD$8/$AL$9/1000</f>
        <v>26917.998742348322</v>
      </c>
      <c r="AN53" s="66">
        <f>Freight!E45*$AG$9*$AI$9*$AD$8/1000</f>
        <v>296474.19163997512</v>
      </c>
      <c r="AO53" s="66">
        <f t="shared" si="16"/>
        <v>364027.98490133428</v>
      </c>
      <c r="AQ53" s="66">
        <f>W53*Table5142230[Car_LPG]*0.01*$AD$9/$AL$8/1000</f>
        <v>124.29017619384722</v>
      </c>
      <c r="AR53" s="66">
        <f>X53*Table5142230[DPV_LPG]*0.01*$AD$9/$AL$8/1000</f>
        <v>12.761937734189667</v>
      </c>
      <c r="AS53" s="66">
        <f t="shared" si="40"/>
        <v>231.01431281082418</v>
      </c>
      <c r="AT53" s="66">
        <f t="shared" si="17"/>
        <v>368.06642673886108</v>
      </c>
      <c r="AU53" s="31">
        <f t="shared" si="18"/>
        <v>3680.6642673886108</v>
      </c>
      <c r="AW53" s="148">
        <f t="shared" si="3"/>
        <v>459669.1247684235</v>
      </c>
      <c r="AY53" s="163">
        <f t="shared" si="43"/>
        <v>95273.07344035033</v>
      </c>
      <c r="AZ53" s="163">
        <f t="shared" si="44"/>
        <v>364027.98490133428</v>
      </c>
      <c r="BA53" s="163">
        <f t="shared" si="6"/>
        <v>368.06642673886108</v>
      </c>
      <c r="BB53" s="163">
        <f t="shared" si="19"/>
        <v>459669.1247684235</v>
      </c>
      <c r="BC53" s="117">
        <f t="shared" si="55"/>
        <v>2050</v>
      </c>
      <c r="BD53" s="177">
        <f t="shared" si="64"/>
        <v>1.0000000000000002</v>
      </c>
      <c r="BE53" s="163">
        <f t="shared" si="56"/>
        <v>8558.0357142857156</v>
      </c>
      <c r="BF53" s="163">
        <f t="shared" si="20"/>
        <v>86715.03772606462</v>
      </c>
      <c r="BJ53" s="117">
        <f t="shared" si="57"/>
        <v>2050</v>
      </c>
      <c r="BK53" s="85">
        <f t="shared" si="21"/>
        <v>269.21897472584925</v>
      </c>
      <c r="BL53" s="85">
        <f t="shared" si="22"/>
        <v>0.1281995117742139</v>
      </c>
      <c r="BM53" s="85">
        <f t="shared" si="23"/>
        <v>1.2431467808408623E-2</v>
      </c>
      <c r="BN53" s="85">
        <f t="shared" si="24"/>
        <v>1167.994710395478</v>
      </c>
      <c r="BO53" s="85">
        <f t="shared" si="7"/>
        <v>6.147340581028831E-2</v>
      </c>
      <c r="BP53" s="85">
        <f t="shared" si="8"/>
        <v>6.147340581028831E-2</v>
      </c>
      <c r="BQ53" s="85">
        <f t="shared" si="25"/>
        <v>1.2123445577209953</v>
      </c>
      <c r="BR53" s="85">
        <f t="shared" si="9"/>
        <v>1.1912101834976501E-3</v>
      </c>
      <c r="BS53" s="85">
        <f t="shared" si="10"/>
        <v>3.84261349515371E-6</v>
      </c>
      <c r="BU53" s="39">
        <f t="shared" si="59"/>
        <v>1438.4260296790483</v>
      </c>
      <c r="BV53" s="39">
        <f t="shared" si="59"/>
        <v>0.19086412776799988</v>
      </c>
      <c r="BW53" s="39">
        <f t="shared" si="59"/>
        <v>7.3908716232192084E-2</v>
      </c>
      <c r="BX53" s="159">
        <f t="shared" si="27"/>
        <v>1465.2224303104415</v>
      </c>
      <c r="BZ53" s="191">
        <f>BZ52+1</f>
        <v>2050</v>
      </c>
      <c r="CA53" s="192">
        <f>EnergyCal!C$19</f>
        <v>11.311273520921988</v>
      </c>
      <c r="CB53" s="192">
        <f>EnergyCal!D$19</f>
        <v>7.3644826439967002</v>
      </c>
      <c r="CC53" s="192">
        <f t="shared" si="71"/>
        <v>16.737309373184601</v>
      </c>
      <c r="CD53" s="192">
        <f>EnergyCal!F$19</f>
        <v>2.5223539755632576</v>
      </c>
      <c r="CE53" s="193">
        <f t="shared" si="72"/>
        <v>43.314580486333504</v>
      </c>
      <c r="CF53" s="192">
        <f t="shared" si="73"/>
        <v>18.75</v>
      </c>
      <c r="CG53" s="192">
        <f t="shared" si="39"/>
        <v>100.00000000000006</v>
      </c>
    </row>
    <row r="54" spans="1:85" x14ac:dyDescent="0.25">
      <c r="AS54" s="31"/>
    </row>
  </sheetData>
  <mergeCells count="22">
    <mergeCell ref="AY11:BB11"/>
    <mergeCell ref="BK11:BM11"/>
    <mergeCell ref="BN11:BP11"/>
    <mergeCell ref="BQ11:BS11"/>
    <mergeCell ref="BU11:BX11"/>
    <mergeCell ref="BD11:BE11"/>
    <mergeCell ref="BF10:BF11"/>
    <mergeCell ref="AQ8:AU9"/>
    <mergeCell ref="AW9:AW10"/>
    <mergeCell ref="C11:F11"/>
    <mergeCell ref="I11:L11"/>
    <mergeCell ref="P11:R11"/>
    <mergeCell ref="W11:Y11"/>
    <mergeCell ref="AD11:AI11"/>
    <mergeCell ref="AK11:AN11"/>
    <mergeCell ref="AQ11:AS11"/>
    <mergeCell ref="AB3:AC3"/>
    <mergeCell ref="AB4:AC4"/>
    <mergeCell ref="A7:E7"/>
    <mergeCell ref="H7:M7"/>
    <mergeCell ref="O7:S7"/>
    <mergeCell ref="U7:Z7"/>
  </mergeCells>
  <pageMargins left="0.7" right="0.7" top="0.75" bottom="0.75" header="0.3" footer="0.3"/>
  <pageSetup orientation="portrait" horizontalDpi="0" verticalDpi="0" r:id="rId1"/>
  <tableParts count="8">
    <tablePart r:id="rId2"/>
    <tablePart r:id="rId3"/>
    <tablePart r:id="rId4"/>
    <tablePart r:id="rId5"/>
    <tablePart r:id="rId6"/>
    <tablePart r:id="rId7"/>
    <tablePart r:id="rId8"/>
    <tablePart r:id="rId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6"/>
  <sheetViews>
    <sheetView topLeftCell="A9" zoomScale="80" zoomScaleNormal="80" workbookViewId="0">
      <selection activeCell="N33" sqref="N33"/>
    </sheetView>
  </sheetViews>
  <sheetFormatPr defaultRowHeight="15" outlineLevelCol="1" x14ac:dyDescent="0.25"/>
  <cols>
    <col min="2" max="2" width="17.42578125" customWidth="1"/>
    <col min="3" max="3" width="14.7109375" customWidth="1"/>
    <col min="4" max="4" width="15.140625" customWidth="1"/>
    <col min="5" max="5" width="14.7109375" customWidth="1"/>
    <col min="6" max="6" width="14.85546875" customWidth="1"/>
    <col min="7" max="7" width="17.42578125" customWidth="1"/>
    <col min="8" max="8" width="11.85546875" customWidth="1"/>
    <col min="9" max="9" width="12.42578125" customWidth="1"/>
    <col min="10" max="11" width="14.7109375" customWidth="1"/>
    <col min="12" max="12" width="13.140625" customWidth="1"/>
    <col min="13" max="13" width="12.42578125" customWidth="1"/>
    <col min="14" max="14" width="13.85546875" customWidth="1"/>
    <col min="15" max="15" width="13.42578125" customWidth="1"/>
    <col min="16" max="16" width="12.42578125" customWidth="1"/>
    <col min="17" max="17" width="11.85546875" customWidth="1"/>
    <col min="18" max="18" width="16" customWidth="1"/>
    <col min="19" max="19" width="13.5703125" customWidth="1"/>
    <col min="20" max="20" width="17.5703125" customWidth="1"/>
    <col min="21" max="22" width="9.140625" customWidth="1" outlineLevel="1"/>
    <col min="23" max="23" width="10.85546875" customWidth="1" outlineLevel="1"/>
    <col min="24" max="24" width="10.5703125" customWidth="1" outlineLevel="1"/>
    <col min="25" max="26" width="9.140625" customWidth="1" outlineLevel="1"/>
    <col min="27" max="27" width="2.85546875" style="130" customWidth="1" outlineLevel="1"/>
    <col min="30" max="30" width="15.28515625" customWidth="1"/>
    <col min="31" max="31" width="12.42578125" customWidth="1"/>
    <col min="34" max="34" width="10" customWidth="1"/>
    <col min="35" max="35" width="14.5703125" customWidth="1"/>
    <col min="36" max="36" width="14.28515625" customWidth="1"/>
    <col min="37" max="37" width="11.85546875" customWidth="1"/>
    <col min="38" max="38" width="11" customWidth="1"/>
    <col min="39" max="39" width="12.5703125" customWidth="1"/>
    <col min="40" max="40" width="10.7109375" customWidth="1"/>
    <col min="41" max="41" width="10.42578125" customWidth="1"/>
    <col min="50" max="50" width="18.7109375" bestFit="1" customWidth="1"/>
    <col min="52" max="52" width="2.7109375" style="130" customWidth="1"/>
    <col min="55" max="56" width="10" customWidth="1"/>
    <col min="57" max="57" width="10.5703125" customWidth="1"/>
    <col min="58" max="58" width="10.42578125" customWidth="1"/>
    <col min="59" max="59" width="13.42578125" customWidth="1"/>
    <col min="60" max="60" width="14.140625" customWidth="1"/>
    <col min="61" max="61" width="15.140625" customWidth="1"/>
    <col min="68" max="68" width="10.28515625" customWidth="1"/>
    <col min="70" max="70" width="11.7109375" customWidth="1"/>
    <col min="71" max="71" width="11.140625" customWidth="1"/>
    <col min="72" max="72" width="11.7109375" customWidth="1"/>
    <col min="73" max="73" width="11" customWidth="1"/>
  </cols>
  <sheetData>
    <row r="1" spans="1:81" x14ac:dyDescent="0.25">
      <c r="A1" s="115" t="s">
        <v>147</v>
      </c>
      <c r="B1" s="115"/>
      <c r="C1" s="115"/>
      <c r="D1" s="115"/>
      <c r="E1" s="115"/>
      <c r="F1" s="115"/>
      <c r="G1" s="115"/>
      <c r="H1" s="115"/>
      <c r="I1" s="115"/>
      <c r="J1" s="115"/>
      <c r="K1" s="115"/>
      <c r="L1" s="115"/>
      <c r="M1" s="115"/>
      <c r="N1" s="115"/>
      <c r="O1" s="115"/>
      <c r="P1" s="115"/>
      <c r="Q1" s="29"/>
      <c r="R1" s="29"/>
      <c r="S1" s="29"/>
      <c r="AB1" s="136" t="s">
        <v>159</v>
      </c>
      <c r="AC1" s="136"/>
      <c r="AD1" s="136"/>
      <c r="AE1" s="136"/>
      <c r="AF1" s="136"/>
      <c r="AG1" s="136"/>
      <c r="AH1" s="136"/>
      <c r="AI1" s="136"/>
      <c r="AJ1" s="136"/>
      <c r="AK1" s="136"/>
      <c r="AL1" s="136"/>
      <c r="AM1" s="136"/>
      <c r="AN1" s="136"/>
      <c r="BA1" s="136" t="s">
        <v>187</v>
      </c>
      <c r="BB1" s="136"/>
      <c r="BC1" s="136"/>
      <c r="BD1" s="136"/>
      <c r="BE1" s="136"/>
      <c r="BF1" s="136"/>
      <c r="BG1" s="136"/>
      <c r="BH1" s="136"/>
      <c r="BI1" s="136"/>
      <c r="BJ1" s="136"/>
      <c r="BK1" s="136"/>
      <c r="BL1" s="136"/>
    </row>
    <row r="2" spans="1:81" x14ac:dyDescent="0.25">
      <c r="A2" s="115" t="s">
        <v>148</v>
      </c>
      <c r="B2" s="115"/>
      <c r="C2" s="115"/>
      <c r="D2" s="115"/>
      <c r="E2" s="115"/>
      <c r="F2" s="115"/>
      <c r="G2" s="115"/>
      <c r="H2" s="115"/>
      <c r="I2" s="115"/>
      <c r="J2" s="115"/>
      <c r="K2" s="115"/>
      <c r="L2" s="115"/>
      <c r="M2" s="115"/>
      <c r="N2" s="115"/>
      <c r="O2" s="115"/>
      <c r="P2" s="115"/>
      <c r="Q2" s="29"/>
      <c r="R2" s="29"/>
      <c r="S2" s="29"/>
    </row>
    <row r="3" spans="1:81" x14ac:dyDescent="0.25">
      <c r="A3" s="115" t="s">
        <v>149</v>
      </c>
      <c r="B3" s="115"/>
      <c r="C3" s="115"/>
      <c r="D3" s="115"/>
      <c r="E3" s="115"/>
      <c r="F3" s="115"/>
      <c r="G3" s="115"/>
      <c r="H3" s="115"/>
      <c r="I3" s="115"/>
      <c r="J3" s="115"/>
      <c r="K3" s="115"/>
      <c r="L3" s="115"/>
      <c r="M3" s="115"/>
      <c r="N3" s="115"/>
      <c r="O3" s="115"/>
      <c r="P3" s="115"/>
      <c r="Q3" s="29"/>
      <c r="R3" s="29"/>
      <c r="S3" s="29"/>
      <c r="AB3" s="219" t="s">
        <v>160</v>
      </c>
      <c r="AC3" s="219"/>
      <c r="AD3" s="117" t="s">
        <v>5</v>
      </c>
      <c r="AE3" s="117" t="s">
        <v>62</v>
      </c>
      <c r="AF3" s="117" t="s">
        <v>63</v>
      </c>
      <c r="AG3" s="117" t="s">
        <v>64</v>
      </c>
      <c r="AH3" s="117" t="s">
        <v>165</v>
      </c>
      <c r="AI3" s="117" t="s">
        <v>166</v>
      </c>
      <c r="AJ3" s="117" t="s">
        <v>119</v>
      </c>
      <c r="AK3" s="117" t="s">
        <v>167</v>
      </c>
      <c r="AL3" s="117" t="s">
        <v>168</v>
      </c>
      <c r="AM3" s="117" t="s">
        <v>169</v>
      </c>
      <c r="BA3" s="149" t="s">
        <v>188</v>
      </c>
      <c r="BB3" s="149"/>
      <c r="BC3" s="149"/>
      <c r="BK3" s="149" t="s">
        <v>206</v>
      </c>
      <c r="BL3" s="149"/>
      <c r="BM3" s="149"/>
      <c r="BN3" s="149"/>
    </row>
    <row r="4" spans="1:81" x14ac:dyDescent="0.25">
      <c r="A4" s="29"/>
      <c r="B4" s="29"/>
      <c r="C4" s="29"/>
      <c r="D4" s="29"/>
      <c r="E4" s="29"/>
      <c r="F4" s="29"/>
      <c r="G4" s="29"/>
      <c r="H4" s="29"/>
      <c r="I4" s="29"/>
      <c r="J4" s="29"/>
      <c r="K4" s="29"/>
      <c r="L4" s="29"/>
      <c r="M4" s="29"/>
      <c r="N4" s="29"/>
      <c r="O4" s="29"/>
      <c r="P4" s="29"/>
      <c r="Q4" s="29"/>
      <c r="R4" s="29"/>
      <c r="S4" s="29"/>
      <c r="AB4" s="219" t="s">
        <v>164</v>
      </c>
      <c r="AC4" s="219"/>
      <c r="AD4" s="108">
        <f>EnergyCal!C$26</f>
        <v>2.5</v>
      </c>
      <c r="AE4" s="108">
        <f>EnergyCal!C27</f>
        <v>3</v>
      </c>
      <c r="AF4" s="108">
        <f>EnergyCal!C28</f>
        <v>6.5</v>
      </c>
      <c r="AG4" s="108">
        <f>EnergyCal!C29</f>
        <v>11.5</v>
      </c>
      <c r="AH4" s="108">
        <f>EnergyCal!C30</f>
        <v>7</v>
      </c>
      <c r="AI4" s="108">
        <f>EnergyCal!C31</f>
        <v>11.3</v>
      </c>
      <c r="AJ4" s="108">
        <f>EnergyCal!C32</f>
        <v>30.3</v>
      </c>
      <c r="AK4" s="108">
        <f>EnergyCal!C35</f>
        <v>4</v>
      </c>
      <c r="AL4" s="108">
        <f>EnergyCal!C36</f>
        <v>7.9950000000000001</v>
      </c>
      <c r="AM4" s="108">
        <f>EnergyCal!C37</f>
        <v>14.145</v>
      </c>
      <c r="BB4" s="117"/>
      <c r="BC4" s="117"/>
      <c r="BD4" s="117"/>
      <c r="BE4" s="117"/>
      <c r="BF4" s="152" t="s">
        <v>189</v>
      </c>
      <c r="BG4" s="150" t="s">
        <v>194</v>
      </c>
      <c r="BH4" s="150" t="s">
        <v>195</v>
      </c>
      <c r="BI4" s="150" t="s">
        <v>196</v>
      </c>
      <c r="BJ4" s="117"/>
    </row>
    <row r="5" spans="1:81" x14ac:dyDescent="0.25">
      <c r="A5" s="64" t="s">
        <v>150</v>
      </c>
      <c r="B5" s="64"/>
      <c r="C5" s="64"/>
      <c r="D5" s="64"/>
      <c r="E5" s="64"/>
      <c r="F5" s="64"/>
      <c r="G5" s="64"/>
      <c r="H5" s="64"/>
      <c r="I5" s="64"/>
      <c r="J5" s="64"/>
      <c r="K5" s="64"/>
      <c r="L5" s="64"/>
      <c r="M5" s="64"/>
      <c r="N5" s="29"/>
      <c r="O5" s="29"/>
      <c r="P5" s="29"/>
      <c r="Q5" s="29"/>
      <c r="R5" s="29"/>
      <c r="S5" s="29"/>
      <c r="BB5" s="187" t="s">
        <v>116</v>
      </c>
      <c r="BC5" s="151" t="s">
        <v>190</v>
      </c>
      <c r="BD5" s="151" t="s">
        <v>191</v>
      </c>
      <c r="BE5" s="151" t="s">
        <v>192</v>
      </c>
      <c r="BF5" s="152" t="s">
        <v>193</v>
      </c>
      <c r="BG5" s="150" t="s">
        <v>197</v>
      </c>
      <c r="BH5" s="150" t="s">
        <v>198</v>
      </c>
      <c r="BI5" s="150" t="s">
        <v>199</v>
      </c>
      <c r="BK5" s="150" t="s">
        <v>208</v>
      </c>
      <c r="BL5" s="150" t="s">
        <v>207</v>
      </c>
    </row>
    <row r="6" spans="1:81" x14ac:dyDescent="0.25">
      <c r="G6" t="s">
        <v>274</v>
      </c>
      <c r="H6" s="131">
        <v>0.9</v>
      </c>
      <c r="I6" t="s">
        <v>275</v>
      </c>
      <c r="J6" s="200">
        <f>100%-H6</f>
        <v>9.9999999999999978E-2</v>
      </c>
      <c r="K6" t="s">
        <v>123</v>
      </c>
      <c r="AC6" s="117" t="s">
        <v>170</v>
      </c>
      <c r="AD6" s="117" t="s">
        <v>171</v>
      </c>
      <c r="AF6" s="59" t="s">
        <v>172</v>
      </c>
      <c r="AG6" s="59"/>
      <c r="AH6" s="59"/>
      <c r="AK6" s="141" t="s">
        <v>179</v>
      </c>
      <c r="AL6" s="141"/>
      <c r="AM6" s="141"/>
      <c r="BB6" s="187" t="s">
        <v>152</v>
      </c>
      <c r="BC6" s="151">
        <v>69300</v>
      </c>
      <c r="BD6" s="151">
        <v>33</v>
      </c>
      <c r="BE6" s="151">
        <v>3.2</v>
      </c>
      <c r="BF6" s="152">
        <v>44.8</v>
      </c>
      <c r="BG6" s="150">
        <f>BC6*BF6*0.000001</f>
        <v>3.1046399999999998</v>
      </c>
      <c r="BH6" s="150">
        <f>BD6*BF6*0.000001</f>
        <v>1.4783999999999997E-3</v>
      </c>
      <c r="BI6" s="150">
        <f>BE6*BF6*0.000001</f>
        <v>1.4335999999999998E-4</v>
      </c>
      <c r="BK6" s="117" t="s">
        <v>200</v>
      </c>
      <c r="BL6" s="117">
        <v>1</v>
      </c>
    </row>
    <row r="7" spans="1:81" x14ac:dyDescent="0.25">
      <c r="A7" s="227" t="s">
        <v>154</v>
      </c>
      <c r="B7" s="227"/>
      <c r="C7" s="227"/>
      <c r="D7" s="227"/>
      <c r="E7" s="227"/>
      <c r="H7" s="227" t="s">
        <v>151</v>
      </c>
      <c r="I7" s="227"/>
      <c r="J7" s="227"/>
      <c r="K7" s="227"/>
      <c r="L7" s="227"/>
      <c r="M7" s="227"/>
      <c r="O7" s="226" t="s">
        <v>157</v>
      </c>
      <c r="P7" s="226"/>
      <c r="Q7" s="226"/>
      <c r="R7" s="226"/>
      <c r="S7" s="226"/>
      <c r="U7" s="230" t="s">
        <v>158</v>
      </c>
      <c r="V7" s="230"/>
      <c r="W7" s="230"/>
      <c r="X7" s="230"/>
      <c r="Y7" s="230"/>
      <c r="Z7" s="230"/>
      <c r="AC7" s="117" t="s">
        <v>122</v>
      </c>
      <c r="AD7" s="117">
        <f>EnergyCal!G25</f>
        <v>0.71</v>
      </c>
      <c r="AF7" t="s">
        <v>173</v>
      </c>
      <c r="AI7" t="s">
        <v>174</v>
      </c>
      <c r="AK7" t="s">
        <v>180</v>
      </c>
      <c r="AL7" t="s">
        <v>181</v>
      </c>
      <c r="BB7" s="187" t="s">
        <v>1</v>
      </c>
      <c r="BC7" s="151">
        <v>74100</v>
      </c>
      <c r="BD7" s="151">
        <v>3.9</v>
      </c>
      <c r="BE7" s="151">
        <v>3.9</v>
      </c>
      <c r="BF7" s="152">
        <v>43.3</v>
      </c>
      <c r="BG7" s="150">
        <f t="shared" ref="BG7:BG8" si="0">BC7*BF7*0.000001</f>
        <v>3.2085299999999997</v>
      </c>
      <c r="BH7" s="150">
        <f t="shared" ref="BH7:BH8" si="1">BD7*BF7*0.000001</f>
        <v>1.6886999999999997E-4</v>
      </c>
      <c r="BI7" s="150">
        <f t="shared" ref="BI7:BI8" si="2">BE7*BF7*0.000001</f>
        <v>1.6886999999999997E-4</v>
      </c>
      <c r="BK7" s="117" t="s">
        <v>201</v>
      </c>
      <c r="BL7" s="117">
        <v>25</v>
      </c>
    </row>
    <row r="8" spans="1:81" x14ac:dyDescent="0.25">
      <c r="A8" t="s">
        <v>34</v>
      </c>
      <c r="B8" t="s">
        <v>152</v>
      </c>
      <c r="C8" t="s">
        <v>153</v>
      </c>
      <c r="D8" t="s">
        <v>2</v>
      </c>
      <c r="E8" t="s">
        <v>12</v>
      </c>
      <c r="G8" t="s">
        <v>34</v>
      </c>
      <c r="H8" s="83" t="s">
        <v>5</v>
      </c>
      <c r="I8" s="83" t="s">
        <v>62</v>
      </c>
      <c r="J8" s="83" t="s">
        <v>101</v>
      </c>
      <c r="K8" s="83" t="s">
        <v>64</v>
      </c>
      <c r="L8" s="83" t="s">
        <v>3</v>
      </c>
      <c r="M8" s="83" t="s">
        <v>104</v>
      </c>
      <c r="O8" s="117" t="s">
        <v>34</v>
      </c>
      <c r="P8" s="83" t="s">
        <v>65</v>
      </c>
      <c r="Q8" s="83" t="s">
        <v>64</v>
      </c>
      <c r="R8" s="83" t="s">
        <v>88</v>
      </c>
      <c r="S8" s="83" t="s">
        <v>104</v>
      </c>
      <c r="T8" s="83"/>
      <c r="V8" s="83" t="s">
        <v>34</v>
      </c>
      <c r="W8" s="83" t="s">
        <v>65</v>
      </c>
      <c r="X8" s="83" t="s">
        <v>64</v>
      </c>
      <c r="Y8" s="83" t="s">
        <v>104</v>
      </c>
      <c r="AC8" s="117" t="s">
        <v>123</v>
      </c>
      <c r="AD8" s="117">
        <f>EnergyCal!G26</f>
        <v>0.85</v>
      </c>
      <c r="AF8" t="s">
        <v>0</v>
      </c>
      <c r="AG8" s="140">
        <v>0.03</v>
      </c>
      <c r="AI8" s="117">
        <f>EnergyCal!P68</f>
        <v>4.6899999999999997E-2</v>
      </c>
      <c r="AK8" s="117" t="s">
        <v>129</v>
      </c>
      <c r="AL8" s="117">
        <f>EnergyCal!G30</f>
        <v>1.9</v>
      </c>
      <c r="AQ8" s="231" t="s">
        <v>183</v>
      </c>
      <c r="AR8" s="231"/>
      <c r="AS8" s="231"/>
      <c r="AT8" s="231"/>
      <c r="AU8" s="231"/>
      <c r="BB8" s="187" t="s">
        <v>2</v>
      </c>
      <c r="BC8" s="151">
        <v>63100</v>
      </c>
      <c r="BD8" s="151">
        <v>62</v>
      </c>
      <c r="BE8" s="151">
        <v>0.2</v>
      </c>
      <c r="BF8" s="152">
        <v>52.2</v>
      </c>
      <c r="BG8" s="150">
        <f t="shared" si="0"/>
        <v>3.2938199999999997</v>
      </c>
      <c r="BH8" s="150">
        <f t="shared" si="1"/>
        <v>3.2364E-3</v>
      </c>
      <c r="BI8" s="150">
        <f t="shared" si="2"/>
        <v>1.044E-5</v>
      </c>
      <c r="BK8" s="117" t="s">
        <v>202</v>
      </c>
      <c r="BL8" s="117">
        <v>298</v>
      </c>
    </row>
    <row r="9" spans="1:81" ht="15" customHeight="1" x14ac:dyDescent="0.25">
      <c r="A9">
        <v>2015</v>
      </c>
      <c r="B9" s="85">
        <f>EnergyCal!W8</f>
        <v>54.930362143851504</v>
      </c>
      <c r="C9" s="85">
        <f>EnergyCal!X8</f>
        <v>45.014854314760704</v>
      </c>
      <c r="D9" s="85">
        <f>EnergyCal!Y8</f>
        <v>5.4783541387793754E-2</v>
      </c>
      <c r="E9" s="85">
        <f>B9+C9+D9</f>
        <v>100</v>
      </c>
      <c r="G9" s="117">
        <v>2015</v>
      </c>
      <c r="H9" s="85">
        <f>EnergyCal!C$19</f>
        <v>11.311273520921988</v>
      </c>
      <c r="I9" s="85">
        <f>EnergyCal!D$19</f>
        <v>7.3644826439967002</v>
      </c>
      <c r="J9" s="85">
        <f>EnergyCal!E$19</f>
        <v>77.787309373184556</v>
      </c>
      <c r="K9" s="85">
        <f>EnergyCal!F$19</f>
        <v>2.5223539755632576</v>
      </c>
      <c r="L9" s="85">
        <f>EnergyCal!G$19</f>
        <v>1.0145804863335024</v>
      </c>
      <c r="M9" s="85">
        <f>SUM(H9:L9)</f>
        <v>100.00000000000001</v>
      </c>
      <c r="O9" s="117">
        <v>2015</v>
      </c>
      <c r="P9" s="85">
        <f>EnergyCal!J19</f>
        <v>8.4564243176117291</v>
      </c>
      <c r="Q9" s="85">
        <f>EnergyCal!K19</f>
        <v>12.197318849661857</v>
      </c>
      <c r="R9" s="85">
        <f>EnergyCal!L19</f>
        <v>79.346256832726411</v>
      </c>
      <c r="S9" s="85">
        <f>P9+Q9+R9</f>
        <v>100</v>
      </c>
      <c r="T9" s="85"/>
      <c r="V9" s="117">
        <v>2015</v>
      </c>
      <c r="W9" s="85">
        <f>EnergyCal!O19</f>
        <v>94.514767932489448</v>
      </c>
      <c r="X9" s="85">
        <f>EnergyCal!P19</f>
        <v>5.4852320675105481</v>
      </c>
      <c r="Y9" s="85">
        <f>W9+X9</f>
        <v>100</v>
      </c>
      <c r="AC9" s="117" t="s">
        <v>2</v>
      </c>
      <c r="AD9" s="117">
        <f>EnergyCal!G27</f>
        <v>0.55700000000000005</v>
      </c>
      <c r="AF9" t="s">
        <v>1</v>
      </c>
      <c r="AG9" s="140">
        <v>0.97</v>
      </c>
      <c r="AI9" s="117">
        <f>EnergyCal!N68</f>
        <v>3.6799999999999999E-2</v>
      </c>
      <c r="AK9" s="117" t="s">
        <v>119</v>
      </c>
      <c r="AL9" s="117">
        <f>EnergyCal!G31</f>
        <v>35</v>
      </c>
      <c r="AQ9" s="231"/>
      <c r="AR9" s="231"/>
      <c r="AS9" s="231"/>
      <c r="AT9" s="231"/>
      <c r="AU9" s="231"/>
      <c r="AX9" s="232" t="s">
        <v>185</v>
      </c>
      <c r="BC9" s="151"/>
      <c r="BD9" s="151"/>
      <c r="BE9" s="151"/>
      <c r="BF9" s="152"/>
      <c r="BG9" s="150"/>
      <c r="BH9" s="150"/>
      <c r="BI9" s="150"/>
    </row>
    <row r="10" spans="1:81" x14ac:dyDescent="0.25">
      <c r="U10" s="39"/>
      <c r="V10" s="39"/>
      <c r="W10" s="39"/>
      <c r="AX10" s="232"/>
    </row>
    <row r="11" spans="1:81" x14ac:dyDescent="0.25">
      <c r="B11" s="228" t="s">
        <v>155</v>
      </c>
      <c r="C11" s="228"/>
      <c r="D11" s="228"/>
      <c r="E11" s="228"/>
      <c r="G11" s="188" t="s">
        <v>109</v>
      </c>
      <c r="H11" s="229" t="s">
        <v>155</v>
      </c>
      <c r="I11" s="229"/>
      <c r="J11" s="229"/>
      <c r="K11" s="229"/>
      <c r="L11" s="127"/>
      <c r="N11" s="186" t="s">
        <v>110</v>
      </c>
      <c r="O11" s="226" t="s">
        <v>155</v>
      </c>
      <c r="P11" s="226"/>
      <c r="Q11" s="226"/>
      <c r="R11" s="186"/>
      <c r="U11" s="189" t="s">
        <v>2</v>
      </c>
      <c r="V11" s="230" t="s">
        <v>155</v>
      </c>
      <c r="W11" s="230"/>
      <c r="X11" s="230"/>
      <c r="Z11" s="130"/>
      <c r="AA11"/>
      <c r="AC11" s="229" t="s">
        <v>176</v>
      </c>
      <c r="AD11" s="229"/>
      <c r="AE11" s="229"/>
      <c r="AF11" s="229"/>
      <c r="AG11" s="229"/>
      <c r="AH11" s="229"/>
      <c r="AJ11" s="226" t="s">
        <v>177</v>
      </c>
      <c r="AK11" s="226"/>
      <c r="AL11" s="226"/>
      <c r="AM11" s="226"/>
      <c r="AP11" s="230" t="s">
        <v>178</v>
      </c>
      <c r="AQ11" s="230"/>
      <c r="AR11" s="230"/>
      <c r="AS11" s="147">
        <v>7.0999999999999994E-2</v>
      </c>
      <c r="AW11" s="137" t="s">
        <v>186</v>
      </c>
      <c r="AY11" s="130"/>
      <c r="AZ11"/>
      <c r="BB11" s="229" t="s">
        <v>205</v>
      </c>
      <c r="BC11" s="229"/>
      <c r="BD11" s="229"/>
      <c r="BE11" s="226" t="s">
        <v>203</v>
      </c>
      <c r="BF11" s="226"/>
      <c r="BG11" s="226"/>
      <c r="BH11" s="230" t="s">
        <v>204</v>
      </c>
      <c r="BI11" s="230"/>
      <c r="BJ11" s="230"/>
      <c r="BL11" s="225" t="s">
        <v>211</v>
      </c>
      <c r="BM11" s="225"/>
      <c r="BN11" s="225"/>
      <c r="BO11" s="225"/>
      <c r="BQ11" s="196"/>
      <c r="BR11" s="196"/>
      <c r="BS11" s="196"/>
      <c r="BT11" s="19"/>
      <c r="BU11" s="19"/>
      <c r="BV11" s="19"/>
      <c r="BW11" s="19"/>
      <c r="BX11" s="19"/>
      <c r="BY11" s="19"/>
      <c r="BZ11" s="19"/>
      <c r="CA11" s="19"/>
      <c r="CB11" s="19"/>
    </row>
    <row r="12" spans="1:81" x14ac:dyDescent="0.25">
      <c r="A12" s="83" t="s">
        <v>34</v>
      </c>
      <c r="B12" s="7" t="s">
        <v>56</v>
      </c>
      <c r="C12" s="187" t="s">
        <v>152</v>
      </c>
      <c r="D12" s="186" t="s">
        <v>1</v>
      </c>
      <c r="E12" s="189" t="s">
        <v>2</v>
      </c>
      <c r="F12" s="83" t="s">
        <v>156</v>
      </c>
      <c r="G12" s="194" t="s">
        <v>274</v>
      </c>
      <c r="H12" s="188" t="s">
        <v>5</v>
      </c>
      <c r="I12" s="188" t="s">
        <v>62</v>
      </c>
      <c r="J12" s="188" t="s">
        <v>65</v>
      </c>
      <c r="K12" s="188" t="s">
        <v>64</v>
      </c>
      <c r="L12" s="188" t="s">
        <v>3</v>
      </c>
      <c r="M12" s="188" t="s">
        <v>156</v>
      </c>
      <c r="N12" s="199" t="s">
        <v>273</v>
      </c>
      <c r="O12" s="199"/>
      <c r="P12" s="186" t="s">
        <v>65</v>
      </c>
      <c r="Q12" s="186" t="s">
        <v>64</v>
      </c>
      <c r="R12" s="186" t="s">
        <v>88</v>
      </c>
      <c r="S12" s="186" t="s">
        <v>156</v>
      </c>
      <c r="V12" s="129"/>
      <c r="W12" s="189" t="s">
        <v>65</v>
      </c>
      <c r="X12" s="189" t="s">
        <v>64</v>
      </c>
      <c r="Y12" s="189" t="s">
        <v>156</v>
      </c>
      <c r="AB12" s="83" t="s">
        <v>34</v>
      </c>
      <c r="AD12" s="188" t="s">
        <v>5</v>
      </c>
      <c r="AE12" s="188" t="s">
        <v>62</v>
      </c>
      <c r="AF12" s="188" t="s">
        <v>101</v>
      </c>
      <c r="AG12" s="188" t="s">
        <v>64</v>
      </c>
      <c r="AH12" s="188" t="s">
        <v>3</v>
      </c>
      <c r="AI12" s="188" t="s">
        <v>10</v>
      </c>
      <c r="AJ12" s="138" t="s">
        <v>104</v>
      </c>
      <c r="AK12" s="186" t="s">
        <v>65</v>
      </c>
      <c r="AL12" s="186" t="s">
        <v>64</v>
      </c>
      <c r="AM12" s="186" t="s">
        <v>88</v>
      </c>
      <c r="AN12" s="186" t="s">
        <v>98</v>
      </c>
      <c r="AO12" s="139" t="s">
        <v>104</v>
      </c>
      <c r="AQ12" s="189" t="s">
        <v>101</v>
      </c>
      <c r="AR12" s="189" t="s">
        <v>64</v>
      </c>
      <c r="AS12" s="189" t="s">
        <v>175</v>
      </c>
      <c r="AT12" s="157" t="s">
        <v>104</v>
      </c>
      <c r="AU12" s="189" t="s">
        <v>184</v>
      </c>
      <c r="AX12" s="137"/>
      <c r="BB12" s="83" t="s">
        <v>34</v>
      </c>
      <c r="BC12" s="188" t="s">
        <v>200</v>
      </c>
      <c r="BD12" s="188" t="s">
        <v>201</v>
      </c>
      <c r="BE12" s="188" t="s">
        <v>202</v>
      </c>
      <c r="BF12" s="186" t="s">
        <v>200</v>
      </c>
      <c r="BG12" s="186" t="s">
        <v>201</v>
      </c>
      <c r="BH12" s="186" t="s">
        <v>202</v>
      </c>
      <c r="BI12" s="189" t="s">
        <v>200</v>
      </c>
      <c r="BJ12" s="189" t="s">
        <v>201</v>
      </c>
      <c r="BK12" s="189" t="s">
        <v>202</v>
      </c>
      <c r="BM12" s="185" t="s">
        <v>200</v>
      </c>
      <c r="BN12" s="185" t="s">
        <v>201</v>
      </c>
      <c r="BO12" s="185" t="s">
        <v>209</v>
      </c>
      <c r="BP12" s="185" t="s">
        <v>210</v>
      </c>
      <c r="BR12" s="196"/>
      <c r="BS12" s="196"/>
      <c r="BT12" s="196"/>
      <c r="BU12" s="19"/>
      <c r="BV12" s="19"/>
      <c r="BW12" s="19"/>
      <c r="BX12" s="197"/>
      <c r="BY12" s="19"/>
      <c r="BZ12" s="19"/>
      <c r="CA12" s="19"/>
      <c r="CB12" s="19"/>
      <c r="CC12" s="19"/>
    </row>
    <row r="13" spans="1:81" x14ac:dyDescent="0.25">
      <c r="A13" s="117">
        <v>2010</v>
      </c>
      <c r="B13" s="66">
        <f>INDEX((Proj_PasMob!$Q$6:$Q$46),MATCH(A13,Proj_PasMob!$M$6:M$46,0))</f>
        <v>9991295818.1099663</v>
      </c>
      <c r="C13" s="119">
        <f>B13*Table142[Gasoline]%</f>
        <v>5488254975.751296</v>
      </c>
      <c r="D13" s="123">
        <f>B13*Table142[[Diesel ]]%</f>
        <v>4497567256.6789799</v>
      </c>
      <c r="E13" s="121">
        <f>B13*Table142[LPG]%</f>
        <v>5473585.6796911797</v>
      </c>
      <c r="F13" s="66">
        <f>C13+D13+E13-B13</f>
        <v>0</v>
      </c>
      <c r="G13" s="195">
        <v>0</v>
      </c>
      <c r="H13" s="31">
        <f>C13*Table243[Autocycle]%</f>
        <v>620791531.83283985</v>
      </c>
      <c r="I13" s="66">
        <f>C13*Table243[Motocycle]%</f>
        <v>404181585.14748949</v>
      </c>
      <c r="J13" s="66">
        <f>(C13*Table243[cars]%)-($H$6*G13)</f>
        <v>4269165877.1768556</v>
      </c>
      <c r="K13" s="66">
        <f>C13*Table243[DPV]%</f>
        <v>138433217.56991112</v>
      </c>
      <c r="L13" s="66">
        <f>C13*Table243[Hybrid]%</f>
        <v>55682764.024200149</v>
      </c>
      <c r="M13" s="66">
        <f>SUM(H13:L13)-C13</f>
        <v>0</v>
      </c>
      <c r="N13" s="195">
        <v>0</v>
      </c>
      <c r="O13" s="195">
        <f>D13*Table344[Buses]%</f>
        <v>3568651266.7091112</v>
      </c>
      <c r="P13" s="66">
        <f>(D13*Table344[Cars]%)-($J$6*G13)</f>
        <v>380333371.19474393</v>
      </c>
      <c r="Q13" s="66">
        <f>D13*Table344[DPV]%</f>
        <v>548582618.77512491</v>
      </c>
      <c r="R13" s="66">
        <f>O13-N13</f>
        <v>3568651266.7091112</v>
      </c>
      <c r="S13" s="66">
        <f>SUM(P13:R13)-D13</f>
        <v>0</v>
      </c>
      <c r="W13" s="66">
        <f>E13*Table445[Cars]%</f>
        <v>5173346.8027460938</v>
      </c>
      <c r="X13" s="66">
        <f>E13*Table445[DPV]%</f>
        <v>300238.87694508577</v>
      </c>
      <c r="Y13" s="66">
        <f>W13+X13-E13</f>
        <v>0</v>
      </c>
      <c r="AB13" s="117">
        <v>2010</v>
      </c>
      <c r="AD13" s="66">
        <f>INDEX((EnergyCal!$B$43:$B$48),MATCH(AB13,EnergyCal!$A$43:$A$48,0))</f>
        <v>12091.4136</v>
      </c>
      <c r="AE13" s="66">
        <f>INDEX((EnergyCal!$C$43:$C$48),MATCH(AB13,EnergyCal!$A$43:$A$48,0))</f>
        <v>5859.7492799999991</v>
      </c>
      <c r="AF13" s="66">
        <f>INDEX((EnergyCal!$D$43:$D$48),MATCH(AB13,EnergyCal!$A$43:$A$48,0))</f>
        <v>82186.965899999996</v>
      </c>
      <c r="AG13" s="66">
        <f>INDEX((EnergyCal!$E$43:$E$48),MATCH(AB13,EnergyCal!$A$43:$A$48,0))</f>
        <v>7038.0258750000003</v>
      </c>
      <c r="AH13" s="66">
        <f>INDEX((EnergyCal!$F$43:$F$48),MATCH(AB13,EnergyCal!$A$43:$A$48,0))</f>
        <v>61.727399999999989</v>
      </c>
      <c r="AI13" s="66">
        <f>INDEX((EnergyCal!$I$43:$I$48),MATCH(AB13,EnergyCal!$A$43:$A$48,0))</f>
        <v>8028.1179449999909</v>
      </c>
      <c r="AJ13" s="66">
        <f>SUM(AD13:AI13)</f>
        <v>115266</v>
      </c>
      <c r="AK13" s="66">
        <f>INDEX((EnergyCal!$B$70:$B$75),MATCH(AB13,EnergyCal!$A$70:$A$75,0))</f>
        <v>10442.25</v>
      </c>
      <c r="AL13" s="66">
        <f>INDEX((EnergyCal!$C$70:$C$75),MATCH(AB13,EnergyCal!$A$70:$A$75,0))</f>
        <v>28080.793799999999</v>
      </c>
      <c r="AM13" s="66">
        <f>INDEX((EnergyCal!$D$70:$D$75),MATCH(AB13,EnergyCal!$A$70:$A$75,0))</f>
        <v>27843.730500000001</v>
      </c>
      <c r="AN13" s="66">
        <f>INDEX((EnergyCal!$K$70:$K$75),MATCH(AB13,EnergyCal!$A$70:$A$75,0))</f>
        <v>77109.410233686634</v>
      </c>
      <c r="AO13" s="66">
        <f>SUM(AK13:AN13)</f>
        <v>143476.18453368664</v>
      </c>
      <c r="AP13" s="66"/>
      <c r="AQ13" s="66">
        <f>INDEX((EnergyCal!$B$57:$B$62),MATCH(AB13,EnergyCal!$A$57:$A$62,0))</f>
        <v>128.65338135000002</v>
      </c>
      <c r="AR13" s="146">
        <f>INDEX((EnergyCal!$C$57:$C$62),MATCH(AB13,EnergyCal!$A$57:$A$62,0))</f>
        <v>12.763599299999999</v>
      </c>
      <c r="AS13" s="66">
        <f>INDEX((EnergyCal!$F$57:$F$62),MATCH(AB13,EnergyCal!$A$57:$A$62,0))</f>
        <v>4499.5830193499996</v>
      </c>
      <c r="AT13" s="66">
        <f>SUM(AQ13:AS13)</f>
        <v>4641</v>
      </c>
      <c r="AU13" s="31">
        <f>AT13*10</f>
        <v>46410</v>
      </c>
      <c r="AX13" s="148">
        <f>AT13+AO13+AJ13</f>
        <v>263383.18453368661</v>
      </c>
      <c r="BB13" s="117">
        <v>2010</v>
      </c>
      <c r="BC13" s="85">
        <f>AJ13*$BG$6/1000</f>
        <v>357.85943423999998</v>
      </c>
      <c r="BD13" s="85">
        <f>AJ13*$BH$6/1000</f>
        <v>0.17040925439999999</v>
      </c>
      <c r="BE13" s="85">
        <f>AJ13*$BI$6/1000</f>
        <v>1.6524533759999998E-2</v>
      </c>
      <c r="BF13" s="85">
        <f>AO13*$BG$7/1000</f>
        <v>460.34764236186959</v>
      </c>
      <c r="BG13" s="85">
        <f>AO13*$BH$7/1000</f>
        <v>2.422882328220366E-2</v>
      </c>
      <c r="BH13" s="85">
        <f>AO13*$BI$7/1000</f>
        <v>2.422882328220366E-2</v>
      </c>
      <c r="BI13" s="85">
        <f>AT13*$BG$8/1000</f>
        <v>15.286618619999999</v>
      </c>
      <c r="BJ13" s="85">
        <f>AT13*$BH$8/1000</f>
        <v>1.50201324E-2</v>
      </c>
      <c r="BK13" s="85">
        <f>AT13*$BI$8/1000</f>
        <v>4.8452039999999999E-5</v>
      </c>
      <c r="BL13">
        <f>BB13</f>
        <v>2010</v>
      </c>
      <c r="BM13" s="39">
        <f>BC13+BF13+BI13</f>
        <v>833.49369522186964</v>
      </c>
      <c r="BN13" s="39">
        <f>BD13+BG13+BJ13</f>
        <v>0.20965821008220364</v>
      </c>
      <c r="BO13" s="39">
        <f>BE13+BH13+BK13</f>
        <v>4.0801809082203662E-2</v>
      </c>
      <c r="BP13" s="184">
        <f>BM13+(BN13*$BL$7)+(BO13*$BL$8)</f>
        <v>850.89408958042145</v>
      </c>
      <c r="BR13" s="198"/>
      <c r="BS13" s="198"/>
      <c r="BT13" s="198"/>
      <c r="BU13" s="19"/>
      <c r="BV13" s="19"/>
      <c r="BW13" s="19"/>
      <c r="BX13" s="197"/>
      <c r="BY13" s="19"/>
      <c r="BZ13" s="197"/>
      <c r="CA13" s="19"/>
      <c r="CB13" s="197"/>
      <c r="CC13" s="19"/>
    </row>
    <row r="14" spans="1:81" x14ac:dyDescent="0.25">
      <c r="A14" s="117">
        <f>A13+1</f>
        <v>2011</v>
      </c>
      <c r="B14" s="66">
        <f>INDEX((Proj_PasMob!$Q$6:$Q$46),MATCH(A14,Proj_PasMob!$M$6:M$46,0))</f>
        <v>10135465715.034311</v>
      </c>
      <c r="C14" s="119">
        <f>B14*Table142[Gasoline]%</f>
        <v>5567448022.2342558</v>
      </c>
      <c r="D14" s="123">
        <f>B14*Table142[[Diesel ]]%</f>
        <v>4562465125.7452145</v>
      </c>
      <c r="E14" s="121">
        <f>B14*Table142[LPG]%</f>
        <v>5552567.0548414681</v>
      </c>
      <c r="F14" s="66">
        <f t="shared" ref="F14:F53" si="3">C14+D14+E14-B14</f>
        <v>0</v>
      </c>
      <c r="G14" s="195">
        <v>0</v>
      </c>
      <c r="H14" s="31">
        <f>C14*Table243[Autocycle]%</f>
        <v>629749273.93007827</v>
      </c>
      <c r="I14" s="66">
        <f>C14*Table243[Motocycle]%</f>
        <v>410013743.31097931</v>
      </c>
      <c r="J14" s="66">
        <f>(C14*Table243[cars]%)-($H$6*G14)</f>
        <v>4330768017.2466049</v>
      </c>
      <c r="K14" s="66">
        <f>C14*Table243[DPV]%</f>
        <v>140430746.52624372</v>
      </c>
      <c r="L14" s="66">
        <f>C14*Table243[Hybrid]%</f>
        <v>56486241.220349275</v>
      </c>
      <c r="M14" s="66">
        <f t="shared" ref="M14:M53" si="4">SUM(H14:L14)-C14</f>
        <v>0</v>
      </c>
      <c r="N14" s="195">
        <v>0</v>
      </c>
      <c r="O14" s="195">
        <f>D14*Table344[Buses]%</f>
        <v>3620145296.5773721</v>
      </c>
      <c r="P14" s="66">
        <f>(D14*Table344[Cars]%)-($J$6*G14)</f>
        <v>385821410.37607282</v>
      </c>
      <c r="Q14" s="66">
        <f>D14*Table344[DPV]%</f>
        <v>556498418.7917695</v>
      </c>
      <c r="R14" s="66">
        <f t="shared" ref="R14:R53" si="5">O14-N14</f>
        <v>3620145296.5773721</v>
      </c>
      <c r="S14" s="66">
        <f t="shared" ref="S14:S53" si="6">SUM(P14:R14)-D14</f>
        <v>0</v>
      </c>
      <c r="W14" s="66">
        <f>E14*Table445[Cars]%</f>
        <v>5247995.8661792781</v>
      </c>
      <c r="X14" s="66">
        <f>E14*Table445[DPV]%</f>
        <v>304571.18866219022</v>
      </c>
      <c r="Y14" s="66">
        <f t="shared" ref="Y14:Y53" si="7">W14+X14-E14</f>
        <v>0</v>
      </c>
      <c r="AB14" s="117">
        <f>AB13+1</f>
        <v>2011</v>
      </c>
      <c r="AD14" s="66">
        <f>INDEX((EnergyCal!$B$43:$B$48),MATCH(AB14,EnergyCal!$A$43:$A$48,0))</f>
        <v>12191.708199999999</v>
      </c>
      <c r="AE14" s="66">
        <f>INDEX((EnergyCal!$C$43:$C$48),MATCH(AB14,EnergyCal!$A$43:$A$48,0))</f>
        <v>6461.6361599999991</v>
      </c>
      <c r="AF14" s="66">
        <f>INDEX((EnergyCal!$D$43:$D$48),MATCH(AB14,EnergyCal!$A$43:$A$48,0))</f>
        <v>86827.256100000013</v>
      </c>
      <c r="AG14" s="66">
        <f>INDEX((EnergyCal!$E$43:$E$48),MATCH(AB14,EnergyCal!$A$43:$A$48,0))</f>
        <v>6837.4118250000001</v>
      </c>
      <c r="AH14" s="66">
        <f>INDEX((EnergyCal!$F$43:$F$48),MATCH(AB14,EnergyCal!$A$43:$A$48,0))</f>
        <v>120.771</v>
      </c>
      <c r="AI14" s="66">
        <f>INDEX((EnergyCal!$I$43:$I$48),MATCH(AB14,EnergyCal!$A$43:$A$48,0))</f>
        <v>4931.2167149999877</v>
      </c>
      <c r="AJ14" s="66">
        <f t="shared" ref="AJ14:AJ17" si="8">SUM(AD14:AI14)</f>
        <v>117370</v>
      </c>
      <c r="AK14" s="66">
        <f>INDEX((EnergyCal!$B$70:$B$75),MATCH(AB14,EnergyCal!$A$70:$A$75,0))</f>
        <v>11001.312</v>
      </c>
      <c r="AL14" s="66">
        <f>INDEX((EnergyCal!$C$70:$C$75),MATCH(AB14,EnergyCal!$A$70:$A$75,0))</f>
        <v>29255.58135</v>
      </c>
      <c r="AM14" s="66">
        <f>INDEX((EnergyCal!$D$70:$D$75),MATCH(AB14,EnergyCal!$A$70:$A$75,0))</f>
        <v>28499.452799999999</v>
      </c>
      <c r="AN14" s="66">
        <f>INDEX((EnergyCal!$K$70:$K$75),MATCH(AB14,EnergyCal!$A$70:$A$75,0))</f>
        <v>80074.815155776363</v>
      </c>
      <c r="AO14" s="66">
        <f t="shared" ref="AO14:AO53" si="9">SUM(AK14:AN14)</f>
        <v>148831.16130577636</v>
      </c>
      <c r="AP14" s="66"/>
      <c r="AQ14" s="66">
        <f>INDEX((EnergyCal!$B$57:$B$62),MATCH(AB14,EnergyCal!$A$57:$A$62,0))</f>
        <v>131.05811745000003</v>
      </c>
      <c r="AR14" s="146">
        <f>INDEX((EnergyCal!$C$57:$C$62),MATCH(AB14,EnergyCal!$A$57:$A$62,0))</f>
        <v>12.763599299999999</v>
      </c>
      <c r="AS14" s="66">
        <f>INDEX((EnergyCal!$F$57:$F$62),MATCH(AB14,EnergyCal!$A$57:$A$62,0))</f>
        <v>4358.1782832500012</v>
      </c>
      <c r="AT14" s="66">
        <f t="shared" ref="AT14:AT53" si="10">SUM(AQ14:AS14)</f>
        <v>4502.0000000000009</v>
      </c>
      <c r="AU14" s="31">
        <f t="shared" ref="AU14:AU53" si="11">AT14*10</f>
        <v>45020.000000000007</v>
      </c>
      <c r="AX14" s="148">
        <f t="shared" ref="AX14:AX53" si="12">AT14+AO14+AJ14</f>
        <v>270703.16130577633</v>
      </c>
      <c r="BB14" s="117">
        <f>BB13+1</f>
        <v>2011</v>
      </c>
      <c r="BC14" s="85">
        <f t="shared" ref="BC14:BC53" si="13">AJ14*$BG$6/1000</f>
        <v>364.3915968</v>
      </c>
      <c r="BD14" s="85">
        <f t="shared" ref="BD14:BD53" si="14">AJ14*$BH$6/1000</f>
        <v>0.17351980799999994</v>
      </c>
      <c r="BE14" s="85">
        <f t="shared" ref="BE14:BE53" si="15">AJ14*$BI$6/1000</f>
        <v>1.6826163199999997E-2</v>
      </c>
      <c r="BF14" s="85">
        <f t="shared" ref="BF14:BF53" si="16">AO14*$BG$7/1000</f>
        <v>477.52924598442257</v>
      </c>
      <c r="BG14" s="85">
        <f t="shared" ref="BG14:BG53" si="17">AO14*$BH$7/1000</f>
        <v>2.513311820970645E-2</v>
      </c>
      <c r="BH14" s="85">
        <f t="shared" ref="BH14:BH53" si="18">AO14*$BI$7/1000</f>
        <v>2.513311820970645E-2</v>
      </c>
      <c r="BI14" s="85">
        <f t="shared" ref="BI14:BI53" si="19">AT14*$BG$8/1000</f>
        <v>14.828777640000002</v>
      </c>
      <c r="BJ14" s="85">
        <f t="shared" ref="BJ14:BJ53" si="20">AT14*$BH$8/1000</f>
        <v>1.4570272800000002E-2</v>
      </c>
      <c r="BK14" s="85">
        <f t="shared" ref="BK14:BK53" si="21">AT14*$BI$8/1000</f>
        <v>4.7000880000000011E-5</v>
      </c>
      <c r="BL14">
        <f t="shared" ref="BL14:BL53" si="22">BB14</f>
        <v>2011</v>
      </c>
      <c r="BM14" s="39">
        <f t="shared" ref="BM14:BO53" si="23">BC14+BF14+BI14</f>
        <v>856.74962042442257</v>
      </c>
      <c r="BN14" s="39">
        <f t="shared" si="23"/>
        <v>0.2132231990097064</v>
      </c>
      <c r="BO14" s="39">
        <f t="shared" si="23"/>
        <v>4.2006282289706452E-2</v>
      </c>
      <c r="BP14" s="184">
        <f t="shared" ref="BP14:BP53" si="24">BM14+(BN14*$BL$7)+(BO14*$BL$8)</f>
        <v>874.59807252199778</v>
      </c>
      <c r="BR14" s="198"/>
      <c r="BS14" s="198"/>
      <c r="BT14" s="198"/>
      <c r="BU14" s="19"/>
      <c r="BV14" s="19"/>
      <c r="BW14" s="19"/>
      <c r="BX14" s="197"/>
      <c r="BY14" s="19"/>
      <c r="BZ14" s="197"/>
      <c r="CA14" s="19"/>
      <c r="CB14" s="197"/>
      <c r="CC14" s="19"/>
    </row>
    <row r="15" spans="1:81" x14ac:dyDescent="0.25">
      <c r="A15" s="117">
        <f t="shared" ref="A15:A32" si="25">A14+1</f>
        <v>2012</v>
      </c>
      <c r="B15" s="66">
        <f>INDEX((Proj_PasMob!$Q$6:$Q$46),MATCH(A15,Proj_PasMob!$M$6:M$46,0))</f>
        <v>10284155309.520308</v>
      </c>
      <c r="C15" s="119">
        <f>B15*Table142[Gasoline]%</f>
        <v>5649123754.9556379</v>
      </c>
      <c r="D15" s="123">
        <f>B15*Table142[[Diesel ]]%</f>
        <v>4629397530.0842943</v>
      </c>
      <c r="E15" s="121">
        <f>B15*Table142[LPG]%</f>
        <v>5634024.4803760471</v>
      </c>
      <c r="F15" s="66">
        <f t="shared" si="3"/>
        <v>0</v>
      </c>
      <c r="G15" s="195">
        <v>0</v>
      </c>
      <c r="H15" s="31">
        <f>C15*Table243[Autocycle]%</f>
        <v>638987839.45841098</v>
      </c>
      <c r="I15" s="66">
        <f>C15*Table243[Motocycle]%</f>
        <v>416028738.47160262</v>
      </c>
      <c r="J15" s="66">
        <f>(C15*Table243[cars]%)-($H$6*G15)</f>
        <v>4394301372.1414022</v>
      </c>
      <c r="K15" s="66">
        <f>C15*Table243[DPV]%</f>
        <v>142490897.61761191</v>
      </c>
      <c r="L15" s="66">
        <f>C15*Table243[Hybrid]%</f>
        <v>57314907.266610324</v>
      </c>
      <c r="M15" s="66">
        <f t="shared" si="4"/>
        <v>0</v>
      </c>
      <c r="N15" s="195">
        <v>0</v>
      </c>
      <c r="O15" s="195">
        <f>D15*Table344[Buses]%</f>
        <v>3673253654.0285773</v>
      </c>
      <c r="P15" s="66">
        <f>(D15*Table344[Cars]%)-($J$6*G15)</f>
        <v>391481498.49296498</v>
      </c>
      <c r="Q15" s="66">
        <f>D15*Table344[DPV]%</f>
        <v>564662377.56275201</v>
      </c>
      <c r="R15" s="66">
        <f t="shared" si="5"/>
        <v>3673253654.0285773</v>
      </c>
      <c r="S15" s="66">
        <f t="shared" si="6"/>
        <v>0</v>
      </c>
      <c r="W15" s="66">
        <f>E15*Table445[Cars]%</f>
        <v>5324985.1628870657</v>
      </c>
      <c r="X15" s="66">
        <f>E15*Table445[DPV]%</f>
        <v>309039.31748898147</v>
      </c>
      <c r="Y15" s="66">
        <f t="shared" si="7"/>
        <v>0</v>
      </c>
      <c r="AB15" s="117">
        <f t="shared" ref="AB15:AB32" si="26">AB14+1</f>
        <v>2012</v>
      </c>
      <c r="AD15" s="66">
        <f>INDEX((EnergyCal!$B$43:$B$48),MATCH(AB15,EnergyCal!$A$43:$A$48,0))</f>
        <v>12398.8578</v>
      </c>
      <c r="AE15" s="66">
        <f>INDEX((EnergyCal!$C$43:$C$48),MATCH(AB15,EnergyCal!$A$43:$A$48,0))</f>
        <v>7169.80152</v>
      </c>
      <c r="AF15" s="66">
        <f>INDEX((EnergyCal!$D$43:$D$48),MATCH(AB15,EnergyCal!$A$43:$A$48,0))</f>
        <v>92660.01615000001</v>
      </c>
      <c r="AG15" s="66">
        <f>INDEX((EnergyCal!$E$43:$E$48),MATCH(AB15,EnergyCal!$A$43:$A$48,0))</f>
        <v>6926.6960999999983</v>
      </c>
      <c r="AH15" s="66">
        <f>INDEX((EnergyCal!$F$43:$F$48),MATCH(AB15,EnergyCal!$A$43:$A$48,0))</f>
        <v>269.53020000000004</v>
      </c>
      <c r="AI15" s="66">
        <f>INDEX((EnergyCal!$I$43:$I$48),MATCH(AB15,EnergyCal!$A$43:$A$48,0))</f>
        <v>3927.0982299999887</v>
      </c>
      <c r="AJ15" s="66">
        <f t="shared" si="8"/>
        <v>123352</v>
      </c>
      <c r="AK15" s="66">
        <f>INDEX((EnergyCal!$B$70:$B$75),MATCH(AB15,EnergyCal!$A$70:$A$75,0))</f>
        <v>11641.502249999998</v>
      </c>
      <c r="AL15" s="66">
        <f>INDEX((EnergyCal!$C$70:$C$75),MATCH(AB15,EnergyCal!$A$70:$A$75,0))</f>
        <v>31271.910975000006</v>
      </c>
      <c r="AM15" s="66">
        <f>INDEX((EnergyCal!$D$70:$D$75),MATCH(AB15,EnergyCal!$A$70:$A$75,0))</f>
        <v>28939.863300000001</v>
      </c>
      <c r="AN15" s="66">
        <f>INDEX((EnergyCal!$K$70:$K$75),MATCH(AB15,EnergyCal!$A$70:$A$75,0))</f>
        <v>83151.826256642613</v>
      </c>
      <c r="AO15" s="66">
        <f t="shared" si="9"/>
        <v>155005.10278164264</v>
      </c>
      <c r="AP15" s="66"/>
      <c r="AQ15" s="66">
        <f>INDEX((EnergyCal!$B$57:$B$62),MATCH(AB15,EnergyCal!$A$57:$A$62,0))</f>
        <v>131.05811745000003</v>
      </c>
      <c r="AR15" s="146">
        <f>INDEX((EnergyCal!$C$57:$C$62),MATCH(AB15,EnergyCal!$A$57:$A$62,0))</f>
        <v>12.763599299999999</v>
      </c>
      <c r="AS15" s="66">
        <f>INDEX((EnergyCal!$F$57:$F$62),MATCH(AB15,EnergyCal!$A$57:$A$62,0))</f>
        <v>4219.1782832500003</v>
      </c>
      <c r="AT15" s="66">
        <f t="shared" si="10"/>
        <v>4363</v>
      </c>
      <c r="AU15" s="31">
        <f t="shared" si="11"/>
        <v>43630</v>
      </c>
      <c r="AX15" s="148">
        <f t="shared" si="12"/>
        <v>282720.10278164264</v>
      </c>
      <c r="BB15" s="117">
        <f t="shared" ref="BB15:BB32" si="27">BB14+1</f>
        <v>2012</v>
      </c>
      <c r="BC15" s="85">
        <f t="shared" si="13"/>
        <v>382.96355327999999</v>
      </c>
      <c r="BD15" s="85">
        <f t="shared" si="14"/>
        <v>0.18236359679999994</v>
      </c>
      <c r="BE15" s="85">
        <f t="shared" si="15"/>
        <v>1.7683742719999999E-2</v>
      </c>
      <c r="BF15" s="85">
        <f t="shared" si="16"/>
        <v>497.33852242798383</v>
      </c>
      <c r="BG15" s="85">
        <f t="shared" si="17"/>
        <v>2.617571170673599E-2</v>
      </c>
      <c r="BH15" s="85">
        <f t="shared" si="18"/>
        <v>2.617571170673599E-2</v>
      </c>
      <c r="BI15" s="85">
        <f t="shared" si="19"/>
        <v>14.37093666</v>
      </c>
      <c r="BJ15" s="85">
        <f t="shared" si="20"/>
        <v>1.4120413199999999E-2</v>
      </c>
      <c r="BK15" s="85">
        <f t="shared" si="21"/>
        <v>4.5549720000000003E-5</v>
      </c>
      <c r="BL15">
        <f t="shared" si="22"/>
        <v>2012</v>
      </c>
      <c r="BM15" s="39">
        <f t="shared" si="23"/>
        <v>894.6730123679838</v>
      </c>
      <c r="BN15" s="39">
        <f t="shared" si="23"/>
        <v>0.22265972170673592</v>
      </c>
      <c r="BO15" s="39">
        <f t="shared" si="23"/>
        <v>4.3905004146735989E-2</v>
      </c>
      <c r="BP15" s="184">
        <f t="shared" si="24"/>
        <v>913.32319664637953</v>
      </c>
      <c r="BR15" s="198"/>
      <c r="BS15" s="198"/>
      <c r="BT15" s="198"/>
      <c r="BU15" s="19"/>
      <c r="BV15" s="19"/>
      <c r="BW15" s="19"/>
      <c r="BX15" s="197"/>
      <c r="BY15" s="19"/>
      <c r="BZ15" s="197"/>
      <c r="CA15" s="19"/>
      <c r="CB15" s="197"/>
      <c r="CC15" s="19"/>
    </row>
    <row r="16" spans="1:81" x14ac:dyDescent="0.25">
      <c r="A16" s="117">
        <f t="shared" si="25"/>
        <v>2013</v>
      </c>
      <c r="B16" s="66">
        <f>INDEX((Proj_PasMob!$Q$6:$Q$46),MATCH(A16,Proj_PasMob!$M$6:M$46,0))</f>
        <v>10425988957.632849</v>
      </c>
      <c r="C16" s="119">
        <f>B16*Table142[Gasoline]%</f>
        <v>5727033491.5056925</v>
      </c>
      <c r="D16" s="123">
        <f>B16*Table142[[Diesel ]]%</f>
        <v>4693243740.1514654</v>
      </c>
      <c r="E16" s="121">
        <f>B16*Table142[LPG]%</f>
        <v>5711725.9756915988</v>
      </c>
      <c r="F16" s="66">
        <f t="shared" si="3"/>
        <v>0</v>
      </c>
      <c r="G16" s="195">
        <v>0</v>
      </c>
      <c r="H16" s="31">
        <f>C16*Table243[Autocycle]%</f>
        <v>647800422.85901737</v>
      </c>
      <c r="I16" s="66">
        <f>C16*Table243[Motocycle]%</f>
        <v>421766387.49781495</v>
      </c>
      <c r="J16" s="66">
        <f>(C16*Table243[cars]%)-($H$6*G16)</f>
        <v>4454905259.9434261</v>
      </c>
      <c r="K16" s="66">
        <f>C16*Table243[DPV]%</f>
        <v>144456056.95483309</v>
      </c>
      <c r="L16" s="66">
        <f>C16*Table243[Hybrid]%</f>
        <v>58105364.250601023</v>
      </c>
      <c r="M16" s="66">
        <f t="shared" si="4"/>
        <v>0</v>
      </c>
      <c r="N16" s="195">
        <v>0</v>
      </c>
      <c r="O16" s="195">
        <f>D16*Table344[Buses]%</f>
        <v>3723913231.846437</v>
      </c>
      <c r="P16" s="66">
        <f>(D16*Table344[Cars]%)-($J$6*G16)</f>
        <v>396880604.92695874</v>
      </c>
      <c r="Q16" s="66">
        <f>D16*Table344[DPV]%</f>
        <v>572449903.37806976</v>
      </c>
      <c r="R16" s="66">
        <f t="shared" si="5"/>
        <v>3723913231.846437</v>
      </c>
      <c r="S16" s="66">
        <f t="shared" si="6"/>
        <v>0</v>
      </c>
      <c r="W16" s="66">
        <f>E16*Table445[Cars]%</f>
        <v>5398424.5508646332</v>
      </c>
      <c r="X16" s="66">
        <f>E16*Table445[DPV]%</f>
        <v>313301.42482696532</v>
      </c>
      <c r="Y16" s="66">
        <f t="shared" si="7"/>
        <v>0</v>
      </c>
      <c r="AB16" s="117">
        <f t="shared" si="26"/>
        <v>2013</v>
      </c>
      <c r="AD16" s="66">
        <f>INDEX((EnergyCal!$B$43:$B$48),MATCH(AB16,EnergyCal!$A$43:$A$48,0))</f>
        <v>12426.2922</v>
      </c>
      <c r="AE16" s="66">
        <f>INDEX((EnergyCal!$C$43:$C$48),MATCH(AB16,EnergyCal!$A$43:$A$48,0))</f>
        <v>7947.74568</v>
      </c>
      <c r="AF16" s="66">
        <f>INDEX((EnergyCal!$D$43:$D$48),MATCH(AB16,EnergyCal!$A$43:$A$48,0))</f>
        <v>99708.297975000009</v>
      </c>
      <c r="AG16" s="66">
        <f>INDEX((EnergyCal!$E$43:$E$48),MATCH(AB16,EnergyCal!$A$43:$A$48,0))</f>
        <v>6974.0939250000001</v>
      </c>
      <c r="AH16" s="66">
        <f>INDEX((EnergyCal!$F$43:$F$48),MATCH(AB16,EnergyCal!$A$43:$A$48,0))</f>
        <v>532.54259999999999</v>
      </c>
      <c r="AI16" s="66">
        <f>INDEX((EnergyCal!$I$43:$I$48),MATCH(AB16,EnergyCal!$A$43:$A$48,0))</f>
        <v>1339.0276199999935</v>
      </c>
      <c r="AJ16" s="66">
        <f t="shared" si="8"/>
        <v>128928</v>
      </c>
      <c r="AK16" s="66">
        <f>INDEX((EnergyCal!$B$70:$B$75),MATCH(AB16,EnergyCal!$A$70:$A$75,0))</f>
        <v>12162.008250000003</v>
      </c>
      <c r="AL16" s="66">
        <f>INDEX((EnergyCal!$C$70:$C$75),MATCH(AB16,EnergyCal!$A$70:$A$75,0))</f>
        <v>31277.097675000005</v>
      </c>
      <c r="AM16" s="66">
        <f>INDEX((EnergyCal!$D$70:$D$75),MATCH(AB16,EnergyCal!$A$70:$A$75,0))</f>
        <v>28998.584699999999</v>
      </c>
      <c r="AN16" s="66">
        <f>INDEX((EnergyCal!$K$70:$K$75),MATCH(AB16,EnergyCal!$A$70:$A$75,0))</f>
        <v>86346.373610082257</v>
      </c>
      <c r="AO16" s="66">
        <f t="shared" si="9"/>
        <v>158784.06423508227</v>
      </c>
      <c r="AP16" s="66"/>
      <c r="AQ16" s="66">
        <f>INDEX((EnergyCal!$B$57:$B$62),MATCH(AB16,EnergyCal!$A$57:$A$62,0))</f>
        <v>131.05811745000003</v>
      </c>
      <c r="AR16" s="146">
        <f>INDEX((EnergyCal!$C$57:$C$62),MATCH(AB16,EnergyCal!$A$57:$A$62,0))</f>
        <v>12.763599299999999</v>
      </c>
      <c r="AS16" s="66">
        <f>INDEX((EnergyCal!$F$57:$F$62),MATCH(AB16,EnergyCal!$A$57:$A$62,0))</f>
        <v>3924.1782832499998</v>
      </c>
      <c r="AT16" s="66">
        <f t="shared" si="10"/>
        <v>4068</v>
      </c>
      <c r="AU16" s="31">
        <f t="shared" si="11"/>
        <v>40680</v>
      </c>
      <c r="AX16" s="148">
        <f t="shared" si="12"/>
        <v>291780.06423508225</v>
      </c>
      <c r="BB16" s="117">
        <f t="shared" si="27"/>
        <v>2013</v>
      </c>
      <c r="BC16" s="85">
        <f t="shared" si="13"/>
        <v>400.27502591999996</v>
      </c>
      <c r="BD16" s="85">
        <f t="shared" si="14"/>
        <v>0.19060715519999996</v>
      </c>
      <c r="BE16" s="85">
        <f t="shared" si="15"/>
        <v>1.8483118079999996E-2</v>
      </c>
      <c r="BF16" s="85">
        <f t="shared" si="16"/>
        <v>509.46343362018848</v>
      </c>
      <c r="BG16" s="85">
        <f t="shared" si="17"/>
        <v>2.6813864927378341E-2</v>
      </c>
      <c r="BH16" s="85">
        <f t="shared" si="18"/>
        <v>2.6813864927378341E-2</v>
      </c>
      <c r="BI16" s="85">
        <f t="shared" si="19"/>
        <v>13.39925976</v>
      </c>
      <c r="BJ16" s="85">
        <f t="shared" si="20"/>
        <v>1.3165675199999999E-2</v>
      </c>
      <c r="BK16" s="85">
        <f t="shared" si="21"/>
        <v>4.2469919999999999E-5</v>
      </c>
      <c r="BL16">
        <f t="shared" si="22"/>
        <v>2013</v>
      </c>
      <c r="BM16" s="160">
        <f t="shared" si="23"/>
        <v>923.13771930018834</v>
      </c>
      <c r="BN16" s="39">
        <f t="shared" si="23"/>
        <v>0.2305866953273783</v>
      </c>
      <c r="BO16" s="39">
        <f t="shared" si="23"/>
        <v>4.5339452927378336E-2</v>
      </c>
      <c r="BP16" s="184">
        <f t="shared" si="24"/>
        <v>942.41354365573159</v>
      </c>
      <c r="BR16" s="198"/>
      <c r="BS16" s="198"/>
      <c r="BT16" s="198"/>
      <c r="BU16" s="19"/>
      <c r="BV16" s="19"/>
      <c r="BW16" s="19"/>
      <c r="BX16" s="197"/>
      <c r="BY16" s="19"/>
      <c r="BZ16" s="197"/>
      <c r="CA16" s="19"/>
      <c r="CB16" s="197"/>
      <c r="CC16" s="19"/>
    </row>
    <row r="17" spans="1:81" x14ac:dyDescent="0.25">
      <c r="A17" s="117">
        <f t="shared" si="25"/>
        <v>2014</v>
      </c>
      <c r="B17" s="66">
        <f>INDEX((Proj_PasMob!$Q$6:$Q$46),MATCH(A17,Proj_PasMob!$M$6:M$46,0))</f>
        <v>10561741153.304186</v>
      </c>
      <c r="C17" s="119">
        <f>B17*Table142[Gasoline]%</f>
        <v>5801602664.2061882</v>
      </c>
      <c r="D17" s="123">
        <f>B17*Table142[[Diesel ]]%</f>
        <v>4754352393.2620068</v>
      </c>
      <c r="E17" s="121">
        <f>B17*Table142[LPG]%</f>
        <v>5786095.8359920438</v>
      </c>
      <c r="F17" s="66">
        <f t="shared" si="3"/>
        <v>0</v>
      </c>
      <c r="G17" s="195">
        <v>0</v>
      </c>
      <c r="H17" s="31">
        <f>C17*Table243[Autocycle]%</f>
        <v>656235145.94545913</v>
      </c>
      <c r="I17" s="66">
        <f>C17*Table243[Motocycle]%</f>
        <v>427258021.2791149</v>
      </c>
      <c r="J17" s="66">
        <f>(C17*Table243[cars]%)-($H$6*G17)</f>
        <v>4512910613.0089855</v>
      </c>
      <c r="K17" s="66">
        <f>C17*Table243[DPV]%</f>
        <v>146336955.44698867</v>
      </c>
      <c r="L17" s="66">
        <f>C17*Table243[Hybrid]%</f>
        <v>58861928.525640577</v>
      </c>
      <c r="M17" s="66">
        <f t="shared" si="4"/>
        <v>0</v>
      </c>
      <c r="N17" s="195">
        <v>0</v>
      </c>
      <c r="O17" s="195">
        <f>D17*Table344[Buses]%</f>
        <v>3772400660.690547</v>
      </c>
      <c r="P17" s="66">
        <f>(D17*Table344[Cars]%)-($J$6*G17)</f>
        <v>402048211.92876351</v>
      </c>
      <c r="Q17" s="66">
        <f>D17*Table344[DPV]%</f>
        <v>579903520.64269638</v>
      </c>
      <c r="R17" s="66">
        <f t="shared" si="5"/>
        <v>3772400660.690547</v>
      </c>
      <c r="S17" s="66">
        <f t="shared" si="6"/>
        <v>0</v>
      </c>
      <c r="W17" s="66">
        <f>E17*Table445[Cars]%</f>
        <v>5468715.0517393155</v>
      </c>
      <c r="X17" s="66">
        <f>E17*Table445[DPV]%</f>
        <v>317380.7842527281</v>
      </c>
      <c r="Y17" s="66">
        <f t="shared" si="7"/>
        <v>0</v>
      </c>
      <c r="AB17" s="117">
        <f t="shared" si="26"/>
        <v>2014</v>
      </c>
      <c r="AD17" s="66">
        <f>INDEX((EnergyCal!$B$43:$B$48),MATCH(AB17,EnergyCal!$A$43:$A$48,0))</f>
        <v>12297.072199999999</v>
      </c>
      <c r="AE17" s="66">
        <f>INDEX((EnergyCal!$C$43:$C$48),MATCH(AB17,EnergyCal!$A$43:$A$48,0))</f>
        <v>8836.3816800000004</v>
      </c>
      <c r="AF17" s="66">
        <f>INDEX((EnergyCal!$D$43:$D$48),MATCH(AB17,EnergyCal!$A$43:$A$48,0))</f>
        <v>107193.32032499999</v>
      </c>
      <c r="AG17" s="66">
        <f>INDEX((EnergyCal!$E$43:$E$48),MATCH(AB17,EnergyCal!$A$43:$A$48,0))</f>
        <v>6893.6278499999989</v>
      </c>
      <c r="AH17" s="66">
        <f>INDEX((EnergyCal!$F$43:$F$48),MATCH(AB17,EnergyCal!$A$43:$A$48,0))</f>
        <v>699.3216000000001</v>
      </c>
      <c r="AI17" s="66">
        <f>INDEX((EnergyCal!$I$43:$I$48),MATCH(AB17,EnergyCal!$A$43:$A$48,0))</f>
        <v>1324.2763450000202</v>
      </c>
      <c r="AJ17" s="66">
        <f t="shared" si="8"/>
        <v>137244</v>
      </c>
      <c r="AK17" s="66">
        <f>INDEX((EnergyCal!$B$70:$B$75),MATCH(AB17,EnergyCal!$A$70:$A$75,0))</f>
        <v>12703.39875</v>
      </c>
      <c r="AL17" s="66">
        <f>INDEX((EnergyCal!$C$70:$C$75),MATCH(AB17,EnergyCal!$A$70:$A$75,0))</f>
        <v>31448.258774999998</v>
      </c>
      <c r="AM17" s="66">
        <f>INDEX((EnergyCal!$D$70:$D$75),MATCH(AB17,EnergyCal!$A$70:$A$75,0))</f>
        <v>29419.421399999999</v>
      </c>
      <c r="AN17" s="66">
        <f>INDEX((EnergyCal!$K$70:$K$75),MATCH(AB17,EnergyCal!$A$70:$A$75,0))</f>
        <v>89662.726070838195</v>
      </c>
      <c r="AO17" s="66">
        <f t="shared" si="9"/>
        <v>163233.8049958382</v>
      </c>
      <c r="AP17" s="66"/>
      <c r="AQ17" s="66">
        <f>INDEX((EnergyCal!$B$57:$B$62),MATCH(AB17,EnergyCal!$A$57:$A$62,0))</f>
        <v>132.26048550000004</v>
      </c>
      <c r="AR17" s="146">
        <f>INDEX((EnergyCal!$C$57:$C$62),MATCH(AB17,EnergyCal!$A$57:$A$62,0))</f>
        <v>13.827232575000002</v>
      </c>
      <c r="AS17" s="66">
        <f>INDEX((EnergyCal!$F$57:$F$62),MATCH(AB17,EnergyCal!$A$57:$A$62,0))</f>
        <v>3597.9122819250001</v>
      </c>
      <c r="AT17" s="66">
        <f t="shared" si="10"/>
        <v>3744</v>
      </c>
      <c r="AU17" s="31">
        <f t="shared" si="11"/>
        <v>37440</v>
      </c>
      <c r="AX17" s="148">
        <f t="shared" si="12"/>
        <v>304221.8049958382</v>
      </c>
      <c r="BB17" s="117">
        <f t="shared" si="27"/>
        <v>2014</v>
      </c>
      <c r="BC17" s="85">
        <f t="shared" si="13"/>
        <v>426.09321216000001</v>
      </c>
      <c r="BD17" s="85">
        <f t="shared" si="14"/>
        <v>0.20290152959999996</v>
      </c>
      <c r="BE17" s="85">
        <f t="shared" si="15"/>
        <v>1.9675299839999997E-2</v>
      </c>
      <c r="BF17" s="85">
        <f t="shared" si="16"/>
        <v>523.74056034329669</v>
      </c>
      <c r="BG17" s="85">
        <f t="shared" si="17"/>
        <v>2.7565292649647195E-2</v>
      </c>
      <c r="BH17" s="85">
        <f t="shared" si="18"/>
        <v>2.7565292649647195E-2</v>
      </c>
      <c r="BI17" s="85">
        <f t="shared" si="19"/>
        <v>12.33206208</v>
      </c>
      <c r="BJ17" s="85">
        <f t="shared" si="20"/>
        <v>1.2117081600000001E-2</v>
      </c>
      <c r="BK17" s="85">
        <f t="shared" si="21"/>
        <v>3.9087359999999998E-5</v>
      </c>
      <c r="BL17">
        <f t="shared" si="22"/>
        <v>2014</v>
      </c>
      <c r="BM17" s="39">
        <f t="shared" si="23"/>
        <v>962.16583458329671</v>
      </c>
      <c r="BN17" s="39">
        <f t="shared" si="23"/>
        <v>0.24258390384964715</v>
      </c>
      <c r="BO17" s="39">
        <f t="shared" si="23"/>
        <v>4.7279679849647198E-2</v>
      </c>
      <c r="BP17" s="184">
        <f t="shared" si="24"/>
        <v>982.31977677473276</v>
      </c>
      <c r="BR17" s="198"/>
      <c r="BS17" s="198"/>
      <c r="BT17" s="198"/>
      <c r="BU17" s="19"/>
      <c r="BV17" s="19"/>
      <c r="BW17" s="19"/>
      <c r="BX17" s="197"/>
      <c r="BY17" s="19"/>
      <c r="BZ17" s="197"/>
      <c r="CA17" s="19"/>
      <c r="CB17" s="197"/>
      <c r="CC17" s="19"/>
    </row>
    <row r="18" spans="1:81" x14ac:dyDescent="0.25">
      <c r="A18" s="117">
        <f t="shared" si="25"/>
        <v>2015</v>
      </c>
      <c r="B18" s="66">
        <f>INDEX((Proj_PasMob!$Q$6:$Q$46),MATCH(A18,Proj_PasMob!$M$6:M$46,0))</f>
        <v>10685868200.205055</v>
      </c>
      <c r="C18" s="119">
        <f>B18*Table142[Gasoline]%</f>
        <v>5869786100.5873041</v>
      </c>
      <c r="D18" s="123">
        <f>B18*Table142[[Diesel ]]%</f>
        <v>4810228002.5896473</v>
      </c>
      <c r="E18" s="121">
        <f>B18*Table142[LPG]%</f>
        <v>5854097.0281044282</v>
      </c>
      <c r="F18" s="66">
        <f t="shared" si="3"/>
        <v>0</v>
      </c>
      <c r="G18" s="195">
        <v>0</v>
      </c>
      <c r="H18" s="31">
        <f>C18*Table243[Autocycle]%</f>
        <v>663947560.93049109</v>
      </c>
      <c r="I18" s="66">
        <f>C18*Table243[Motocycle]%</f>
        <v>432279378.61748272</v>
      </c>
      <c r="J18" s="66">
        <f>(C18*Table243[cars]%)-($H$6*G18)</f>
        <v>4565948673.6080322</v>
      </c>
      <c r="K18" s="66">
        <f>C18*Table243[DPV]%</f>
        <v>148056783.0652234</v>
      </c>
      <c r="L18" s="66">
        <f>C18*Table243[Hybrid]%</f>
        <v>59553704.366075002</v>
      </c>
      <c r="M18" s="66">
        <f t="shared" si="4"/>
        <v>0</v>
      </c>
      <c r="N18" s="195">
        <v>0</v>
      </c>
      <c r="O18" s="195">
        <f>D18*Table344[Buses]%</f>
        <v>3816735865.1745071</v>
      </c>
      <c r="P18" s="66">
        <f>(D18*Table344[Cars]%)-($J$6*G18)</f>
        <v>406773290.54355985</v>
      </c>
      <c r="Q18" s="66">
        <f>D18*Table344[DPV]%</f>
        <v>586718846.87158</v>
      </c>
      <c r="R18" s="66">
        <f t="shared" si="5"/>
        <v>3816735865.1745071</v>
      </c>
      <c r="S18" s="66">
        <f t="shared" si="6"/>
        <v>0</v>
      </c>
      <c r="W18" s="66">
        <f>E18*Table445[Cars]%</f>
        <v>5532986.220655662</v>
      </c>
      <c r="X18" s="66">
        <f>E18*Table445[DPV]%</f>
        <v>321110.80744876608</v>
      </c>
      <c r="Y18" s="66">
        <f t="shared" si="7"/>
        <v>0</v>
      </c>
      <c r="AB18" s="117">
        <f t="shared" si="26"/>
        <v>2015</v>
      </c>
      <c r="AD18" s="66">
        <f>H18*Table546[Autocycle]*0.01*$AD$7/1000</f>
        <v>11785.069206516215</v>
      </c>
      <c r="AE18" s="66">
        <f>I18*Table546[Motocycle]*0.01*$AD$7/1000</f>
        <v>9207.550764552383</v>
      </c>
      <c r="AF18" s="66">
        <f>J18*Table546[Car]*0.01*$AD$7/$AL$8/1000</f>
        <v>110904.49015105827</v>
      </c>
      <c r="AG18" s="66">
        <f>INDEX((EnergyCal!$E$43:$E$48),MATCH(AB18,EnergyCal!$A$43:$A$48,0))</f>
        <v>6607.0363499999994</v>
      </c>
      <c r="AH18" s="66">
        <f>L18*Table546[Car_Hbrid]*0.01*$AD$7/$AL$8/1000</f>
        <v>890.17115999817372</v>
      </c>
      <c r="AI18" s="66">
        <f>INDEX((EnergyCal!$I$43:$I$48),MATCH(AB18,EnergyCal!$A$43:$A$48,0))</f>
        <v>3067.8302799999947</v>
      </c>
      <c r="AJ18" s="66">
        <f>SUM(AD18:AI18)</f>
        <v>142462.14791212504</v>
      </c>
      <c r="AK18" s="66">
        <f>P18*Table546[Car_Dsl]*0.01*$AD$8/$AL$8/1000</f>
        <v>12738.426730179901</v>
      </c>
      <c r="AL18" s="66">
        <f>INDEX((EnergyCal!$C$70:$C$75),MATCH(AB18,EnergyCal!$A$70:$A$75,0))</f>
        <v>30799.921274999997</v>
      </c>
      <c r="AM18" s="66">
        <f>INDEX((EnergyCal!$D$70:$D$75),MATCH(AB18,EnergyCal!$A$70:$A$75,0))</f>
        <v>29164.962</v>
      </c>
      <c r="AN18" s="66">
        <f>INDEX((EnergyCal!$K$70:$K$75),MATCH(AB18,EnergyCal!$A$70:$A$75,0))</f>
        <v>93106.157905683358</v>
      </c>
      <c r="AO18" s="66">
        <f t="shared" si="9"/>
        <v>165809.46791086326</v>
      </c>
      <c r="AP18" s="66"/>
      <c r="AQ18" s="66">
        <f>INDEX((EnergyCal!$B$57:$B$62),MATCH(AB18,EnergyCal!$A$57:$A$62,0))</f>
        <v>134.66522160000002</v>
      </c>
      <c r="AR18" s="146">
        <f>INDEX((EnergyCal!$C$57:$C$62),MATCH(AB18,EnergyCal!$A$57:$A$62,0))</f>
        <v>13.827232575000002</v>
      </c>
      <c r="AS18" s="66">
        <f>INDEX((EnergyCal!$F$57:$F$62),MATCH(AB18,EnergyCal!$A$57:$A$62,0))</f>
        <v>3041.5075458249999</v>
      </c>
      <c r="AT18" s="66">
        <f t="shared" si="10"/>
        <v>3190</v>
      </c>
      <c r="AU18" s="31">
        <f t="shared" si="11"/>
        <v>31900</v>
      </c>
      <c r="AX18" s="148">
        <f t="shared" si="12"/>
        <v>311461.61582298833</v>
      </c>
      <c r="BB18" s="117">
        <f t="shared" si="27"/>
        <v>2015</v>
      </c>
      <c r="BC18" s="85">
        <f t="shared" si="13"/>
        <v>442.29368289389987</v>
      </c>
      <c r="BD18" s="85">
        <f t="shared" si="14"/>
        <v>0.21061603947328564</v>
      </c>
      <c r="BE18" s="85">
        <f t="shared" si="15"/>
        <v>2.0423373524682244E-2</v>
      </c>
      <c r="BF18" s="85">
        <f t="shared" si="16"/>
        <v>532.00465207604202</v>
      </c>
      <c r="BG18" s="85">
        <f t="shared" si="17"/>
        <v>2.8000244846107473E-2</v>
      </c>
      <c r="BH18" s="85">
        <f t="shared" si="18"/>
        <v>2.8000244846107473E-2</v>
      </c>
      <c r="BI18" s="85">
        <f t="shared" si="19"/>
        <v>10.5072858</v>
      </c>
      <c r="BJ18" s="85">
        <f t="shared" si="20"/>
        <v>1.0324116E-2</v>
      </c>
      <c r="BK18" s="85">
        <f t="shared" si="21"/>
        <v>3.3303600000000004E-5</v>
      </c>
      <c r="BL18">
        <f t="shared" si="22"/>
        <v>2015</v>
      </c>
      <c r="BM18" s="39">
        <f t="shared" si="23"/>
        <v>984.80562076994181</v>
      </c>
      <c r="BN18" s="39">
        <f t="shared" si="23"/>
        <v>0.2489404003193931</v>
      </c>
      <c r="BO18" s="39">
        <f t="shared" si="23"/>
        <v>4.8456921970789719E-2</v>
      </c>
      <c r="BP18" s="184">
        <f t="shared" si="24"/>
        <v>1005.4692935252219</v>
      </c>
      <c r="BR18" s="198"/>
      <c r="BS18" s="198"/>
      <c r="BT18" s="198"/>
      <c r="BU18" s="19"/>
      <c r="BV18" s="19"/>
      <c r="BW18" s="19"/>
      <c r="BX18" s="197"/>
      <c r="BY18" s="19"/>
      <c r="BZ18" s="197"/>
      <c r="CA18" s="19"/>
      <c r="CB18" s="197"/>
      <c r="CC18" s="19"/>
    </row>
    <row r="19" spans="1:81" x14ac:dyDescent="0.25">
      <c r="A19" s="117">
        <f t="shared" si="25"/>
        <v>2016</v>
      </c>
      <c r="B19" s="66">
        <f>INDEX((Proj_PasMob!$Q$6:$Q$46),MATCH(A19,Proj_PasMob!$M$6:M$46,0))</f>
        <v>10805486955.126375</v>
      </c>
      <c r="C19" s="119">
        <f>B19*Table142[Gasoline]%</f>
        <v>5935493115.8575516</v>
      </c>
      <c r="D19" s="123">
        <f>B19*Table142[[Diesel ]]%</f>
        <v>4864074210.8506098</v>
      </c>
      <c r="E19" s="121">
        <f>B19*Table142[LPG]%</f>
        <v>5919628.4182143128</v>
      </c>
      <c r="F19" s="66">
        <f t="shared" si="3"/>
        <v>0</v>
      </c>
      <c r="G19" s="195">
        <v>0</v>
      </c>
      <c r="H19" s="31">
        <f>C19*Table243[Autocycle]%</f>
        <v>671379861.15014267</v>
      </c>
      <c r="I19" s="66">
        <f>C19*Table243[Motocycle]%</f>
        <v>437118360.35294837</v>
      </c>
      <c r="J19" s="66">
        <f>(C19*Table243[cars]%)-($H$6*G19)</f>
        <v>4617060392.856185</v>
      </c>
      <c r="K19" s="66">
        <f>C19*Table243[DPV]%</f>
        <v>149714146.57711643</v>
      </c>
      <c r="L19" s="66">
        <f>C19*Table243[Hybrid]%</f>
        <v>60220354.921159104</v>
      </c>
      <c r="M19" s="66">
        <f t="shared" si="4"/>
        <v>0</v>
      </c>
      <c r="N19" s="195">
        <v>0</v>
      </c>
      <c r="O19" s="195">
        <f>D19*Table344[Buses]%</f>
        <v>3859460815.8759356</v>
      </c>
      <c r="P19" s="66">
        <f>(D19*Table344[Cars]%)-($J$6*G19)</f>
        <v>411326754.39305174</v>
      </c>
      <c r="Q19" s="66">
        <f>D19*Table344[DPV]%</f>
        <v>593286640.5816226</v>
      </c>
      <c r="R19" s="66">
        <f t="shared" si="5"/>
        <v>3859460815.8759356</v>
      </c>
      <c r="S19" s="66">
        <f t="shared" si="6"/>
        <v>0</v>
      </c>
      <c r="W19" s="66">
        <f>E19*Table445[Cars]%</f>
        <v>5594923.0619409541</v>
      </c>
      <c r="X19" s="66">
        <f>E19*Table445[DPV]%</f>
        <v>324705.35627335892</v>
      </c>
      <c r="Y19" s="66">
        <f t="shared" si="7"/>
        <v>0</v>
      </c>
      <c r="AB19" s="117">
        <f t="shared" si="26"/>
        <v>2016</v>
      </c>
      <c r="AD19" s="66">
        <f>H19*Table546[Autocycle]*0.01*$AD$7/1000</f>
        <v>11916.992535415033</v>
      </c>
      <c r="AE19" s="66">
        <f>I19*Table546[Motocycle]*0.01*$AD$7/1000</f>
        <v>9310.6210755177999</v>
      </c>
      <c r="AF19" s="66">
        <f>J19*Table546[Car]*0.01*$AD$7/$AL$8/1000</f>
        <v>112145.96691069104</v>
      </c>
      <c r="AG19" s="66">
        <f>K19*Table546[DPV]*0.01*$AD$7/$AL$8/1000</f>
        <v>6433.7684568534514</v>
      </c>
      <c r="AH19" s="66">
        <f>L19*Table546[Car_Hbrid]*0.01*$AD$7/$AL$8/1000</f>
        <v>900.13583145311497</v>
      </c>
      <c r="AI19" s="66">
        <f>Freight!E11*$AG$8*$AI$8*$AD$7/1000</f>
        <v>3183.1175452134653</v>
      </c>
      <c r="AJ19" s="66">
        <f t="shared" ref="AJ19:AJ32" si="28">SUM(AD19:AI19)</f>
        <v>143890.6023551439</v>
      </c>
      <c r="AK19" s="66">
        <f>P19*Table546[Car_Dsl]*0.01*$AD$8/$AL$8/1000</f>
        <v>12881.022045466623</v>
      </c>
      <c r="AL19" s="66">
        <f>Q19*Table546[DPV_Dsl]*0.01*$AD$8/$AL$8/1000</f>
        <v>29992.200962034138</v>
      </c>
      <c r="AM19" s="66">
        <f>R19*Table546[Bus]*0.01*$AD$8/$AL$9/1000</f>
        <v>28400.11808939563</v>
      </c>
      <c r="AN19" s="66">
        <f>Freight!E11*$AG$9*$AI$9*$AD$8/1000</f>
        <v>96680.460183838222</v>
      </c>
      <c r="AO19" s="66">
        <f t="shared" si="9"/>
        <v>167953.80128073459</v>
      </c>
      <c r="AP19" s="66"/>
      <c r="AQ19" s="66">
        <f>W19*Table546[Car_LPG]*0.01*$AD$9/$AL$8/1000</f>
        <v>131.13365949095467</v>
      </c>
      <c r="AR19" s="66">
        <f>X19*Table546[DPV_LPG]*0.01*$AD$9/$AL$8/1000</f>
        <v>13.464616822731953</v>
      </c>
      <c r="AS19" s="31">
        <f>AS18*(1-$AS$11)</f>
        <v>2825.5605100714251</v>
      </c>
      <c r="AT19" s="66">
        <f t="shared" si="10"/>
        <v>2970.1587863851119</v>
      </c>
      <c r="AU19" s="31">
        <f t="shared" si="11"/>
        <v>29701.58786385112</v>
      </c>
      <c r="AX19" s="148">
        <f t="shared" si="12"/>
        <v>314814.56242226361</v>
      </c>
      <c r="BB19" s="117">
        <f t="shared" si="27"/>
        <v>2016</v>
      </c>
      <c r="BC19" s="85">
        <f t="shared" si="13"/>
        <v>446.72851969587396</v>
      </c>
      <c r="BD19" s="85">
        <f t="shared" si="14"/>
        <v>0.21272786652184469</v>
      </c>
      <c r="BE19" s="85">
        <f t="shared" si="15"/>
        <v>2.0628156753633428E-2</v>
      </c>
      <c r="BF19" s="85">
        <f t="shared" si="16"/>
        <v>538.88481002327535</v>
      </c>
      <c r="BG19" s="85">
        <f t="shared" si="17"/>
        <v>2.8362358422277648E-2</v>
      </c>
      <c r="BH19" s="85">
        <f t="shared" si="18"/>
        <v>2.8362358422277648E-2</v>
      </c>
      <c r="BI19" s="85">
        <f t="shared" si="19"/>
        <v>9.7831684137710084</v>
      </c>
      <c r="BJ19" s="85">
        <f t="shared" si="20"/>
        <v>9.6126218962567754E-3</v>
      </c>
      <c r="BK19" s="85">
        <f t="shared" si="21"/>
        <v>3.1008457729860564E-5</v>
      </c>
      <c r="BL19">
        <f t="shared" si="22"/>
        <v>2016</v>
      </c>
      <c r="BM19" s="39">
        <f t="shared" si="23"/>
        <v>995.39649813292033</v>
      </c>
      <c r="BN19" s="39">
        <f t="shared" si="23"/>
        <v>0.25070284684037913</v>
      </c>
      <c r="BO19" s="39">
        <f t="shared" si="23"/>
        <v>4.9021523633640936E-2</v>
      </c>
      <c r="BP19" s="184">
        <f t="shared" si="24"/>
        <v>1016.2724833467548</v>
      </c>
      <c r="BR19" s="198"/>
      <c r="BS19" s="198"/>
      <c r="BT19" s="198"/>
      <c r="BU19" s="19"/>
      <c r="BV19" s="19"/>
      <c r="BW19" s="19"/>
      <c r="BX19" s="197"/>
      <c r="BY19" s="19"/>
      <c r="BZ19" s="197"/>
      <c r="CA19" s="19"/>
      <c r="CB19" s="197"/>
      <c r="CC19" s="19"/>
    </row>
    <row r="20" spans="1:81" x14ac:dyDescent="0.25">
      <c r="A20" s="117">
        <f t="shared" si="25"/>
        <v>2017</v>
      </c>
      <c r="B20" s="66">
        <f>INDEX((Proj_PasMob!$Q$6:$Q$46),MATCH(A20,Proj_PasMob!$M$6:M$46,0))</f>
        <v>10920457866.053516</v>
      </c>
      <c r="C20" s="119">
        <f>B20*Table142[Gasoline]%</f>
        <v>5998647053.5899153</v>
      </c>
      <c r="D20" s="123">
        <f>B20*Table142[[Diesel ]]%</f>
        <v>4915828198.9088163</v>
      </c>
      <c r="E20" s="121">
        <f>B20*Table142[LPG]%</f>
        <v>5982613.5547860069</v>
      </c>
      <c r="F20" s="66">
        <f t="shared" si="3"/>
        <v>0</v>
      </c>
      <c r="G20" s="195">
        <v>0</v>
      </c>
      <c r="H20" s="31">
        <f>C20*Table243[Autocycle]%</f>
        <v>678523375.78628314</v>
      </c>
      <c r="I20" s="66">
        <f>C20*Table243[Motocycle]%</f>
        <v>441769321.13624877</v>
      </c>
      <c r="J20" s="66">
        <f>(C20*Table243[cars]%)-($H$6*G20)</f>
        <v>4666186141.7814074</v>
      </c>
      <c r="K20" s="66">
        <f>C20*Table243[DPV]%</f>
        <v>151307112.43623346</v>
      </c>
      <c r="L20" s="66">
        <f>C20*Table243[Hybrid]%</f>
        <v>60861102.449742876</v>
      </c>
      <c r="M20" s="66">
        <f t="shared" si="4"/>
        <v>0</v>
      </c>
      <c r="N20" s="195">
        <v>0</v>
      </c>
      <c r="O20" s="195">
        <f>D20*Table344[Buses]%</f>
        <v>3900525668.1617785</v>
      </c>
      <c r="P20" s="66">
        <f>(D20*Table344[Cars]%)-($J$6*G20)</f>
        <v>415703291.22453982</v>
      </c>
      <c r="Q20" s="66">
        <f>D20*Table344[DPV]%</f>
        <v>599599239.52249801</v>
      </c>
      <c r="R20" s="66">
        <f t="shared" si="5"/>
        <v>3900525668.1617785</v>
      </c>
      <c r="S20" s="66">
        <f t="shared" si="6"/>
        <v>0</v>
      </c>
      <c r="W20" s="66">
        <f>E20*Table445[Cars]%</f>
        <v>5654453.3176036524</v>
      </c>
      <c r="X20" s="66">
        <f>E20*Table445[DPV]%</f>
        <v>328160.23718235479</v>
      </c>
      <c r="Y20" s="66">
        <f t="shared" si="7"/>
        <v>0</v>
      </c>
      <c r="AB20" s="117">
        <f t="shared" si="26"/>
        <v>2017</v>
      </c>
      <c r="AD20" s="66">
        <f>H20*Table546[Autocycle]*0.01*$AD$7/1000</f>
        <v>12043.789920206525</v>
      </c>
      <c r="AE20" s="66">
        <f>I20*Table546[Motocycle]*0.01*$AD$7/1000</f>
        <v>9409.6865402020976</v>
      </c>
      <c r="AF20" s="66">
        <f>J20*Table546[Car]*0.01*$AD$7/$AL$8/1000</f>
        <v>113339.20549642734</v>
      </c>
      <c r="AG20" s="66">
        <f>K20*Table546[DPV]*0.01*$AD$7/$AL$8/1000</f>
        <v>6502.224068641297</v>
      </c>
      <c r="AH20" s="66">
        <f>L20*Table546[Car_Hbrid]*0.01*$AD$7/$AL$8/1000</f>
        <v>909.71332082773563</v>
      </c>
      <c r="AI20" s="66">
        <f>Freight!E12*$AG$8*$AI$8*$AD$7/1000</f>
        <v>3305.2707720748726</v>
      </c>
      <c r="AJ20" s="66">
        <f t="shared" si="28"/>
        <v>145509.89011837984</v>
      </c>
      <c r="AK20" s="66">
        <f>P20*Table546[Car_Dsl]*0.01*$AD$8/$AL$8/1000</f>
        <v>13018.076751505325</v>
      </c>
      <c r="AL20" s="66">
        <f>Q20*Table546[DPV_Dsl]*0.01*$AD$8/$AL$8/1000</f>
        <v>30311.319450597861</v>
      </c>
      <c r="AM20" s="66">
        <f>R20*Table546[Bus]*0.01*$AD$8/$AL$9/1000</f>
        <v>28702.296738144745</v>
      </c>
      <c r="AN20" s="66">
        <f>Freight!E12*$AG$9*$AI$9*$AD$8/1000</f>
        <v>100390.60598214857</v>
      </c>
      <c r="AO20" s="66">
        <f t="shared" si="9"/>
        <v>172422.2989223965</v>
      </c>
      <c r="AP20" s="66"/>
      <c r="AQ20" s="66">
        <f>W20*Table546[Car_LPG]*0.01*$AD$9/$AL$8/1000</f>
        <v>132.52892805659133</v>
      </c>
      <c r="AR20" s="66">
        <f>X20*Table546[DPV_LPG]*0.01*$AD$9/$AL$8/1000</f>
        <v>13.607881005810716</v>
      </c>
      <c r="AS20" s="31">
        <f t="shared" ref="AS20:AS53" si="29">AS19*(1-$AS$11)</f>
        <v>2624.9457138563539</v>
      </c>
      <c r="AT20" s="66">
        <f t="shared" si="10"/>
        <v>2771.0825229187558</v>
      </c>
      <c r="AU20" s="31">
        <f t="shared" si="11"/>
        <v>27710.825229187558</v>
      </c>
      <c r="AX20" s="148">
        <f t="shared" si="12"/>
        <v>320703.2715636951</v>
      </c>
      <c r="BB20" s="117">
        <f t="shared" si="27"/>
        <v>2017</v>
      </c>
      <c r="BC20" s="85">
        <f t="shared" si="13"/>
        <v>451.75582525712679</v>
      </c>
      <c r="BD20" s="85">
        <f t="shared" si="14"/>
        <v>0.21512182155101273</v>
      </c>
      <c r="BE20" s="85">
        <f t="shared" si="15"/>
        <v>2.0860297847370934E-2</v>
      </c>
      <c r="BF20" s="85">
        <f t="shared" si="16"/>
        <v>553.22211876147685</v>
      </c>
      <c r="BG20" s="85">
        <f t="shared" si="17"/>
        <v>2.9116953619025093E-2</v>
      </c>
      <c r="BH20" s="85">
        <f t="shared" si="18"/>
        <v>2.9116953619025093E-2</v>
      </c>
      <c r="BI20" s="85">
        <f t="shared" si="19"/>
        <v>9.1274470356402571</v>
      </c>
      <c r="BJ20" s="85">
        <f t="shared" si="20"/>
        <v>8.9683314771742614E-3</v>
      </c>
      <c r="BK20" s="85">
        <f t="shared" si="21"/>
        <v>2.8930101539271812E-5</v>
      </c>
      <c r="BL20">
        <f t="shared" si="22"/>
        <v>2017</v>
      </c>
      <c r="BM20" s="39">
        <f t="shared" si="23"/>
        <v>1014.1053910542439</v>
      </c>
      <c r="BN20" s="39">
        <f t="shared" si="23"/>
        <v>0.25320710664721208</v>
      </c>
      <c r="BO20" s="39">
        <f t="shared" si="23"/>
        <v>5.00061815679353E-2</v>
      </c>
      <c r="BP20" s="184">
        <f t="shared" si="24"/>
        <v>1035.3374108276689</v>
      </c>
      <c r="BR20" s="198"/>
      <c r="BS20" s="198"/>
      <c r="BT20" s="198"/>
      <c r="BU20" s="19"/>
      <c r="BV20" s="19"/>
      <c r="BW20" s="19"/>
      <c r="BX20" s="197"/>
      <c r="BY20" s="19"/>
      <c r="BZ20" s="197"/>
      <c r="CA20" s="19"/>
      <c r="CB20" s="197"/>
      <c r="CC20" s="19"/>
    </row>
    <row r="21" spans="1:81" x14ac:dyDescent="0.25">
      <c r="A21" s="117">
        <f t="shared" si="25"/>
        <v>2018</v>
      </c>
      <c r="B21" s="66">
        <f>INDEX((Proj_PasMob!$Q$6:$Q$46),MATCH(A21,Proj_PasMob!$M$6:M$46,0))</f>
        <v>11030662221.254807</v>
      </c>
      <c r="C21" s="119">
        <f>B21*Table142[Gasoline]%</f>
        <v>6059182705.0002804</v>
      </c>
      <c r="D21" s="123">
        <f>B21*Table142[[Diesel ]]%</f>
        <v>4965436528.8511982</v>
      </c>
      <c r="E21" s="121">
        <f>B21*Table142[LPG]%</f>
        <v>6042987.4033288565</v>
      </c>
      <c r="F21" s="66">
        <f t="shared" si="3"/>
        <v>0</v>
      </c>
      <c r="G21" s="195">
        <f>1000*(721629-612089)*AL8</f>
        <v>208126000</v>
      </c>
      <c r="H21" s="31">
        <f>C21*Table243[Autocycle]%</f>
        <v>685370728.89498138</v>
      </c>
      <c r="I21" s="66">
        <f>C21*Table243[Motocycle]%</f>
        <v>446227458.67779541</v>
      </c>
      <c r="J21" s="66">
        <f>(C21*Table243[cars]%)-($H$6*G21)</f>
        <v>4525961796.2250605</v>
      </c>
      <c r="K21" s="66">
        <f>C21*Table243[DPV]%</f>
        <v>152834035.8462159</v>
      </c>
      <c r="L21" s="66">
        <f>C21*Table243[Hybrid]%</f>
        <v>61475285.356227316</v>
      </c>
      <c r="M21" s="66">
        <f t="shared" si="4"/>
        <v>-187313400</v>
      </c>
      <c r="N21" s="195">
        <f>1000*(19271-8724)*AL9</f>
        <v>369145000</v>
      </c>
      <c r="O21" s="195">
        <f>D21*Table344[Buses]%</f>
        <v>3939888021.0482869</v>
      </c>
      <c r="P21" s="66">
        <f>(D21*Table344[Cars]%)-($J$6*G21)</f>
        <v>399085782.10134846</v>
      </c>
      <c r="Q21" s="66">
        <f>D21*Table344[DPV]%</f>
        <v>605650125.70156252</v>
      </c>
      <c r="R21" s="66">
        <f t="shared" si="5"/>
        <v>3570743021.0482869</v>
      </c>
      <c r="S21" s="66">
        <f t="shared" si="6"/>
        <v>-389957600</v>
      </c>
      <c r="W21" s="66">
        <f>E21*Table445[Cars]%</f>
        <v>5711515.5204458386</v>
      </c>
      <c r="X21" s="66">
        <f>E21*Table445[DPV]%</f>
        <v>331471.88288301742</v>
      </c>
      <c r="Y21" s="66">
        <f t="shared" si="7"/>
        <v>0</v>
      </c>
      <c r="AB21" s="117">
        <f t="shared" si="26"/>
        <v>2018</v>
      </c>
      <c r="AD21" s="66">
        <f>H21*Table546[Autocycle]*0.01*$AD$7/1000</f>
        <v>12165.330437885919</v>
      </c>
      <c r="AE21" s="66">
        <f>I21*Table546[Motocycle]*0.01*$AD$7/1000</f>
        <v>9504.6448698370423</v>
      </c>
      <c r="AF21" s="66">
        <f>J21*Table546[Car]*0.01*$AD$7/$AL$8/1000</f>
        <v>109933.22994515082</v>
      </c>
      <c r="AG21" s="66">
        <f>K21*Table546[DPV]*0.01*$AD$7/$AL$8/1000</f>
        <v>6567.8415930755409</v>
      </c>
      <c r="AH21" s="66">
        <f>L21*Table546[Car_Hbrid]*0.01*$AD$7/$AL$8/1000</f>
        <v>918.89373900887165</v>
      </c>
      <c r="AI21" s="66">
        <f>Freight!E13*$AG$8*$AI$8*$AD$7/1000</f>
        <v>3432.0664811448746</v>
      </c>
      <c r="AJ21" s="66">
        <f t="shared" si="28"/>
        <v>142522.00706610305</v>
      </c>
      <c r="AK21" s="66">
        <f>P21*Table546[Car_Dsl]*0.01*$AD$8/$AL$8/1000</f>
        <v>12497.686334226441</v>
      </c>
      <c r="AL21" s="66">
        <f>Q21*Table546[DPV_Dsl]*0.01*$AD$8/$AL$8/1000</f>
        <v>30617.207670334257</v>
      </c>
      <c r="AM21" s="66">
        <f>R21*Table546[Bus]*0.01*$AD$8/$AL$9/1000</f>
        <v>26275.567573456749</v>
      </c>
      <c r="AN21" s="66">
        <f>Freight!E13*$AG$9*$AI$9*$AD$8/1000</f>
        <v>104241.75735438037</v>
      </c>
      <c r="AO21" s="66">
        <f t="shared" si="9"/>
        <v>173632.21893239784</v>
      </c>
      <c r="AP21" s="66"/>
      <c r="AQ21" s="66">
        <f>W21*Table546[Car_LPG]*0.01*$AD$9/$AL$8/1000</f>
        <v>133.86635046516955</v>
      </c>
      <c r="AR21" s="66">
        <f>X21*Table546[DPV_LPG]*0.01*$AD$9/$AL$8/1000</f>
        <v>13.74520562812009</v>
      </c>
      <c r="AS21" s="31">
        <f t="shared" si="29"/>
        <v>2438.574568172553</v>
      </c>
      <c r="AT21" s="66">
        <f t="shared" si="10"/>
        <v>2586.1861242658424</v>
      </c>
      <c r="AU21" s="31">
        <f t="shared" si="11"/>
        <v>25861.861242658422</v>
      </c>
      <c r="AX21" s="148">
        <f t="shared" si="12"/>
        <v>318740.41212276672</v>
      </c>
      <c r="BB21" s="117">
        <f t="shared" si="27"/>
        <v>2018</v>
      </c>
      <c r="BC21" s="85">
        <f t="shared" si="13"/>
        <v>442.47952401770618</v>
      </c>
      <c r="BD21" s="85">
        <f t="shared" si="14"/>
        <v>0.21070453524652671</v>
      </c>
      <c r="BE21" s="85">
        <f t="shared" si="15"/>
        <v>2.0431954932996529E-2</v>
      </c>
      <c r="BF21" s="85">
        <f t="shared" si="16"/>
        <v>557.10418341116645</v>
      </c>
      <c r="BG21" s="85">
        <f t="shared" si="17"/>
        <v>2.9321272811114019E-2</v>
      </c>
      <c r="BH21" s="85">
        <f t="shared" si="18"/>
        <v>2.9321272811114019E-2</v>
      </c>
      <c r="BI21" s="85">
        <f t="shared" si="19"/>
        <v>8.5184315798293149</v>
      </c>
      <c r="BJ21" s="85">
        <f t="shared" si="20"/>
        <v>8.3699327725739719E-3</v>
      </c>
      <c r="BK21" s="85">
        <f t="shared" si="21"/>
        <v>2.6999783137335397E-5</v>
      </c>
      <c r="BL21">
        <f t="shared" si="22"/>
        <v>2018</v>
      </c>
      <c r="BM21" s="39">
        <f t="shared" si="23"/>
        <v>1008.102139008702</v>
      </c>
      <c r="BN21" s="39">
        <f t="shared" si="23"/>
        <v>0.24839574083021471</v>
      </c>
      <c r="BO21" s="39">
        <f t="shared" si="23"/>
        <v>4.9780227527247881E-2</v>
      </c>
      <c r="BP21" s="184">
        <f t="shared" si="24"/>
        <v>1029.1465403325772</v>
      </c>
      <c r="BR21" s="198"/>
      <c r="BS21" s="198"/>
      <c r="BT21" s="198"/>
      <c r="BU21" s="19"/>
      <c r="BV21" s="19"/>
      <c r="BW21" s="19"/>
      <c r="BX21" s="197"/>
      <c r="BY21" s="19"/>
      <c r="BZ21" s="197"/>
      <c r="CA21" s="19"/>
      <c r="CB21" s="197"/>
      <c r="CC21" s="19"/>
    </row>
    <row r="22" spans="1:81" x14ac:dyDescent="0.25">
      <c r="A22" s="117">
        <f t="shared" si="25"/>
        <v>2019</v>
      </c>
      <c r="B22" s="66">
        <f>INDEX((Proj_PasMob!$Q$6:$Q$46),MATCH(A22,Proj_PasMob!$M$6:M$46,0))</f>
        <v>11136003379.607237</v>
      </c>
      <c r="C22" s="119">
        <f>B22*Table142[Gasoline]%</f>
        <v>6117046984.7697983</v>
      </c>
      <c r="D22" s="123">
        <f>B22*Table142[[Diesel ]]%</f>
        <v>5012855697.8170261</v>
      </c>
      <c r="E22" s="121">
        <f>B22*Table142[LPG]%</f>
        <v>6100697.0204132423</v>
      </c>
      <c r="F22" s="66">
        <f t="shared" si="3"/>
        <v>0</v>
      </c>
      <c r="G22" s="195">
        <f>G21+($G$31-$G$21)/10</f>
        <v>207682160</v>
      </c>
      <c r="H22" s="31">
        <f>C22*Table243[Autocycle]%</f>
        <v>691915915.85062313</v>
      </c>
      <c r="I22" s="66">
        <f>C22*Table243[Motocycle]%</f>
        <v>450488863.51849526</v>
      </c>
      <c r="J22" s="66">
        <f>(C22*Table243[cars]%)-($H$6*G22)</f>
        <v>4571372318.5459404</v>
      </c>
      <c r="K22" s="66">
        <f>C22*Table243[DPV]%</f>
        <v>154293577.8074134</v>
      </c>
      <c r="L22" s="66">
        <f>C22*Table243[Hybrid]%</f>
        <v>62062365.047326267</v>
      </c>
      <c r="M22" s="66">
        <f t="shared" si="4"/>
        <v>-186913944</v>
      </c>
      <c r="N22" s="195">
        <f>N21+($N$31-$N$21)/10</f>
        <v>370156500</v>
      </c>
      <c r="O22" s="195">
        <f>D22*Table344[Buses]%</f>
        <v>3977513356.6438575</v>
      </c>
      <c r="P22" s="66">
        <f>(D22*Table344[Cars]%)-($J$6*G22)</f>
        <v>403140132.23698407</v>
      </c>
      <c r="Q22" s="66">
        <f>D22*Table344[DPV]%</f>
        <v>611433992.93618453</v>
      </c>
      <c r="R22" s="66">
        <f t="shared" si="5"/>
        <v>3607356856.6438575</v>
      </c>
      <c r="S22" s="66">
        <f t="shared" si="6"/>
        <v>-390924716</v>
      </c>
      <c r="W22" s="66">
        <f>E22*Table445[Cars]%</f>
        <v>5766059.6311078742</v>
      </c>
      <c r="X22" s="66">
        <f>E22*Table445[DPV]%</f>
        <v>334637.38930536772</v>
      </c>
      <c r="Y22" s="66">
        <f t="shared" si="7"/>
        <v>0</v>
      </c>
      <c r="AB22" s="117">
        <f t="shared" si="26"/>
        <v>2019</v>
      </c>
      <c r="AD22" s="66">
        <f>H22*Table546[Autocycle]*0.01*$AD$7/1000</f>
        <v>12281.50750634856</v>
      </c>
      <c r="AE22" s="66">
        <f>I22*Table546[Motocycle]*0.01*$AD$7/1000</f>
        <v>9595.4127929439492</v>
      </c>
      <c r="AF22" s="66">
        <f>J22*Table546[Car]*0.01*$AD$7/$AL$8/1000</f>
        <v>111036.2276320501</v>
      </c>
      <c r="AG22" s="66">
        <f>K22*Table546[DPV]*0.01*$AD$7/$AL$8/1000</f>
        <v>6630.5634884080555</v>
      </c>
      <c r="AH22" s="66">
        <f>L22*Table546[Car_Hbrid]*0.01*$AD$7/$AL$8/1000</f>
        <v>927.6690354442452</v>
      </c>
      <c r="AI22" s="66">
        <f>Freight!E14*$AG$8*$AI$8*$AD$7/1000</f>
        <v>3563.6810867473969</v>
      </c>
      <c r="AJ22" s="66">
        <f t="shared" si="28"/>
        <v>144035.06154194227</v>
      </c>
      <c r="AK22" s="66">
        <f>P22*Table546[Car_Dsl]*0.01*$AD$8/$AL$8/1000</f>
        <v>12624.651509526606</v>
      </c>
      <c r="AL22" s="66">
        <f>Q22*Table546[DPV_Dsl]*0.01*$AD$8/$AL$8/1000</f>
        <v>30909.597379747647</v>
      </c>
      <c r="AM22" s="66">
        <f>R22*Table546[Bus]*0.01*$AD$8/$AL$9/1000</f>
        <v>26544.993097960731</v>
      </c>
      <c r="AN22" s="66">
        <f>Freight!E14*$AG$9*$AI$9*$AD$8/1000</f>
        <v>108239.27251234255</v>
      </c>
      <c r="AO22" s="66">
        <f t="shared" si="9"/>
        <v>178318.51449957752</v>
      </c>
      <c r="AP22" s="66"/>
      <c r="AQ22" s="66">
        <f>W22*Table546[Car_LPG]*0.01*$AD$9/$AL$8/1000</f>
        <v>135.14475389549506</v>
      </c>
      <c r="AR22" s="66">
        <f>X22*Table546[DPV_LPG]*0.01*$AD$9/$AL$8/1000</f>
        <v>13.876470266055295</v>
      </c>
      <c r="AS22" s="31">
        <f t="shared" si="29"/>
        <v>2265.4357738323019</v>
      </c>
      <c r="AT22" s="66">
        <f t="shared" si="10"/>
        <v>2414.4569979938524</v>
      </c>
      <c r="AU22" s="31">
        <f t="shared" si="11"/>
        <v>24144.569979938526</v>
      </c>
      <c r="AX22" s="148">
        <f t="shared" si="12"/>
        <v>324768.03303951363</v>
      </c>
      <c r="BB22" s="117">
        <f t="shared" si="27"/>
        <v>2019</v>
      </c>
      <c r="BC22" s="85">
        <f t="shared" si="13"/>
        <v>447.17701346557567</v>
      </c>
      <c r="BD22" s="85">
        <f t="shared" si="14"/>
        <v>0.21294143498360743</v>
      </c>
      <c r="BE22" s="85">
        <f t="shared" si="15"/>
        <v>2.0648866422652842E-2</v>
      </c>
      <c r="BF22" s="85">
        <f t="shared" si="16"/>
        <v>572.14030332732932</v>
      </c>
      <c r="BG22" s="85">
        <f t="shared" si="17"/>
        <v>3.011264754354365E-2</v>
      </c>
      <c r="BH22" s="85">
        <f t="shared" si="18"/>
        <v>3.011264754354365E-2</v>
      </c>
      <c r="BI22" s="85">
        <f t="shared" si="19"/>
        <v>7.9527867491321107</v>
      </c>
      <c r="BJ22" s="85">
        <f t="shared" si="20"/>
        <v>7.8141486283073037E-3</v>
      </c>
      <c r="BK22" s="85">
        <f t="shared" si="21"/>
        <v>2.5206931059055817E-5</v>
      </c>
      <c r="BL22">
        <f t="shared" si="22"/>
        <v>2019</v>
      </c>
      <c r="BM22" s="39">
        <f t="shared" si="23"/>
        <v>1027.2701035420371</v>
      </c>
      <c r="BN22" s="39">
        <f t="shared" si="23"/>
        <v>0.25086823115545837</v>
      </c>
      <c r="BO22" s="39">
        <f t="shared" si="23"/>
        <v>5.0786720897255548E-2</v>
      </c>
      <c r="BP22" s="184">
        <f t="shared" si="24"/>
        <v>1048.6762521483056</v>
      </c>
      <c r="BR22" s="198"/>
      <c r="BS22" s="198"/>
      <c r="BT22" s="198"/>
      <c r="BU22" s="19"/>
      <c r="BV22" s="19"/>
      <c r="BW22" s="19"/>
      <c r="BX22" s="197"/>
      <c r="BY22" s="19"/>
      <c r="BZ22" s="197"/>
      <c r="CA22" s="19"/>
      <c r="CB22" s="197"/>
      <c r="CC22" s="19"/>
    </row>
    <row r="23" spans="1:81" x14ac:dyDescent="0.25">
      <c r="A23" s="117">
        <f t="shared" si="25"/>
        <v>2020</v>
      </c>
      <c r="B23" s="66">
        <f>INDEX((Proj_PasMob!$Q$6:$Q$46),MATCH(A23,Proj_PasMob!$M$6:M$46,0))</f>
        <v>11226441524.739933</v>
      </c>
      <c r="C23" s="119">
        <f>B23*Table142[Gasoline]%</f>
        <v>6166724985.4073706</v>
      </c>
      <c r="D23" s="123">
        <f>B23*Table142[[Diesel ]]%</f>
        <v>5053566297.0934811</v>
      </c>
      <c r="E23" s="121">
        <f>B23*Table142[LPG]%</f>
        <v>6150242.2390823653</v>
      </c>
      <c r="F23" s="66">
        <f t="shared" si="3"/>
        <v>0</v>
      </c>
      <c r="G23" s="195">
        <f t="shared" ref="G23:G30" si="30">G22+($G$31-$G$21)/10</f>
        <v>207238320</v>
      </c>
      <c r="H23" s="31">
        <f>C23*Table243[Autocycle]%</f>
        <v>697535130.38246429</v>
      </c>
      <c r="I23" s="66">
        <f>C23*Table243[Motocycle]%</f>
        <v>454147391.25333387</v>
      </c>
      <c r="J23" s="66">
        <f>(C23*Table243[cars]%)-($H$6*G23)</f>
        <v>4610414954.5923014</v>
      </c>
      <c r="K23" s="66">
        <f>C23*Table243[DPV]%</f>
        <v>155546632.83147553</v>
      </c>
      <c r="L23" s="66">
        <f>C23*Table243[Hybrid]%</f>
        <v>62566388.34779571</v>
      </c>
      <c r="M23" s="66">
        <f t="shared" si="4"/>
        <v>-186514488</v>
      </c>
      <c r="N23" s="195">
        <f t="shared" ref="N23:N30" si="31">N22+($N$31-$N$21)/10</f>
        <v>371168000</v>
      </c>
      <c r="O23" s="195">
        <f>D23*Table344[Buses]%</f>
        <v>4009815693.3038955</v>
      </c>
      <c r="P23" s="66">
        <f>(D23*Table344[Cars]%)-($J$6*G23)</f>
        <v>406627177.2540437</v>
      </c>
      <c r="Q23" s="66">
        <f>D23*Table344[DPV]%</f>
        <v>616399594.53554189</v>
      </c>
      <c r="R23" s="66">
        <f t="shared" si="5"/>
        <v>3638647693.3038955</v>
      </c>
      <c r="S23" s="66">
        <f t="shared" si="6"/>
        <v>-391891832</v>
      </c>
      <c r="W23" s="66">
        <f>E23*Table445[Cars]%</f>
        <v>5812887.1795546403</v>
      </c>
      <c r="X23" s="66">
        <f>E23*Table445[DPV]%</f>
        <v>337355.05952772463</v>
      </c>
      <c r="Y23" s="66">
        <f t="shared" si="7"/>
        <v>0</v>
      </c>
      <c r="AB23" s="117">
        <f t="shared" si="26"/>
        <v>2020</v>
      </c>
      <c r="AD23" s="66">
        <f>H23*Table546[Autocycle]*0.01*$AD$7/1000</f>
        <v>12381.248564288742</v>
      </c>
      <c r="AE23" s="66">
        <f>I23*Table546[Motocycle]*0.01*$AD$7/1000</f>
        <v>9673.3394336960118</v>
      </c>
      <c r="AF23" s="66">
        <f>J23*Table546[Car]*0.01*$AD$7/$AL$8/1000</f>
        <v>111984.55271286036</v>
      </c>
      <c r="AG23" s="66">
        <f>K23*Table546[DPV]*0.01*$AD$7/$AL$8/1000</f>
        <v>6684.4118793105135</v>
      </c>
      <c r="AH23" s="66">
        <f>L23*Table546[Car_Hbrid]*0.01*$AD$7/$AL$8/1000</f>
        <v>935.20285740915688</v>
      </c>
      <c r="AI23" s="66">
        <f>Freight!E15*$AG$8*$AI$8*$AD$7/1000</f>
        <v>3700.3341521094567</v>
      </c>
      <c r="AJ23" s="66">
        <f t="shared" si="28"/>
        <v>145359.08959967425</v>
      </c>
      <c r="AK23" s="66">
        <f>P23*Table546[Car_Dsl]*0.01*$AD$8/$AL$8/1000</f>
        <v>12733.851077166106</v>
      </c>
      <c r="AL23" s="66">
        <f>Q23*Table546[DPV_Dsl]*0.01*$AD$8/$AL$8/1000</f>
        <v>31160.621607967798</v>
      </c>
      <c r="AM23" s="66">
        <f>R23*Table546[Bus]*0.01*$AD$8/$AL$9/1000</f>
        <v>26775.248954583385</v>
      </c>
      <c r="AN23" s="66">
        <f>Freight!E15*$AG$9*$AI$9*$AD$8/1000</f>
        <v>112389.82022447552</v>
      </c>
      <c r="AO23" s="66">
        <f t="shared" si="9"/>
        <v>183059.54186419281</v>
      </c>
      <c r="AP23" s="66"/>
      <c r="AQ23" s="66">
        <f>W23*Table546[Car_LPG]*0.01*$AD$9/$AL$8/1000</f>
        <v>136.24229674368644</v>
      </c>
      <c r="AR23" s="66">
        <f>X23*Table546[DPV_LPG]*0.01*$AD$9/$AL$8/1000</f>
        <v>13.98916439778923</v>
      </c>
      <c r="AS23" s="31">
        <f t="shared" si="29"/>
        <v>2104.5898338902084</v>
      </c>
      <c r="AT23" s="66">
        <f t="shared" si="10"/>
        <v>2254.8212950316843</v>
      </c>
      <c r="AU23" s="31">
        <f t="shared" si="11"/>
        <v>22548.212950316843</v>
      </c>
      <c r="AX23" s="148">
        <f t="shared" si="12"/>
        <v>330673.45275889873</v>
      </c>
      <c r="BB23" s="117">
        <f t="shared" si="27"/>
        <v>2020</v>
      </c>
      <c r="BC23" s="85">
        <f t="shared" si="13"/>
        <v>451.28764393473267</v>
      </c>
      <c r="BD23" s="85">
        <f t="shared" si="14"/>
        <v>0.21489887806415836</v>
      </c>
      <c r="BE23" s="85">
        <f t="shared" si="15"/>
        <v>2.0838679085009297E-2</v>
      </c>
      <c r="BF23" s="85">
        <f t="shared" si="16"/>
        <v>587.35203185751845</v>
      </c>
      <c r="BG23" s="85">
        <f t="shared" si="17"/>
        <v>3.0913264834606234E-2</v>
      </c>
      <c r="BH23" s="85">
        <f t="shared" si="18"/>
        <v>3.0913264834606234E-2</v>
      </c>
      <c r="BI23" s="85">
        <f t="shared" si="19"/>
        <v>7.4269754780012613</v>
      </c>
      <c r="BJ23" s="85">
        <f t="shared" si="20"/>
        <v>7.2975036392405428E-3</v>
      </c>
      <c r="BK23" s="85">
        <f t="shared" si="21"/>
        <v>2.3540334320130782E-5</v>
      </c>
      <c r="BL23">
        <f t="shared" si="22"/>
        <v>2020</v>
      </c>
      <c r="BM23" s="39">
        <f t="shared" si="23"/>
        <v>1046.0666512702524</v>
      </c>
      <c r="BN23" s="39">
        <f t="shared" si="23"/>
        <v>0.25310964653800516</v>
      </c>
      <c r="BO23" s="39">
        <f t="shared" si="23"/>
        <v>5.1775484253935661E-2</v>
      </c>
      <c r="BP23" s="184">
        <f t="shared" si="24"/>
        <v>1067.8234867413753</v>
      </c>
      <c r="BR23" s="198"/>
      <c r="BS23" s="198"/>
      <c r="BT23" s="198"/>
      <c r="BU23" s="19"/>
      <c r="BV23" s="19"/>
      <c r="BW23" s="19"/>
      <c r="BX23" s="197"/>
      <c r="BY23" s="19"/>
      <c r="BZ23" s="197"/>
      <c r="CA23" s="19"/>
      <c r="CB23" s="197"/>
      <c r="CC23" s="19"/>
    </row>
    <row r="24" spans="1:81" x14ac:dyDescent="0.25">
      <c r="A24" s="117">
        <f t="shared" si="25"/>
        <v>2021</v>
      </c>
      <c r="B24" s="66">
        <f>INDEX((Proj_PasMob!$Q$6:$Q$46),MATCH(A24,Proj_PasMob!$M$6:M$46,0))</f>
        <v>11311365658.45142</v>
      </c>
      <c r="C24" s="119">
        <f>B24*Table142[Gasoline]%</f>
        <v>6213374119.6026182</v>
      </c>
      <c r="D24" s="123">
        <f>B24*Table142[[Diesel ]]%</f>
        <v>5091794772.1617794</v>
      </c>
      <c r="E24" s="121">
        <f>B24*Table142[LPG]%</f>
        <v>6196766.6870224234</v>
      </c>
      <c r="F24" s="66">
        <f t="shared" si="3"/>
        <v>0</v>
      </c>
      <c r="G24" s="195">
        <f t="shared" si="30"/>
        <v>206794480</v>
      </c>
      <c r="H24" s="31">
        <f>C24*Table243[Autocycle]%</f>
        <v>702811741.54643071</v>
      </c>
      <c r="I24" s="66">
        <f>C24*Table243[Motocycle]%</f>
        <v>457582858.64471757</v>
      </c>
      <c r="J24" s="66">
        <f>(C24*Table243[cars]%)-($H$6*G24)</f>
        <v>4647101516.9286709</v>
      </c>
      <c r="K24" s="66">
        <f>C24*Table243[DPV]%</f>
        <v>156723289.12241521</v>
      </c>
      <c r="L24" s="66">
        <f>C24*Table243[Hybrid]%</f>
        <v>63039681.360384218</v>
      </c>
      <c r="M24" s="66">
        <f t="shared" si="4"/>
        <v>-186115031.99999905</v>
      </c>
      <c r="N24" s="195">
        <f t="shared" si="31"/>
        <v>372179500</v>
      </c>
      <c r="O24" s="195">
        <f>D24*Table344[Buses]%</f>
        <v>4040148557.3148222</v>
      </c>
      <c r="P24" s="66">
        <f>(D24*Table344[Cars]%)-($J$6*G24)</f>
        <v>409904323.31597143</v>
      </c>
      <c r="Q24" s="66">
        <f>D24*Table344[DPV]%</f>
        <v>621062443.53098571</v>
      </c>
      <c r="R24" s="66">
        <f t="shared" si="5"/>
        <v>3667969057.3148222</v>
      </c>
      <c r="S24" s="66">
        <f t="shared" si="6"/>
        <v>-392858948</v>
      </c>
      <c r="W24" s="66">
        <f>E24*Table445[Cars]%</f>
        <v>5856859.6535570584</v>
      </c>
      <c r="X24" s="66">
        <f>E24*Table445[DPV]%</f>
        <v>339907.03346536495</v>
      </c>
      <c r="Y24" s="66">
        <f t="shared" si="7"/>
        <v>0</v>
      </c>
      <c r="AB24" s="117">
        <f t="shared" si="26"/>
        <v>2021</v>
      </c>
      <c r="AD24" s="66">
        <f>H24*Table546[Autocycle]*0.01*$AD$7/1000</f>
        <v>12474.908412449146</v>
      </c>
      <c r="AE24" s="66">
        <f>I24*Table546[Motocycle]*0.01*$AD$7/1000</f>
        <v>9746.5148891324825</v>
      </c>
      <c r="AF24" s="66">
        <f>J24*Table546[Car]*0.01*$AD$7/$AL$8/1000</f>
        <v>112875.65000329376</v>
      </c>
      <c r="AG24" s="66">
        <f>K24*Table546[DPV]*0.01*$AD$7/$AL$8/1000</f>
        <v>6734.9771351816853</v>
      </c>
      <c r="AH24" s="66">
        <f>L24*Table546[Car_Hbrid]*0.01*$AD$7/$AL$8/1000</f>
        <v>942.27734243942723</v>
      </c>
      <c r="AI24" s="66">
        <f>Freight!E16*$AG$8*$AI$8*$AD$7/1000</f>
        <v>3842.1793086271005</v>
      </c>
      <c r="AJ24" s="66">
        <f t="shared" si="28"/>
        <v>146616.50709112361</v>
      </c>
      <c r="AK24" s="66">
        <f>P24*Table546[Car_Dsl]*0.01*$AD$8/$AL$8/1000</f>
        <v>12836.477493315948</v>
      </c>
      <c r="AL24" s="66">
        <f>Q24*Table546[DPV_Dsl]*0.01*$AD$8/$AL$8/1000</f>
        <v>31396.340895342728</v>
      </c>
      <c r="AM24" s="66">
        <f>R24*Table546[Bus]*0.01*$AD$8/$AL$9/1000</f>
        <v>26991.012306040928</v>
      </c>
      <c r="AN24" s="66">
        <f>Freight!E16*$AG$9*$AI$9*$AD$8/1000</f>
        <v>116698.066719361</v>
      </c>
      <c r="AO24" s="66">
        <f t="shared" si="9"/>
        <v>187921.8974140606</v>
      </c>
      <c r="AP24" s="66"/>
      <c r="AQ24" s="66">
        <f>W24*Table546[Car_LPG]*0.01*$AD$9/$AL$8/1000</f>
        <v>137.27292243218474</v>
      </c>
      <c r="AR24" s="66">
        <f>X24*Table546[DPV_LPG]*0.01*$AD$9/$AL$8/1000</f>
        <v>14.094987571161825</v>
      </c>
      <c r="AS24" s="31">
        <f t="shared" si="29"/>
        <v>1955.1639556840037</v>
      </c>
      <c r="AT24" s="66">
        <f t="shared" si="10"/>
        <v>2106.5318656873501</v>
      </c>
      <c r="AU24" s="31">
        <f t="shared" si="11"/>
        <v>21065.3186568735</v>
      </c>
      <c r="AX24" s="148">
        <f t="shared" si="12"/>
        <v>336644.93637087155</v>
      </c>
      <c r="BB24" s="117">
        <f t="shared" si="27"/>
        <v>2021</v>
      </c>
      <c r="BC24" s="85">
        <f t="shared" si="13"/>
        <v>455.191472575386</v>
      </c>
      <c r="BD24" s="85">
        <f t="shared" si="14"/>
        <v>0.21675784408351711</v>
      </c>
      <c r="BE24" s="85">
        <f t="shared" si="15"/>
        <v>2.1018942456583478E-2</v>
      </c>
      <c r="BF24" s="85">
        <f t="shared" si="16"/>
        <v>602.95304550993581</v>
      </c>
      <c r="BG24" s="85">
        <f t="shared" si="17"/>
        <v>3.1734370816312411E-2</v>
      </c>
      <c r="BH24" s="85">
        <f t="shared" si="18"/>
        <v>3.1734370816312411E-2</v>
      </c>
      <c r="BI24" s="85">
        <f t="shared" si="19"/>
        <v>6.9385367898383068</v>
      </c>
      <c r="BJ24" s="85">
        <f t="shared" si="20"/>
        <v>6.8175797301105396E-3</v>
      </c>
      <c r="BK24" s="85">
        <f t="shared" si="21"/>
        <v>2.1992192677775934E-5</v>
      </c>
      <c r="BL24">
        <f t="shared" si="22"/>
        <v>2021</v>
      </c>
      <c r="BM24" s="39">
        <f t="shared" si="23"/>
        <v>1065.0830548751601</v>
      </c>
      <c r="BN24" s="39">
        <f t="shared" si="23"/>
        <v>0.25530979462994008</v>
      </c>
      <c r="BO24" s="39">
        <f t="shared" si="23"/>
        <v>5.2775305465573664E-2</v>
      </c>
      <c r="BP24" s="184">
        <f t="shared" si="24"/>
        <v>1087.1928407696496</v>
      </c>
      <c r="BR24" s="198"/>
      <c r="BS24" s="198"/>
      <c r="BT24" s="198"/>
      <c r="BU24" s="19"/>
      <c r="BV24" s="19"/>
      <c r="BW24" s="19"/>
      <c r="BX24" s="197"/>
      <c r="BY24" s="19"/>
      <c r="BZ24" s="197"/>
      <c r="CA24" s="19"/>
      <c r="CB24" s="197"/>
      <c r="CC24" s="19"/>
    </row>
    <row r="25" spans="1:81" x14ac:dyDescent="0.25">
      <c r="A25" s="117">
        <f t="shared" si="25"/>
        <v>2022</v>
      </c>
      <c r="B25" s="66">
        <f>INDEX((Proj_PasMob!$Q$6:$Q$46),MATCH(A25,Proj_PasMob!$M$6:M$46,0))</f>
        <v>11390768424.65041</v>
      </c>
      <c r="C25" s="119">
        <f>B25*Table142[Gasoline]%</f>
        <v>6256990346.6279593</v>
      </c>
      <c r="D25" s="123">
        <f>B25*Table142[[Diesel ]]%</f>
        <v>5127537811.6881447</v>
      </c>
      <c r="E25" s="121">
        <f>B25*Table142[LPG]%</f>
        <v>6240266.3343061004</v>
      </c>
      <c r="F25" s="66">
        <f t="shared" si="3"/>
        <v>0</v>
      </c>
      <c r="G25" s="195">
        <f t="shared" si="30"/>
        <v>206350640</v>
      </c>
      <c r="H25" s="31">
        <f>C25*Table243[Autocycle]%</f>
        <v>707745292.28477323</v>
      </c>
      <c r="I25" s="66">
        <f>C25*Table243[Motocycle]%</f>
        <v>460794968.11396503</v>
      </c>
      <c r="J25" s="66">
        <f>(C25*Table243[cars]%)-($H$6*G25)</f>
        <v>4681428862.3817835</v>
      </c>
      <c r="K25" s="66">
        <f>C25*Table243[DPV]%</f>
        <v>157823444.75877959</v>
      </c>
      <c r="L25" s="66">
        <f>C25*Table243[Hybrid]%</f>
        <v>63482203.088658251</v>
      </c>
      <c r="M25" s="66">
        <f t="shared" si="4"/>
        <v>-185715576</v>
      </c>
      <c r="N25" s="195">
        <f t="shared" si="31"/>
        <v>373191000</v>
      </c>
      <c r="O25" s="195">
        <f>D25*Table344[Buses]%</f>
        <v>4068509321.2572351</v>
      </c>
      <c r="P25" s="66">
        <f>(D25*Table344[Cars]%)-($J$6*G25)</f>
        <v>412971290.40233254</v>
      </c>
      <c r="Q25" s="66">
        <f>D25*Table344[DPV]%</f>
        <v>625422136.02857709</v>
      </c>
      <c r="R25" s="66">
        <f t="shared" si="5"/>
        <v>3695318321.2572351</v>
      </c>
      <c r="S25" s="66">
        <f t="shared" si="6"/>
        <v>-393826064</v>
      </c>
      <c r="W25" s="66">
        <f>E25*Table445[Cars]%</f>
        <v>5897973.2442386774</v>
      </c>
      <c r="X25" s="66">
        <f>E25*Table445[DPV]%</f>
        <v>342293.09006742318</v>
      </c>
      <c r="Y25" s="66">
        <f t="shared" si="7"/>
        <v>0</v>
      </c>
      <c r="AB25" s="117">
        <f t="shared" si="26"/>
        <v>2022</v>
      </c>
      <c r="AD25" s="66">
        <f>H25*Table546[Autocycle]*0.01*$AD$7/1000</f>
        <v>12562.478938054726</v>
      </c>
      <c r="AE25" s="66">
        <f>I25*Table546[Motocycle]*0.01*$AD$7/1000</f>
        <v>9814.9328208274546</v>
      </c>
      <c r="AF25" s="66">
        <f>J25*Table546[Car]*0.01*$AD$7/$AL$8/1000</f>
        <v>113709.44315732595</v>
      </c>
      <c r="AG25" s="66">
        <f>K25*Table546[DPV]*0.01*$AD$7/$AL$8/1000</f>
        <v>6782.2548760812388</v>
      </c>
      <c r="AH25" s="66">
        <f>L25*Table546[Car_Hbrid]*0.01*$AD$7/$AL$8/1000</f>
        <v>948.89187774626021</v>
      </c>
      <c r="AI25" s="66">
        <f>Freight!E17*$AG$8*$AI$8*$AD$7/1000</f>
        <v>3989.4138557642418</v>
      </c>
      <c r="AJ25" s="66">
        <f t="shared" si="28"/>
        <v>147807.41552579988</v>
      </c>
      <c r="AK25" s="66">
        <f>P25*Table546[Car_Dsl]*0.01*$AD$8/$AL$8/1000</f>
        <v>12932.521988915152</v>
      </c>
      <c r="AL25" s="66">
        <f>Q25*Table546[DPV_Dsl]*0.01*$AD$8/$AL$8/1000</f>
        <v>31616.734823970964</v>
      </c>
      <c r="AM25" s="66">
        <f>R25*Table546[Bus]*0.01*$AD$8/$AL$9/1000</f>
        <v>27192.263818280022</v>
      </c>
      <c r="AN25" s="66">
        <f>Freight!E17*$AG$9*$AI$9*$AD$8/1000</f>
        <v>121170.0045507436</v>
      </c>
      <c r="AO25" s="66">
        <f t="shared" si="9"/>
        <v>192911.52518190973</v>
      </c>
      <c r="AP25" s="66"/>
      <c r="AQ25" s="66">
        <f>W25*Table546[Car_LPG]*0.01*$AD$9/$AL$8/1000</f>
        <v>138.23654168864394</v>
      </c>
      <c r="AR25" s="66">
        <f>X25*Table546[DPV_LPG]*0.01*$AD$9/$AL$8/1000</f>
        <v>14.193930619816113</v>
      </c>
      <c r="AS25" s="31">
        <f t="shared" si="29"/>
        <v>1816.3473148304395</v>
      </c>
      <c r="AT25" s="66">
        <f t="shared" si="10"/>
        <v>1968.7777871388996</v>
      </c>
      <c r="AU25" s="31">
        <f t="shared" si="11"/>
        <v>19687.777871388997</v>
      </c>
      <c r="AX25" s="148">
        <f t="shared" si="12"/>
        <v>342687.71849484852</v>
      </c>
      <c r="BB25" s="117">
        <f t="shared" si="27"/>
        <v>2022</v>
      </c>
      <c r="BC25" s="85">
        <f t="shared" si="13"/>
        <v>458.88881453801929</v>
      </c>
      <c r="BD25" s="85">
        <f t="shared" si="14"/>
        <v>0.21851848311334252</v>
      </c>
      <c r="BE25" s="85">
        <f t="shared" si="15"/>
        <v>2.1189671089778667E-2</v>
      </c>
      <c r="BF25" s="85">
        <f t="shared" si="16"/>
        <v>618.96241589191277</v>
      </c>
      <c r="BG25" s="85">
        <f t="shared" si="17"/>
        <v>3.2576969257469085E-2</v>
      </c>
      <c r="BH25" s="85">
        <f t="shared" si="18"/>
        <v>3.2576969257469085E-2</v>
      </c>
      <c r="BI25" s="85">
        <f t="shared" si="19"/>
        <v>6.4847996508338506</v>
      </c>
      <c r="BJ25" s="85">
        <f t="shared" si="20"/>
        <v>6.3717524302963346E-3</v>
      </c>
      <c r="BK25" s="85">
        <f t="shared" si="21"/>
        <v>2.0554040097730112E-5</v>
      </c>
      <c r="BL25">
        <f t="shared" si="22"/>
        <v>2022</v>
      </c>
      <c r="BM25" s="39">
        <f t="shared" si="23"/>
        <v>1084.3360300807658</v>
      </c>
      <c r="BN25" s="39">
        <f t="shared" si="23"/>
        <v>0.25746720480110796</v>
      </c>
      <c r="BO25" s="39">
        <f t="shared" si="23"/>
        <v>5.3787194387345479E-2</v>
      </c>
      <c r="BP25" s="184">
        <f t="shared" si="24"/>
        <v>1106.8012941282225</v>
      </c>
      <c r="BR25" s="198"/>
      <c r="BS25" s="198"/>
      <c r="BT25" s="198"/>
      <c r="BU25" s="19"/>
      <c r="BV25" s="19"/>
      <c r="BW25" s="19"/>
      <c r="BX25" s="197"/>
      <c r="BY25" s="19"/>
      <c r="BZ25" s="197"/>
      <c r="CA25" s="19"/>
      <c r="CB25" s="197"/>
      <c r="CC25" s="19"/>
    </row>
    <row r="26" spans="1:81" x14ac:dyDescent="0.25">
      <c r="A26" s="117">
        <f t="shared" si="25"/>
        <v>2023</v>
      </c>
      <c r="B26" s="66">
        <f>INDEX((Proj_PasMob!$Q$6:$Q$46),MATCH(A26,Proj_PasMob!$M$6:M$46,0))</f>
        <v>11464670555.718056</v>
      </c>
      <c r="C26" s="119">
        <f>B26*Table142[Gasoline]%</f>
        <v>6297585054.8554411</v>
      </c>
      <c r="D26" s="123">
        <f>B26*Table142[[Diesel ]]%</f>
        <v>5160804748.3237495</v>
      </c>
      <c r="E26" s="121">
        <f>B26*Table142[LPG]%</f>
        <v>6280752.5388660058</v>
      </c>
      <c r="F26" s="66">
        <f t="shared" si="3"/>
        <v>0</v>
      </c>
      <c r="G26" s="195">
        <f t="shared" si="30"/>
        <v>205906800</v>
      </c>
      <c r="H26" s="31">
        <f>C26*Table243[Autocycle]%</f>
        <v>712337070.76740396</v>
      </c>
      <c r="I26" s="66">
        <f>C26*Table243[Motocycle]%</f>
        <v>463784558.35575902</v>
      </c>
      <c r="J26" s="66">
        <f>(C26*Table243[cars]%)-($H$6*G26)</f>
        <v>4713405849.6598358</v>
      </c>
      <c r="K26" s="66">
        <f>C26*Table243[DPV]%</f>
        <v>158847386.99562377</v>
      </c>
      <c r="L26" s="66">
        <f>C26*Table243[Hybrid]%</f>
        <v>63894069.076818302</v>
      </c>
      <c r="M26" s="66">
        <f t="shared" si="4"/>
        <v>-185316120</v>
      </c>
      <c r="N26" s="195">
        <f t="shared" si="31"/>
        <v>374202500</v>
      </c>
      <c r="O26" s="195">
        <f>D26*Table344[Buses]%</f>
        <v>4094905390.2405024</v>
      </c>
      <c r="P26" s="66">
        <f>(D26*Table344[Cars]%)-($J$6*G26)</f>
        <v>415828867.72171032</v>
      </c>
      <c r="Q26" s="66">
        <f>D26*Table344[DPV]%</f>
        <v>629479810.36153686</v>
      </c>
      <c r="R26" s="66">
        <f t="shared" si="5"/>
        <v>3720702890.2405024</v>
      </c>
      <c r="S26" s="66">
        <f t="shared" si="6"/>
        <v>-394793180</v>
      </c>
      <c r="W26" s="66">
        <f>E26*Table445[Cars]%</f>
        <v>5936238.6865231451</v>
      </c>
      <c r="X26" s="66">
        <f>E26*Table445[DPV]%</f>
        <v>344513.85234286106</v>
      </c>
      <c r="Y26" s="66">
        <f t="shared" si="7"/>
        <v>0</v>
      </c>
      <c r="AB26" s="117">
        <f t="shared" si="26"/>
        <v>2023</v>
      </c>
      <c r="AD26" s="66">
        <f>H26*Table546[Autocycle]*0.01*$AD$7/1000</f>
        <v>12643.98300612142</v>
      </c>
      <c r="AE26" s="66">
        <f>I26*Table546[Motocycle]*0.01*$AD$7/1000</f>
        <v>9878.6110929776678</v>
      </c>
      <c r="AF26" s="66">
        <f>J26*Table546[Car]*0.01*$AD$7/$AL$8/1000</f>
        <v>114486.14734831655</v>
      </c>
      <c r="AG26" s="66">
        <f>K26*Table546[DPV]*0.01*$AD$7/$AL$8/1000</f>
        <v>6826.2574464172012</v>
      </c>
      <c r="AH26" s="66">
        <f>L26*Table546[Car_Hbrid]*0.01*$AD$7/$AL$8/1000</f>
        <v>955.04819041138944</v>
      </c>
      <c r="AI26" s="66">
        <f>Freight!E18*$AG$8*$AI$8*$AD$7/1000</f>
        <v>4142.2425903644207</v>
      </c>
      <c r="AJ26" s="66">
        <f t="shared" si="28"/>
        <v>148932.28967460865</v>
      </c>
      <c r="AK26" s="66">
        <f>P26*Table546[Car_Dsl]*0.01*$AD$8/$AL$8/1000</f>
        <v>13022.009278653561</v>
      </c>
      <c r="AL26" s="66">
        <f>Q26*Table546[DPV_Dsl]*0.01*$AD$8/$AL$8/1000</f>
        <v>31821.86093959244</v>
      </c>
      <c r="AM26" s="66">
        <f>R26*Table546[Bus]*0.01*$AD$8/$AL$9/1000</f>
        <v>27379.057982326896</v>
      </c>
      <c r="AN26" s="66">
        <f>Freight!E18*$AG$9*$AI$9*$AD$8/1000</f>
        <v>125811.85398941019</v>
      </c>
      <c r="AO26" s="66">
        <f t="shared" si="9"/>
        <v>198034.78218998306</v>
      </c>
      <c r="AP26" s="66"/>
      <c r="AQ26" s="66">
        <f>W26*Table546[Car_LPG]*0.01*$AD$9/$AL$8/1000</f>
        <v>139.13340611792196</v>
      </c>
      <c r="AR26" s="66">
        <f>X26*Table546[DPV_LPG]*0.01*$AD$9/$AL$8/1000</f>
        <v>14.286019378179482</v>
      </c>
      <c r="AS26" s="31">
        <f t="shared" si="29"/>
        <v>1687.3866554774784</v>
      </c>
      <c r="AT26" s="66">
        <f t="shared" si="10"/>
        <v>1840.8060809735798</v>
      </c>
      <c r="AU26" s="31">
        <f t="shared" si="11"/>
        <v>18408.060809735798</v>
      </c>
      <c r="AX26" s="148">
        <f t="shared" si="12"/>
        <v>348807.87794556527</v>
      </c>
      <c r="BB26" s="117">
        <f t="shared" si="27"/>
        <v>2023</v>
      </c>
      <c r="BC26" s="85">
        <f t="shared" si="13"/>
        <v>462.38114381537696</v>
      </c>
      <c r="BD26" s="85">
        <f t="shared" si="14"/>
        <v>0.22018149705494139</v>
      </c>
      <c r="BE26" s="85">
        <f t="shared" si="15"/>
        <v>2.1350933047751895E-2</v>
      </c>
      <c r="BF26" s="85">
        <f t="shared" si="16"/>
        <v>635.40053970002623</v>
      </c>
      <c r="BG26" s="85">
        <f t="shared" si="17"/>
        <v>3.3442133668422434E-2</v>
      </c>
      <c r="BH26" s="85">
        <f t="shared" si="18"/>
        <v>3.3442133668422434E-2</v>
      </c>
      <c r="BI26" s="85">
        <f t="shared" si="19"/>
        <v>6.0632838856323961</v>
      </c>
      <c r="BJ26" s="85">
        <f t="shared" si="20"/>
        <v>5.957584800462894E-3</v>
      </c>
      <c r="BK26" s="85">
        <f t="shared" si="21"/>
        <v>1.9218015485364172E-5</v>
      </c>
      <c r="BL26">
        <f t="shared" si="22"/>
        <v>2023</v>
      </c>
      <c r="BM26" s="39">
        <f t="shared" si="23"/>
        <v>1103.8449674010355</v>
      </c>
      <c r="BN26" s="39">
        <f t="shared" si="23"/>
        <v>0.25958121552382668</v>
      </c>
      <c r="BO26" s="39">
        <f t="shared" si="23"/>
        <v>5.4812284731659694E-2</v>
      </c>
      <c r="BP26" s="184">
        <f t="shared" si="24"/>
        <v>1126.6685586391659</v>
      </c>
      <c r="BR26" s="198"/>
      <c r="BS26" s="198"/>
      <c r="BT26" s="198"/>
      <c r="BU26" s="19"/>
      <c r="BV26" s="19"/>
      <c r="BW26" s="19"/>
      <c r="BX26" s="197"/>
      <c r="BY26" s="19"/>
      <c r="BZ26" s="197"/>
      <c r="CA26" s="19"/>
      <c r="CB26" s="197"/>
      <c r="CC26" s="19"/>
    </row>
    <row r="27" spans="1:81" x14ac:dyDescent="0.25">
      <c r="A27" s="117">
        <f t="shared" si="25"/>
        <v>2024</v>
      </c>
      <c r="B27" s="66">
        <f>INDEX((Proj_PasMob!$Q$6:$Q$46),MATCH(A27,Proj_PasMob!$M$6:M$46,0))</f>
        <v>11533120767.919504</v>
      </c>
      <c r="C27" s="119">
        <f>B27*Table142[Gasoline]%</f>
        <v>6335185004.305932</v>
      </c>
      <c r="D27" s="123">
        <f>B27*Table142[[Diesel ]]%</f>
        <v>5191617511.6243763</v>
      </c>
      <c r="E27" s="121">
        <f>B27*Table142[LPG]%</f>
        <v>6318251.9891974181</v>
      </c>
      <c r="F27" s="66">
        <f t="shared" si="3"/>
        <v>0</v>
      </c>
      <c r="G27" s="195">
        <f t="shared" si="30"/>
        <v>205462960</v>
      </c>
      <c r="H27" s="31">
        <f>C27*Table243[Autocycle]%</f>
        <v>716590103.89347744</v>
      </c>
      <c r="I27" s="66">
        <f>C27*Table243[Motocycle]%</f>
        <v>466553600.10719198</v>
      </c>
      <c r="J27" s="66">
        <f>(C27*Table243[cars]%)-($H$6*G27)</f>
        <v>4743053294.6630507</v>
      </c>
      <c r="K27" s="66">
        <f>C27*Table243[DPV]%</f>
        <v>159795790.81539801</v>
      </c>
      <c r="L27" s="66">
        <f>C27*Table243[Hybrid]%</f>
        <v>64275550.826814242</v>
      </c>
      <c r="M27" s="66">
        <f t="shared" si="4"/>
        <v>-184916663.99999905</v>
      </c>
      <c r="N27" s="195">
        <f t="shared" si="31"/>
        <v>375214000</v>
      </c>
      <c r="O27" s="195">
        <f>D27*Table344[Buses]%</f>
        <v>4119354164.5462775</v>
      </c>
      <c r="P27" s="66">
        <f>(D27*Table344[Cars]%)-($J$6*G27)</f>
        <v>418478909.73039263</v>
      </c>
      <c r="Q27" s="66">
        <f>D27*Table344[DPV]%</f>
        <v>633238141.34770584</v>
      </c>
      <c r="R27" s="66">
        <f t="shared" si="5"/>
        <v>3744140164.5462775</v>
      </c>
      <c r="S27" s="66">
        <f t="shared" si="6"/>
        <v>-395760296</v>
      </c>
      <c r="W27" s="66">
        <f>E27*Table445[Cars]%</f>
        <v>5971681.2049798379</v>
      </c>
      <c r="X27" s="66">
        <f>E27*Table445[DPV]%</f>
        <v>346570.78421757987</v>
      </c>
      <c r="Y27" s="66">
        <f t="shared" si="7"/>
        <v>0</v>
      </c>
      <c r="AB27" s="117">
        <f t="shared" si="26"/>
        <v>2024</v>
      </c>
      <c r="AD27" s="66">
        <f>H27*Table546[Autocycle]*0.01*$AD$7/1000</f>
        <v>12719.474344109225</v>
      </c>
      <c r="AE27" s="66">
        <f>I27*Table546[Motocycle]*0.01*$AD$7/1000</f>
        <v>9937.5916822831896</v>
      </c>
      <c r="AF27" s="66">
        <f>J27*Table546[Car]*0.01*$AD$7/$AL$8/1000</f>
        <v>115206.2681835262</v>
      </c>
      <c r="AG27" s="66">
        <f>K27*Table546[DPV]*0.01*$AD$7/$AL$8/1000</f>
        <v>6867.0138526722349</v>
      </c>
      <c r="AH27" s="66">
        <f>L27*Table546[Car_Hbrid]*0.01*$AD$7/$AL$8/1000</f>
        <v>960.75033867448667</v>
      </c>
      <c r="AI27" s="66">
        <f>Freight!E19*$AG$8*$AI$8*$AD$7/1000</f>
        <v>4300.8780915512325</v>
      </c>
      <c r="AJ27" s="66">
        <f t="shared" si="28"/>
        <v>149991.97649281658</v>
      </c>
      <c r="AK27" s="66">
        <f>P27*Table546[Car_Dsl]*0.01*$AD$8/$AL$8/1000</f>
        <v>13104.997436293876</v>
      </c>
      <c r="AL27" s="66">
        <f>Q27*Table546[DPV_Dsl]*0.01*$AD$8/$AL$8/1000</f>
        <v>32011.854461287974</v>
      </c>
      <c r="AM27" s="66">
        <f>R27*Table546[Bus]*0.01*$AD$8/$AL$9/1000</f>
        <v>27551.52283939697</v>
      </c>
      <c r="AN27" s="66">
        <f>Freight!E19*$AG$9*$AI$9*$AD$8/1000</f>
        <v>130630.07167643761</v>
      </c>
      <c r="AO27" s="66">
        <f t="shared" si="9"/>
        <v>203298.44641341642</v>
      </c>
      <c r="AP27" s="66"/>
      <c r="AQ27" s="66">
        <f>W27*Table546[Car_LPG]*0.01*$AD$9/$AL$8/1000</f>
        <v>139.96410693281209</v>
      </c>
      <c r="AR27" s="66">
        <f>X27*Table546[DPV_LPG]*0.01*$AD$9/$AL$8/1000</f>
        <v>14.371314551136951</v>
      </c>
      <c r="AS27" s="31">
        <f t="shared" si="29"/>
        <v>1567.5822029385774</v>
      </c>
      <c r="AT27" s="66">
        <f t="shared" si="10"/>
        <v>1721.9176244225264</v>
      </c>
      <c r="AU27" s="31">
        <f t="shared" si="11"/>
        <v>17219.176244225266</v>
      </c>
      <c r="AX27" s="148">
        <f t="shared" si="12"/>
        <v>355012.34053065552</v>
      </c>
      <c r="BB27" s="117">
        <f t="shared" si="27"/>
        <v>2024</v>
      </c>
      <c r="BC27" s="85">
        <f t="shared" si="13"/>
        <v>465.67108989865807</v>
      </c>
      <c r="BD27" s="85">
        <f t="shared" si="14"/>
        <v>0.22174813804697999</v>
      </c>
      <c r="BE27" s="85">
        <f t="shared" si="15"/>
        <v>2.150284975001018E-2</v>
      </c>
      <c r="BF27" s="85">
        <f t="shared" si="16"/>
        <v>652.28916427083891</v>
      </c>
      <c r="BG27" s="85">
        <f t="shared" si="17"/>
        <v>3.4331008645833626E-2</v>
      </c>
      <c r="BH27" s="85">
        <f t="shared" si="18"/>
        <v>3.4331008645833626E-2</v>
      </c>
      <c r="BI27" s="85">
        <f t="shared" si="19"/>
        <v>5.6716867096754058</v>
      </c>
      <c r="BJ27" s="85">
        <f t="shared" si="20"/>
        <v>5.5728141996810648E-3</v>
      </c>
      <c r="BK27" s="85">
        <f t="shared" si="21"/>
        <v>1.7976819998971175E-5</v>
      </c>
      <c r="BL27">
        <f t="shared" si="22"/>
        <v>2024</v>
      </c>
      <c r="BM27" s="39">
        <f t="shared" si="23"/>
        <v>1123.6319408791724</v>
      </c>
      <c r="BN27" s="39">
        <f t="shared" si="23"/>
        <v>0.26165196089249471</v>
      </c>
      <c r="BO27" s="39">
        <f t="shared" si="23"/>
        <v>5.5851835215842777E-2</v>
      </c>
      <c r="BP27" s="184">
        <f t="shared" si="24"/>
        <v>1146.8170867958058</v>
      </c>
      <c r="BR27" s="198"/>
      <c r="BS27" s="198"/>
      <c r="BT27" s="198"/>
      <c r="BU27" s="19"/>
      <c r="BV27" s="19"/>
      <c r="BW27" s="19"/>
      <c r="BX27" s="197"/>
      <c r="BY27" s="19"/>
      <c r="BZ27" s="197"/>
      <c r="CA27" s="19"/>
      <c r="CB27" s="197"/>
      <c r="CC27" s="19"/>
    </row>
    <row r="28" spans="1:81" x14ac:dyDescent="0.25">
      <c r="A28" s="117">
        <f t="shared" si="25"/>
        <v>2025</v>
      </c>
      <c r="B28" s="66">
        <f>INDEX((Proj_PasMob!$Q$6:$Q$46),MATCH(A28,Proj_PasMob!$M$6:M$46,0))</f>
        <v>11579968602.290739</v>
      </c>
      <c r="C28" s="119">
        <f>B28*Table142[Gasoline]%</f>
        <v>6360918689.3826027</v>
      </c>
      <c r="D28" s="123">
        <f>B28*Table142[[Diesel ]]%</f>
        <v>5212705996.0162077</v>
      </c>
      <c r="E28" s="121">
        <f>B28*Table142[LPG]%</f>
        <v>6343916.8919294691</v>
      </c>
      <c r="F28" s="66">
        <f t="shared" si="3"/>
        <v>0</v>
      </c>
      <c r="G28" s="195">
        <f t="shared" si="30"/>
        <v>205019120</v>
      </c>
      <c r="H28" s="31">
        <f>C28*Table243[Autocycle]%</f>
        <v>719500911.39951229</v>
      </c>
      <c r="I28" s="66">
        <f>C28*Table243[Motocycle]%</f>
        <v>468448752.87832415</v>
      </c>
      <c r="J28" s="66">
        <f>(C28*Table243[cars]%)-($H$6*G28)</f>
        <v>4763470291.8867617</v>
      </c>
      <c r="K28" s="66">
        <f>C28*Table243[DPV]%</f>
        <v>160444885.44398835</v>
      </c>
      <c r="L28" s="66">
        <f>C28*Table243[Hybrid]%</f>
        <v>64536639.774016663</v>
      </c>
      <c r="M28" s="66">
        <f t="shared" si="4"/>
        <v>-184517207.99999905</v>
      </c>
      <c r="N28" s="195">
        <f t="shared" si="31"/>
        <v>376225500</v>
      </c>
      <c r="O28" s="195">
        <f>D28*Table344[Buses]%</f>
        <v>4136087087.5339499</v>
      </c>
      <c r="P28" s="66">
        <f>(D28*Table344[Cars]%)-($J$6*G28)</f>
        <v>420306625.45271927</v>
      </c>
      <c r="Q28" s="66">
        <f>D28*Table344[DPV]%</f>
        <v>635810371.02953875</v>
      </c>
      <c r="R28" s="66">
        <f t="shared" si="5"/>
        <v>3759861587.5339499</v>
      </c>
      <c r="S28" s="66">
        <f t="shared" si="6"/>
        <v>-396727412</v>
      </c>
      <c r="W28" s="66">
        <f>E28*Table445[Cars]%</f>
        <v>5995938.328237135</v>
      </c>
      <c r="X28" s="66">
        <f>E28*Table445[DPV]%</f>
        <v>347978.5636923337</v>
      </c>
      <c r="Y28" s="66">
        <f t="shared" si="7"/>
        <v>0</v>
      </c>
      <c r="AB28" s="117">
        <f t="shared" si="26"/>
        <v>2025</v>
      </c>
      <c r="AD28" s="66">
        <f>H28*Table546[Autocycle]*0.01*$AD$7/1000</f>
        <v>12771.141177341342</v>
      </c>
      <c r="AE28" s="66">
        <f>I28*Table546[Motocycle]*0.01*$AD$7/1000</f>
        <v>9977.9584363083031</v>
      </c>
      <c r="AF28" s="66">
        <f>J28*Table546[Car]*0.01*$AD$7/$AL$8/1000</f>
        <v>115702.18630030211</v>
      </c>
      <c r="AG28" s="66">
        <f>K28*Table546[DPV]*0.01*$AD$7/$AL$8/1000</f>
        <v>6894.9078402640253</v>
      </c>
      <c r="AH28" s="66">
        <f>L28*Table546[Car_Hbrid]*0.01*$AD$7/$AL$8/1000</f>
        <v>964.65293135898594</v>
      </c>
      <c r="AI28" s="66">
        <f>Freight!E20*$AG$8*$AI$8*$AD$7/1000</f>
        <v>4465.5936066152526</v>
      </c>
      <c r="AJ28" s="66">
        <f t="shared" si="28"/>
        <v>150776.44029219003</v>
      </c>
      <c r="AK28" s="66">
        <f>P28*Table546[Car_Dsl]*0.01*$AD$8/$AL$8/1000</f>
        <v>13162.233797072</v>
      </c>
      <c r="AL28" s="66">
        <f>Q28*Table546[DPV_Dsl]*0.01*$AD$8/$AL$8/1000</f>
        <v>32141.887440730105</v>
      </c>
      <c r="AM28" s="66">
        <f>R28*Table546[Bus]*0.01*$AD$8/$AL$9/1000</f>
        <v>27667.210053410538</v>
      </c>
      <c r="AN28" s="66">
        <f>Freight!E20*$AG$9*$AI$9*$AD$8/1000</f>
        <v>135632.95692010506</v>
      </c>
      <c r="AO28" s="66">
        <f t="shared" si="9"/>
        <v>208604.2882113177</v>
      </c>
      <c r="AP28" s="66"/>
      <c r="AQ28" s="66">
        <f>W28*Table546[Car_LPG]*0.01*$AD$9/$AL$8/1000</f>
        <v>140.53264474937126</v>
      </c>
      <c r="AR28" s="66">
        <f>X28*Table546[DPV_LPG]*0.01*$AD$9/$AL$8/1000</f>
        <v>14.429691201944367</v>
      </c>
      <c r="AS28" s="31">
        <f t="shared" si="29"/>
        <v>1456.2838665299385</v>
      </c>
      <c r="AT28" s="66">
        <f t="shared" si="10"/>
        <v>1611.2462024812542</v>
      </c>
      <c r="AU28" s="31">
        <f t="shared" si="11"/>
        <v>16112.462024812541</v>
      </c>
      <c r="AX28" s="148">
        <f t="shared" si="12"/>
        <v>360991.97470598901</v>
      </c>
      <c r="BB28" s="117">
        <f t="shared" si="27"/>
        <v>2025</v>
      </c>
      <c r="BC28" s="85">
        <f t="shared" si="13"/>
        <v>468.10656758874484</v>
      </c>
      <c r="BD28" s="85">
        <f t="shared" si="14"/>
        <v>0.2229078893279737</v>
      </c>
      <c r="BE28" s="85">
        <f t="shared" si="15"/>
        <v>2.161531048028836E-2</v>
      </c>
      <c r="BF28" s="85">
        <f t="shared" si="16"/>
        <v>669.31311685465914</v>
      </c>
      <c r="BG28" s="85">
        <f t="shared" si="17"/>
        <v>3.5227006150245217E-2</v>
      </c>
      <c r="BH28" s="85">
        <f t="shared" si="18"/>
        <v>3.5227006150245217E-2</v>
      </c>
      <c r="BI28" s="85">
        <f t="shared" si="19"/>
        <v>5.3071549666568041</v>
      </c>
      <c r="BJ28" s="85">
        <f t="shared" si="20"/>
        <v>5.214637209710331E-3</v>
      </c>
      <c r="BK28" s="85">
        <f t="shared" si="21"/>
        <v>1.6821410353904293E-5</v>
      </c>
      <c r="BL28">
        <f t="shared" si="22"/>
        <v>2025</v>
      </c>
      <c r="BM28" s="39">
        <f t="shared" si="23"/>
        <v>1142.7268394100608</v>
      </c>
      <c r="BN28" s="39">
        <f t="shared" si="23"/>
        <v>0.26334953268792927</v>
      </c>
      <c r="BO28" s="39">
        <f t="shared" si="23"/>
        <v>5.6859138040887477E-2</v>
      </c>
      <c r="BP28" s="184">
        <f t="shared" si="24"/>
        <v>1166.2546008634436</v>
      </c>
      <c r="BR28" s="198"/>
      <c r="BS28" s="198"/>
      <c r="BT28" s="198"/>
      <c r="BU28" s="19"/>
      <c r="BV28" s="19"/>
      <c r="BW28" s="19"/>
      <c r="BX28" s="197"/>
      <c r="BY28" s="19"/>
      <c r="BZ28" s="197"/>
      <c r="CA28" s="19"/>
      <c r="CB28" s="197"/>
      <c r="CC28" s="19"/>
    </row>
    <row r="29" spans="1:81" x14ac:dyDescent="0.25">
      <c r="A29" s="117">
        <f t="shared" si="25"/>
        <v>2026</v>
      </c>
      <c r="B29" s="66">
        <f>INDEX((Proj_PasMob!$Q$6:$Q$46),MATCH(A29,Proj_PasMob!$M$6:M$46,0))</f>
        <v>11620868294.841003</v>
      </c>
      <c r="C29" s="119">
        <f>B29*Table142[Gasoline]%</f>
        <v>6383385038.6161852</v>
      </c>
      <c r="D29" s="123">
        <f>B29*Table142[[Diesel ]]%</f>
        <v>5231116933.0328941</v>
      </c>
      <c r="E29" s="121">
        <f>B29*Table142[LPG]%</f>
        <v>6366323.1919252239</v>
      </c>
      <c r="F29" s="66">
        <f t="shared" si="3"/>
        <v>0</v>
      </c>
      <c r="G29" s="195">
        <f t="shared" si="30"/>
        <v>204575280</v>
      </c>
      <c r="H29" s="31">
        <f>C29*Table243[Autocycle]%</f>
        <v>722042141.61148834</v>
      </c>
      <c r="I29" s="66">
        <f>C29*Table243[Motocycle]%</f>
        <v>470103283.26837105</v>
      </c>
      <c r="J29" s="66">
        <f>(C29*Table243[cars]%)-($H$6*G29)</f>
        <v>4781345716.4699488</v>
      </c>
      <c r="K29" s="66">
        <f>C29*Table243[DPV]%</f>
        <v>161011566.29704553</v>
      </c>
      <c r="L29" s="66">
        <f>C29*Table243[Hybrid]%</f>
        <v>64764578.969332129</v>
      </c>
      <c r="M29" s="66">
        <f t="shared" si="4"/>
        <v>-184117752</v>
      </c>
      <c r="N29" s="195">
        <f t="shared" si="31"/>
        <v>377237000</v>
      </c>
      <c r="O29" s="195">
        <f>D29*Table344[Buses]%</f>
        <v>4150695476.904521</v>
      </c>
      <c r="P29" s="66">
        <f>(D29*Table344[Cars]%)-($J$6*G29)</f>
        <v>421907916.40769851</v>
      </c>
      <c r="Q29" s="66">
        <f>D29*Table344[DPV]%</f>
        <v>638056011.7206744</v>
      </c>
      <c r="R29" s="66">
        <f t="shared" si="5"/>
        <v>3773458476.904521</v>
      </c>
      <c r="S29" s="66">
        <f t="shared" si="6"/>
        <v>-397694528</v>
      </c>
      <c r="W29" s="66">
        <f>E29*Table445[Cars]%</f>
        <v>6017115.5906803804</v>
      </c>
      <c r="X29" s="66">
        <f>E29*Table445[DPV]%</f>
        <v>349207.60124484351</v>
      </c>
      <c r="Y29" s="66">
        <f t="shared" si="7"/>
        <v>0</v>
      </c>
      <c r="AB29" s="117">
        <f t="shared" si="26"/>
        <v>2026</v>
      </c>
      <c r="AD29" s="66">
        <f>H29*Table546[Autocycle]*0.01*$AD$7/1000</f>
        <v>12816.248013603916</v>
      </c>
      <c r="AE29" s="66">
        <f>I29*Table546[Motocycle]*0.01*$AD$7/1000</f>
        <v>10013.199933616303</v>
      </c>
      <c r="AF29" s="66">
        <f>J29*Table546[Car]*0.01*$AD$7/$AL$8/1000</f>
        <v>116136.37095530954</v>
      </c>
      <c r="AG29" s="66">
        <f>K29*Table546[DPV]*0.01*$AD$7/$AL$8/1000</f>
        <v>6919.260204291455</v>
      </c>
      <c r="AH29" s="66">
        <f>L29*Table546[Car_Hbrid]*0.01*$AD$7/$AL$8/1000</f>
        <v>968.06002248896448</v>
      </c>
      <c r="AI29" s="66">
        <f>Freight!E21*$AG$8*$AI$8*$AD$7/1000</f>
        <v>4636.5655874974436</v>
      </c>
      <c r="AJ29" s="66">
        <f t="shared" si="28"/>
        <v>151489.70471680761</v>
      </c>
      <c r="AK29" s="66">
        <f>P29*Table546[Car_Dsl]*0.01*$AD$8/$AL$8/1000</f>
        <v>13212.379487504242</v>
      </c>
      <c r="AL29" s="66">
        <f>Q29*Table546[DPV_Dsl]*0.01*$AD$8/$AL$8/1000</f>
        <v>32255.410487247773</v>
      </c>
      <c r="AM29" s="66">
        <f>R29*Table546[Bus]*0.01*$AD$8/$AL$9/1000</f>
        <v>27767.26373505027</v>
      </c>
      <c r="AN29" s="66">
        <f>Freight!E21*$AG$9*$AI$9*$AD$8/1000</f>
        <v>140825.86907475945</v>
      </c>
      <c r="AO29" s="66">
        <f t="shared" si="9"/>
        <v>214060.92278456173</v>
      </c>
      <c r="AP29" s="66"/>
      <c r="AQ29" s="66">
        <f>W29*Table546[Car_LPG]*0.01*$AD$9/$AL$8/1000</f>
        <v>141.02899686921967</v>
      </c>
      <c r="AR29" s="66">
        <f>X29*Table546[DPV_LPG]*0.01*$AD$9/$AL$8/1000</f>
        <v>14.480655928535947</v>
      </c>
      <c r="AS29" s="31">
        <f t="shared" si="29"/>
        <v>1352.887712006313</v>
      </c>
      <c r="AT29" s="66">
        <f t="shared" si="10"/>
        <v>1508.3973648040687</v>
      </c>
      <c r="AU29" s="31">
        <f t="shared" si="11"/>
        <v>15083.973648040686</v>
      </c>
      <c r="AX29" s="148">
        <f t="shared" si="12"/>
        <v>367059.02486617339</v>
      </c>
      <c r="BB29" s="117">
        <f t="shared" si="27"/>
        <v>2026</v>
      </c>
      <c r="BC29" s="85">
        <f t="shared" si="13"/>
        <v>470.32099685198955</v>
      </c>
      <c r="BD29" s="85">
        <f t="shared" si="14"/>
        <v>0.22396237945332834</v>
      </c>
      <c r="BE29" s="85">
        <f t="shared" si="15"/>
        <v>2.1717564068201536E-2</v>
      </c>
      <c r="BF29" s="85">
        <f t="shared" si="16"/>
        <v>686.82089258194981</v>
      </c>
      <c r="BG29" s="85">
        <f t="shared" si="17"/>
        <v>3.6148468030628933E-2</v>
      </c>
      <c r="BH29" s="85">
        <f t="shared" si="18"/>
        <v>3.6148468030628933E-2</v>
      </c>
      <c r="BI29" s="85">
        <f t="shared" si="19"/>
        <v>4.968389408138937</v>
      </c>
      <c r="BJ29" s="85">
        <f t="shared" si="20"/>
        <v>4.8817772314518884E-3</v>
      </c>
      <c r="BK29" s="85">
        <f t="shared" si="21"/>
        <v>1.5747668488554476E-5</v>
      </c>
      <c r="BL29">
        <f t="shared" si="22"/>
        <v>2026</v>
      </c>
      <c r="BM29" s="39">
        <f t="shared" si="23"/>
        <v>1162.1102788420785</v>
      </c>
      <c r="BN29" s="39">
        <f t="shared" si="23"/>
        <v>0.26499262471540919</v>
      </c>
      <c r="BO29" s="39">
        <f t="shared" si="23"/>
        <v>5.7881779767319022E-2</v>
      </c>
      <c r="BP29" s="184">
        <f t="shared" si="24"/>
        <v>1185.9838648306247</v>
      </c>
      <c r="BR29" s="198"/>
      <c r="BS29" s="198"/>
      <c r="BT29" s="198"/>
      <c r="BU29" s="19"/>
      <c r="BV29" s="19"/>
      <c r="BW29" s="19"/>
      <c r="BX29" s="197"/>
      <c r="BY29" s="19"/>
      <c r="BZ29" s="197"/>
      <c r="CA29" s="19"/>
      <c r="CB29" s="197"/>
      <c r="CC29" s="19"/>
    </row>
    <row r="30" spans="1:81" x14ac:dyDescent="0.25">
      <c r="A30" s="117">
        <f t="shared" si="25"/>
        <v>2027</v>
      </c>
      <c r="B30" s="66">
        <f>INDEX((Proj_PasMob!$Q$6:$Q$46),MATCH(A30,Proj_PasMob!$M$6:M$46,0))</f>
        <v>11655992787.406569</v>
      </c>
      <c r="C30" s="119">
        <f>B30*Table142[Gasoline]%</f>
        <v>6402679049.5836401</v>
      </c>
      <c r="D30" s="123">
        <f>B30*Table142[[Diesel ]]%</f>
        <v>5246928172.1900826</v>
      </c>
      <c r="E30" s="121">
        <f>B30*Table142[LPG]%</f>
        <v>6385565.6328471322</v>
      </c>
      <c r="F30" s="66">
        <f t="shared" si="3"/>
        <v>0</v>
      </c>
      <c r="G30" s="195">
        <f t="shared" si="30"/>
        <v>204131440</v>
      </c>
      <c r="H30" s="31">
        <f>C30*Table243[Autocycle]%</f>
        <v>724224539.96517396</v>
      </c>
      <c r="I30" s="66">
        <f>C30*Table243[Motocycle]%</f>
        <v>471524187.35740006</v>
      </c>
      <c r="J30" s="66">
        <f>(C30*Table243[cars]%)-($H$6*G30)</f>
        <v>4796753464.4716988</v>
      </c>
      <c r="K30" s="66">
        <f>C30*Table243[DPV]%</f>
        <v>161498229.54972875</v>
      </c>
      <c r="L30" s="66">
        <f>C30*Table243[Hybrid]%</f>
        <v>64960332.239638969</v>
      </c>
      <c r="M30" s="66">
        <f t="shared" si="4"/>
        <v>-183718295.99999905</v>
      </c>
      <c r="N30" s="195">
        <f t="shared" si="31"/>
        <v>378248500</v>
      </c>
      <c r="O30" s="195">
        <f>D30*Table344[Buses]%</f>
        <v>4163241103.3346205</v>
      </c>
      <c r="P30" s="66">
        <f>(D30*Table344[Cars]%)-($J$6*G30)</f>
        <v>423289365.88070273</v>
      </c>
      <c r="Q30" s="66">
        <f>D30*Table344[DPV]%</f>
        <v>639984558.97475922</v>
      </c>
      <c r="R30" s="66">
        <f t="shared" si="5"/>
        <v>3784992603.3346205</v>
      </c>
      <c r="S30" s="66">
        <f t="shared" si="6"/>
        <v>-398661644</v>
      </c>
      <c r="W30" s="66">
        <f>E30*Table445[Cars]%</f>
        <v>6035302.5390622681</v>
      </c>
      <c r="X30" s="66">
        <f>E30*Table445[DPV]%</f>
        <v>350263.09378486377</v>
      </c>
      <c r="Y30" s="66">
        <f t="shared" si="7"/>
        <v>0</v>
      </c>
      <c r="AB30" s="117">
        <f t="shared" si="26"/>
        <v>2027</v>
      </c>
      <c r="AD30" s="66">
        <f>H30*Table546[Autocycle]*0.01*$AD$7/1000</f>
        <v>12854.985584381835</v>
      </c>
      <c r="AE30" s="66">
        <f>I30*Table546[Motocycle]*0.01*$AD$7/1000</f>
        <v>10043.465190712621</v>
      </c>
      <c r="AF30" s="66">
        <f>J30*Table546[Car]*0.01*$AD$7/$AL$8/1000</f>
        <v>116510.617044931</v>
      </c>
      <c r="AG30" s="66">
        <f>K30*Table546[DPV]*0.01*$AD$7/$AL$8/1000</f>
        <v>6940.1739172291327</v>
      </c>
      <c r="AH30" s="66">
        <f>L30*Table546[Car_Hbrid]*0.01*$AD$7/$AL$8/1000</f>
        <v>970.98601873986672</v>
      </c>
      <c r="AI30" s="66">
        <f>Freight!E22*$AG$8*$AI$8*$AD$7/1000</f>
        <v>4814.0317798988908</v>
      </c>
      <c r="AJ30" s="66">
        <f t="shared" si="28"/>
        <v>152134.25953589336</v>
      </c>
      <c r="AK30" s="66">
        <f>P30*Table546[Car_Dsl]*0.01*$AD$8/$AL$8/1000</f>
        <v>13255.640668369373</v>
      </c>
      <c r="AL30" s="66">
        <f>Q30*Table546[DPV_Dsl]*0.01*$AD$8/$AL$8/1000</f>
        <v>32352.90362606612</v>
      </c>
      <c r="AM30" s="66">
        <f>R30*Table546[Bus]*0.01*$AD$8/$AL$9/1000</f>
        <v>27852.138428252329</v>
      </c>
      <c r="AN30" s="66">
        <f>Freight!E22*$AG$9*$AI$9*$AD$8/1000</f>
        <v>146216.02916301816</v>
      </c>
      <c r="AO30" s="66">
        <f t="shared" si="9"/>
        <v>219676.711885706</v>
      </c>
      <c r="AP30" s="66"/>
      <c r="AQ30" s="66">
        <f>W30*Table546[Car_LPG]*0.01*$AD$9/$AL$8/1000</f>
        <v>141.45526208679044</v>
      </c>
      <c r="AR30" s="66">
        <f>X30*Table546[DPV_LPG]*0.01*$AD$9/$AL$8/1000</f>
        <v>14.524424232125805</v>
      </c>
      <c r="AS30" s="31">
        <f t="shared" si="29"/>
        <v>1256.8326844538649</v>
      </c>
      <c r="AT30" s="66">
        <f t="shared" si="10"/>
        <v>1412.8123707727812</v>
      </c>
      <c r="AU30" s="31">
        <f t="shared" si="11"/>
        <v>14128.123707727811</v>
      </c>
      <c r="AX30" s="148">
        <f t="shared" si="12"/>
        <v>373223.78379237215</v>
      </c>
      <c r="BB30" s="117">
        <f t="shared" si="27"/>
        <v>2027</v>
      </c>
      <c r="BC30" s="85">
        <f t="shared" si="13"/>
        <v>472.32210752551595</v>
      </c>
      <c r="BD30" s="85">
        <f t="shared" si="14"/>
        <v>0.22491528929786472</v>
      </c>
      <c r="BE30" s="85">
        <f t="shared" si="15"/>
        <v>2.1809967447065669E-2</v>
      </c>
      <c r="BF30" s="85">
        <f t="shared" si="16"/>
        <v>704.8393203866442</v>
      </c>
      <c r="BG30" s="85">
        <f t="shared" si="17"/>
        <v>3.7096806336139168E-2</v>
      </c>
      <c r="BH30" s="85">
        <f t="shared" si="18"/>
        <v>3.7096806336139168E-2</v>
      </c>
      <c r="BI30" s="85">
        <f t="shared" si="19"/>
        <v>4.6535496430988017</v>
      </c>
      <c r="BJ30" s="85">
        <f t="shared" si="20"/>
        <v>4.5724259567690283E-3</v>
      </c>
      <c r="BK30" s="85">
        <f t="shared" si="21"/>
        <v>1.4749761150867836E-5</v>
      </c>
      <c r="BL30">
        <f t="shared" si="22"/>
        <v>2027</v>
      </c>
      <c r="BM30" s="39">
        <f t="shared" si="23"/>
        <v>1181.814977555259</v>
      </c>
      <c r="BN30" s="39">
        <f t="shared" si="23"/>
        <v>0.26658452159077295</v>
      </c>
      <c r="BO30" s="39">
        <f t="shared" si="23"/>
        <v>5.8921523544355703E-2</v>
      </c>
      <c r="BP30" s="184">
        <f t="shared" si="24"/>
        <v>1206.0382046112463</v>
      </c>
      <c r="BR30" s="198"/>
      <c r="BS30" s="198"/>
      <c r="BT30" s="198"/>
      <c r="BU30" s="19"/>
      <c r="BV30" s="19"/>
      <c r="BW30" s="19"/>
      <c r="BX30" s="197"/>
      <c r="BY30" s="19"/>
      <c r="BZ30" s="197"/>
      <c r="CA30" s="19"/>
      <c r="CB30" s="197"/>
      <c r="CC30" s="19"/>
    </row>
    <row r="31" spans="1:81" x14ac:dyDescent="0.25">
      <c r="A31" s="117">
        <f t="shared" si="25"/>
        <v>2028</v>
      </c>
      <c r="B31" s="66">
        <f>INDEX((Proj_PasMob!$Q$6:$Q$46),MATCH(A31,Proj_PasMob!$M$6:M$46,0))</f>
        <v>11685542498.092731</v>
      </c>
      <c r="C31" s="119">
        <f>B31*Table142[Gasoline]%</f>
        <v>6418910812.6760092</v>
      </c>
      <c r="D31" s="123">
        <f>B31*Table142[[Diesel ]]%</f>
        <v>5260229931.4058914</v>
      </c>
      <c r="E31" s="121">
        <f>B31*Table142[LPG]%</f>
        <v>6401754.0108308597</v>
      </c>
      <c r="F31" s="66">
        <f t="shared" si="3"/>
        <v>0</v>
      </c>
      <c r="G31" s="195">
        <f>1000*(739256-632052)*AL8</f>
        <v>203687600</v>
      </c>
      <c r="H31" s="31">
        <f>C31*Table243[Autocycle]%</f>
        <v>726060559.08581984</v>
      </c>
      <c r="I31" s="66">
        <f>C31*Table243[Motocycle]%</f>
        <v>472719572.73315227</v>
      </c>
      <c r="J31" s="66">
        <f>(C31*Table243[cars]%)-($H$6*G31)</f>
        <v>4809779172.2450819</v>
      </c>
      <c r="K31" s="66">
        <f>C31*Table243[DPV]%</f>
        <v>161907652.07139313</v>
      </c>
      <c r="L31" s="66">
        <f>C31*Table243[Hybrid]%</f>
        <v>65125016.540562026</v>
      </c>
      <c r="M31" s="66">
        <f t="shared" si="4"/>
        <v>-183318840</v>
      </c>
      <c r="N31" s="195">
        <f>1000*(19830-8994)*AL9</f>
        <v>379260000</v>
      </c>
      <c r="O31" s="195">
        <f>D31*Table344[Buses]%</f>
        <v>4173795551.3652673</v>
      </c>
      <c r="P31" s="66">
        <f>(D31*Table344[Cars]%)-($J$6*G31)</f>
        <v>424458603.08169854</v>
      </c>
      <c r="Q31" s="66">
        <f>D31*Table344[DPV]%</f>
        <v>641607016.95892572</v>
      </c>
      <c r="R31" s="66">
        <f t="shared" si="5"/>
        <v>3794535551.3652673</v>
      </c>
      <c r="S31" s="66">
        <f t="shared" si="6"/>
        <v>-399628760</v>
      </c>
      <c r="W31" s="66">
        <f>E31*Table445[Cars]%</f>
        <v>6050602.9469456226</v>
      </c>
      <c r="X31" s="66">
        <f>E31*Table445[DPV]%</f>
        <v>351151.06388523703</v>
      </c>
      <c r="Y31" s="66">
        <f t="shared" si="7"/>
        <v>0</v>
      </c>
      <c r="AB31" s="117">
        <f t="shared" si="26"/>
        <v>2028</v>
      </c>
      <c r="AD31" s="66">
        <f>H31*Table546[Autocycle]*0.01*$AD$7/1000</f>
        <v>12887.574923773302</v>
      </c>
      <c r="AE31" s="66">
        <f>I31*Table546[Motocycle]*0.01*$AD$7/1000</f>
        <v>10068.926899216141</v>
      </c>
      <c r="AF31" s="66">
        <f>J31*Table546[Car]*0.01*$AD$7/$AL$8/1000</f>
        <v>116827.00463111082</v>
      </c>
      <c r="AG31" s="66">
        <f>K31*Table546[DPV]*0.01*$AD$7/$AL$8/1000</f>
        <v>6957.7683113838166</v>
      </c>
      <c r="AH31" s="66">
        <f>L31*Table546[Car_Hbrid]*0.01*$AD$7/$AL$8/1000</f>
        <v>973.44761565892702</v>
      </c>
      <c r="AI31" s="66">
        <f>Freight!E23*$AG$8*$AI$8*$AD$7/1000</f>
        <v>4998.2389638573313</v>
      </c>
      <c r="AJ31" s="66">
        <f t="shared" si="28"/>
        <v>152712.96134500031</v>
      </c>
      <c r="AK31" s="66">
        <f>P31*Table546[Car_Dsl]*0.01*$AD$8/$AL$8/1000</f>
        <v>13292.256254400561</v>
      </c>
      <c r="AL31" s="66">
        <f>Q31*Table546[DPV_Dsl]*0.01*$AD$8/$AL$8/1000</f>
        <v>32434.923146792018</v>
      </c>
      <c r="AM31" s="66">
        <f>R31*Table546[Bus]*0.01*$AD$8/$AL$9/1000</f>
        <v>27922.36089297499</v>
      </c>
      <c r="AN31" s="66">
        <f>Freight!E23*$AG$9*$AI$9*$AD$8/1000</f>
        <v>151810.93260635817</v>
      </c>
      <c r="AO31" s="66">
        <f t="shared" si="9"/>
        <v>225460.47290052572</v>
      </c>
      <c r="AP31" s="66"/>
      <c r="AQ31" s="66">
        <f>W31*Table546[Car_LPG]*0.01*$AD$9/$AL$8/1000</f>
        <v>141.81387264411819</v>
      </c>
      <c r="AR31" s="66">
        <f>X31*Table546[DPV_LPG]*0.01*$AD$9/$AL$8/1000</f>
        <v>14.561245851851419</v>
      </c>
      <c r="AS31" s="31">
        <f t="shared" si="29"/>
        <v>1167.5975638576406</v>
      </c>
      <c r="AT31" s="66">
        <f t="shared" si="10"/>
        <v>1323.9726823536103</v>
      </c>
      <c r="AU31" s="31">
        <f t="shared" si="11"/>
        <v>13239.726823536103</v>
      </c>
      <c r="AX31" s="148">
        <f t="shared" si="12"/>
        <v>379497.40692787967</v>
      </c>
      <c r="BB31" s="117">
        <f t="shared" si="27"/>
        <v>2028</v>
      </c>
      <c r="BC31" s="85">
        <f t="shared" si="13"/>
        <v>474.11876831014177</v>
      </c>
      <c r="BD31" s="85">
        <f t="shared" si="14"/>
        <v>0.22577084205244841</v>
      </c>
      <c r="BE31" s="85">
        <f t="shared" si="15"/>
        <v>2.1892930138419243E-2</v>
      </c>
      <c r="BF31" s="85">
        <f t="shared" si="16"/>
        <v>723.39669111552371</v>
      </c>
      <c r="BG31" s="85">
        <f t="shared" si="17"/>
        <v>3.8073510058711776E-2</v>
      </c>
      <c r="BH31" s="85">
        <f t="shared" si="18"/>
        <v>3.8073510058711776E-2</v>
      </c>
      <c r="BI31" s="85">
        <f t="shared" si="19"/>
        <v>4.3609277005899685</v>
      </c>
      <c r="BJ31" s="85">
        <f t="shared" si="20"/>
        <v>4.2849051891692249E-3</v>
      </c>
      <c r="BK31" s="85">
        <f t="shared" si="21"/>
        <v>1.382227480377169E-5</v>
      </c>
      <c r="BL31">
        <f t="shared" si="22"/>
        <v>2028</v>
      </c>
      <c r="BM31" s="39">
        <f t="shared" si="23"/>
        <v>1201.8763871262554</v>
      </c>
      <c r="BN31" s="39">
        <f t="shared" si="23"/>
        <v>0.26812925730032944</v>
      </c>
      <c r="BO31" s="39">
        <f t="shared" si="23"/>
        <v>5.9980262471934789E-2</v>
      </c>
      <c r="BP31" s="184">
        <f t="shared" si="24"/>
        <v>1226.4537367754003</v>
      </c>
      <c r="BR31" s="198"/>
      <c r="BS31" s="198"/>
      <c r="BT31" s="198"/>
      <c r="BU31" s="19"/>
      <c r="BV31" s="19"/>
      <c r="BW31" s="19"/>
      <c r="BX31" s="197"/>
      <c r="BY31" s="19"/>
      <c r="BZ31" s="197"/>
      <c r="CA31" s="19"/>
      <c r="CB31" s="197"/>
      <c r="CC31" s="19"/>
    </row>
    <row r="32" spans="1:81" x14ac:dyDescent="0.25">
      <c r="A32" s="117">
        <f t="shared" si="25"/>
        <v>2029</v>
      </c>
      <c r="B32" s="66">
        <f>INDEX((Proj_PasMob!$Q$6:$Q$46),MATCH(A32,Proj_PasMob!$M$6:M$46,0))</f>
        <v>11709742850.126944</v>
      </c>
      <c r="C32" s="119">
        <f>B32*Table142[Gasoline]%</f>
        <v>6432204153.688489</v>
      </c>
      <c r="D32" s="123">
        <f>B32*Table142[[Diesel ]]%</f>
        <v>5271123684.6177521</v>
      </c>
      <c r="E32" s="121">
        <f>B32*Table142[LPG]%</f>
        <v>6415011.8207035139</v>
      </c>
      <c r="F32" s="66">
        <f t="shared" si="3"/>
        <v>0</v>
      </c>
      <c r="G32" s="195">
        <f>G31+($G$41-$G$31)/10</f>
        <v>205225840</v>
      </c>
      <c r="H32" s="31">
        <f>C32*Table243[Autocycle]%</f>
        <v>727564205.24781036</v>
      </c>
      <c r="I32" s="66">
        <f>C32*Table243[Motocycle]%</f>
        <v>473698558.52482361</v>
      </c>
      <c r="J32" s="66">
        <f>(C32*Table243[cars]%)-($H$6*G32)</f>
        <v>4818735288.5444918</v>
      </c>
      <c r="K32" s="66">
        <f>C32*Table243[DPV]%</f>
        <v>162242957.18690661</v>
      </c>
      <c r="L32" s="66">
        <f>C32*Table243[Hybrid]%</f>
        <v>65259888.184456415</v>
      </c>
      <c r="M32" s="66">
        <f t="shared" si="4"/>
        <v>-184703256</v>
      </c>
      <c r="N32" s="195">
        <f>N31+($N$41-$N$31)/10</f>
        <v>380989000</v>
      </c>
      <c r="O32" s="195">
        <f>D32*Table344[Buses]%</f>
        <v>4182439336.7674732</v>
      </c>
      <c r="P32" s="66">
        <f>(D32*Table344[Cars]%)-($J$6*G32)</f>
        <v>425226001.07740694</v>
      </c>
      <c r="Q32" s="66">
        <f>D32*Table344[DPV]%</f>
        <v>642935762.77287161</v>
      </c>
      <c r="R32" s="66">
        <f t="shared" si="5"/>
        <v>3801450336.7674732</v>
      </c>
      <c r="S32" s="66">
        <f t="shared" si="6"/>
        <v>-401511584</v>
      </c>
      <c r="W32" s="66">
        <f>E32*Table445[Cars]%</f>
        <v>6063133.5351796923</v>
      </c>
      <c r="X32" s="66">
        <f>E32*Table445[DPV]%</f>
        <v>351878.28552382143</v>
      </c>
      <c r="Y32" s="66">
        <f t="shared" si="7"/>
        <v>0</v>
      </c>
      <c r="AB32" s="117">
        <f t="shared" si="26"/>
        <v>2029</v>
      </c>
      <c r="AD32" s="66">
        <f>H32*Table546[Autocycle]*0.01*$AD$7/1000</f>
        <v>12914.264643148632</v>
      </c>
      <c r="AE32" s="66">
        <f>I32*Table546[Motocycle]*0.01*$AD$7/1000</f>
        <v>10089.779296578743</v>
      </c>
      <c r="AF32" s="66">
        <f>J32*Table546[Car]*0.01*$AD$7/$AL$8/1000</f>
        <v>117044.54398227805</v>
      </c>
      <c r="AG32" s="66">
        <f>K32*Table546[DPV]*0.01*$AD$7/$AL$8/1000</f>
        <v>6972.1776075320658</v>
      </c>
      <c r="AH32" s="66">
        <f>L32*Table546[Car_Hbrid]*0.01*$AD$7/$AL$8/1000</f>
        <v>975.4635918097697</v>
      </c>
      <c r="AI32" s="66">
        <f>Freight!E24*$AG$8*$AI$8*$AD$7/1000</f>
        <v>5189.4432970519274</v>
      </c>
      <c r="AJ32" s="66">
        <f t="shared" si="28"/>
        <v>153185.67241839919</v>
      </c>
      <c r="AK32" s="66">
        <f>P32*Table546[Car_Dsl]*0.01*$AD$8/$AL$8/1000</f>
        <v>13316.287928476691</v>
      </c>
      <c r="AL32" s="66">
        <f>Q32*Table546[DPV_Dsl]*0.01*$AD$8/$AL$8/1000</f>
        <v>32502.094744386482</v>
      </c>
      <c r="AM32" s="66">
        <f>R32*Table546[Bus]*0.01*$AD$8/$AL$9/1000</f>
        <v>27973.243835270368</v>
      </c>
      <c r="AN32" s="66">
        <f>Freight!E24*$AG$9*$AI$9*$AD$8/1000</f>
        <v>157618.35965227257</v>
      </c>
      <c r="AO32" s="66">
        <f t="shared" si="9"/>
        <v>231409.98616040612</v>
      </c>
      <c r="AP32" s="66"/>
      <c r="AQ32" s="66">
        <f>W32*Table546[Car_LPG]*0.01*$AD$9/$AL$8/1000</f>
        <v>142.10756424139601</v>
      </c>
      <c r="AR32" s="66">
        <f>X32*Table546[DPV_LPG]*0.01*$AD$9/$AL$8/1000</f>
        <v>14.591401685500481</v>
      </c>
      <c r="AS32" s="31">
        <f t="shared" si="29"/>
        <v>1084.6981368237482</v>
      </c>
      <c r="AT32" s="66">
        <f t="shared" si="10"/>
        <v>1241.3971027506448</v>
      </c>
      <c r="AU32" s="31">
        <f t="shared" si="11"/>
        <v>12413.971027506448</v>
      </c>
      <c r="AX32" s="148">
        <f t="shared" si="12"/>
        <v>385837.05568155594</v>
      </c>
      <c r="BB32" s="117">
        <f t="shared" si="27"/>
        <v>2029</v>
      </c>
      <c r="BC32" s="85">
        <f t="shared" si="13"/>
        <v>475.58636601705882</v>
      </c>
      <c r="BD32" s="85">
        <f t="shared" si="14"/>
        <v>0.22646969810336132</v>
      </c>
      <c r="BE32" s="85">
        <f t="shared" si="15"/>
        <v>2.1960697997901703E-2</v>
      </c>
      <c r="BF32" s="85">
        <f t="shared" si="16"/>
        <v>742.48588289524776</v>
      </c>
      <c r="BG32" s="85">
        <f t="shared" si="17"/>
        <v>3.9078204362907779E-2</v>
      </c>
      <c r="BH32" s="85">
        <f t="shared" si="18"/>
        <v>3.9078204362907779E-2</v>
      </c>
      <c r="BI32" s="85">
        <f t="shared" si="19"/>
        <v>4.0889386049821281</v>
      </c>
      <c r="BJ32" s="85">
        <f t="shared" si="20"/>
        <v>4.0176575833421871E-3</v>
      </c>
      <c r="BK32" s="85">
        <f t="shared" si="21"/>
        <v>1.2960185752716732E-5</v>
      </c>
      <c r="BL32">
        <f t="shared" si="22"/>
        <v>2029</v>
      </c>
      <c r="BM32" s="39">
        <f t="shared" si="23"/>
        <v>1222.1611875172887</v>
      </c>
      <c r="BN32" s="39">
        <f t="shared" si="23"/>
        <v>0.26956556004961124</v>
      </c>
      <c r="BO32" s="39">
        <f t="shared" si="23"/>
        <v>6.1051862546562204E-2</v>
      </c>
      <c r="BP32" s="184">
        <f t="shared" si="24"/>
        <v>1247.0937815574046</v>
      </c>
      <c r="BR32" s="198"/>
      <c r="BS32" s="198"/>
      <c r="BT32" s="198"/>
      <c r="BU32" s="19"/>
      <c r="BV32" s="19"/>
      <c r="BW32" s="19"/>
      <c r="BX32" s="197"/>
      <c r="BY32" s="19"/>
      <c r="BZ32" s="197"/>
      <c r="CA32" s="19"/>
      <c r="CB32" s="197"/>
      <c r="CC32" s="19"/>
    </row>
    <row r="33" spans="1:81" x14ac:dyDescent="0.25">
      <c r="A33" s="117">
        <f>A32+1</f>
        <v>2030</v>
      </c>
      <c r="B33" s="66">
        <f>INDEX((Proj_PasMob!$Q$6:$Q$46),MATCH(A33,Proj_PasMob!$M$6:M$46,0))</f>
        <v>11728841435.309381</v>
      </c>
      <c r="C33" s="119">
        <f>B33*Table142[Gasoline]%</f>
        <v>6442695075.6935539</v>
      </c>
      <c r="D33" s="123">
        <f>B33*Table142[[Diesel ]]%</f>
        <v>5279720884.9138069</v>
      </c>
      <c r="E33" s="121">
        <f>B33*Table142[LPG]%</f>
        <v>6425474.7020214181</v>
      </c>
      <c r="F33" s="66">
        <f t="shared" si="3"/>
        <v>0</v>
      </c>
      <c r="G33" s="195">
        <f t="shared" ref="G33:G40" si="32">G32+($G$41-$G$31)/10</f>
        <v>206764080</v>
      </c>
      <c r="H33" s="31">
        <f>C33*Table243[Autocycle]%</f>
        <v>728750862.13066983</v>
      </c>
      <c r="I33" s="66">
        <f>C33*Table243[Motocycle]%</f>
        <v>474471160.65508187</v>
      </c>
      <c r="J33" s="66">
        <f>(C33*Table243[cars]%)-($H$6*G33)</f>
        <v>4825511478.5006714</v>
      </c>
      <c r="K33" s="66">
        <f>C33*Table243[DPV]%</f>
        <v>162507575.37517458</v>
      </c>
      <c r="L33" s="66">
        <f>C33*Table243[Hybrid]%</f>
        <v>65366327.03195627</v>
      </c>
      <c r="M33" s="66">
        <f t="shared" si="4"/>
        <v>-186087672</v>
      </c>
      <c r="N33" s="195">
        <f t="shared" ref="N33:N40" si="33">N32+($N$41-$N$31)/10</f>
        <v>382718000</v>
      </c>
      <c r="O33" s="195">
        <f>D33*Table344[Buses]%</f>
        <v>4189260893.394805</v>
      </c>
      <c r="P33" s="66">
        <f>(D33*Table344[Cars]%)-($J$6*G33)</f>
        <v>425799192.81387633</v>
      </c>
      <c r="Q33" s="66">
        <f>D33*Table344[DPV]%</f>
        <v>643984390.70512557</v>
      </c>
      <c r="R33" s="66">
        <f t="shared" si="5"/>
        <v>3806542893.394805</v>
      </c>
      <c r="S33" s="66">
        <f t="shared" si="6"/>
        <v>-403394408</v>
      </c>
      <c r="W33" s="66">
        <f>E33*Table445[Cars]%</f>
        <v>6073022.5031763613</v>
      </c>
      <c r="X33" s="66">
        <f>E33*Table445[DPV]%</f>
        <v>352452.19884505664</v>
      </c>
      <c r="Y33" s="66">
        <f t="shared" si="7"/>
        <v>0</v>
      </c>
      <c r="AB33" s="117">
        <f>AB32+1</f>
        <v>2030</v>
      </c>
      <c r="AD33" s="66">
        <f>H33*Table546[Autocycle]*0.01*$AD$7/1000</f>
        <v>12935.327802819387</v>
      </c>
      <c r="AE33" s="66">
        <f>I33*Table546[Motocycle]*0.01*$AD$7/1000</f>
        <v>10106.235721953242</v>
      </c>
      <c r="AF33" s="66">
        <f>J33*Table546[Car]*0.01*$AD$7/$AL$8/1000</f>
        <v>117209.13406989789</v>
      </c>
      <c r="AG33" s="66">
        <f>K33*Table546[DPV]*0.01*$AD$7/$AL$8/1000</f>
        <v>6983.5492259910561</v>
      </c>
      <c r="AH33" s="66">
        <f>L33*Table546[Car_Hbrid]*0.01*$AD$7/$AL$8/1000</f>
        <v>977.05457247766208</v>
      </c>
      <c r="AI33" s="66">
        <f>Freight!E25*$AG$8*$AI$8*$AD$7/1000</f>
        <v>5387.9106711536515</v>
      </c>
      <c r="AJ33" s="66">
        <f>SUM(AD33:AI33)</f>
        <v>153599.21206429292</v>
      </c>
      <c r="AK33" s="66">
        <f>P33*Table546[Car_Dsl]*0.01*$AD$8/$AL$8/1000</f>
        <v>13334.237880224024</v>
      </c>
      <c r="AL33" s="66">
        <f>Q33*Table546[DPV_Dsl]*0.01*$AD$8/$AL$8/1000</f>
        <v>32555.105645909116</v>
      </c>
      <c r="AM33" s="66">
        <f>R33*Table546[Bus]*0.01*$AD$8/$AL$9/1000</f>
        <v>28010.71777696663</v>
      </c>
      <c r="AN33" s="66">
        <f>Freight!E25*$AG$9*$AI$9*$AD$8/1000</f>
        <v>163646.38619765919</v>
      </c>
      <c r="AO33" s="66">
        <f t="shared" si="9"/>
        <v>237546.44750075895</v>
      </c>
      <c r="AP33" s="66"/>
      <c r="AQ33" s="66">
        <f>W33*Table546[Car_LPG]*0.01*$AD$9/$AL$8/1000</f>
        <v>142.33934161306593</v>
      </c>
      <c r="AR33" s="66">
        <f>X33*Table546[DPV_LPG]*0.01*$AD$9/$AL$8/1000</f>
        <v>14.615200254913017</v>
      </c>
      <c r="AS33" s="31">
        <f t="shared" si="29"/>
        <v>1007.6845691092622</v>
      </c>
      <c r="AT33" s="66">
        <f t="shared" si="10"/>
        <v>1164.6391109772412</v>
      </c>
      <c r="AU33" s="31">
        <f t="shared" si="11"/>
        <v>11646.391109772412</v>
      </c>
      <c r="AX33" s="148">
        <f t="shared" si="12"/>
        <v>392310.29867602908</v>
      </c>
      <c r="BB33" s="117">
        <f>BB32+1</f>
        <v>2030</v>
      </c>
      <c r="BC33" s="85">
        <f t="shared" si="13"/>
        <v>476.8702577432864</v>
      </c>
      <c r="BD33" s="85">
        <f t="shared" si="14"/>
        <v>0.2270810751158506</v>
      </c>
      <c r="BE33" s="85">
        <f t="shared" si="15"/>
        <v>2.2019983041537031E-2</v>
      </c>
      <c r="BF33" s="85">
        <f t="shared" si="16"/>
        <v>762.17490319961007</v>
      </c>
      <c r="BG33" s="85">
        <f t="shared" si="17"/>
        <v>4.011446858945316E-2</v>
      </c>
      <c r="BH33" s="85">
        <f t="shared" si="18"/>
        <v>4.011446858945316E-2</v>
      </c>
      <c r="BI33" s="85">
        <f t="shared" si="19"/>
        <v>3.8361115965190566</v>
      </c>
      <c r="BJ33" s="85">
        <f t="shared" si="20"/>
        <v>3.7692380187667432E-3</v>
      </c>
      <c r="BK33" s="85">
        <f t="shared" si="21"/>
        <v>1.2158832318602397E-5</v>
      </c>
      <c r="BL33">
        <f t="shared" si="22"/>
        <v>2030</v>
      </c>
      <c r="BM33" s="39">
        <f t="shared" si="23"/>
        <v>1242.8812725394155</v>
      </c>
      <c r="BN33" s="39">
        <f t="shared" si="23"/>
        <v>0.27096478172407046</v>
      </c>
      <c r="BO33" s="39">
        <f t="shared" si="23"/>
        <v>6.2146610463308792E-2</v>
      </c>
      <c r="BP33" s="184">
        <f t="shared" si="24"/>
        <v>1268.1750820005832</v>
      </c>
      <c r="BR33" s="198"/>
      <c r="BS33" s="198"/>
      <c r="BT33" s="198"/>
      <c r="BU33" s="19"/>
      <c r="BV33" s="19"/>
      <c r="BW33" s="19"/>
      <c r="BX33" s="197"/>
      <c r="BY33" s="19"/>
      <c r="BZ33" s="197"/>
      <c r="CA33" s="19"/>
      <c r="CB33" s="197"/>
      <c r="CC33" s="19"/>
    </row>
    <row r="34" spans="1:81" x14ac:dyDescent="0.25">
      <c r="A34" s="117">
        <f t="shared" ref="A34:A53" si="34">A33+1</f>
        <v>2031</v>
      </c>
      <c r="B34" s="66">
        <f>INDEX((Proj_PasMob!$Q$6:$Q$46),MATCH(A34,Proj_PasMob!$M$6:M$46,0))</f>
        <v>11735439516.144716</v>
      </c>
      <c r="C34" s="119">
        <f>B34*Table142[Gasoline]%</f>
        <v>6446319425.3909473</v>
      </c>
      <c r="D34" s="123">
        <f>B34*Table142[[Diesel ]]%</f>
        <v>5282691001.3894024</v>
      </c>
      <c r="E34" s="121">
        <f>B34*Table142[LPG]%</f>
        <v>6429089.3643666441</v>
      </c>
      <c r="F34" s="66">
        <f t="shared" si="3"/>
        <v>0</v>
      </c>
      <c r="G34" s="195">
        <f t="shared" si="32"/>
        <v>208302320</v>
      </c>
      <c r="H34" s="31">
        <f>C34*Table243[Autocycle]%</f>
        <v>729160822.23829675</v>
      </c>
      <c r="I34" s="66">
        <f>C34*Table243[Motocycle]%</f>
        <v>474738075.25950414</v>
      </c>
      <c r="J34" s="66">
        <f>(C34*Table243[cars]%)-($H$6*G34)</f>
        <v>4826946346.6125488</v>
      </c>
      <c r="K34" s="66">
        <f>C34*Table243[DPV]%</f>
        <v>162598994.30385512</v>
      </c>
      <c r="L34" s="66">
        <f>C34*Table243[Hybrid]%</f>
        <v>65403098.976742513</v>
      </c>
      <c r="M34" s="66">
        <f t="shared" si="4"/>
        <v>-187472088</v>
      </c>
      <c r="N34" s="195">
        <f t="shared" si="33"/>
        <v>384447000</v>
      </c>
      <c r="O34" s="195">
        <f>D34*Table344[Buses]%</f>
        <v>4191617569.6417623</v>
      </c>
      <c r="P34" s="66">
        <f>(D34*Table344[Cars]%)-($J$6*G34)</f>
        <v>425896534.46577996</v>
      </c>
      <c r="Q34" s="66">
        <f>D34*Table344[DPV]%</f>
        <v>644346665.28186023</v>
      </c>
      <c r="R34" s="66">
        <f t="shared" si="5"/>
        <v>3807170569.6417623</v>
      </c>
      <c r="S34" s="66">
        <f t="shared" si="6"/>
        <v>-405277232</v>
      </c>
      <c r="W34" s="66">
        <f>E34*Table445[Cars]%</f>
        <v>6076438.8929034946</v>
      </c>
      <c r="X34" s="66">
        <f>E34*Table445[DPV]%</f>
        <v>352650.47146314924</v>
      </c>
      <c r="Y34" s="66">
        <f t="shared" si="7"/>
        <v>0</v>
      </c>
      <c r="AB34" s="117">
        <f t="shared" ref="AB34:AB53" si="35">AB33+1</f>
        <v>2031</v>
      </c>
      <c r="AD34" s="66">
        <f>H34*Table546[Autocycle]*0.01*$AD$7/1000</f>
        <v>12942.604594729766</v>
      </c>
      <c r="AE34" s="66">
        <f>I34*Table546[Motocycle]*0.01*$AD$7/1000</f>
        <v>10111.921003027437</v>
      </c>
      <c r="AF34" s="66">
        <f>J34*Table546[Car]*0.01*$AD$7/$AL$8/1000</f>
        <v>117243.98626114166</v>
      </c>
      <c r="AG34" s="66">
        <f>K34*Table546[DPV]*0.01*$AD$7/$AL$8/1000</f>
        <v>6987.4778341630381</v>
      </c>
      <c r="AH34" s="66">
        <f>L34*Table546[Car_Hbrid]*0.01*$AD$7/$AL$8/1000</f>
        <v>977.60421628394067</v>
      </c>
      <c r="AI34" s="66">
        <f>Freight!E26*$AG$8*$AI$8*$AD$7/1000</f>
        <v>5550.5624011233949</v>
      </c>
      <c r="AJ34" s="66">
        <f t="shared" ref="AJ34:AJ53" si="36">SUM(AD34:AI34)</f>
        <v>153814.15631046923</v>
      </c>
      <c r="AK34" s="66">
        <f>P34*Table546[Car_Dsl]*0.01*$AD$8/$AL$8/1000</f>
        <v>13337.286210902057</v>
      </c>
      <c r="AL34" s="66">
        <f>Q34*Table546[DPV_Dsl]*0.01*$AD$8/$AL$8/1000</f>
        <v>32573.419579117202</v>
      </c>
      <c r="AM34" s="66">
        <f>R34*Table546[Bus]*0.01*$AD$8/$AL$9/1000</f>
        <v>28015.336577463884</v>
      </c>
      <c r="AN34" s="66">
        <f>Freight!E26*$AG$9*$AI$9*$AD$8/1000</f>
        <v>168586.5883359116</v>
      </c>
      <c r="AO34" s="66">
        <f t="shared" si="9"/>
        <v>242512.63070339474</v>
      </c>
      <c r="AQ34" s="66">
        <f>W34*Table546[Car_LPG]*0.01*$AD$9/$AL$8/1000</f>
        <v>142.41941486558548</v>
      </c>
      <c r="AR34" s="66">
        <f>X34*Table546[DPV_LPG]*0.01*$AD$9/$AL$8/1000</f>
        <v>14.623422062091365</v>
      </c>
      <c r="AS34" s="31">
        <f t="shared" si="29"/>
        <v>936.13896470250461</v>
      </c>
      <c r="AT34" s="66">
        <f t="shared" si="10"/>
        <v>1093.1818016301813</v>
      </c>
      <c r="AU34" s="31">
        <f t="shared" si="11"/>
        <v>10931.818016301813</v>
      </c>
      <c r="AX34" s="148">
        <f t="shared" si="12"/>
        <v>397419.96881549415</v>
      </c>
      <c r="BB34" s="117">
        <f t="shared" ref="BB34:BB53" si="37">BB33+1</f>
        <v>2031</v>
      </c>
      <c r="BC34" s="85">
        <f t="shared" si="13"/>
        <v>477.5375822477352</v>
      </c>
      <c r="BD34" s="85">
        <f t="shared" si="14"/>
        <v>0.22739884868939769</v>
      </c>
      <c r="BE34" s="85">
        <f t="shared" si="15"/>
        <v>2.2050797448668866E-2</v>
      </c>
      <c r="BF34" s="85">
        <f t="shared" si="16"/>
        <v>778.10905099076297</v>
      </c>
      <c r="BG34" s="85">
        <f t="shared" si="17"/>
        <v>4.0953107946882263E-2</v>
      </c>
      <c r="BH34" s="85">
        <f t="shared" si="18"/>
        <v>4.0953107946882263E-2</v>
      </c>
      <c r="BI34" s="85">
        <f t="shared" si="19"/>
        <v>3.6007440818455234</v>
      </c>
      <c r="BJ34" s="85">
        <f t="shared" si="20"/>
        <v>3.5379735827959185E-3</v>
      </c>
      <c r="BK34" s="85">
        <f t="shared" si="21"/>
        <v>1.1412818009019093E-5</v>
      </c>
      <c r="BL34">
        <f t="shared" si="22"/>
        <v>2031</v>
      </c>
      <c r="BM34" s="39">
        <f t="shared" si="23"/>
        <v>1259.2473773203437</v>
      </c>
      <c r="BN34" s="39">
        <f t="shared" si="23"/>
        <v>0.27188993021907587</v>
      </c>
      <c r="BO34" s="39">
        <f t="shared" si="23"/>
        <v>6.3015318213560156E-2</v>
      </c>
      <c r="BP34" s="184">
        <f t="shared" si="24"/>
        <v>1284.8231904034615</v>
      </c>
      <c r="BR34" s="198"/>
      <c r="BS34" s="198"/>
      <c r="BT34" s="198"/>
      <c r="BU34" s="19"/>
      <c r="BV34" s="19"/>
      <c r="BW34" s="19"/>
      <c r="BX34" s="197"/>
      <c r="BY34" s="19"/>
      <c r="BZ34" s="197"/>
      <c r="CA34" s="19"/>
      <c r="CB34" s="197"/>
      <c r="CC34" s="19"/>
    </row>
    <row r="35" spans="1:81" x14ac:dyDescent="0.25">
      <c r="A35" s="117">
        <f t="shared" si="34"/>
        <v>2032</v>
      </c>
      <c r="B35" s="66">
        <f>INDEX((Proj_PasMob!$Q$6:$Q$46),MATCH(A35,Proj_PasMob!$M$6:M$46,0))</f>
        <v>11739028415.162449</v>
      </c>
      <c r="C35" s="119">
        <f>B35*Table142[Gasoline]%</f>
        <v>6448290820.6183653</v>
      </c>
      <c r="D35" s="123">
        <f>B35*Table142[[Diesel ]]%</f>
        <v>5284306539.0537386</v>
      </c>
      <c r="E35" s="121">
        <f>B35*Table142[LPG]%</f>
        <v>6431055.4903453896</v>
      </c>
      <c r="F35" s="66">
        <f t="shared" si="3"/>
        <v>0</v>
      </c>
      <c r="G35" s="195">
        <f t="shared" si="32"/>
        <v>209840560</v>
      </c>
      <c r="H35" s="31">
        <f>C35*Table243[Autocycle]%</f>
        <v>729383812.14464831</v>
      </c>
      <c r="I35" s="66">
        <f>C35*Table243[Motocycle]%</f>
        <v>474883258.31887192</v>
      </c>
      <c r="J35" s="66">
        <f>(C35*Table243[cars]%)-($H$6*G35)</f>
        <v>4827095425.9170685</v>
      </c>
      <c r="K35" s="66">
        <f>C35*Table243[DPV]%</f>
        <v>162648719.86974794</v>
      </c>
      <c r="L35" s="66">
        <f>C35*Table243[Hybrid]%</f>
        <v>65423100.36802841</v>
      </c>
      <c r="M35" s="66">
        <f t="shared" si="4"/>
        <v>-188856504</v>
      </c>
      <c r="N35" s="195">
        <f t="shared" si="33"/>
        <v>386176000</v>
      </c>
      <c r="O35" s="195">
        <f>D35*Table344[Buses]%</f>
        <v>4192899438.3061357</v>
      </c>
      <c r="P35" s="66">
        <f>(D35*Table344[Cars]%)-($J$6*G35)</f>
        <v>425879327.18568707</v>
      </c>
      <c r="Q35" s="66">
        <f>D35*Table344[DPV]%</f>
        <v>644543717.56191576</v>
      </c>
      <c r="R35" s="66">
        <f t="shared" si="5"/>
        <v>3806723438.3061357</v>
      </c>
      <c r="S35" s="66">
        <f t="shared" si="6"/>
        <v>-407160056</v>
      </c>
      <c r="W35" s="66">
        <f>E35*Table445[Cars]%</f>
        <v>6078297.1723095663</v>
      </c>
      <c r="X35" s="66">
        <f>E35*Table445[DPV]%</f>
        <v>352758.31803582306</v>
      </c>
      <c r="Y35" s="66">
        <f t="shared" si="7"/>
        <v>0</v>
      </c>
      <c r="AB35" s="117">
        <f t="shared" si="35"/>
        <v>2032</v>
      </c>
      <c r="AD35" s="66">
        <f>H35*Table546[Autocycle]*0.01*$AD$7/1000</f>
        <v>12946.56266556751</v>
      </c>
      <c r="AE35" s="66">
        <f>I35*Table546[Motocycle]*0.01*$AD$7/1000</f>
        <v>10115.013402191971</v>
      </c>
      <c r="AF35" s="66">
        <f>J35*Table546[Car]*0.01*$AD$7/$AL$8/1000</f>
        <v>117247.60731898564</v>
      </c>
      <c r="AG35" s="66">
        <f>K35*Table546[DPV]*0.01*$AD$7/$AL$8/1000</f>
        <v>6989.6147249289033</v>
      </c>
      <c r="AH35" s="66">
        <f>L35*Table546[Car_Hbrid]*0.01*$AD$7/$AL$8/1000</f>
        <v>977.90318444842455</v>
      </c>
      <c r="AI35" s="66">
        <f>Freight!E27*$AG$8*$AI$8*$AD$7/1000</f>
        <v>5718.0915326599152</v>
      </c>
      <c r="AJ35" s="66">
        <f t="shared" si="36"/>
        <v>153994.79282878235</v>
      </c>
      <c r="AK35" s="66">
        <f>P35*Table546[Car_Dsl]*0.01*$AD$8/$AL$8/1000</f>
        <v>13336.747351341251</v>
      </c>
      <c r="AL35" s="66">
        <f>Q35*Table546[DPV_Dsl]*0.01*$AD$8/$AL$8/1000</f>
        <v>32583.381090432642</v>
      </c>
      <c r="AM35" s="66">
        <f>R35*Table546[Bus]*0.01*$AD$8/$AL$9/1000</f>
        <v>28012.046329592722</v>
      </c>
      <c r="AN35" s="66">
        <f>Freight!E27*$AG$9*$AI$9*$AD$8/1000</f>
        <v>173674.93122651742</v>
      </c>
      <c r="AO35" s="66">
        <f t="shared" si="9"/>
        <v>247607.10599788403</v>
      </c>
      <c r="AQ35" s="66">
        <f>W35*Table546[Car_LPG]*0.01*$AD$9/$AL$8/1000</f>
        <v>142.4629691694029</v>
      </c>
      <c r="AR35" s="66">
        <f>X35*Table546[DPV_LPG]*0.01*$AD$9/$AL$8/1000</f>
        <v>14.627894155786905</v>
      </c>
      <c r="AS35" s="31">
        <f t="shared" si="29"/>
        <v>869.67309820862681</v>
      </c>
      <c r="AT35" s="66">
        <f t="shared" si="10"/>
        <v>1026.7639615338167</v>
      </c>
      <c r="AU35" s="31">
        <f t="shared" si="11"/>
        <v>10267.639615338167</v>
      </c>
      <c r="AX35" s="148">
        <f t="shared" si="12"/>
        <v>402628.66278820019</v>
      </c>
      <c r="BB35" s="117">
        <f t="shared" si="37"/>
        <v>2032</v>
      </c>
      <c r="BC35" s="85">
        <f t="shared" si="13"/>
        <v>478.09839360795075</v>
      </c>
      <c r="BD35" s="85">
        <f t="shared" si="14"/>
        <v>0.22766590171807177</v>
      </c>
      <c r="BE35" s="85">
        <f t="shared" si="15"/>
        <v>2.2076693499934234E-2</v>
      </c>
      <c r="BF35" s="85">
        <f t="shared" si="16"/>
        <v>794.45482780739087</v>
      </c>
      <c r="BG35" s="85">
        <f t="shared" si="17"/>
        <v>4.1813411989862673E-2</v>
      </c>
      <c r="BH35" s="85">
        <f t="shared" si="18"/>
        <v>4.1813411989862673E-2</v>
      </c>
      <c r="BI35" s="85">
        <f t="shared" si="19"/>
        <v>3.3819756717793159</v>
      </c>
      <c r="BJ35" s="85">
        <f t="shared" si="20"/>
        <v>3.3230188851080438E-3</v>
      </c>
      <c r="BK35" s="85">
        <f t="shared" si="21"/>
        <v>1.0719415758413045E-5</v>
      </c>
      <c r="BL35">
        <f t="shared" si="22"/>
        <v>2032</v>
      </c>
      <c r="BM35" s="39">
        <f t="shared" si="23"/>
        <v>1275.935197087121</v>
      </c>
      <c r="BN35" s="39">
        <f t="shared" si="23"/>
        <v>0.27280233259304248</v>
      </c>
      <c r="BO35" s="39">
        <f t="shared" si="23"/>
        <v>6.3900824905555306E-2</v>
      </c>
      <c r="BP35" s="184">
        <f t="shared" si="24"/>
        <v>1301.7977012238025</v>
      </c>
      <c r="BR35" s="198"/>
      <c r="BS35" s="198"/>
      <c r="BT35" s="198"/>
      <c r="BU35" s="19"/>
      <c r="BV35" s="19"/>
      <c r="BW35" s="19"/>
      <c r="BX35" s="197"/>
      <c r="BY35" s="19"/>
      <c r="BZ35" s="197"/>
      <c r="CA35" s="19"/>
      <c r="CB35" s="197"/>
      <c r="CC35" s="19"/>
    </row>
    <row r="36" spans="1:81" x14ac:dyDescent="0.25">
      <c r="A36" s="117">
        <f t="shared" si="34"/>
        <v>2033</v>
      </c>
      <c r="B36" s="66">
        <f>INDEX((Proj_PasMob!$Q$6:$Q$46),MATCH(A36,Proj_PasMob!$M$6:M$46,0))</f>
        <v>11739762981.532864</v>
      </c>
      <c r="C36" s="119">
        <f>B36*Table142[Gasoline]%</f>
        <v>6448694320.5858212</v>
      </c>
      <c r="D36" s="123">
        <f>B36*Table142[[Diesel ]]%</f>
        <v>5284637203.0352259</v>
      </c>
      <c r="E36" s="121">
        <f>B36*Table142[LPG]%</f>
        <v>6431457.9118169462</v>
      </c>
      <c r="F36" s="66">
        <f t="shared" si="3"/>
        <v>0</v>
      </c>
      <c r="G36" s="195">
        <f t="shared" si="32"/>
        <v>211378800</v>
      </c>
      <c r="H36" s="31">
        <f>C36*Table243[Autocycle]%</f>
        <v>729429453.12962413</v>
      </c>
      <c r="I36" s="66">
        <f>C36*Table243[Motocycle]%</f>
        <v>474912974.00394374</v>
      </c>
      <c r="J36" s="66">
        <f>(C36*Table243[cars]%)-($H$6*G36)</f>
        <v>4826024881.6850748</v>
      </c>
      <c r="K36" s="66">
        <f>C36*Table243[DPV]%</f>
        <v>162658897.56721848</v>
      </c>
      <c r="L36" s="66">
        <f>C36*Table243[Hybrid]%</f>
        <v>65427194.199960575</v>
      </c>
      <c r="M36" s="66">
        <f t="shared" si="4"/>
        <v>-190240919.99999905</v>
      </c>
      <c r="N36" s="195">
        <f t="shared" si="33"/>
        <v>387905000</v>
      </c>
      <c r="O36" s="195">
        <f>D36*Table344[Buses]%</f>
        <v>4193161807.79814</v>
      </c>
      <c r="P36" s="66">
        <f>(D36*Table344[Cars]%)-($J$6*G36)</f>
        <v>425753465.53502715</v>
      </c>
      <c r="Q36" s="66">
        <f>D36*Table344[DPV]%</f>
        <v>644584049.70205867</v>
      </c>
      <c r="R36" s="66">
        <f t="shared" si="5"/>
        <v>3805256807.79814</v>
      </c>
      <c r="S36" s="66">
        <f t="shared" si="6"/>
        <v>-409042880</v>
      </c>
      <c r="W36" s="66">
        <f>E36*Table445[Cars]%</f>
        <v>6078677.5200295188</v>
      </c>
      <c r="X36" s="66">
        <f>E36*Table445[DPV]%</f>
        <v>352780.39178742742</v>
      </c>
      <c r="Y36" s="66">
        <f t="shared" si="7"/>
        <v>0</v>
      </c>
      <c r="AB36" s="117">
        <f t="shared" si="35"/>
        <v>2033</v>
      </c>
      <c r="AD36" s="66">
        <f>H36*Table546[Autocycle]*0.01*$AD$7/1000</f>
        <v>12947.372793050827</v>
      </c>
      <c r="AE36" s="66">
        <f>I36*Table546[Motocycle]*0.01*$AD$7/1000</f>
        <v>10115.646346284002</v>
      </c>
      <c r="AF36" s="66">
        <f>J36*Table546[Car]*0.01*$AD$7/$AL$8/1000</f>
        <v>117221.60436303486</v>
      </c>
      <c r="AG36" s="66">
        <f>K36*Table546[DPV]*0.01*$AD$7/$AL$8/1000</f>
        <v>6990.0520980859956</v>
      </c>
      <c r="AH36" s="66">
        <f>L36*Table546[Car_Hbrid]*0.01*$AD$7/$AL$8/1000</f>
        <v>977.96437646256868</v>
      </c>
      <c r="AI36" s="66">
        <f>Freight!E28*$AG$8*$AI$8*$AD$7/1000</f>
        <v>5890.6443878102173</v>
      </c>
      <c r="AJ36" s="66">
        <f t="shared" si="36"/>
        <v>154143.28436472846</v>
      </c>
      <c r="AK36" s="66">
        <f>P36*Table546[Car_Dsl]*0.01*$AD$8/$AL$8/1000</f>
        <v>13332.805894386378</v>
      </c>
      <c r="AL36" s="66">
        <f>Q36*Table546[DPV_Dsl]*0.01*$AD$8/$AL$8/1000</f>
        <v>32585.419986254074</v>
      </c>
      <c r="AM36" s="66">
        <f>R36*Table546[Bus]*0.01*$AD$8/$AL$9/1000</f>
        <v>28001.254024240316</v>
      </c>
      <c r="AN36" s="66">
        <f>Freight!E28*$AG$9*$AI$9*$AD$8/1000</f>
        <v>178915.85909204735</v>
      </c>
      <c r="AO36" s="66">
        <f t="shared" si="9"/>
        <v>252835.33899692813</v>
      </c>
      <c r="AQ36" s="66">
        <f>W36*Table546[Car_LPG]*0.01*$AD$9/$AL$8/1000</f>
        <v>142.47188374925398</v>
      </c>
      <c r="AR36" s="66">
        <f>X36*Table546[DPV_LPG]*0.01*$AD$9/$AL$8/1000</f>
        <v>14.628809492110902</v>
      </c>
      <c r="AS36" s="31">
        <f t="shared" si="29"/>
        <v>807.9263082358143</v>
      </c>
      <c r="AT36" s="66">
        <f t="shared" si="10"/>
        <v>965.02700147717917</v>
      </c>
      <c r="AU36" s="31">
        <f t="shared" si="11"/>
        <v>9650.2700147717915</v>
      </c>
      <c r="AX36" s="148">
        <f t="shared" si="12"/>
        <v>407943.65036313375</v>
      </c>
      <c r="BB36" s="117">
        <f t="shared" si="37"/>
        <v>2033</v>
      </c>
      <c r="BC36" s="85">
        <f t="shared" si="13"/>
        <v>478.55940637011054</v>
      </c>
      <c r="BD36" s="85">
        <f t="shared" si="14"/>
        <v>0.22788543160481453</v>
      </c>
      <c r="BE36" s="85">
        <f t="shared" si="15"/>
        <v>2.2097981246527471E-2</v>
      </c>
      <c r="BF36" s="85">
        <f t="shared" si="16"/>
        <v>811.22977023181375</v>
      </c>
      <c r="BG36" s="85">
        <f t="shared" si="17"/>
        <v>4.2696303696411246E-2</v>
      </c>
      <c r="BH36" s="85">
        <f t="shared" si="18"/>
        <v>4.2696303696411246E-2</v>
      </c>
      <c r="BI36" s="85">
        <f t="shared" si="19"/>
        <v>3.1786252380055622</v>
      </c>
      <c r="BJ36" s="85">
        <f t="shared" si="20"/>
        <v>3.1232133875807424E-3</v>
      </c>
      <c r="BK36" s="85">
        <f t="shared" si="21"/>
        <v>1.007488189542175E-5</v>
      </c>
      <c r="BL36">
        <f t="shared" si="22"/>
        <v>2033</v>
      </c>
      <c r="BM36" s="39">
        <f t="shared" si="23"/>
        <v>1292.9678018399297</v>
      </c>
      <c r="BN36" s="39">
        <f t="shared" si="23"/>
        <v>0.27370494868880652</v>
      </c>
      <c r="BO36" s="39">
        <f t="shared" si="23"/>
        <v>6.4804359824834137E-2</v>
      </c>
      <c r="BP36" s="184">
        <f t="shared" si="24"/>
        <v>1319.1221247849505</v>
      </c>
      <c r="BR36" s="198"/>
      <c r="BS36" s="198"/>
      <c r="BT36" s="198"/>
      <c r="BU36" s="19"/>
      <c r="BV36" s="19"/>
      <c r="BW36" s="19"/>
      <c r="BX36" s="197"/>
      <c r="BY36" s="19"/>
      <c r="BZ36" s="197"/>
      <c r="CA36" s="19"/>
      <c r="CB36" s="197"/>
      <c r="CC36" s="19"/>
    </row>
    <row r="37" spans="1:81" x14ac:dyDescent="0.25">
      <c r="A37" s="117">
        <f t="shared" si="34"/>
        <v>2034</v>
      </c>
      <c r="B37" s="66">
        <f>INDEX((Proj_PasMob!$Q$6:$Q$46),MATCH(A37,Proj_PasMob!$M$6:M$46,0))</f>
        <v>11624757297.551462</v>
      </c>
      <c r="C37" s="119">
        <f>B37*Table142[Gasoline]%</f>
        <v>6385521281.8888235</v>
      </c>
      <c r="D37" s="123">
        <f>B37*Table142[[Diesel ]]%</f>
        <v>5232867561.9373045</v>
      </c>
      <c r="E37" s="121">
        <f>B37*Table142[LPG]%</f>
        <v>6368453.7253346797</v>
      </c>
      <c r="F37" s="66">
        <f t="shared" si="3"/>
        <v>0</v>
      </c>
      <c r="G37" s="195">
        <f t="shared" si="32"/>
        <v>212917040</v>
      </c>
      <c r="H37" s="31">
        <f>C37*Table243[Autocycle]%</f>
        <v>722283777.93112886</v>
      </c>
      <c r="I37" s="66">
        <f>C37*Table243[Motocycle]%</f>
        <v>470260606.533418</v>
      </c>
      <c r="J37" s="66">
        <f>(C37*Table243[cars]%)-($H$6*G37)</f>
        <v>4775499858.633399</v>
      </c>
      <c r="K37" s="66">
        <f>C37*Table243[DPV]%</f>
        <v>161065449.91416064</v>
      </c>
      <c r="L37" s="66">
        <f>C37*Table243[Hybrid]%</f>
        <v>64786252.876716927</v>
      </c>
      <c r="M37" s="66">
        <f t="shared" si="4"/>
        <v>-191625336</v>
      </c>
      <c r="N37" s="195">
        <f t="shared" si="33"/>
        <v>389634000</v>
      </c>
      <c r="O37" s="195">
        <f>D37*Table344[Buses]%</f>
        <v>4152084535.4112024</v>
      </c>
      <c r="P37" s="66">
        <f>(D37*Table344[Cars]%)-($J$6*G37)</f>
        <v>421221781.01608217</v>
      </c>
      <c r="Q37" s="66">
        <f>D37*Table344[DPV]%</f>
        <v>638269541.51001966</v>
      </c>
      <c r="R37" s="66">
        <f t="shared" si="5"/>
        <v>3762450535.4112024</v>
      </c>
      <c r="S37" s="66">
        <f t="shared" si="6"/>
        <v>-410925704</v>
      </c>
      <c r="W37" s="66">
        <f>E37*Table445[Cars]%</f>
        <v>6019129.2593880519</v>
      </c>
      <c r="X37" s="66">
        <f>E37*Table445[DPV]%</f>
        <v>349324.46594662796</v>
      </c>
      <c r="Y37" s="66">
        <f t="shared" si="7"/>
        <v>0</v>
      </c>
      <c r="AB37" s="117">
        <f t="shared" si="35"/>
        <v>2034</v>
      </c>
      <c r="AD37" s="66">
        <f>H37*Table546[Autocycle]*0.01*$AD$7/1000</f>
        <v>12820.537058277538</v>
      </c>
      <c r="AE37" s="66">
        <f>I37*Table546[Motocycle]*0.01*$AD$7/1000</f>
        <v>10016.550919161804</v>
      </c>
      <c r="AF37" s="66">
        <f>J37*Table546[Car]*0.01*$AD$7/$AL$8/1000</f>
        <v>115994.37814522703</v>
      </c>
      <c r="AG37" s="66">
        <f>K37*Table546[DPV]*0.01*$AD$7/$AL$8/1000</f>
        <v>6921.5757818374841</v>
      </c>
      <c r="AH37" s="66">
        <f>L37*Table546[Car_Hbrid]*0.01*$AD$7/$AL$8/1000</f>
        <v>968.38399036776889</v>
      </c>
      <c r="AI37" s="66">
        <f>Freight!E29*$AG$8*$AI$8*$AD$7/1000</f>
        <v>6068.6914423461449</v>
      </c>
      <c r="AJ37" s="66">
        <f t="shared" si="36"/>
        <v>152790.11733721776</v>
      </c>
      <c r="AK37" s="66">
        <f>P37*Table546[Car_Dsl]*0.01*$AD$8/$AL$8/1000</f>
        <v>13190.89261602994</v>
      </c>
      <c r="AL37" s="66">
        <f>Q37*Table546[DPV_Dsl]*0.01*$AD$8/$AL$8/1000</f>
        <v>32266.20498001968</v>
      </c>
      <c r="AM37" s="66">
        <f>R37*Table546[Bus]*0.01*$AD$8/$AL$9/1000</f>
        <v>27686.261011290153</v>
      </c>
      <c r="AN37" s="66">
        <f>Freight!E29*$AG$9*$AI$9*$AD$8/1000</f>
        <v>184323.66163857753</v>
      </c>
      <c r="AO37" s="66">
        <f t="shared" si="9"/>
        <v>257467.02024591732</v>
      </c>
      <c r="AQ37" s="66">
        <f>W37*Table546[Car_LPG]*0.01*$AD$9/$AL$8/1000</f>
        <v>141.07619318339877</v>
      </c>
      <c r="AR37" s="66">
        <f>X37*Table546[DPV_LPG]*0.01*$AD$9/$AL$8/1000</f>
        <v>14.485501978652549</v>
      </c>
      <c r="AS37" s="31">
        <f t="shared" si="29"/>
        <v>750.56354035107154</v>
      </c>
      <c r="AT37" s="66">
        <f t="shared" si="10"/>
        <v>906.12523551312279</v>
      </c>
      <c r="AU37" s="31">
        <f t="shared" si="11"/>
        <v>9061.2523551312279</v>
      </c>
      <c r="AX37" s="148">
        <f t="shared" si="12"/>
        <v>411163.26281864819</v>
      </c>
      <c r="BB37" s="117">
        <f t="shared" si="37"/>
        <v>2034</v>
      </c>
      <c r="BC37" s="85">
        <f t="shared" si="13"/>
        <v>474.35830988981968</v>
      </c>
      <c r="BD37" s="85">
        <f t="shared" si="14"/>
        <v>0.22588490947134268</v>
      </c>
      <c r="BE37" s="85">
        <f t="shared" si="15"/>
        <v>2.1903991221463536E-2</v>
      </c>
      <c r="BF37" s="85">
        <f t="shared" si="16"/>
        <v>826.09065846963301</v>
      </c>
      <c r="BG37" s="85">
        <f t="shared" si="17"/>
        <v>4.3478455708928054E-2</v>
      </c>
      <c r="BH37" s="85">
        <f t="shared" si="18"/>
        <v>4.3478455708928054E-2</v>
      </c>
      <c r="BI37" s="85">
        <f t="shared" si="19"/>
        <v>2.9846134232378341</v>
      </c>
      <c r="BJ37" s="85">
        <f t="shared" si="20"/>
        <v>2.9325837122146704E-3</v>
      </c>
      <c r="BK37" s="85">
        <f t="shared" si="21"/>
        <v>9.4599474587570025E-6</v>
      </c>
      <c r="BL37">
        <f t="shared" si="22"/>
        <v>2034</v>
      </c>
      <c r="BM37" s="39">
        <f t="shared" si="23"/>
        <v>1303.4335817826905</v>
      </c>
      <c r="BN37" s="39">
        <f t="shared" si="23"/>
        <v>0.27229594889248537</v>
      </c>
      <c r="BO37" s="39">
        <f t="shared" si="23"/>
        <v>6.5391906877850348E-2</v>
      </c>
      <c r="BP37" s="184">
        <f t="shared" si="24"/>
        <v>1329.727768754602</v>
      </c>
      <c r="BR37" s="198"/>
      <c r="BS37" s="198"/>
      <c r="BT37" s="198"/>
      <c r="BU37" s="19"/>
      <c r="BV37" s="19"/>
      <c r="BW37" s="19"/>
      <c r="BX37" s="197"/>
      <c r="BY37" s="19"/>
      <c r="BZ37" s="197"/>
      <c r="CA37" s="19"/>
      <c r="CB37" s="197"/>
      <c r="CC37" s="19"/>
    </row>
    <row r="38" spans="1:81" x14ac:dyDescent="0.25">
      <c r="A38" s="117">
        <f t="shared" si="34"/>
        <v>2035</v>
      </c>
      <c r="B38" s="66">
        <f>INDEX((Proj_PasMob!$Q$6:$Q$46),MATCH(A38,Proj_PasMob!$M$6:M$46,0))</f>
        <v>11596440643.258757</v>
      </c>
      <c r="C38" s="119">
        <f>B38*Table142[Gasoline]%</f>
        <v>6369966841.1388187</v>
      </c>
      <c r="D38" s="123">
        <f>B38*Table142[[Diesel ]]%</f>
        <v>5220120861.2606287</v>
      </c>
      <c r="E38" s="121">
        <f>B38*Table142[LPG]%</f>
        <v>6352940.8593105972</v>
      </c>
      <c r="F38" s="66">
        <f t="shared" si="3"/>
        <v>0</v>
      </c>
      <c r="G38" s="195">
        <f t="shared" si="32"/>
        <v>214455280</v>
      </c>
      <c r="H38" s="31">
        <f>C38*Table243[Autocycle]%</f>
        <v>720524372.59324598</v>
      </c>
      <c r="I38" s="66">
        <f>C38*Table243[Motocycle]%</f>
        <v>469115102.44401318</v>
      </c>
      <c r="J38" s="66">
        <f>(C38*Table243[cars]%)-($H$6*G38)</f>
        <v>4762016061.6859245</v>
      </c>
      <c r="K38" s="66">
        <f>C38*Table243[DPV]%</f>
        <v>160673111.85952625</v>
      </c>
      <c r="L38" s="66">
        <f>C38*Table243[Hybrid]%</f>
        <v>64628440.556109071</v>
      </c>
      <c r="M38" s="66">
        <f t="shared" si="4"/>
        <v>-193009751.99999905</v>
      </c>
      <c r="N38" s="195">
        <f t="shared" si="33"/>
        <v>391363000</v>
      </c>
      <c r="O38" s="195">
        <f>D38*Table344[Buses]%</f>
        <v>4141970505.5545883</v>
      </c>
      <c r="P38" s="66">
        <f>(D38*Table344[Cars]%)-($J$6*G38)</f>
        <v>419990041.92036659</v>
      </c>
      <c r="Q38" s="66">
        <f>D38*Table344[DPV]%</f>
        <v>636714785.7856735</v>
      </c>
      <c r="R38" s="66">
        <f t="shared" si="5"/>
        <v>3750607505.5545883</v>
      </c>
      <c r="S38" s="66">
        <f t="shared" si="6"/>
        <v>-412808528</v>
      </c>
      <c r="W38" s="66">
        <f>E38*Table445[Cars]%</f>
        <v>6004467.3100657118</v>
      </c>
      <c r="X38" s="66">
        <f>E38*Table445[DPV]%</f>
        <v>348473.54924488504</v>
      </c>
      <c r="Y38" s="66">
        <f t="shared" si="7"/>
        <v>0</v>
      </c>
      <c r="AB38" s="117">
        <f t="shared" si="35"/>
        <v>2035</v>
      </c>
      <c r="AD38" s="66">
        <f>H38*Table546[Autocycle]*0.01*$AD$7/1000</f>
        <v>12789.307613530114</v>
      </c>
      <c r="AE38" s="66">
        <f>I38*Table546[Motocycle]*0.01*$AD$7/1000</f>
        <v>9992.1516820574816</v>
      </c>
      <c r="AF38" s="66">
        <f>J38*Table546[Car]*0.01*$AD$7/$AL$8/1000</f>
        <v>115666.86381410813</v>
      </c>
      <c r="AG38" s="66">
        <f>K38*Table546[DPV]*0.01*$AD$7/$AL$8/1000</f>
        <v>6904.715570173852</v>
      </c>
      <c r="AH38" s="66">
        <f>L38*Table546[Car_Hbrid]*0.01*$AD$7/$AL$8/1000</f>
        <v>966.02511147026178</v>
      </c>
      <c r="AI38" s="66">
        <f>Freight!E30*$AG$8*$AI$8*$AD$7/1000</f>
        <v>6251.8123540131874</v>
      </c>
      <c r="AJ38" s="66">
        <f t="shared" si="36"/>
        <v>152570.87614535299</v>
      </c>
      <c r="AK38" s="66">
        <f>P38*Table546[Car_Dsl]*0.01*$AD$8/$AL$8/1000</f>
        <v>13152.319733822005</v>
      </c>
      <c r="AL38" s="66">
        <f>Q38*Table546[DPV_Dsl]*0.01*$AD$8/$AL$8/1000</f>
        <v>32187.607986691553</v>
      </c>
      <c r="AM38" s="66">
        <f>R38*Table546[Bus]*0.01*$AD$8/$AL$9/1000</f>
        <v>27599.11323015955</v>
      </c>
      <c r="AN38" s="66">
        <f>Freight!E30*$AG$9*$AI$9*$AD$8/1000</f>
        <v>189885.57185954187</v>
      </c>
      <c r="AO38" s="66">
        <f t="shared" si="9"/>
        <v>262824.61281021498</v>
      </c>
      <c r="AQ38" s="66">
        <f>W38*Table546[Car_LPG]*0.01*$AD$9/$AL$8/1000</f>
        <v>140.73254680102258</v>
      </c>
      <c r="AR38" s="66">
        <f>X38*Table546[DPV_LPG]*0.01*$AD$9/$AL$8/1000</f>
        <v>14.450216859033564</v>
      </c>
      <c r="AS38" s="31">
        <f t="shared" si="29"/>
        <v>697.27352898614549</v>
      </c>
      <c r="AT38" s="66">
        <f t="shared" si="10"/>
        <v>852.45629264620163</v>
      </c>
      <c r="AU38" s="31">
        <f t="shared" si="11"/>
        <v>8524.5629264620165</v>
      </c>
      <c r="AX38" s="148">
        <f t="shared" si="12"/>
        <v>416247.94524821418</v>
      </c>
      <c r="BB38" s="117">
        <f t="shared" si="37"/>
        <v>2035</v>
      </c>
      <c r="BC38" s="85">
        <f t="shared" si="13"/>
        <v>473.67764491590867</v>
      </c>
      <c r="BD38" s="85">
        <f t="shared" si="14"/>
        <v>0.2255607832932898</v>
      </c>
      <c r="BE38" s="85">
        <f t="shared" si="15"/>
        <v>2.1872560804197805E-2</v>
      </c>
      <c r="BF38" s="85">
        <f t="shared" si="16"/>
        <v>843.28065493995894</v>
      </c>
      <c r="BG38" s="85">
        <f t="shared" si="17"/>
        <v>4.4383192365260997E-2</v>
      </c>
      <c r="BH38" s="85">
        <f t="shared" si="18"/>
        <v>4.4383192365260997E-2</v>
      </c>
      <c r="BI38" s="85">
        <f t="shared" si="19"/>
        <v>2.8078375858439117</v>
      </c>
      <c r="BJ38" s="85">
        <f t="shared" si="20"/>
        <v>2.7588895455201668E-3</v>
      </c>
      <c r="BK38" s="85">
        <f t="shared" si="21"/>
        <v>8.8996436952263451E-6</v>
      </c>
      <c r="BL38">
        <f t="shared" si="22"/>
        <v>2035</v>
      </c>
      <c r="BM38" s="39">
        <f t="shared" si="23"/>
        <v>1319.7661374417114</v>
      </c>
      <c r="BN38" s="39">
        <f t="shared" si="23"/>
        <v>0.27270286520407094</v>
      </c>
      <c r="BO38" s="39">
        <f t="shared" si="23"/>
        <v>6.6264652813154037E-2</v>
      </c>
      <c r="BP38" s="184">
        <f t="shared" si="24"/>
        <v>1346.3305756101331</v>
      </c>
      <c r="BR38" s="198"/>
      <c r="BS38" s="198"/>
      <c r="BT38" s="198"/>
      <c r="BU38" s="19"/>
      <c r="BV38" s="19"/>
      <c r="BW38" s="19"/>
      <c r="BX38" s="197"/>
      <c r="BY38" s="19"/>
      <c r="BZ38" s="197"/>
      <c r="CA38" s="19"/>
      <c r="CB38" s="197"/>
      <c r="CC38" s="19"/>
    </row>
    <row r="39" spans="1:81" x14ac:dyDescent="0.25">
      <c r="A39" s="117">
        <f t="shared" si="34"/>
        <v>2036</v>
      </c>
      <c r="B39" s="66">
        <f>INDEX((Proj_PasMob!$Q$6:$Q$46),MATCH(A39,Proj_PasMob!$M$6:M$46,0))</f>
        <v>11565453970.828867</v>
      </c>
      <c r="C39" s="119">
        <f>B39*Table142[Gasoline]%</f>
        <v>6352945749.7567511</v>
      </c>
      <c r="D39" s="123">
        <f>B39*Table142[[Diesel ]]%</f>
        <v>5206172255.8093214</v>
      </c>
      <c r="E39" s="121">
        <f>B39*Table142[LPG]%</f>
        <v>6335965.2627952686</v>
      </c>
      <c r="F39" s="66">
        <f t="shared" si="3"/>
        <v>0</v>
      </c>
      <c r="G39" s="195">
        <f t="shared" si="32"/>
        <v>215993520</v>
      </c>
      <c r="H39" s="31">
        <f>C39*Table243[Autocycle]%</f>
        <v>718599070.39077425</v>
      </c>
      <c r="I39" s="66">
        <f>C39*Table243[Motocycle]%</f>
        <v>467861587.123362</v>
      </c>
      <c r="J39" s="66">
        <f>(C39*Table243[cars]%)-($H$6*G39)</f>
        <v>4747391396.6738634</v>
      </c>
      <c r="K39" s="66">
        <f>C39*Table243[DPV]%</f>
        <v>160243779.68436641</v>
      </c>
      <c r="L39" s="66">
        <f>C39*Table243[Hybrid]%</f>
        <v>64455747.884385616</v>
      </c>
      <c r="M39" s="66">
        <f t="shared" si="4"/>
        <v>-194394167.99999905</v>
      </c>
      <c r="N39" s="195">
        <f t="shared" si="33"/>
        <v>393092000</v>
      </c>
      <c r="O39" s="195">
        <f>D39*Table344[Buses]%</f>
        <v>4130902809.2486105</v>
      </c>
      <c r="P39" s="66">
        <f>(D39*Table344[Cars]%)-($J$6*G39)</f>
        <v>418656664.65701455</v>
      </c>
      <c r="Q39" s="66">
        <f>D39*Table344[DPV]%</f>
        <v>635013429.90369618</v>
      </c>
      <c r="R39" s="66">
        <f t="shared" si="5"/>
        <v>3737810809.2486105</v>
      </c>
      <c r="S39" s="66">
        <f t="shared" si="6"/>
        <v>-414691352</v>
      </c>
      <c r="W39" s="66">
        <f>E39*Table445[Cars]%</f>
        <v>5988422.8644140931</v>
      </c>
      <c r="X39" s="66">
        <f>E39*Table445[DPV]%</f>
        <v>347542.39838117507</v>
      </c>
      <c r="Y39" s="66">
        <f t="shared" si="7"/>
        <v>0</v>
      </c>
      <c r="AB39" s="117">
        <f t="shared" si="35"/>
        <v>2036</v>
      </c>
      <c r="AD39" s="66">
        <f>H39*Table546[Autocycle]*0.01*$AD$7/1000</f>
        <v>12755.133499436242</v>
      </c>
      <c r="AE39" s="66">
        <f>I39*Table546[Motocycle]*0.01*$AD$7/1000</f>
        <v>9965.4518057276109</v>
      </c>
      <c r="AF39" s="66">
        <f>J39*Table546[Car]*0.01*$AD$7/$AL$8/1000</f>
        <v>115311.63839815727</v>
      </c>
      <c r="AG39" s="66">
        <f>K39*Table546[DPV]*0.01*$AD$7/$AL$8/1000</f>
        <v>6886.2655848571148</v>
      </c>
      <c r="AH39" s="66">
        <f>L39*Table546[Car_Hbrid]*0.01*$AD$7/$AL$8/1000</f>
        <v>963.44381048239552</v>
      </c>
      <c r="AI39" s="66">
        <f>Freight!E31*$AG$8*$AI$8*$AD$7/1000</f>
        <v>6440.4228241135461</v>
      </c>
      <c r="AJ39" s="66">
        <f t="shared" si="36"/>
        <v>152322.35592277418</v>
      </c>
      <c r="AK39" s="66">
        <f>P39*Table546[Car_Dsl]*0.01*$AD$8/$AL$8/1000</f>
        <v>13110.563972153877</v>
      </c>
      <c r="AL39" s="66">
        <f>Q39*Table546[DPV_Dsl]*0.01*$AD$8/$AL$8/1000</f>
        <v>32101.599969605275</v>
      </c>
      <c r="AM39" s="66">
        <f>R39*Table546[Bus]*0.01*$AD$8/$AL$9/1000</f>
        <v>27504.947826342275</v>
      </c>
      <c r="AN39" s="66">
        <f>Freight!E31*$AG$9*$AI$9*$AD$8/1000</f>
        <v>195614.21580240008</v>
      </c>
      <c r="AO39" s="66">
        <f t="shared" si="9"/>
        <v>268331.32757050148</v>
      </c>
      <c r="AQ39" s="66">
        <f>W39*Table546[Car_LPG]*0.01*$AD$9/$AL$8/1000</f>
        <v>140.35649750606214</v>
      </c>
      <c r="AR39" s="66">
        <f>X39*Table546[DPV_LPG]*0.01*$AD$9/$AL$8/1000</f>
        <v>14.411604654640312</v>
      </c>
      <c r="AS39" s="31">
        <f t="shared" si="29"/>
        <v>647.76710842812918</v>
      </c>
      <c r="AT39" s="66">
        <f t="shared" si="10"/>
        <v>802.53521058883166</v>
      </c>
      <c r="AU39" s="31">
        <f t="shared" si="11"/>
        <v>8025.3521058883161</v>
      </c>
      <c r="AX39" s="148">
        <f t="shared" si="12"/>
        <v>421456.21870386449</v>
      </c>
      <c r="BB39" s="117">
        <f t="shared" si="37"/>
        <v>2036</v>
      </c>
      <c r="BC39" s="85">
        <f t="shared" si="13"/>
        <v>472.9060790920816</v>
      </c>
      <c r="BD39" s="85">
        <f t="shared" si="14"/>
        <v>0.2251933709962293</v>
      </c>
      <c r="BE39" s="85">
        <f t="shared" si="15"/>
        <v>2.1836932945088903E-2</v>
      </c>
      <c r="BF39" s="85">
        <f t="shared" si="16"/>
        <v>860.94911444978106</v>
      </c>
      <c r="BG39" s="85">
        <f t="shared" si="17"/>
        <v>4.5313111286830576E-2</v>
      </c>
      <c r="BH39" s="85">
        <f t="shared" si="18"/>
        <v>4.5313111286830576E-2</v>
      </c>
      <c r="BI39" s="85">
        <f t="shared" si="19"/>
        <v>2.6434065273417056</v>
      </c>
      <c r="BJ39" s="85">
        <f t="shared" si="20"/>
        <v>2.5973249555496947E-3</v>
      </c>
      <c r="BK39" s="85">
        <f t="shared" si="21"/>
        <v>8.3784675985474034E-6</v>
      </c>
      <c r="BL39">
        <f t="shared" si="22"/>
        <v>2036</v>
      </c>
      <c r="BM39" s="39">
        <f t="shared" si="23"/>
        <v>1336.4986000692045</v>
      </c>
      <c r="BN39" s="39">
        <f t="shared" si="23"/>
        <v>0.27310380723860955</v>
      </c>
      <c r="BO39" s="39">
        <f t="shared" si="23"/>
        <v>6.7158422699518022E-2</v>
      </c>
      <c r="BP39" s="184">
        <f t="shared" si="24"/>
        <v>1363.3394052146261</v>
      </c>
      <c r="BR39" s="198"/>
      <c r="BS39" s="198"/>
      <c r="BT39" s="198"/>
      <c r="BU39" s="19"/>
      <c r="BV39" s="19"/>
      <c r="BW39" s="19"/>
      <c r="BX39" s="197"/>
      <c r="BY39" s="19"/>
      <c r="BZ39" s="197"/>
      <c r="CA39" s="19"/>
      <c r="CB39" s="197"/>
      <c r="CC39" s="19"/>
    </row>
    <row r="40" spans="1:81" x14ac:dyDescent="0.25">
      <c r="A40" s="117">
        <f t="shared" si="34"/>
        <v>2037</v>
      </c>
      <c r="B40" s="66">
        <f>INDEX((Proj_PasMob!$Q$6:$Q$46),MATCH(A40,Proj_PasMob!$M$6:M$46,0))</f>
        <v>11532002952.297762</v>
      </c>
      <c r="C40" s="119">
        <f>B40*Table142[Gasoline]%</f>
        <v>6334570984.1368084</v>
      </c>
      <c r="D40" s="123">
        <f>B40*Table142[[Diesel ]]%</f>
        <v>5191114328.5507412</v>
      </c>
      <c r="E40" s="121">
        <f>B40*Table142[LPG]%</f>
        <v>6317639.610213642</v>
      </c>
      <c r="F40" s="66">
        <f t="shared" si="3"/>
        <v>0</v>
      </c>
      <c r="G40" s="195">
        <f t="shared" si="32"/>
        <v>217531760</v>
      </c>
      <c r="H40" s="31">
        <f>C40*Table243[Autocycle]%</f>
        <v>716520650.39267421</v>
      </c>
      <c r="I40" s="66">
        <f>C40*Table243[Motocycle]%</f>
        <v>466508380.69840622</v>
      </c>
      <c r="J40" s="66">
        <f>(C40*Table243[cars]%)-($H$6*G40)</f>
        <v>4731713744.8944807</v>
      </c>
      <c r="K40" s="66">
        <f>C40*Table243[DPV]%</f>
        <v>159780303.05325136</v>
      </c>
      <c r="L40" s="66">
        <f>C40*Table243[Hybrid]%</f>
        <v>64269321.09799616</v>
      </c>
      <c r="M40" s="66">
        <f t="shared" si="4"/>
        <v>-195778584</v>
      </c>
      <c r="N40" s="195">
        <f t="shared" si="33"/>
        <v>394821000</v>
      </c>
      <c r="O40" s="195">
        <f>D40*Table344[Buses]%</f>
        <v>4118954907.6123323</v>
      </c>
      <c r="P40" s="66">
        <f>(D40*Table344[Cars]%)-($J$6*G40)</f>
        <v>417229478.43459165</v>
      </c>
      <c r="Q40" s="66">
        <f>D40*Table344[DPV]%</f>
        <v>633176766.50381708</v>
      </c>
      <c r="R40" s="66">
        <f t="shared" si="5"/>
        <v>3724133907.6123323</v>
      </c>
      <c r="S40" s="66">
        <f t="shared" si="6"/>
        <v>-416574176</v>
      </c>
      <c r="W40" s="66">
        <f>E40*Table445[Cars]%</f>
        <v>5971102.416404455</v>
      </c>
      <c r="X40" s="66">
        <f>E40*Table445[DPV]%</f>
        <v>346537.1938091871</v>
      </c>
      <c r="Y40" s="66">
        <f t="shared" si="7"/>
        <v>0</v>
      </c>
      <c r="AB40" s="117">
        <f t="shared" si="35"/>
        <v>2037</v>
      </c>
      <c r="AD40" s="66">
        <f>H40*Table546[Autocycle]*0.01*$AD$7/1000</f>
        <v>12718.241544469965</v>
      </c>
      <c r="AE40" s="66">
        <f>I40*Table546[Motocycle]*0.01*$AD$7/1000</f>
        <v>9936.6285088760524</v>
      </c>
      <c r="AF40" s="66">
        <f>J40*Table546[Car]*0.01*$AD$7/$AL$8/1000</f>
        <v>114930.83648783172</v>
      </c>
      <c r="AG40" s="66">
        <f>K40*Table546[DPV]*0.01*$AD$7/$AL$8/1000</f>
        <v>6866.3482864726184</v>
      </c>
      <c r="AH40" s="66">
        <f>L40*Table546[Car_Hbrid]*0.01*$AD$7/$AL$8/1000</f>
        <v>960.65722062267957</v>
      </c>
      <c r="AI40" s="66">
        <f>Freight!E32*$AG$8*$AI$8*$AD$7/1000</f>
        <v>6634.6875394002236</v>
      </c>
      <c r="AJ40" s="66">
        <f t="shared" si="36"/>
        <v>152047.39958767322</v>
      </c>
      <c r="AK40" s="66">
        <f>P40*Table546[Car_Dsl]*0.01*$AD$8/$AL$8/1000</f>
        <v>13065.870508872738</v>
      </c>
      <c r="AL40" s="66">
        <f>Q40*Table546[DPV_Dsl]*0.01*$AD$8/$AL$8/1000</f>
        <v>32008.751801416645</v>
      </c>
      <c r="AM40" s="66">
        <f>R40*Table546[Bus]*0.01*$AD$8/$AL$9/1000</f>
        <v>27404.305368730176</v>
      </c>
      <c r="AN40" s="66">
        <f>Freight!E32*$AG$9*$AI$9*$AD$8/1000</f>
        <v>201514.595478809</v>
      </c>
      <c r="AO40" s="66">
        <f t="shared" si="9"/>
        <v>273993.52315782855</v>
      </c>
      <c r="AQ40" s="66">
        <f>W40*Table546[Car_LPG]*0.01*$AD$9/$AL$8/1000</f>
        <v>139.95054130141355</v>
      </c>
      <c r="AR40" s="66">
        <f>X40*Table546[DPV_LPG]*0.01*$AD$9/$AL$8/1000</f>
        <v>14.369921651484423</v>
      </c>
      <c r="AS40" s="31">
        <f t="shared" si="29"/>
        <v>601.775643729732</v>
      </c>
      <c r="AT40" s="66">
        <f t="shared" si="10"/>
        <v>756.09610668262997</v>
      </c>
      <c r="AU40" s="31">
        <f t="shared" si="11"/>
        <v>7560.9610668262994</v>
      </c>
      <c r="AX40" s="148">
        <f t="shared" si="12"/>
        <v>426797.01885218441</v>
      </c>
      <c r="BB40" s="117">
        <f t="shared" si="37"/>
        <v>2037</v>
      </c>
      <c r="BC40" s="85">
        <f t="shared" si="13"/>
        <v>472.05243865587374</v>
      </c>
      <c r="BD40" s="85">
        <f t="shared" si="14"/>
        <v>0.22478687555041604</v>
      </c>
      <c r="BE40" s="85">
        <f t="shared" si="15"/>
        <v>2.1797515204888832E-2</v>
      </c>
      <c r="BF40" s="85">
        <f t="shared" si="16"/>
        <v>879.11643885758747</v>
      </c>
      <c r="BG40" s="85">
        <f t="shared" si="17"/>
        <v>4.6269286255662498E-2</v>
      </c>
      <c r="BH40" s="85">
        <f t="shared" si="18"/>
        <v>4.6269286255662498E-2</v>
      </c>
      <c r="BI40" s="85">
        <f t="shared" si="19"/>
        <v>2.4904444781133801</v>
      </c>
      <c r="BJ40" s="85">
        <f t="shared" si="20"/>
        <v>2.4470294396676637E-3</v>
      </c>
      <c r="BK40" s="85">
        <f t="shared" si="21"/>
        <v>7.8936433537666573E-6</v>
      </c>
      <c r="BL40">
        <f t="shared" si="22"/>
        <v>2037</v>
      </c>
      <c r="BM40" s="39">
        <f t="shared" si="23"/>
        <v>1353.6593219915746</v>
      </c>
      <c r="BN40" s="39">
        <f t="shared" si="23"/>
        <v>0.27350319124574624</v>
      </c>
      <c r="BO40" s="39">
        <f t="shared" si="23"/>
        <v>6.8074695103905097E-2</v>
      </c>
      <c r="BP40" s="184">
        <f t="shared" si="24"/>
        <v>1380.783160913682</v>
      </c>
      <c r="BR40" s="198"/>
      <c r="BS40" s="198"/>
      <c r="BT40" s="198"/>
      <c r="BU40" s="19"/>
      <c r="BV40" s="19"/>
      <c r="BW40" s="19"/>
      <c r="BX40" s="197"/>
      <c r="BY40" s="19"/>
      <c r="BZ40" s="197"/>
      <c r="CA40" s="19"/>
      <c r="CB40" s="197"/>
      <c r="CC40" s="19"/>
    </row>
    <row r="41" spans="1:81" x14ac:dyDescent="0.25">
      <c r="A41" s="117">
        <f t="shared" si="34"/>
        <v>2038</v>
      </c>
      <c r="B41" s="66">
        <f>INDEX((Proj_PasMob!$Q$6:$Q$46),MATCH(A41,Proj_PasMob!$M$6:M$46,0))</f>
        <v>11496290126.490973</v>
      </c>
      <c r="C41" s="119">
        <f>B41*Table142[Gasoline]%</f>
        <v>6314953799.5893354</v>
      </c>
      <c r="D41" s="123">
        <f>B41*Table142[[Diesel ]]%</f>
        <v>5175038252.0421305</v>
      </c>
      <c r="E41" s="121">
        <f>B41*Table142[LPG]%</f>
        <v>6298074.8595070289</v>
      </c>
      <c r="F41" s="66">
        <f t="shared" si="3"/>
        <v>0</v>
      </c>
      <c r="G41" s="195">
        <f>1000*(769029-653729)*AL8</f>
        <v>219070000</v>
      </c>
      <c r="H41" s="31">
        <f>C41*Table243[Autocycle]%</f>
        <v>714301696.99140549</v>
      </c>
      <c r="I41" s="66">
        <f>C41*Table243[Motocycle]%</f>
        <v>465063676.54716676</v>
      </c>
      <c r="J41" s="66">
        <f>(C41*Table243[cars]%)-($H$6*G41)</f>
        <v>4715069648.8602295</v>
      </c>
      <c r="K41" s="66">
        <f>C41*Table243[DPV]%</f>
        <v>159285488.21892461</v>
      </c>
      <c r="L41" s="66">
        <f>C41*Table243[Hybrid]%</f>
        <v>64070288.971609473</v>
      </c>
      <c r="M41" s="66">
        <f t="shared" si="4"/>
        <v>-197163000</v>
      </c>
      <c r="N41" s="195">
        <f>1000*(20753-9423)*AL9</f>
        <v>396550000</v>
      </c>
      <c r="O41" s="195">
        <f>D41*Table344[Buses]%</f>
        <v>4106199142.6571846</v>
      </c>
      <c r="P41" s="66">
        <f>(D41*Table344[Cars]%)-($J$6*G41)</f>
        <v>415716193.19139963</v>
      </c>
      <c r="Q41" s="66">
        <f>D41*Table344[DPV]%</f>
        <v>631215916.19354618</v>
      </c>
      <c r="R41" s="66">
        <f t="shared" si="5"/>
        <v>3709649142.6571846</v>
      </c>
      <c r="S41" s="66">
        <f t="shared" si="6"/>
        <v>-418457000</v>
      </c>
      <c r="W41" s="66">
        <f>E41*Table445[Cars]%</f>
        <v>5952610.8376775291</v>
      </c>
      <c r="X41" s="66">
        <f>E41*Table445[DPV]%</f>
        <v>345464.02182949946</v>
      </c>
      <c r="Y41" s="66">
        <f t="shared" si="7"/>
        <v>0</v>
      </c>
      <c r="AB41" s="117">
        <f t="shared" si="35"/>
        <v>2038</v>
      </c>
      <c r="AD41" s="66">
        <f>H41*Table546[Autocycle]*0.01*$AD$7/1000</f>
        <v>12678.855121597446</v>
      </c>
      <c r="AE41" s="66">
        <f>I41*Table546[Motocycle]*0.01*$AD$7/1000</f>
        <v>9905.856310454652</v>
      </c>
      <c r="AF41" s="66">
        <f>J41*Table546[Car]*0.01*$AD$7/$AL$8/1000</f>
        <v>114526.56015521033</v>
      </c>
      <c r="AG41" s="66">
        <f>K41*Table546[DPV]*0.01*$AD$7/$AL$8/1000</f>
        <v>6845.0842700395751</v>
      </c>
      <c r="AH41" s="66">
        <f>L41*Table546[Car_Hbrid]*0.01*$AD$7/$AL$8/1000</f>
        <v>957.68221410195213</v>
      </c>
      <c r="AI41" s="66">
        <f>Freight!E33*$AG$8*$AI$8*$AD$7/1000</f>
        <v>6834.7761272288035</v>
      </c>
      <c r="AJ41" s="66">
        <f t="shared" si="36"/>
        <v>151748.81419863275</v>
      </c>
      <c r="AK41" s="66">
        <f>P41*Table546[Car_Dsl]*0.01*$AD$8/$AL$8/1000</f>
        <v>13018.480786783306</v>
      </c>
      <c r="AL41" s="66">
        <f>Q41*Table546[DPV_Dsl]*0.01*$AD$8/$AL$8/1000</f>
        <v>31909.62565810006</v>
      </c>
      <c r="AM41" s="66">
        <f>R41*Table546[Bus]*0.01*$AD$8/$AL$9/1000</f>
        <v>27297.718191181651</v>
      </c>
      <c r="AN41" s="66">
        <f>Freight!E33*$AG$9*$AI$9*$AD$8/1000</f>
        <v>207591.86296077512</v>
      </c>
      <c r="AO41" s="66">
        <f t="shared" si="9"/>
        <v>279817.68759684014</v>
      </c>
      <c r="AQ41" s="66">
        <f>W41*Table546[Car_LPG]*0.01*$AD$9/$AL$8/1000</f>
        <v>139.51713616583234</v>
      </c>
      <c r="AR41" s="66">
        <f>X41*Table546[DPV_LPG]*0.01*$AD$9/$AL$8/1000</f>
        <v>14.325420231313139</v>
      </c>
      <c r="AS41" s="31">
        <f t="shared" si="29"/>
        <v>559.04957302492107</v>
      </c>
      <c r="AT41" s="66">
        <f t="shared" si="10"/>
        <v>712.89212942206655</v>
      </c>
      <c r="AU41" s="31">
        <f t="shared" si="11"/>
        <v>7128.921294220665</v>
      </c>
      <c r="AX41" s="148">
        <f t="shared" si="12"/>
        <v>432279.39392489498</v>
      </c>
      <c r="BB41" s="117">
        <f t="shared" si="37"/>
        <v>2038</v>
      </c>
      <c r="BC41" s="85">
        <f t="shared" si="13"/>
        <v>471.12543851364319</v>
      </c>
      <c r="BD41" s="85">
        <f t="shared" si="14"/>
        <v>0.22434544691125863</v>
      </c>
      <c r="BE41" s="85">
        <f t="shared" si="15"/>
        <v>2.175471000351599E-2</v>
      </c>
      <c r="BF41" s="85">
        <f t="shared" si="16"/>
        <v>897.80344518508934</v>
      </c>
      <c r="BG41" s="85">
        <f t="shared" si="17"/>
        <v>4.7252812904478386E-2</v>
      </c>
      <c r="BH41" s="85">
        <f t="shared" si="18"/>
        <v>4.7252812904478386E-2</v>
      </c>
      <c r="BI41" s="85">
        <f t="shared" si="19"/>
        <v>2.348138353732991</v>
      </c>
      <c r="BJ41" s="85">
        <f t="shared" si="20"/>
        <v>2.3072040876615761E-3</v>
      </c>
      <c r="BK41" s="85">
        <f t="shared" si="21"/>
        <v>7.4425938311663741E-6</v>
      </c>
      <c r="BL41">
        <f t="shared" si="22"/>
        <v>2038</v>
      </c>
      <c r="BM41" s="39">
        <f t="shared" si="23"/>
        <v>1371.2770220524656</v>
      </c>
      <c r="BN41" s="39">
        <f t="shared" si="23"/>
        <v>0.27390546390339859</v>
      </c>
      <c r="BO41" s="39">
        <f t="shared" si="23"/>
        <v>6.9014965501825537E-2</v>
      </c>
      <c r="BP41" s="184">
        <f t="shared" si="24"/>
        <v>1398.6911183695945</v>
      </c>
      <c r="BR41" s="198"/>
      <c r="BS41" s="198"/>
      <c r="BT41" s="198"/>
      <c r="BU41" s="19"/>
      <c r="BV41" s="19"/>
      <c r="BW41" s="19"/>
      <c r="BX41" s="197"/>
      <c r="BY41" s="19"/>
      <c r="BZ41" s="197"/>
      <c r="CA41" s="19"/>
      <c r="CB41" s="197"/>
      <c r="CC41" s="19"/>
    </row>
    <row r="42" spans="1:81" x14ac:dyDescent="0.25">
      <c r="A42" s="117">
        <f t="shared" si="34"/>
        <v>2039</v>
      </c>
      <c r="B42" s="66">
        <f>INDEX((Proj_PasMob!$Q$6:$Q$46),MATCH(A42,Proj_PasMob!$M$6:M$46,0))</f>
        <v>11332573339.975914</v>
      </c>
      <c r="C42" s="119">
        <f>B42*Table142[Gasoline]%</f>
        <v>6225023575.8663378</v>
      </c>
      <c r="D42" s="123">
        <f>B42*Table142[[Diesel ]]%</f>
        <v>5101341379.103569</v>
      </c>
      <c r="E42" s="121">
        <f>B42*Table142[LPG]%</f>
        <v>6208385.0060077859</v>
      </c>
      <c r="F42" s="66">
        <f t="shared" si="3"/>
        <v>0</v>
      </c>
      <c r="G42" s="195">
        <f>G41</f>
        <v>219070000</v>
      </c>
      <c r="H42" s="31">
        <f>C42*Table243[Autocycle]%</f>
        <v>704129443.40812016</v>
      </c>
      <c r="I42" s="66">
        <f>C42*Table243[Motocycle]%</f>
        <v>458440780.8293792</v>
      </c>
      <c r="J42" s="66">
        <f>(C42*Table243[cars]%)-($H$6*G42)</f>
        <v>4645115347.5128241</v>
      </c>
      <c r="K42" s="66">
        <f>C42*Table243[DPV]%</f>
        <v>157017129.64561462</v>
      </c>
      <c r="L42" s="66">
        <f>C42*Table243[Hybrid]%</f>
        <v>63157874.470399871</v>
      </c>
      <c r="M42" s="66">
        <f t="shared" si="4"/>
        <v>-197163000</v>
      </c>
      <c r="N42" s="195">
        <f>N41</f>
        <v>396550000</v>
      </c>
      <c r="O42" s="195">
        <f>D42*Table344[Buses]%</f>
        <v>4047723432.5776653</v>
      </c>
      <c r="P42" s="66">
        <f>(D42*Table344[Cars]%)-($J$6*G42)</f>
        <v>409484072.90690374</v>
      </c>
      <c r="Q42" s="66">
        <f>D42*Table344[DPV]%</f>
        <v>622226873.61899972</v>
      </c>
      <c r="R42" s="66">
        <f t="shared" si="5"/>
        <v>3651173432.5776653</v>
      </c>
      <c r="S42" s="66">
        <f t="shared" si="6"/>
        <v>-418457000</v>
      </c>
      <c r="W42" s="66">
        <f>E42*Table445[Cars]%</f>
        <v>5867840.68078373</v>
      </c>
      <c r="X42" s="66">
        <f>E42*Table445[DPV]%</f>
        <v>340544.32522405573</v>
      </c>
      <c r="Y42" s="66">
        <f t="shared" si="7"/>
        <v>0</v>
      </c>
      <c r="AB42" s="117">
        <f t="shared" si="35"/>
        <v>2039</v>
      </c>
      <c r="AD42" s="66">
        <f>H42*Table546[Autocycle]*0.01*$AD$7/1000</f>
        <v>12498.297620494131</v>
      </c>
      <c r="AE42" s="66">
        <f>I42*Table546[Motocycle]*0.01*$AD$7/1000</f>
        <v>9764.7886316657768</v>
      </c>
      <c r="AF42" s="66">
        <f>J42*Table546[Car]*0.01*$AD$7/$AL$8/1000</f>
        <v>112827.40699353516</v>
      </c>
      <c r="AG42" s="66">
        <f>K42*Table546[DPV]*0.01*$AD$7/$AL$8/1000</f>
        <v>6747.6045450339125</v>
      </c>
      <c r="AH42" s="66">
        <f>L42*Table546[Car_Hbrid]*0.01*$AD$7/$AL$8/1000</f>
        <v>944.04401839966113</v>
      </c>
      <c r="AI42" s="66">
        <f>Freight!E34*$AG$8*$AI$8*$AD$7/1000</f>
        <v>7041.2054900003395</v>
      </c>
      <c r="AJ42" s="66">
        <f t="shared" si="36"/>
        <v>149823.347299129</v>
      </c>
      <c r="AK42" s="66">
        <f>P42*Table546[Car_Dsl]*0.01*$AD$8/$AL$8/1000</f>
        <v>12823.317019979355</v>
      </c>
      <c r="AL42" s="66">
        <f>Q42*Table546[DPV_Dsl]*0.01*$AD$8/$AL$8/1000</f>
        <v>31455.205900581543</v>
      </c>
      <c r="AM42" s="66">
        <f>R42*Table546[Bus]*0.01*$AD$8/$AL$9/1000</f>
        <v>26867.420501725075</v>
      </c>
      <c r="AN42" s="66">
        <f>Freight!E34*$AG$9*$AI$9*$AD$8/1000</f>
        <v>213861.71806500125</v>
      </c>
      <c r="AO42" s="66">
        <f t="shared" si="9"/>
        <v>285007.6614872872</v>
      </c>
      <c r="AQ42" s="66">
        <f>W42*Table546[Car_LPG]*0.01*$AD$9/$AL$8/1000</f>
        <v>137.53029545934905</v>
      </c>
      <c r="AR42" s="66">
        <f>X42*Table546[DPV_LPG]*0.01*$AD$9/$AL$8/1000</f>
        <v>14.121414265915307</v>
      </c>
      <c r="AS42" s="31">
        <f t="shared" si="29"/>
        <v>519.35705334015165</v>
      </c>
      <c r="AT42" s="66">
        <f t="shared" si="10"/>
        <v>671.00876306541602</v>
      </c>
      <c r="AU42" s="31">
        <f t="shared" si="11"/>
        <v>6710.0876306541604</v>
      </c>
      <c r="AX42" s="148">
        <f t="shared" si="12"/>
        <v>435502.01754948159</v>
      </c>
      <c r="BB42" s="117">
        <f t="shared" si="37"/>
        <v>2039</v>
      </c>
      <c r="BC42" s="85">
        <f t="shared" si="13"/>
        <v>465.14755695876784</v>
      </c>
      <c r="BD42" s="85">
        <f t="shared" si="14"/>
        <v>0.22149883664703227</v>
      </c>
      <c r="BE42" s="85">
        <f t="shared" si="15"/>
        <v>2.1478675068803132E-2</v>
      </c>
      <c r="BF42" s="85">
        <f t="shared" si="16"/>
        <v>914.45563211180547</v>
      </c>
      <c r="BG42" s="85">
        <f t="shared" si="17"/>
        <v>4.8129243795358184E-2</v>
      </c>
      <c r="BH42" s="85">
        <f t="shared" si="18"/>
        <v>4.8129243795358184E-2</v>
      </c>
      <c r="BI42" s="85">
        <f t="shared" si="19"/>
        <v>2.2101820839601283</v>
      </c>
      <c r="BJ42" s="85">
        <f t="shared" si="20"/>
        <v>2.1716527607849121E-3</v>
      </c>
      <c r="BK42" s="85">
        <f t="shared" si="21"/>
        <v>7.0053314864029435E-6</v>
      </c>
      <c r="BL42">
        <f t="shared" si="22"/>
        <v>2039</v>
      </c>
      <c r="BM42" s="39">
        <f t="shared" si="23"/>
        <v>1381.8133711545333</v>
      </c>
      <c r="BN42" s="39">
        <f t="shared" si="23"/>
        <v>0.27179973320317535</v>
      </c>
      <c r="BO42" s="39">
        <f t="shared" si="23"/>
        <v>6.9614924195647715E-2</v>
      </c>
      <c r="BP42" s="184">
        <f t="shared" si="24"/>
        <v>1409.3536118949157</v>
      </c>
      <c r="BR42" s="198"/>
      <c r="BS42" s="198"/>
      <c r="BT42" s="198"/>
      <c r="BU42" s="19"/>
      <c r="BV42" s="19"/>
      <c r="BW42" s="19"/>
      <c r="BX42" s="197"/>
      <c r="BY42" s="19"/>
      <c r="BZ42" s="197"/>
      <c r="CA42" s="19"/>
      <c r="CB42" s="197"/>
      <c r="CC42" s="19"/>
    </row>
    <row r="43" spans="1:81" x14ac:dyDescent="0.25">
      <c r="A43" s="117">
        <f>A42+1</f>
        <v>2040</v>
      </c>
      <c r="B43" s="66">
        <f>INDEX((Proj_PasMob!$Q$6:$Q$46),MATCH(A43,Proj_PasMob!$M$6:M$46,0))</f>
        <v>11247537992.736448</v>
      </c>
      <c r="C43" s="119">
        <f>B43*Table142[Gasoline]%</f>
        <v>6178313351.6774178</v>
      </c>
      <c r="D43" s="123">
        <f>B43*Table142[[Diesel ]]%</f>
        <v>5063062841.4276724</v>
      </c>
      <c r="E43" s="121">
        <f>B43*Table142[LPG]%</f>
        <v>6161799.6313585993</v>
      </c>
      <c r="F43" s="66">
        <f t="shared" si="3"/>
        <v>0</v>
      </c>
      <c r="G43" s="195">
        <f t="shared" ref="G43:G53" si="38">G42</f>
        <v>219070000</v>
      </c>
      <c r="H43" s="31">
        <f>C43*Table243[Autocycle]%</f>
        <v>698845922.18787551</v>
      </c>
      <c r="I43" s="66">
        <f>C43*Table243[Motocycle]%</f>
        <v>455000814.47601426</v>
      </c>
      <c r="J43" s="66">
        <f>(C43*Table243[cars]%)-($H$6*G43)</f>
        <v>4608780720.9140806</v>
      </c>
      <c r="K43" s="66">
        <f>C43*Table243[DPV]%</f>
        <v>155838932.44879091</v>
      </c>
      <c r="L43" s="66">
        <f>C43*Table243[Hybrid]%</f>
        <v>62683961.650656462</v>
      </c>
      <c r="M43" s="66">
        <f t="shared" si="4"/>
        <v>-197163000</v>
      </c>
      <c r="N43" s="195">
        <f t="shared" ref="N43:N53" si="39">N42</f>
        <v>396550000</v>
      </c>
      <c r="O43" s="195">
        <f>D43*Table344[Buses]%</f>
        <v>4017350845.7615366</v>
      </c>
      <c r="P43" s="66">
        <f>(D43*Table344[Cars]%)-($J$6*G43)</f>
        <v>406247077.33845305</v>
      </c>
      <c r="Q43" s="66">
        <f>D43*Table344[DPV]%</f>
        <v>617557918.32768261</v>
      </c>
      <c r="R43" s="66">
        <f t="shared" si="5"/>
        <v>3620800845.7615366</v>
      </c>
      <c r="S43" s="66">
        <f t="shared" si="6"/>
        <v>-418457000</v>
      </c>
      <c r="W43" s="66">
        <f>E43*Table445[Cars]%</f>
        <v>5823810.6220435705</v>
      </c>
      <c r="X43" s="66">
        <f>E43*Table445[DPV]%</f>
        <v>337989.00931502861</v>
      </c>
      <c r="Y43" s="66">
        <f t="shared" si="7"/>
        <v>0</v>
      </c>
      <c r="AB43" s="117">
        <f t="shared" si="35"/>
        <v>2040</v>
      </c>
      <c r="AD43" s="66">
        <f>H43*Table546[Autocycle]*0.01*$AD$7/1000</f>
        <v>12404.51511883479</v>
      </c>
      <c r="AE43" s="66">
        <f>I43*Table546[Motocycle]*0.01*$AD$7/1000</f>
        <v>9691.5173483391045</v>
      </c>
      <c r="AF43" s="66">
        <f>J43*Table546[Car]*0.01*$AD$7/$AL$8/1000</f>
        <v>111944.85803693939</v>
      </c>
      <c r="AG43" s="66">
        <f>K43*Table546[DPV]*0.01*$AD$7/$AL$8/1000</f>
        <v>6696.9730707598819</v>
      </c>
      <c r="AH43" s="66">
        <f>L43*Table546[Car_Hbrid]*0.01*$AD$7/$AL$8/1000</f>
        <v>936.96026888349661</v>
      </c>
      <c r="AI43" s="66">
        <f>Freight!E35*$AG$8*$AI$8*$AD$7/1000</f>
        <v>7253.5918744692608</v>
      </c>
      <c r="AJ43" s="66">
        <f t="shared" si="36"/>
        <v>148928.41571822594</v>
      </c>
      <c r="AK43" s="66">
        <f>P43*Table546[Car_Dsl]*0.01*$AD$8/$AL$8/1000</f>
        <v>12721.947948230501</v>
      </c>
      <c r="AL43" s="66">
        <f>Q43*Table546[DPV_Dsl]*0.01*$AD$8/$AL$8/1000</f>
        <v>31219.177923881005</v>
      </c>
      <c r="AM43" s="66">
        <f>R43*Table546[Bus]*0.01*$AD$8/$AL$9/1000</f>
        <v>26643.921652168105</v>
      </c>
      <c r="AN43" s="66">
        <f>Freight!E35*$AG$9*$AI$9*$AD$8/1000</f>
        <v>220312.50509864814</v>
      </c>
      <c r="AO43" s="66">
        <f t="shared" si="9"/>
        <v>290897.55262292776</v>
      </c>
      <c r="AQ43" s="66">
        <f>W43*Table546[Car_LPG]*0.01*$AD$9/$AL$8/1000</f>
        <v>136.49832010128296</v>
      </c>
      <c r="AR43" s="66">
        <f>X43*Table546[DPV_LPG]*0.01*$AD$9/$AL$8/1000</f>
        <v>14.015452510399589</v>
      </c>
      <c r="AS43" s="31">
        <f t="shared" si="29"/>
        <v>482.48270255300093</v>
      </c>
      <c r="AT43" s="66">
        <f t="shared" si="10"/>
        <v>632.99647516468349</v>
      </c>
      <c r="AU43" s="31">
        <f t="shared" si="11"/>
        <v>6329.9647516468349</v>
      </c>
      <c r="AX43" s="148">
        <f t="shared" si="12"/>
        <v>440458.96481631836</v>
      </c>
      <c r="BB43" s="117">
        <f t="shared" si="37"/>
        <v>2040</v>
      </c>
      <c r="BC43" s="85">
        <f t="shared" si="13"/>
        <v>462.36911657543294</v>
      </c>
      <c r="BD43" s="85">
        <f t="shared" si="14"/>
        <v>0.22017576979782519</v>
      </c>
      <c r="BE43" s="85">
        <f t="shared" si="15"/>
        <v>2.1350377677364869E-2</v>
      </c>
      <c r="BF43" s="85">
        <f t="shared" si="16"/>
        <v>933.35352451724236</v>
      </c>
      <c r="BG43" s="85">
        <f t="shared" si="17"/>
        <v>4.9123869711433808E-2</v>
      </c>
      <c r="BH43" s="85">
        <f t="shared" si="18"/>
        <v>4.9123869711433808E-2</v>
      </c>
      <c r="BI43" s="85">
        <f t="shared" si="19"/>
        <v>2.0849764498269376</v>
      </c>
      <c r="BJ43" s="85">
        <f t="shared" si="20"/>
        <v>2.0486297922229814E-3</v>
      </c>
      <c r="BK43" s="85">
        <f t="shared" si="21"/>
        <v>6.6084832007192957E-6</v>
      </c>
      <c r="BL43">
        <f t="shared" si="22"/>
        <v>2040</v>
      </c>
      <c r="BM43" s="39">
        <f t="shared" si="23"/>
        <v>1397.8076175425022</v>
      </c>
      <c r="BN43" s="39">
        <f t="shared" si="23"/>
        <v>0.27134826930148198</v>
      </c>
      <c r="BO43" s="39">
        <f t="shared" si="23"/>
        <v>7.0480855871999398E-2</v>
      </c>
      <c r="BP43" s="184">
        <f t="shared" si="24"/>
        <v>1425.5946193248949</v>
      </c>
      <c r="BR43" s="198"/>
      <c r="BS43" s="198"/>
      <c r="BT43" s="198"/>
      <c r="BU43" s="19"/>
      <c r="BV43" s="19"/>
      <c r="BW43" s="19"/>
      <c r="BX43" s="197"/>
      <c r="BY43" s="19"/>
      <c r="BZ43" s="197"/>
      <c r="CA43" s="19"/>
      <c r="CB43" s="197"/>
      <c r="CC43" s="19"/>
    </row>
    <row r="44" spans="1:81" x14ac:dyDescent="0.25">
      <c r="A44" s="117">
        <f t="shared" si="34"/>
        <v>2041</v>
      </c>
      <c r="B44" s="66">
        <f>INDEX((Proj_PasMob!$Q$6:$Q$46),MATCH(A44,Proj_PasMob!$M$6:M$46,0))</f>
        <v>11160440688.593815</v>
      </c>
      <c r="C44" s="119">
        <f>B44*Table142[Gasoline]%</f>
        <v>6130470487.0943375</v>
      </c>
      <c r="D44" s="123">
        <f>B44*Table142[[Diesel ]]%</f>
        <v>5023856116.8557825</v>
      </c>
      <c r="E44" s="121">
        <f>B44*Table142[LPG]%</f>
        <v>6114084.6436959673</v>
      </c>
      <c r="F44" s="66">
        <f t="shared" si="3"/>
        <v>0</v>
      </c>
      <c r="G44" s="195">
        <f t="shared" si="38"/>
        <v>219070000</v>
      </c>
      <c r="H44" s="31">
        <f>C44*Table243[Autocycle]%</f>
        <v>693434284.914639</v>
      </c>
      <c r="I44" s="66">
        <f>C44*Table243[Motocycle]%</f>
        <v>451477435.01740247</v>
      </c>
      <c r="J44" s="66">
        <f>(C44*Table243[cars]%)-($H$6*G44)</f>
        <v>4571565043.8278465</v>
      </c>
      <c r="K44" s="66">
        <f>C44*Table243[DPV]%</f>
        <v>154632166.05195624</v>
      </c>
      <c r="L44" s="66">
        <f>C44*Table243[Hybrid]%</f>
        <v>62198557.282493569</v>
      </c>
      <c r="M44" s="66">
        <f t="shared" si="4"/>
        <v>-197163000</v>
      </c>
      <c r="N44" s="195">
        <f t="shared" si="39"/>
        <v>396550000</v>
      </c>
      <c r="O44" s="195">
        <f>D44*Table344[Buses]%</f>
        <v>3986241777.3870254</v>
      </c>
      <c r="P44" s="66">
        <f>(D44*Table344[Cars]%)-($J$6*G44)</f>
        <v>402931590.34761667</v>
      </c>
      <c r="Q44" s="66">
        <f>D44*Table344[DPV]%</f>
        <v>612775749.12114048</v>
      </c>
      <c r="R44" s="66">
        <f t="shared" si="5"/>
        <v>3589691777.3870254</v>
      </c>
      <c r="S44" s="66">
        <f t="shared" si="6"/>
        <v>-418457000</v>
      </c>
      <c r="W44" s="66">
        <f>E44*Table445[Cars]%</f>
        <v>5778712.9121852182</v>
      </c>
      <c r="X44" s="66">
        <f>E44*Table445[DPV]%</f>
        <v>335371.73151074926</v>
      </c>
      <c r="Y44" s="66">
        <f t="shared" si="7"/>
        <v>0</v>
      </c>
      <c r="AB44" s="117">
        <f t="shared" si="35"/>
        <v>2041</v>
      </c>
      <c r="AD44" s="66">
        <f>H44*Table546[Autocycle]*0.01*$AD$7/1000</f>
        <v>12308.458557234842</v>
      </c>
      <c r="AE44" s="66">
        <f>I44*Table546[Motocycle]*0.01*$AD$7/1000</f>
        <v>9616.469365870671</v>
      </c>
      <c r="AF44" s="66">
        <f>J44*Table546[Car]*0.01*$AD$7/$AL$8/1000</f>
        <v>111040.90882771324</v>
      </c>
      <c r="AG44" s="66">
        <f>K44*Table546[DPV]*0.01*$AD$7/$AL$8/1000</f>
        <v>6645.1138727064344</v>
      </c>
      <c r="AH44" s="66">
        <f>L44*Table546[Car_Hbrid]*0.01*$AD$7/$AL$8/1000</f>
        <v>929.70475095937752</v>
      </c>
      <c r="AI44" s="66">
        <f>Freight!E36*$AG$8*$AI$8*$AD$7/1000</f>
        <v>7472.3421617092827</v>
      </c>
      <c r="AJ44" s="66">
        <f t="shared" si="36"/>
        <v>148012.99753619387</v>
      </c>
      <c r="AK44" s="66">
        <f>P44*Table546[Car_Dsl]*0.01*$AD$8/$AL$8/1000</f>
        <v>12618.120855622734</v>
      </c>
      <c r="AL44" s="66">
        <f>Q44*Table546[DPV_Dsl]*0.01*$AD$8/$AL$8/1000</f>
        <v>30977.426685834496</v>
      </c>
      <c r="AM44" s="66">
        <f>R44*Table546[Bus]*0.01*$AD$8/$AL$9/1000</f>
        <v>26415.003350457955</v>
      </c>
      <c r="AN44" s="66">
        <f>Freight!E36*$AG$9*$AI$9*$AD$8/1000</f>
        <v>226956.58221339819</v>
      </c>
      <c r="AO44" s="66">
        <f t="shared" si="9"/>
        <v>296967.13310531341</v>
      </c>
      <c r="AQ44" s="66">
        <f>W44*Table546[Car_LPG]*0.01*$AD$9/$AL$8/1000</f>
        <v>135.44132116440474</v>
      </c>
      <c r="AR44" s="66">
        <f>X44*Table546[DPV_LPG]*0.01*$AD$9/$AL$8/1000</f>
        <v>13.906921369559413</v>
      </c>
      <c r="AS44" s="31">
        <f t="shared" si="29"/>
        <v>448.22643067173789</v>
      </c>
      <c r="AT44" s="66">
        <f t="shared" si="10"/>
        <v>597.57467320570208</v>
      </c>
      <c r="AU44" s="31">
        <f t="shared" si="11"/>
        <v>5975.7467320570213</v>
      </c>
      <c r="AX44" s="148">
        <f t="shared" si="12"/>
        <v>445577.70531471301</v>
      </c>
      <c r="BB44" s="117">
        <f t="shared" si="37"/>
        <v>2041</v>
      </c>
      <c r="BC44" s="85">
        <f t="shared" si="13"/>
        <v>459.52707267076892</v>
      </c>
      <c r="BD44" s="85">
        <f t="shared" si="14"/>
        <v>0.21882241555750898</v>
      </c>
      <c r="BE44" s="85">
        <f t="shared" si="15"/>
        <v>2.1219143326788748E-2</v>
      </c>
      <c r="BF44" s="85">
        <f t="shared" si="16"/>
        <v>952.82795558239116</v>
      </c>
      <c r="BG44" s="85">
        <f t="shared" si="17"/>
        <v>5.0148839767494263E-2</v>
      </c>
      <c r="BH44" s="85">
        <f t="shared" si="18"/>
        <v>5.0148839767494263E-2</v>
      </c>
      <c r="BI44" s="85">
        <f t="shared" si="19"/>
        <v>1.9683034100984056</v>
      </c>
      <c r="BJ44" s="85">
        <f t="shared" si="20"/>
        <v>1.933990672362934E-3</v>
      </c>
      <c r="BK44" s="85">
        <f t="shared" si="21"/>
        <v>6.2386795882675296E-6</v>
      </c>
      <c r="BL44">
        <f t="shared" si="22"/>
        <v>2041</v>
      </c>
      <c r="BM44" s="39">
        <f t="shared" si="23"/>
        <v>1414.3233316632584</v>
      </c>
      <c r="BN44" s="39">
        <f t="shared" si="23"/>
        <v>0.27090524599736615</v>
      </c>
      <c r="BO44" s="39">
        <f t="shared" si="23"/>
        <v>7.1374221773871274E-2</v>
      </c>
      <c r="BP44" s="184">
        <f t="shared" si="24"/>
        <v>1442.3654809018062</v>
      </c>
      <c r="BR44" s="198"/>
      <c r="BS44" s="198"/>
      <c r="BT44" s="198"/>
      <c r="BU44" s="19"/>
      <c r="BV44" s="19"/>
      <c r="BW44" s="19"/>
      <c r="BX44" s="197"/>
      <c r="BY44" s="19"/>
      <c r="BZ44" s="197"/>
      <c r="CA44" s="19"/>
      <c r="CB44" s="197"/>
      <c r="CC44" s="19"/>
    </row>
    <row r="45" spans="1:81" x14ac:dyDescent="0.25">
      <c r="A45" s="117">
        <f t="shared" si="34"/>
        <v>2042</v>
      </c>
      <c r="B45" s="66">
        <f>INDEX((Proj_PasMob!$Q$6:$Q$46),MATCH(A45,Proj_PasMob!$M$6:M$46,0))</f>
        <v>11071531741.267399</v>
      </c>
      <c r="C45" s="119">
        <f>B45*Table142[Gasoline]%</f>
        <v>6081632480.3496513</v>
      </c>
      <c r="D45" s="123">
        <f>B45*Table142[[Diesel ]]%</f>
        <v>4983833883.744009</v>
      </c>
      <c r="E45" s="121">
        <f>B45*Table142[LPG]%</f>
        <v>6065377.1737399483</v>
      </c>
      <c r="F45" s="66">
        <f t="shared" si="3"/>
        <v>0</v>
      </c>
      <c r="G45" s="195">
        <f t="shared" si="38"/>
        <v>219070000</v>
      </c>
      <c r="H45" s="31">
        <f>C45*Table243[Autocycle]%</f>
        <v>687910084.3895812</v>
      </c>
      <c r="I45" s="66">
        <f>C45*Table243[Motocycle]%</f>
        <v>447880768.48701614</v>
      </c>
      <c r="J45" s="66">
        <f>(C45*Table243[cars]%)-($H$6*G45)</f>
        <v>4533575272.4296608</v>
      </c>
      <c r="K45" s="66">
        <f>C45*Table243[DPV]%</f>
        <v>153400298.64724579</v>
      </c>
      <c r="L45" s="66">
        <f>C45*Table243[Hybrid]%</f>
        <v>61703056.396147743</v>
      </c>
      <c r="M45" s="66">
        <f t="shared" si="4"/>
        <v>-197163000</v>
      </c>
      <c r="N45" s="195">
        <f t="shared" si="39"/>
        <v>396550000</v>
      </c>
      <c r="O45" s="195">
        <f>D45*Table344[Buses]%</f>
        <v>3954485633.5119648</v>
      </c>
      <c r="P45" s="66">
        <f>(D45*Table344[Cars]%)-($J$6*G45)</f>
        <v>399547140.49430144</v>
      </c>
      <c r="Q45" s="66">
        <f>D45*Table344[DPV]%</f>
        <v>607894109.73774254</v>
      </c>
      <c r="R45" s="66">
        <f t="shared" si="5"/>
        <v>3557935633.5119648</v>
      </c>
      <c r="S45" s="66">
        <f t="shared" si="6"/>
        <v>-418457000</v>
      </c>
      <c r="W45" s="66">
        <f>E45*Table445[Cars]%</f>
        <v>5732677.1599904997</v>
      </c>
      <c r="X45" s="66">
        <f>E45*Table445[DPV]%</f>
        <v>332700.01374944864</v>
      </c>
      <c r="Y45" s="66">
        <f t="shared" si="7"/>
        <v>0</v>
      </c>
      <c r="AB45" s="117">
        <f t="shared" si="35"/>
        <v>2042</v>
      </c>
      <c r="AD45" s="66">
        <f>H45*Table546[Autocycle]*0.01*$AD$7/1000</f>
        <v>12210.403997915068</v>
      </c>
      <c r="AE45" s="66">
        <f>I45*Table546[Motocycle]*0.01*$AD$7/1000</f>
        <v>9539.860368773443</v>
      </c>
      <c r="AF45" s="66">
        <f>J45*Table546[Car]*0.01*$AD$7/$AL$8/1000</f>
        <v>110118.1572750678</v>
      </c>
      <c r="AG45" s="66">
        <f>K45*Table546[DPV]*0.01*$AD$7/$AL$8/1000</f>
        <v>6592.1759918671678</v>
      </c>
      <c r="AH45" s="66">
        <f>L45*Table546[Car_Hbrid]*0.01*$AD$7/$AL$8/1000</f>
        <v>922.29831665820848</v>
      </c>
      <c r="AI45" s="66">
        <f>Freight!E37*$AG$8*$AI$8*$AD$7/1000</f>
        <v>7697.6472688035337</v>
      </c>
      <c r="AJ45" s="66">
        <f t="shared" si="36"/>
        <v>147080.54321908523</v>
      </c>
      <c r="AK45" s="66">
        <f>P45*Table546[Car_Dsl]*0.01*$AD$8/$AL$8/1000</f>
        <v>12512.134136532073</v>
      </c>
      <c r="AL45" s="66">
        <f>Q45*Table546[DPV_Dsl]*0.01*$AD$8/$AL$8/1000</f>
        <v>30730.646968584308</v>
      </c>
      <c r="AM45" s="66">
        <f>R45*Table546[Bus]*0.01*$AD$8/$AL$9/1000</f>
        <v>26181.323497457328</v>
      </c>
      <c r="AN45" s="66">
        <f>Freight!E37*$AG$9*$AI$9*$AD$8/1000</f>
        <v>233799.74811168434</v>
      </c>
      <c r="AO45" s="66">
        <f t="shared" si="9"/>
        <v>303223.85271425801</v>
      </c>
      <c r="AQ45" s="66">
        <f>W45*Table546[Car_LPG]*0.01*$AD$9/$AL$8/1000</f>
        <v>134.36233641593208</v>
      </c>
      <c r="AR45" s="66">
        <f>X45*Table546[DPV_LPG]*0.01*$AD$9/$AL$8/1000</f>
        <v>13.796132756993027</v>
      </c>
      <c r="AS45" s="31">
        <f t="shared" si="29"/>
        <v>416.40235409404454</v>
      </c>
      <c r="AT45" s="66">
        <f t="shared" si="10"/>
        <v>564.56082326696969</v>
      </c>
      <c r="AU45" s="31">
        <f t="shared" si="11"/>
        <v>5645.6082326696969</v>
      </c>
      <c r="AX45" s="148">
        <f t="shared" si="12"/>
        <v>450868.95675661019</v>
      </c>
      <c r="BB45" s="117">
        <f t="shared" si="37"/>
        <v>2042</v>
      </c>
      <c r="BC45" s="85">
        <f t="shared" si="13"/>
        <v>456.63213769970071</v>
      </c>
      <c r="BD45" s="85">
        <f t="shared" si="14"/>
        <v>0.21744387509509555</v>
      </c>
      <c r="BE45" s="85">
        <f t="shared" si="15"/>
        <v>2.1085466675888058E-2</v>
      </c>
      <c r="BF45" s="85">
        <f t="shared" si="16"/>
        <v>972.90282814927821</v>
      </c>
      <c r="BG45" s="85">
        <f t="shared" si="17"/>
        <v>5.1205412007856742E-2</v>
      </c>
      <c r="BH45" s="85">
        <f t="shared" si="18"/>
        <v>5.1205412007856742E-2</v>
      </c>
      <c r="BI45" s="85">
        <f t="shared" si="19"/>
        <v>1.85956173089321</v>
      </c>
      <c r="BJ45" s="85">
        <f t="shared" si="20"/>
        <v>1.8271446484212205E-3</v>
      </c>
      <c r="BK45" s="85">
        <f t="shared" si="21"/>
        <v>5.8940149949071636E-6</v>
      </c>
      <c r="BL45">
        <f t="shared" si="22"/>
        <v>2042</v>
      </c>
      <c r="BM45" s="39">
        <f t="shared" si="23"/>
        <v>1431.3945275798721</v>
      </c>
      <c r="BN45" s="39">
        <f t="shared" si="23"/>
        <v>0.27047643175137348</v>
      </c>
      <c r="BO45" s="39">
        <f t="shared" si="23"/>
        <v>7.22967726987397E-2</v>
      </c>
      <c r="BP45" s="184">
        <f t="shared" si="24"/>
        <v>1459.700876637881</v>
      </c>
      <c r="BR45" s="198"/>
      <c r="BS45" s="198"/>
      <c r="BT45" s="198"/>
      <c r="BU45" s="19"/>
      <c r="BV45" s="19"/>
      <c r="BW45" s="19"/>
      <c r="BX45" s="197"/>
      <c r="BY45" s="19"/>
      <c r="BZ45" s="197"/>
      <c r="CA45" s="19"/>
      <c r="CB45" s="197"/>
      <c r="CC45" s="19"/>
    </row>
    <row r="46" spans="1:81" x14ac:dyDescent="0.25">
      <c r="A46" s="117">
        <f t="shared" si="34"/>
        <v>2043</v>
      </c>
      <c r="B46" s="66">
        <f>INDEX((Proj_PasMob!$Q$6:$Q$46),MATCH(A46,Proj_PasMob!$M$6:M$46,0))</f>
        <v>10981044657.809532</v>
      </c>
      <c r="C46" s="119">
        <f>B46*Table142[Gasoline]%</f>
        <v>6031927597.7128353</v>
      </c>
      <c r="D46" s="123">
        <f>B46*Table142[[Diesel ]]%</f>
        <v>4943101254.9517736</v>
      </c>
      <c r="E46" s="121">
        <f>B46*Table142[LPG]%</f>
        <v>6015805.1449231999</v>
      </c>
      <c r="F46" s="66">
        <f t="shared" si="3"/>
        <v>0</v>
      </c>
      <c r="G46" s="195">
        <f t="shared" si="38"/>
        <v>219070000</v>
      </c>
      <c r="H46" s="31">
        <f>C46*Table243[Autocycle]%</f>
        <v>682287829.16127777</v>
      </c>
      <c r="I46" s="66">
        <f>C46*Table243[Motocycle]%</f>
        <v>444220261.03200889</v>
      </c>
      <c r="J46" s="66">
        <f>(C46*Table243[cars]%)-($H$6*G46)</f>
        <v>4494911181.5993824</v>
      </c>
      <c r="K46" s="66">
        <f>C46*Table243[DPV]%</f>
        <v>152146565.56400701</v>
      </c>
      <c r="L46" s="66">
        <f>C46*Table243[Hybrid]%</f>
        <v>61198760.356159635</v>
      </c>
      <c r="M46" s="66">
        <f t="shared" si="4"/>
        <v>-197163000</v>
      </c>
      <c r="N46" s="195">
        <f t="shared" si="39"/>
        <v>396550000</v>
      </c>
      <c r="O46" s="195">
        <f>D46*Table344[Buses]%</f>
        <v>3922165817.2557569</v>
      </c>
      <c r="P46" s="66">
        <f>(D46*Table344[Cars]%)-($J$6*G46)</f>
        <v>396102616.56791234</v>
      </c>
      <c r="Q46" s="66">
        <f>D46*Table344[DPV]%</f>
        <v>602925821.12810445</v>
      </c>
      <c r="R46" s="66">
        <f t="shared" si="5"/>
        <v>3525615817.2557569</v>
      </c>
      <c r="S46" s="66">
        <f t="shared" si="6"/>
        <v>-418457000</v>
      </c>
      <c r="W46" s="66">
        <f>E46*Table445[Cars]%</f>
        <v>5685824.2719949232</v>
      </c>
      <c r="X46" s="66">
        <f>E46*Table445[DPV]%</f>
        <v>329980.87292827677</v>
      </c>
      <c r="Y46" s="66">
        <f t="shared" si="7"/>
        <v>0</v>
      </c>
      <c r="AB46" s="117">
        <f t="shared" si="35"/>
        <v>2043</v>
      </c>
      <c r="AD46" s="66">
        <f>H46*Table546[Autocycle]*0.01*$AD$7/1000</f>
        <v>12110.608967612678</v>
      </c>
      <c r="AE46" s="66">
        <f>I46*Table546[Motocycle]*0.01*$AD$7/1000</f>
        <v>9461.8915599817901</v>
      </c>
      <c r="AF46" s="66">
        <f>J46*Table546[Car]*0.01*$AD$7/$AL$8/1000</f>
        <v>109179.02685832184</v>
      </c>
      <c r="AG46" s="66">
        <f>K46*Table546[DPV]*0.01*$AD$7/$AL$8/1000</f>
        <v>6538.298462263775</v>
      </c>
      <c r="AH46" s="66">
        <f>L46*Table546[Car_Hbrid]*0.01*$AD$7/$AL$8/1000</f>
        <v>914.76041795522826</v>
      </c>
      <c r="AI46" s="66">
        <f>Freight!E38*$AG$8*$AI$8*$AD$7/1000</f>
        <v>7929.7038403476463</v>
      </c>
      <c r="AJ46" s="66">
        <f t="shared" si="36"/>
        <v>146134.29010648298</v>
      </c>
      <c r="AK46" s="66">
        <f>P46*Table546[Car_Dsl]*0.01*$AD$8/$AL$8/1000</f>
        <v>12404.266150416202</v>
      </c>
      <c r="AL46" s="66">
        <f>Q46*Table546[DPV_Dsl]*0.01*$AD$8/$AL$8/1000</f>
        <v>30479.486904923386</v>
      </c>
      <c r="AM46" s="66">
        <f>R46*Table546[Bus]*0.01*$AD$8/$AL$9/1000</f>
        <v>25943.495820977718</v>
      </c>
      <c r="AN46" s="66">
        <f>Freight!E38*$AG$9*$AI$9*$AD$8/1000</f>
        <v>240847.97545701289</v>
      </c>
      <c r="AO46" s="66">
        <f t="shared" si="9"/>
        <v>309675.22433333017</v>
      </c>
      <c r="AQ46" s="66">
        <f>W46*Table546[Car_LPG]*0.01*$AD$9/$AL$8/1000</f>
        <v>133.2641996600625</v>
      </c>
      <c r="AR46" s="66">
        <f>X46*Table546[DPV_LPG]*0.01*$AD$9/$AL$8/1000</f>
        <v>13.683377643667132</v>
      </c>
      <c r="AS46" s="31">
        <f t="shared" si="29"/>
        <v>386.83778695336741</v>
      </c>
      <c r="AT46" s="66">
        <f t="shared" si="10"/>
        <v>533.78536425709706</v>
      </c>
      <c r="AU46" s="31">
        <f t="shared" si="11"/>
        <v>5337.8536425709708</v>
      </c>
      <c r="AX46" s="148">
        <f t="shared" si="12"/>
        <v>456343.29980407027</v>
      </c>
      <c r="BB46" s="117">
        <f t="shared" si="37"/>
        <v>2043</v>
      </c>
      <c r="BC46" s="85">
        <f t="shared" si="13"/>
        <v>453.69436243619128</v>
      </c>
      <c r="BD46" s="85">
        <f t="shared" si="14"/>
        <v>0.21604493449342438</v>
      </c>
      <c r="BE46" s="85">
        <f t="shared" si="15"/>
        <v>2.0949811829665398E-2</v>
      </c>
      <c r="BF46" s="85">
        <f t="shared" si="16"/>
        <v>993.60224753021976</v>
      </c>
      <c r="BG46" s="85">
        <f t="shared" si="17"/>
        <v>5.2294855133169456E-2</v>
      </c>
      <c r="BH46" s="85">
        <f t="shared" si="18"/>
        <v>5.2294855133169456E-2</v>
      </c>
      <c r="BI46" s="85">
        <f t="shared" si="19"/>
        <v>1.7581929084973111</v>
      </c>
      <c r="BJ46" s="85">
        <f t="shared" si="20"/>
        <v>1.7275429528816688E-3</v>
      </c>
      <c r="BK46" s="85">
        <f t="shared" si="21"/>
        <v>5.5727192028440938E-6</v>
      </c>
      <c r="BL46">
        <f t="shared" si="22"/>
        <v>2043</v>
      </c>
      <c r="BM46" s="39">
        <f t="shared" si="23"/>
        <v>1449.0548028749083</v>
      </c>
      <c r="BN46" s="39">
        <f t="shared" si="23"/>
        <v>0.27006733257947552</v>
      </c>
      <c r="BO46" s="39">
        <f t="shared" si="23"/>
        <v>7.3250239682037699E-2</v>
      </c>
      <c r="BP46" s="184">
        <f t="shared" si="24"/>
        <v>1477.6350576146424</v>
      </c>
      <c r="BR46" s="198"/>
      <c r="BS46" s="198"/>
      <c r="BT46" s="198"/>
      <c r="BU46" s="19"/>
      <c r="BV46" s="19"/>
      <c r="BW46" s="19"/>
      <c r="BX46" s="197"/>
      <c r="BY46" s="19"/>
      <c r="BZ46" s="197"/>
      <c r="CA46" s="19"/>
      <c r="CB46" s="197"/>
      <c r="CC46" s="19"/>
    </row>
    <row r="47" spans="1:81" x14ac:dyDescent="0.25">
      <c r="A47" s="117">
        <f t="shared" si="34"/>
        <v>2044</v>
      </c>
      <c r="B47" s="66">
        <f>INDEX((Proj_PasMob!$Q$6:$Q$46),MATCH(A47,Proj_PasMob!$M$6:M$46,0))</f>
        <v>10889195065.958414</v>
      </c>
      <c r="C47" s="119">
        <f>B47*Table142[Gasoline]%</f>
        <v>5981474284.2813673</v>
      </c>
      <c r="D47" s="123">
        <f>B47*Table142[[Diesel ]]%</f>
        <v>4901755294.991291</v>
      </c>
      <c r="E47" s="121">
        <f>B47*Table142[LPG]%</f>
        <v>5965486.6857569236</v>
      </c>
      <c r="F47" s="66">
        <f t="shared" si="3"/>
        <v>0</v>
      </c>
      <c r="G47" s="195">
        <f t="shared" si="38"/>
        <v>219070000</v>
      </c>
      <c r="H47" s="31">
        <f>C47*Table243[Autocycle]%</f>
        <v>676580916.8786763</v>
      </c>
      <c r="I47" s="66">
        <f>C47*Table243[Motocycle]%</f>
        <v>440504635.52102715</v>
      </c>
      <c r="J47" s="66">
        <f>(C47*Table243[cars]%)-($H$6*G47)</f>
        <v>4455664906.591424</v>
      </c>
      <c r="K47" s="66">
        <f>C47*Table243[DPV]%</f>
        <v>150873954.40686497</v>
      </c>
      <c r="L47" s="66">
        <f>C47*Table243[Hybrid]%</f>
        <v>60686870.88337528</v>
      </c>
      <c r="M47" s="66">
        <f t="shared" si="4"/>
        <v>-197163000</v>
      </c>
      <c r="N47" s="195">
        <f t="shared" si="39"/>
        <v>396550000</v>
      </c>
      <c r="O47" s="195">
        <f>D47*Table344[Buses]%</f>
        <v>3889359345.6755562</v>
      </c>
      <c r="P47" s="66">
        <f>(D47*Table344[Cars]%)-($J$6*G47)</f>
        <v>392606226.75546408</v>
      </c>
      <c r="Q47" s="66">
        <f>D47*Table344[DPV]%</f>
        <v>597882722.56027091</v>
      </c>
      <c r="R47" s="66">
        <f t="shared" si="5"/>
        <v>3492809345.6755562</v>
      </c>
      <c r="S47" s="66">
        <f t="shared" si="6"/>
        <v>-418457000</v>
      </c>
      <c r="W47" s="66">
        <f>E47*Table445[Cars]%</f>
        <v>5638265.8970867125</v>
      </c>
      <c r="X47" s="66">
        <f>E47*Table445[DPV]%</f>
        <v>327220.78867021098</v>
      </c>
      <c r="Y47" s="66">
        <f t="shared" si="7"/>
        <v>0</v>
      </c>
      <c r="AB47" s="117">
        <f t="shared" si="35"/>
        <v>2044</v>
      </c>
      <c r="AD47" s="66">
        <f>H47*Table546[Autocycle]*0.01*$AD$7/1000</f>
        <v>12009.311274596503</v>
      </c>
      <c r="AE47" s="66">
        <f>I47*Table546[Motocycle]*0.01*$AD$7/1000</f>
        <v>9382.7487365978795</v>
      </c>
      <c r="AF47" s="66">
        <f>J47*Table546[Car]*0.01*$AD$7/$AL$8/1000</f>
        <v>108225.75549431276</v>
      </c>
      <c r="AG47" s="66">
        <f>K47*Table546[DPV]*0.01*$AD$7/$AL$8/1000</f>
        <v>6483.6096722739612</v>
      </c>
      <c r="AH47" s="66">
        <f>L47*Table546[Car_Hbrid]*0.01*$AD$7/$AL$8/1000</f>
        <v>907.10901741466205</v>
      </c>
      <c r="AI47" s="66">
        <f>Freight!E39*$AG$8*$AI$8*$AD$7/1000</f>
        <v>8168.7144202751133</v>
      </c>
      <c r="AJ47" s="66">
        <f t="shared" si="36"/>
        <v>145177.24861547089</v>
      </c>
      <c r="AK47" s="66">
        <f>P47*Table546[Car_Dsl]*0.01*$AD$8/$AL$8/1000</f>
        <v>12294.773943131639</v>
      </c>
      <c r="AL47" s="66">
        <f>Q47*Table546[DPV_Dsl]*0.01*$AD$8/$AL$8/1000</f>
        <v>30224.54500100738</v>
      </c>
      <c r="AM47" s="66">
        <f>R47*Table546[Bus]*0.01*$AD$8/$AL$9/1000</f>
        <v>25702.08705653542</v>
      </c>
      <c r="AN47" s="66">
        <f>Freight!E39*$AG$9*$AI$9*$AD$8/1000</f>
        <v>248107.41609279497</v>
      </c>
      <c r="AO47" s="66">
        <f t="shared" si="9"/>
        <v>316328.82209346944</v>
      </c>
      <c r="AQ47" s="66">
        <f>W47*Table546[Car_LPG]*0.01*$AD$9/$AL$8/1000</f>
        <v>132.14952772050003</v>
      </c>
      <c r="AR47" s="66">
        <f>X47*Table546[DPV_LPG]*0.01*$AD$9/$AL$8/1000</f>
        <v>13.568924721301341</v>
      </c>
      <c r="AS47" s="31">
        <f t="shared" si="29"/>
        <v>359.37230407967837</v>
      </c>
      <c r="AT47" s="66">
        <f t="shared" si="10"/>
        <v>505.09075652147976</v>
      </c>
      <c r="AU47" s="31">
        <f t="shared" si="11"/>
        <v>5050.9075652147976</v>
      </c>
      <c r="AX47" s="148">
        <f t="shared" si="12"/>
        <v>462011.16146546183</v>
      </c>
      <c r="BB47" s="117">
        <f t="shared" si="37"/>
        <v>2044</v>
      </c>
      <c r="BC47" s="85">
        <f t="shared" si="13"/>
        <v>450.72309314153551</v>
      </c>
      <c r="BD47" s="85">
        <f t="shared" si="14"/>
        <v>0.21463004435311211</v>
      </c>
      <c r="BE47" s="85">
        <f t="shared" si="15"/>
        <v>2.0812610361513904E-2</v>
      </c>
      <c r="BF47" s="85">
        <f t="shared" si="16"/>
        <v>1014.9505155515594</v>
      </c>
      <c r="BG47" s="85">
        <f t="shared" si="17"/>
        <v>5.3418448186924171E-2</v>
      </c>
      <c r="BH47" s="85">
        <f t="shared" si="18"/>
        <v>5.3418448186924171E-2</v>
      </c>
      <c r="BI47" s="85">
        <f t="shared" si="19"/>
        <v>1.6636780356455805</v>
      </c>
      <c r="BJ47" s="85">
        <f t="shared" si="20"/>
        <v>1.6346757244061171E-3</v>
      </c>
      <c r="BK47" s="85">
        <f t="shared" si="21"/>
        <v>5.273147498084249E-6</v>
      </c>
      <c r="BL47">
        <f t="shared" si="22"/>
        <v>2044</v>
      </c>
      <c r="BM47" s="39">
        <f t="shared" si="23"/>
        <v>1467.3372867287405</v>
      </c>
      <c r="BN47" s="39">
        <f t="shared" si="23"/>
        <v>0.26968316826444239</v>
      </c>
      <c r="BO47" s="39">
        <f t="shared" si="23"/>
        <v>7.4236331695936159E-2</v>
      </c>
      <c r="BP47" s="184">
        <f t="shared" si="24"/>
        <v>1496.2017927807406</v>
      </c>
      <c r="BR47" s="198"/>
      <c r="BS47" s="198"/>
      <c r="BT47" s="198"/>
      <c r="BU47" s="19"/>
      <c r="BV47" s="19"/>
      <c r="BW47" s="19"/>
      <c r="BX47" s="197"/>
      <c r="BY47" s="19"/>
      <c r="BZ47" s="197"/>
      <c r="CA47" s="19"/>
      <c r="CB47" s="197"/>
      <c r="CC47" s="19"/>
    </row>
    <row r="48" spans="1:81" x14ac:dyDescent="0.25">
      <c r="A48" s="117">
        <f t="shared" si="34"/>
        <v>2045</v>
      </c>
      <c r="B48" s="66">
        <f>INDEX((Proj_PasMob!$Q$6:$Q$46),MATCH(A48,Proj_PasMob!$M$6:M$46,0))</f>
        <v>10784141087.93745</v>
      </c>
      <c r="C48" s="119">
        <f>B48*Table142[Gasoline]%</f>
        <v>5923767753.7079296</v>
      </c>
      <c r="D48" s="123">
        <f>B48*Table142[[Diesel ]]%</f>
        <v>4854465399.833293</v>
      </c>
      <c r="E48" s="121">
        <f>B48*Table142[LPG]%</f>
        <v>5907934.3962282846</v>
      </c>
      <c r="F48" s="66">
        <f t="shared" si="3"/>
        <v>0</v>
      </c>
      <c r="G48" s="195">
        <f t="shared" si="38"/>
        <v>219070000</v>
      </c>
      <c r="H48" s="31">
        <f>C48*Table243[Autocycle]%</f>
        <v>670053573.36608028</v>
      </c>
      <c r="I48" s="66">
        <f>C48*Table243[Motocycle]%</f>
        <v>436254848.09249365</v>
      </c>
      <c r="J48" s="66">
        <f>(C48*Table243[cars]%)-($H$6*G48)</f>
        <v>4410776549.1257324</v>
      </c>
      <c r="K48" s="66">
        <f>C48*Table243[DPV]%</f>
        <v>149418391.43878624</v>
      </c>
      <c r="L48" s="66">
        <f>C48*Table243[Hybrid]%</f>
        <v>60101391.684837103</v>
      </c>
      <c r="M48" s="66">
        <f t="shared" si="4"/>
        <v>-197162999.99999905</v>
      </c>
      <c r="N48" s="195">
        <f t="shared" si="39"/>
        <v>396550000</v>
      </c>
      <c r="O48" s="195">
        <f>D48*Table344[Buses]%</f>
        <v>3851836584.0075641</v>
      </c>
      <c r="P48" s="66">
        <f>(D48*Table344[Cars]%)-($J$6*G48)</f>
        <v>388607192.56155002</v>
      </c>
      <c r="Q48" s="66">
        <f>D48*Table344[DPV]%</f>
        <v>592114623.26417899</v>
      </c>
      <c r="R48" s="66">
        <f t="shared" si="5"/>
        <v>3455286584.0075641</v>
      </c>
      <c r="S48" s="66">
        <f t="shared" si="6"/>
        <v>-418457000</v>
      </c>
      <c r="W48" s="66">
        <f>E48*Table445[Cars]%</f>
        <v>5583870.484198885</v>
      </c>
      <c r="X48" s="66">
        <f>E48*Table445[DPV]%</f>
        <v>324063.91202939954</v>
      </c>
      <c r="Y48" s="66">
        <f t="shared" si="7"/>
        <v>0</v>
      </c>
      <c r="AB48" s="117">
        <f t="shared" si="35"/>
        <v>2045</v>
      </c>
      <c r="AD48" s="66">
        <f>H48*Table546[Autocycle]*0.01*$AD$7/1000</f>
        <v>11893.450927247924</v>
      </c>
      <c r="AE48" s="66">
        <f>I48*Table546[Motocycle]*0.01*$AD$7/1000</f>
        <v>9292.2282643701146</v>
      </c>
      <c r="AF48" s="66">
        <f>J48*Table546[Car]*0.01*$AD$7/$AL$8/1000</f>
        <v>107135.44091692241</v>
      </c>
      <c r="AG48" s="66">
        <f>K48*Table546[DPV]*0.01*$AD$7/$AL$8/1000</f>
        <v>6421.0587689352087</v>
      </c>
      <c r="AH48" s="66">
        <f>L48*Table546[Car_Hbrid]*0.01*$AD$7/$AL$8/1000</f>
        <v>898.35764413124934</v>
      </c>
      <c r="AI48" s="66">
        <f>Freight!E40*$AG$8*$AI$8*$AD$7/1000</f>
        <v>8414.9194745784989</v>
      </c>
      <c r="AJ48" s="66">
        <f t="shared" si="36"/>
        <v>144055.4559961854</v>
      </c>
      <c r="AK48" s="66">
        <f>P48*Table546[Car_Dsl]*0.01*$AD$8/$AL$8/1000</f>
        <v>12169.54103021696</v>
      </c>
      <c r="AL48" s="66">
        <f>Q48*Table546[DPV_Dsl]*0.01*$AD$8/$AL$8/1000</f>
        <v>29932.952402381263</v>
      </c>
      <c r="AM48" s="66">
        <f>R48*Table546[Bus]*0.01*$AD$8/$AL$9/1000</f>
        <v>25425.973134604235</v>
      </c>
      <c r="AN48" s="66">
        <f>Freight!E40*$AG$9*$AI$9*$AD$8/1000</f>
        <v>255585.37366474574</v>
      </c>
      <c r="AO48" s="66">
        <f t="shared" si="9"/>
        <v>323113.84023194818</v>
      </c>
      <c r="AQ48" s="66">
        <f>W48*Table546[Car_LPG]*0.01*$AD$9/$AL$8/1000</f>
        <v>130.87460946469335</v>
      </c>
      <c r="AR48" s="66">
        <f>X48*Table546[DPV_LPG]*0.01*$AD$9/$AL$8/1000</f>
        <v>13.438017936106906</v>
      </c>
      <c r="AS48" s="31">
        <f t="shared" si="29"/>
        <v>333.85687049002121</v>
      </c>
      <c r="AT48" s="66">
        <f t="shared" si="10"/>
        <v>478.1694978908215</v>
      </c>
      <c r="AU48" s="31">
        <f t="shared" si="11"/>
        <v>4781.6949789082155</v>
      </c>
      <c r="AX48" s="148">
        <f t="shared" si="12"/>
        <v>467647.46572602435</v>
      </c>
      <c r="BB48" s="117">
        <f t="shared" si="37"/>
        <v>2045</v>
      </c>
      <c r="BC48" s="85">
        <f t="shared" si="13"/>
        <v>447.24033090399701</v>
      </c>
      <c r="BD48" s="85">
        <f t="shared" si="14"/>
        <v>0.21297158614476044</v>
      </c>
      <c r="BE48" s="85">
        <f t="shared" si="15"/>
        <v>2.0651790171613137E-2</v>
      </c>
      <c r="BF48" s="85">
        <f t="shared" si="16"/>
        <v>1036.7204497994126</v>
      </c>
      <c r="BG48" s="85">
        <f t="shared" si="17"/>
        <v>5.4564234199969079E-2</v>
      </c>
      <c r="BH48" s="85">
        <f t="shared" si="18"/>
        <v>5.4564234199969079E-2</v>
      </c>
      <c r="BI48" s="85">
        <f t="shared" si="19"/>
        <v>1.5750042555427455</v>
      </c>
      <c r="BJ48" s="85">
        <f t="shared" si="20"/>
        <v>1.5475477629738547E-3</v>
      </c>
      <c r="BK48" s="85">
        <f t="shared" si="21"/>
        <v>4.9920895579801765E-6</v>
      </c>
      <c r="BL48">
        <f t="shared" si="22"/>
        <v>2045</v>
      </c>
      <c r="BM48" s="39">
        <f t="shared" si="23"/>
        <v>1485.5357849589523</v>
      </c>
      <c r="BN48" s="39">
        <f t="shared" si="23"/>
        <v>0.26908336810770334</v>
      </c>
      <c r="BO48" s="39">
        <f t="shared" si="23"/>
        <v>7.5221016461140197E-2</v>
      </c>
      <c r="BP48" s="184">
        <f t="shared" si="24"/>
        <v>1514.6787320670646</v>
      </c>
      <c r="BR48" s="198"/>
      <c r="BS48" s="198"/>
      <c r="BT48" s="198"/>
      <c r="BU48" s="19"/>
      <c r="BV48" s="19"/>
      <c r="BW48" s="19"/>
      <c r="BX48" s="197"/>
      <c r="BY48" s="19"/>
      <c r="BZ48" s="197"/>
      <c r="CA48" s="19"/>
      <c r="CB48" s="197"/>
      <c r="CC48" s="19"/>
    </row>
    <row r="49" spans="1:82" x14ac:dyDescent="0.25">
      <c r="A49" s="117">
        <f t="shared" si="34"/>
        <v>2046</v>
      </c>
      <c r="B49" s="66">
        <f>INDEX((Proj_PasMob!$Q$6:$Q$46),MATCH(A49,Proj_PasMob!$M$6:M$46,0))</f>
        <v>10678041059.924702</v>
      </c>
      <c r="C49" s="119">
        <f>B49*Table142[Gasoline]%</f>
        <v>5865486624.0857983</v>
      </c>
      <c r="D49" s="123">
        <f>B49*Table142[[Diesel ]]%</f>
        <v>4806704626.795434</v>
      </c>
      <c r="E49" s="121">
        <f>B49*Table142[LPG]%</f>
        <v>5849809.0434694597</v>
      </c>
      <c r="F49" s="66">
        <f t="shared" si="3"/>
        <v>0</v>
      </c>
      <c r="G49" s="195">
        <f t="shared" si="38"/>
        <v>219070000</v>
      </c>
      <c r="H49" s="31">
        <f>C49*Table243[Autocycle]%</f>
        <v>663461235.38343799</v>
      </c>
      <c r="I49" s="66">
        <f>C49*Table243[Motocycle]%</f>
        <v>431962744.41674662</v>
      </c>
      <c r="J49" s="66">
        <f>(C49*Table243[cars]%)-($H$6*G49)</f>
        <v>4365441226.5203781</v>
      </c>
      <c r="K49" s="66">
        <f>C49*Table243[DPV]%</f>
        <v>147948335.04875925</v>
      </c>
      <c r="L49" s="66">
        <f>C49*Table243[Hybrid]%</f>
        <v>59510082.716476224</v>
      </c>
      <c r="M49" s="66">
        <f t="shared" si="4"/>
        <v>-197163000</v>
      </c>
      <c r="N49" s="195">
        <f t="shared" si="39"/>
        <v>396550000</v>
      </c>
      <c r="O49" s="195">
        <f>D49*Table344[Buses]%</f>
        <v>3813940198.3676486</v>
      </c>
      <c r="P49" s="66">
        <f>(D49*Table344[Cars]%)-($J$6*G49)</f>
        <v>384568338.93609715</v>
      </c>
      <c r="Q49" s="66">
        <f>D49*Table344[DPV]%</f>
        <v>586289089.49168801</v>
      </c>
      <c r="R49" s="66">
        <f t="shared" si="5"/>
        <v>3417390198.3676486</v>
      </c>
      <c r="S49" s="66">
        <f t="shared" si="6"/>
        <v>-418457000</v>
      </c>
      <c r="W49" s="66">
        <f>E49*Table445[Cars]%</f>
        <v>5528933.4419289408</v>
      </c>
      <c r="X49" s="66">
        <f>E49*Table445[DPV]%</f>
        <v>320875.60154051887</v>
      </c>
      <c r="Y49" s="66">
        <f t="shared" si="7"/>
        <v>0</v>
      </c>
      <c r="AB49" s="117">
        <f t="shared" si="35"/>
        <v>2046</v>
      </c>
      <c r="AD49" s="66">
        <f>H49*Table546[Autocycle]*0.01*$AD$7/1000</f>
        <v>11776.436928056024</v>
      </c>
      <c r="AE49" s="66">
        <f>I49*Table546[Motocycle]*0.01*$AD$7/1000</f>
        <v>9200.8064560767016</v>
      </c>
      <c r="AF49" s="66">
        <f>J49*Table546[Car]*0.01*$AD$7/$AL$8/1000</f>
        <v>106034.26979153443</v>
      </c>
      <c r="AG49" s="66">
        <f>K49*Table546[DPV]*0.01*$AD$7/$AL$8/1000</f>
        <v>6357.885029858523</v>
      </c>
      <c r="AH49" s="66">
        <f>L49*Table546[Car_Hbrid]*0.01*$AD$7/$AL$8/1000</f>
        <v>889.51913113048681</v>
      </c>
      <c r="AI49" s="66">
        <f>Freight!E41*$AG$8*$AI$8*$AD$7/1000</f>
        <v>8668.5020363757885</v>
      </c>
      <c r="AJ49" s="66">
        <f t="shared" si="36"/>
        <v>142927.41937303194</v>
      </c>
      <c r="AK49" s="66">
        <f>P49*Table546[Car_Dsl]*0.01*$AD$8/$AL$8/1000</f>
        <v>12043.061140367254</v>
      </c>
      <c r="AL49" s="66">
        <f>Q49*Table546[DPV_Dsl]*0.01*$AD$8/$AL$8/1000</f>
        <v>29638.456339829809</v>
      </c>
      <c r="AM49" s="66">
        <f>R49*Table546[Bus]*0.01*$AD$8/$AL$9/1000</f>
        <v>25147.109873988222</v>
      </c>
      <c r="AN49" s="66">
        <f>Freight!E41*$AG$9*$AI$9*$AD$8/1000</f>
        <v>263287.40741653868</v>
      </c>
      <c r="AO49" s="66">
        <f t="shared" si="9"/>
        <v>330116.03477072396</v>
      </c>
      <c r="AQ49" s="66">
        <f>W49*Table546[Car_LPG]*0.01*$AD$9/$AL$8/1000</f>
        <v>129.58699651368207</v>
      </c>
      <c r="AR49" s="66">
        <f>X49*Table546[DPV_LPG]*0.01*$AD$9/$AL$8/1000</f>
        <v>13.305807677744138</v>
      </c>
      <c r="AS49" s="31">
        <f t="shared" si="29"/>
        <v>310.15303268522973</v>
      </c>
      <c r="AT49" s="66">
        <f t="shared" si="10"/>
        <v>453.04583687665593</v>
      </c>
      <c r="AU49" s="31">
        <f t="shared" si="11"/>
        <v>4530.458368766559</v>
      </c>
      <c r="AX49" s="148">
        <f t="shared" si="12"/>
        <v>473496.49998063256</v>
      </c>
      <c r="BB49" s="117">
        <f t="shared" si="37"/>
        <v>2046</v>
      </c>
      <c r="BC49" s="85">
        <f t="shared" si="13"/>
        <v>443.73818328228981</v>
      </c>
      <c r="BD49" s="85">
        <f t="shared" si="14"/>
        <v>0.21130389680109038</v>
      </c>
      <c r="BE49" s="85">
        <f t="shared" si="15"/>
        <v>2.0490074841317856E-2</v>
      </c>
      <c r="BF49" s="85">
        <f t="shared" si="16"/>
        <v>1059.1872010429108</v>
      </c>
      <c r="BG49" s="85">
        <f t="shared" si="17"/>
        <v>5.5746694791732145E-2</v>
      </c>
      <c r="BH49" s="85">
        <f t="shared" si="18"/>
        <v>5.5746694791732145E-2</v>
      </c>
      <c r="BI49" s="85">
        <f t="shared" si="19"/>
        <v>1.4922514384210668</v>
      </c>
      <c r="BJ49" s="85">
        <f t="shared" si="20"/>
        <v>1.4662375464676092E-3</v>
      </c>
      <c r="BK49" s="85">
        <f t="shared" si="21"/>
        <v>4.7297985369922879E-6</v>
      </c>
      <c r="BL49">
        <f t="shared" si="22"/>
        <v>2046</v>
      </c>
      <c r="BM49" s="39">
        <f t="shared" si="23"/>
        <v>1504.4176357636218</v>
      </c>
      <c r="BN49" s="39">
        <f t="shared" si="23"/>
        <v>0.26851682913929015</v>
      </c>
      <c r="BO49" s="39">
        <f t="shared" si="23"/>
        <v>7.6241499431586993E-2</v>
      </c>
      <c r="BP49" s="184">
        <f t="shared" si="24"/>
        <v>1533.850523322717</v>
      </c>
      <c r="BR49" s="198"/>
      <c r="BS49" s="198"/>
      <c r="BT49" s="198"/>
      <c r="BU49" s="19"/>
      <c r="BV49" s="19"/>
      <c r="BW49" s="19"/>
      <c r="BX49" s="197"/>
      <c r="BY49" s="19"/>
      <c r="BZ49" s="197"/>
      <c r="CA49" s="19"/>
      <c r="CB49" s="197"/>
      <c r="CC49" s="19"/>
    </row>
    <row r="50" spans="1:82" x14ac:dyDescent="0.25">
      <c r="A50" s="117">
        <f t="shared" si="34"/>
        <v>2047</v>
      </c>
      <c r="B50" s="66">
        <f>INDEX((Proj_PasMob!$Q$6:$Q$46),MATCH(A50,Proj_PasMob!$M$6:M$46,0))</f>
        <v>10571068961.036474</v>
      </c>
      <c r="C50" s="119">
        <f>B50*Table142[Gasoline]%</f>
        <v>5806726462.7736168</v>
      </c>
      <c r="D50" s="123">
        <f>B50*Table142[[Diesel ]]%</f>
        <v>4758551292.3234568</v>
      </c>
      <c r="E50" s="121">
        <f>B50*Table142[LPG]%</f>
        <v>5791205.9394016359</v>
      </c>
      <c r="F50" s="66">
        <f t="shared" si="3"/>
        <v>0</v>
      </c>
      <c r="G50" s="195">
        <f t="shared" si="38"/>
        <v>219070000</v>
      </c>
      <c r="H50" s="31">
        <f>C50*Table243[Autocycle]%</f>
        <v>656814712.81608212</v>
      </c>
      <c r="I50" s="66">
        <f>C50*Table243[Motocycle]%</f>
        <v>427635362.53532654</v>
      </c>
      <c r="J50" s="66">
        <f>(C50*Table243[cars]%)-($H$6*G50)</f>
        <v>4319733278.05229</v>
      </c>
      <c r="K50" s="66">
        <f>C50*Table243[DPV]%</f>
        <v>146466195.78385407</v>
      </c>
      <c r="L50" s="66">
        <f>C50*Table243[Hybrid]%</f>
        <v>58913913.586064748</v>
      </c>
      <c r="M50" s="66">
        <f t="shared" si="4"/>
        <v>-197162999.99999905</v>
      </c>
      <c r="N50" s="195">
        <f t="shared" si="39"/>
        <v>396550000</v>
      </c>
      <c r="O50" s="195">
        <f>D50*Table344[Buses]%</f>
        <v>3775732329.9239917</v>
      </c>
      <c r="P50" s="66">
        <f>(D50*Table344[Cars]%)-($J$6*G50)</f>
        <v>380496288.65006799</v>
      </c>
      <c r="Q50" s="66">
        <f>D50*Table344[DPV]%</f>
        <v>580415673.7493968</v>
      </c>
      <c r="R50" s="66">
        <f t="shared" si="5"/>
        <v>3379182329.9239917</v>
      </c>
      <c r="S50" s="66">
        <f t="shared" si="6"/>
        <v>-418457000</v>
      </c>
      <c r="W50" s="66">
        <f>E50*Table445[Cars]%</f>
        <v>5473544.8541180016</v>
      </c>
      <c r="X50" s="66">
        <f>E50*Table445[DPV]%</f>
        <v>317661.08528363402</v>
      </c>
      <c r="Y50" s="66">
        <f t="shared" si="7"/>
        <v>0</v>
      </c>
      <c r="AB50" s="117">
        <f t="shared" si="35"/>
        <v>2047</v>
      </c>
      <c r="AD50" s="66">
        <f>H50*Table546[Autocycle]*0.01*$AD$7/1000</f>
        <v>11658.461152485457</v>
      </c>
      <c r="AE50" s="66">
        <f>I50*Table546[Motocycle]*0.01*$AD$7/1000</f>
        <v>9108.633222002456</v>
      </c>
      <c r="AF50" s="66">
        <f>J50*Table546[Car]*0.01*$AD$7/$AL$8/1000</f>
        <v>104924.04778005957</v>
      </c>
      <c r="AG50" s="66">
        <f>K50*Table546[DPV]*0.01*$AD$7/$AL$8/1000</f>
        <v>6294.1920451324668</v>
      </c>
      <c r="AH50" s="66">
        <f>L50*Table546[Car_Hbrid]*0.01*$AD$7/$AL$8/1000</f>
        <v>880.60797149696793</v>
      </c>
      <c r="AI50" s="66">
        <f>Freight!E42*$AG$8*$AI$8*$AD$7/1000</f>
        <v>8929.6834308917969</v>
      </c>
      <c r="AJ50" s="66">
        <f t="shared" si="36"/>
        <v>141795.6256020687</v>
      </c>
      <c r="AK50" s="66">
        <f>P50*Table546[Car_Dsl]*0.01*$AD$8/$AL$8/1000</f>
        <v>11915.541670883707</v>
      </c>
      <c r="AL50" s="66">
        <f>Q50*Table546[DPV_Dsl]*0.01*$AD$8/$AL$8/1000</f>
        <v>29341.539717699772</v>
      </c>
      <c r="AM50" s="66">
        <f>R50*Table546[Bus]*0.01*$AD$8/$AL$9/1000</f>
        <v>24865.954544912118</v>
      </c>
      <c r="AN50" s="66">
        <f>Freight!E42*$AG$9*$AI$9*$AD$8/1000</f>
        <v>271220.2396335692</v>
      </c>
      <c r="AO50" s="66">
        <f t="shared" si="9"/>
        <v>337343.27556706482</v>
      </c>
      <c r="AQ50" s="66">
        <f>W50*Table546[Car_LPG]*0.01*$AD$9/$AL$8/1000</f>
        <v>128.28880025016369</v>
      </c>
      <c r="AR50" s="66">
        <f>X50*Table546[DPV_LPG]*0.01*$AD$9/$AL$8/1000</f>
        <v>13.172510739972163</v>
      </c>
      <c r="AS50" s="31">
        <f t="shared" si="29"/>
        <v>288.13216736457844</v>
      </c>
      <c r="AT50" s="66">
        <f t="shared" si="10"/>
        <v>429.59347835471431</v>
      </c>
      <c r="AU50" s="31">
        <f t="shared" si="11"/>
        <v>4295.9347835471435</v>
      </c>
      <c r="AX50" s="148">
        <f t="shared" si="12"/>
        <v>479568.49464748823</v>
      </c>
      <c r="BB50" s="117">
        <f t="shared" si="37"/>
        <v>2047</v>
      </c>
      <c r="BC50" s="85">
        <f t="shared" si="13"/>
        <v>440.22437106920654</v>
      </c>
      <c r="BD50" s="85">
        <f t="shared" si="14"/>
        <v>0.20963065289009833</v>
      </c>
      <c r="BE50" s="85">
        <f t="shared" si="15"/>
        <v>2.0327820886312565E-2</v>
      </c>
      <c r="BF50" s="85">
        <f t="shared" si="16"/>
        <v>1082.3760199551944</v>
      </c>
      <c r="BG50" s="85">
        <f t="shared" si="17"/>
        <v>5.6967158945010227E-2</v>
      </c>
      <c r="BH50" s="85">
        <f t="shared" si="18"/>
        <v>5.6967158945010227E-2</v>
      </c>
      <c r="BI50" s="85">
        <f t="shared" si="19"/>
        <v>1.415003590874325</v>
      </c>
      <c r="BJ50" s="85">
        <f t="shared" si="20"/>
        <v>1.3903363333471973E-3</v>
      </c>
      <c r="BK50" s="85">
        <f t="shared" si="21"/>
        <v>4.4849559140232174E-6</v>
      </c>
      <c r="BL50">
        <f t="shared" si="22"/>
        <v>2047</v>
      </c>
      <c r="BM50" s="39">
        <f t="shared" si="23"/>
        <v>1524.015394615275</v>
      </c>
      <c r="BN50" s="39">
        <f t="shared" si="23"/>
        <v>0.26798814816845573</v>
      </c>
      <c r="BO50" s="39">
        <f t="shared" si="23"/>
        <v>7.7299464787236816E-2</v>
      </c>
      <c r="BP50" s="184">
        <f t="shared" si="24"/>
        <v>1553.750338826083</v>
      </c>
      <c r="BR50" s="198"/>
      <c r="BS50" s="198"/>
      <c r="BT50" s="198"/>
      <c r="BU50" s="19"/>
      <c r="BV50" s="19"/>
      <c r="BW50" s="19"/>
      <c r="BX50" s="197"/>
      <c r="BY50" s="19"/>
      <c r="BZ50" s="197"/>
      <c r="CA50" s="19"/>
      <c r="CB50" s="197"/>
      <c r="CC50" s="19"/>
    </row>
    <row r="51" spans="1:82" x14ac:dyDescent="0.25">
      <c r="A51" s="117">
        <f>A50+1</f>
        <v>2048</v>
      </c>
      <c r="B51" s="66">
        <f>INDEX((Proj_PasMob!$Q$6:$Q$46),MATCH(A51,Proj_PasMob!$M$6:M$46,0))</f>
        <v>10463377993.913282</v>
      </c>
      <c r="C51" s="119">
        <f>B51*Table142[Gasoline]%</f>
        <v>5747571424.5366306</v>
      </c>
      <c r="D51" s="123">
        <f>B51*Table142[[Diesel ]]%</f>
        <v>4710074360.3627949</v>
      </c>
      <c r="E51" s="121">
        <f>B51*Table142[LPG]%</f>
        <v>5732209.0138567872</v>
      </c>
      <c r="F51" s="66">
        <f t="shared" si="3"/>
        <v>0</v>
      </c>
      <c r="G51" s="195">
        <f t="shared" si="38"/>
        <v>219070000</v>
      </c>
      <c r="H51" s="31">
        <f>C51*Table243[Autocycle]%</f>
        <v>650123524.63969064</v>
      </c>
      <c r="I51" s="66">
        <f>C51*Table243[Motocycle]%</f>
        <v>423278900.01131409</v>
      </c>
      <c r="J51" s="66">
        <f>(C51*Table243[cars]%)-($H$6*G51)</f>
        <v>4273718165.4490595</v>
      </c>
      <c r="K51" s="66">
        <f>C51*Table243[DPV]%</f>
        <v>144974096.32513747</v>
      </c>
      <c r="L51" s="66">
        <f>C51*Table243[Hybrid]%</f>
        <v>58313738.111429162</v>
      </c>
      <c r="M51" s="66">
        <f t="shared" si="4"/>
        <v>-197163000</v>
      </c>
      <c r="N51" s="195">
        <f t="shared" si="39"/>
        <v>396550000</v>
      </c>
      <c r="O51" s="195">
        <f>D51*Table344[Buses]%</f>
        <v>3737267698.9858589</v>
      </c>
      <c r="P51" s="66">
        <f>(D51*Table344[Cars]%)-($J$6*G51)</f>
        <v>376396873.58731449</v>
      </c>
      <c r="Q51" s="66">
        <f>D51*Table344[DPV]%</f>
        <v>574502787.78962123</v>
      </c>
      <c r="R51" s="66">
        <f t="shared" si="5"/>
        <v>3340717698.9858589</v>
      </c>
      <c r="S51" s="66">
        <f t="shared" si="6"/>
        <v>-418457000</v>
      </c>
      <c r="W51" s="66">
        <f>E51*Table445[Cars]%</f>
        <v>5417784.0468519842</v>
      </c>
      <c r="X51" s="66">
        <f>E51*Table445[DPV]%</f>
        <v>314424.96700480266</v>
      </c>
      <c r="Y51" s="66">
        <f t="shared" si="7"/>
        <v>0</v>
      </c>
      <c r="AB51" s="117">
        <f t="shared" si="35"/>
        <v>2048</v>
      </c>
      <c r="AD51" s="66">
        <f>H51*Table546[Autocycle]*0.01*$AD$7/1000</f>
        <v>11539.692562354507</v>
      </c>
      <c r="AE51" s="66">
        <f>I51*Table546[Motocycle]*0.01*$AD$7/1000</f>
        <v>9015.8405702409891</v>
      </c>
      <c r="AF51" s="66">
        <f>J51*Table546[Car]*0.01*$AD$7/$AL$8/1000</f>
        <v>103806.36491340744</v>
      </c>
      <c r="AG51" s="66">
        <f>K51*Table546[DPV]*0.01*$AD$7/$AL$8/1000</f>
        <v>6230.0710341828808</v>
      </c>
      <c r="AH51" s="66">
        <f>L51*Table546[Car_Hbrid]*0.01*$AD$7/$AL$8/1000</f>
        <v>871.63692756030957</v>
      </c>
      <c r="AI51" s="66">
        <f>Freight!E43*$AG$8*$AI$8*$AD$7/1000</f>
        <v>9198.6916231080813</v>
      </c>
      <c r="AJ51" s="66">
        <f t="shared" si="36"/>
        <v>140662.29763085421</v>
      </c>
      <c r="AK51" s="66">
        <f>P51*Table546[Car_Dsl]*0.01*$AD$8/$AL$8/1000</f>
        <v>11787.165251813269</v>
      </c>
      <c r="AL51" s="66">
        <f>Q51*Table546[DPV_Dsl]*0.01*$AD$8/$AL$8/1000</f>
        <v>29042.627772206906</v>
      </c>
      <c r="AM51" s="66">
        <f>R51*Table546[Bus]*0.01*$AD$8/$AL$9/1000</f>
        <v>24582.90981068023</v>
      </c>
      <c r="AN51" s="66">
        <f>Freight!E43*$AG$9*$AI$9*$AD$8/1000</f>
        <v>279390.79426979419</v>
      </c>
      <c r="AO51" s="66">
        <f t="shared" si="9"/>
        <v>344803.4971044946</v>
      </c>
      <c r="AQ51" s="66">
        <f>W51*Table546[Car_LPG]*0.01*$AD$9/$AL$8/1000</f>
        <v>126.98187991685242</v>
      </c>
      <c r="AR51" s="66">
        <f>X51*Table546[DPV_LPG]*0.01*$AD$9/$AL$8/1000</f>
        <v>13.038318027176812</v>
      </c>
      <c r="AS51" s="31">
        <f t="shared" si="29"/>
        <v>267.6747834816934</v>
      </c>
      <c r="AT51" s="66">
        <f t="shared" si="10"/>
        <v>407.69498142572263</v>
      </c>
      <c r="AU51" s="31">
        <f t="shared" si="11"/>
        <v>4076.9498142572265</v>
      </c>
      <c r="AX51" s="148">
        <f t="shared" si="12"/>
        <v>485873.48971677455</v>
      </c>
      <c r="BB51" s="117">
        <f t="shared" si="37"/>
        <v>2048</v>
      </c>
      <c r="BC51" s="85">
        <f t="shared" si="13"/>
        <v>436.70579571665519</v>
      </c>
      <c r="BD51" s="85">
        <f t="shared" si="14"/>
        <v>0.20795514081745484</v>
      </c>
      <c r="BE51" s="85">
        <f t="shared" si="15"/>
        <v>2.0165346988359256E-2</v>
      </c>
      <c r="BF51" s="85">
        <f t="shared" si="16"/>
        <v>1106.312364564684</v>
      </c>
      <c r="BG51" s="85">
        <f t="shared" si="17"/>
        <v>5.8226966556036E-2</v>
      </c>
      <c r="BH51" s="85">
        <f t="shared" si="18"/>
        <v>5.8226966556036E-2</v>
      </c>
      <c r="BI51" s="85">
        <f t="shared" si="19"/>
        <v>1.3428738837196736</v>
      </c>
      <c r="BJ51" s="85">
        <f t="shared" si="20"/>
        <v>1.3194640378862087E-3</v>
      </c>
      <c r="BK51" s="85">
        <f t="shared" si="21"/>
        <v>4.2563356060845449E-6</v>
      </c>
      <c r="BL51">
        <f t="shared" si="22"/>
        <v>2048</v>
      </c>
      <c r="BM51" s="39">
        <f t="shared" si="23"/>
        <v>1544.3610341650588</v>
      </c>
      <c r="BN51" s="39">
        <f t="shared" si="23"/>
        <v>0.26750157141137704</v>
      </c>
      <c r="BO51" s="39">
        <f t="shared" si="23"/>
        <v>7.8396569880001335E-2</v>
      </c>
      <c r="BP51" s="184">
        <f t="shared" si="24"/>
        <v>1574.4107512745836</v>
      </c>
      <c r="BR51" s="198"/>
      <c r="BS51" s="198"/>
      <c r="BT51" s="198"/>
      <c r="BU51" s="19"/>
      <c r="BV51" s="19"/>
      <c r="BW51" s="19"/>
      <c r="BX51" s="197"/>
      <c r="BY51" s="19"/>
      <c r="BZ51" s="197"/>
      <c r="CA51" s="19"/>
      <c r="CB51" s="197"/>
      <c r="CC51" s="19"/>
    </row>
    <row r="52" spans="1:82" x14ac:dyDescent="0.25">
      <c r="A52" s="117">
        <f t="shared" si="34"/>
        <v>2049</v>
      </c>
      <c r="B52" s="66">
        <f>INDEX((Proj_PasMob!$Q$6:$Q$46),MATCH(A52,Proj_PasMob!$M$6:M$46,0))</f>
        <v>10355101402.684845</v>
      </c>
      <c r="C52" s="119">
        <f>B52*Table142[Gasoline]%</f>
        <v>5688094700.8578329</v>
      </c>
      <c r="D52" s="123">
        <f>B52*Table142[[Diesel ]]%</f>
        <v>4661333810.5643253</v>
      </c>
      <c r="E52" s="121">
        <f>B52*Table142[LPG]%</f>
        <v>5672891.2626878638</v>
      </c>
      <c r="F52" s="66">
        <f t="shared" si="3"/>
        <v>0</v>
      </c>
      <c r="G52" s="195">
        <f t="shared" si="38"/>
        <v>219070000</v>
      </c>
      <c r="H52" s="31">
        <f>C52*Table243[Autocycle]%</f>
        <v>643395949.74309886</v>
      </c>
      <c r="I52" s="66">
        <f>C52*Table243[Motocycle]%</f>
        <v>418898747.01877111</v>
      </c>
      <c r="J52" s="66">
        <f>(C52*Table243[cars]%)-($H$6*G52)</f>
        <v>4227452822.395999</v>
      </c>
      <c r="K52" s="66">
        <f>C52*Table243[DPV]%</f>
        <v>143473882.82089055</v>
      </c>
      <c r="L52" s="66">
        <f>C52*Table243[Hybrid]%</f>
        <v>57710298.879073583</v>
      </c>
      <c r="M52" s="66">
        <f t="shared" si="4"/>
        <v>-197163000</v>
      </c>
      <c r="N52" s="195">
        <f t="shared" si="39"/>
        <v>396550000</v>
      </c>
      <c r="O52" s="195">
        <f>D52*Table344[Buses]%</f>
        <v>3698593897.1610823</v>
      </c>
      <c r="P52" s="66">
        <f>(D52*Table344[Cars]%)-($J$6*G52)</f>
        <v>372275165.88161904</v>
      </c>
      <c r="Q52" s="66">
        <f>D52*Table344[DPV]%</f>
        <v>568557747.52162373</v>
      </c>
      <c r="R52" s="66">
        <f t="shared" si="5"/>
        <v>3302043897.1610823</v>
      </c>
      <c r="S52" s="66">
        <f t="shared" si="6"/>
        <v>-418457000</v>
      </c>
      <c r="W52" s="66">
        <f>E52*Table445[Cars]%</f>
        <v>5361720.011991905</v>
      </c>
      <c r="X52" s="66">
        <f>E52*Table445[DPV]%</f>
        <v>311171.25069595873</v>
      </c>
      <c r="Y52" s="66">
        <f t="shared" si="7"/>
        <v>0</v>
      </c>
      <c r="AB52" s="117">
        <f t="shared" si="35"/>
        <v>2049</v>
      </c>
      <c r="AD52" s="66">
        <f>H52*Table546[Autocycle]*0.01*$AD$7/1000</f>
        <v>11420.278107940003</v>
      </c>
      <c r="AE52" s="66">
        <f>I52*Table546[Motocycle]*0.01*$AD$7/1000</f>
        <v>8922.543311499825</v>
      </c>
      <c r="AF52" s="66">
        <f>J52*Table546[Car]*0.01*$AD$7/$AL$8/1000</f>
        <v>102682.60408082913</v>
      </c>
      <c r="AG52" s="66">
        <f>K52*Table546[DPV]*0.01*$AD$7/$AL$8/1000</f>
        <v>6165.6013328030076</v>
      </c>
      <c r="AH52" s="66">
        <f>L52*Table546[Car_Hbrid]*0.01*$AD$7/$AL$8/1000</f>
        <v>862.61709903457358</v>
      </c>
      <c r="AI52" s="66">
        <f>Freight!E44*$AG$8*$AI$8*$AD$7/1000</f>
        <v>9475.76141695566</v>
      </c>
      <c r="AJ52" s="66">
        <f t="shared" si="36"/>
        <v>139529.4053490622</v>
      </c>
      <c r="AK52" s="66">
        <f>P52*Table546[Car_Dsl]*0.01*$AD$8/$AL$8/1000</f>
        <v>11658.09072102965</v>
      </c>
      <c r="AL52" s="66">
        <f>Q52*Table546[DPV_Dsl]*0.01*$AD$8/$AL$8/1000</f>
        <v>28742.090341816824</v>
      </c>
      <c r="AM52" s="66">
        <f>R52*Table546[Bus]*0.01*$AD$8/$AL$9/1000</f>
        <v>24298.325877538191</v>
      </c>
      <c r="AN52" s="66">
        <f>Freight!E44*$AG$9*$AI$9*$AD$8/1000</f>
        <v>287806.20299778954</v>
      </c>
      <c r="AO52" s="66">
        <f t="shared" si="9"/>
        <v>352504.70993817423</v>
      </c>
      <c r="AQ52" s="66">
        <f>W52*Table546[Car_LPG]*0.01*$AD$9/$AL$8/1000</f>
        <v>125.66785254317125</v>
      </c>
      <c r="AR52" s="66">
        <f>X52*Table546[DPV_LPG]*0.01*$AD$9/$AL$8/1000</f>
        <v>12.90339557362919</v>
      </c>
      <c r="AS52" s="31">
        <f t="shared" si="29"/>
        <v>248.66987385449318</v>
      </c>
      <c r="AT52" s="66">
        <f t="shared" si="10"/>
        <v>387.24112197129364</v>
      </c>
      <c r="AU52" s="31">
        <f t="shared" si="11"/>
        <v>3872.4112197129361</v>
      </c>
      <c r="AX52" s="148">
        <f t="shared" si="12"/>
        <v>492421.35640920768</v>
      </c>
      <c r="BB52" s="117">
        <f t="shared" si="37"/>
        <v>2049</v>
      </c>
      <c r="BC52" s="85">
        <f t="shared" si="13"/>
        <v>433.18857302291241</v>
      </c>
      <c r="BD52" s="85">
        <f t="shared" si="14"/>
        <v>0.2062802728680535</v>
      </c>
      <c r="BE52" s="85">
        <f t="shared" si="15"/>
        <v>2.0002935550841556E-2</v>
      </c>
      <c r="BF52" s="85">
        <f t="shared" si="16"/>
        <v>1131.0219369779302</v>
      </c>
      <c r="BG52" s="85">
        <f t="shared" si="17"/>
        <v>5.9527470367259479E-2</v>
      </c>
      <c r="BH52" s="85">
        <f t="shared" si="18"/>
        <v>5.9527470367259479E-2</v>
      </c>
      <c r="BI52" s="85">
        <f t="shared" si="19"/>
        <v>1.2755025523714862</v>
      </c>
      <c r="BJ52" s="85">
        <f t="shared" si="20"/>
        <v>1.2532671671478947E-3</v>
      </c>
      <c r="BK52" s="85">
        <f t="shared" si="21"/>
        <v>4.0427973133803063E-6</v>
      </c>
      <c r="BL52">
        <f t="shared" si="22"/>
        <v>2049</v>
      </c>
      <c r="BM52" s="39">
        <f t="shared" si="23"/>
        <v>1565.4860125532141</v>
      </c>
      <c r="BN52" s="39">
        <f t="shared" si="23"/>
        <v>0.26706101040246089</v>
      </c>
      <c r="BO52" s="39">
        <f t="shared" si="23"/>
        <v>7.9534448715414416E-2</v>
      </c>
      <c r="BP52" s="184">
        <f t="shared" si="24"/>
        <v>1595.8638035304691</v>
      </c>
      <c r="BR52" s="198"/>
      <c r="BS52" s="198"/>
      <c r="BT52" s="198"/>
      <c r="BU52" s="19"/>
      <c r="BV52" s="19"/>
      <c r="BW52" s="19"/>
      <c r="BX52" s="197"/>
      <c r="BY52" s="19"/>
      <c r="BZ52" s="197"/>
      <c r="CA52" s="19"/>
      <c r="CB52" s="197"/>
      <c r="CC52" s="19"/>
    </row>
    <row r="53" spans="1:82" x14ac:dyDescent="0.25">
      <c r="A53" s="117">
        <f t="shared" si="34"/>
        <v>2050</v>
      </c>
      <c r="B53" s="66">
        <f>INDEX((Proj_PasMob!$Q$6:$Q$46),MATCH(A53,Proj_PasMob!$M$6:M$46,0))</f>
        <v>10241580100.230583</v>
      </c>
      <c r="C53" s="119">
        <f>B53*Table142[Gasoline]%</f>
        <v>5625737038.3092899</v>
      </c>
      <c r="D53" s="123">
        <f>B53*Table142[[Diesel ]]%</f>
        <v>4610232361.6483202</v>
      </c>
      <c r="E53" s="121">
        <f>B53*Table142[LPG]%</f>
        <v>5610700.2729738709</v>
      </c>
      <c r="F53" s="66">
        <f t="shared" si="3"/>
        <v>0</v>
      </c>
      <c r="G53" s="195">
        <f t="shared" si="38"/>
        <v>219070000</v>
      </c>
      <c r="H53" s="31">
        <f>C53*Table243[Autocycle]%</f>
        <v>636342503.97097957</v>
      </c>
      <c r="I53" s="66">
        <f>C53*Table243[Motocycle]%</f>
        <v>414306427.78318167</v>
      </c>
      <c r="J53" s="66">
        <f>(C53*Table243[cars]%)-($H$6*G53)</f>
        <v>4178946474.5114775</v>
      </c>
      <c r="K53" s="66">
        <f>C53*Table243[DPV]%</f>
        <v>141901001.84052905</v>
      </c>
      <c r="L53" s="66">
        <f>C53*Table243[Hybrid]%</f>
        <v>57077630.20312237</v>
      </c>
      <c r="M53" s="66">
        <f t="shared" si="4"/>
        <v>-197163000</v>
      </c>
      <c r="N53" s="195">
        <f t="shared" si="39"/>
        <v>396550000</v>
      </c>
      <c r="O53" s="195">
        <f>D53*Table344[Buses]%</f>
        <v>3658046810.2589445</v>
      </c>
      <c r="P53" s="66">
        <f>(D53*Table344[Cars]%)-($J$6*G53)</f>
        <v>367953810.52883404</v>
      </c>
      <c r="Q53" s="66">
        <f>D53*Table344[DPV]%</f>
        <v>562324740.86054146</v>
      </c>
      <c r="R53" s="66">
        <f t="shared" si="5"/>
        <v>3261496810.2589445</v>
      </c>
      <c r="S53" s="66">
        <f t="shared" si="6"/>
        <v>-418457000</v>
      </c>
      <c r="W53" s="66">
        <f>E53*Table445[Cars]%</f>
        <v>5302940.3423888059</v>
      </c>
      <c r="X53" s="66">
        <f>E53*Table445[DPV]%</f>
        <v>307759.93058506463</v>
      </c>
      <c r="Y53" s="66">
        <f t="shared" si="7"/>
        <v>0</v>
      </c>
      <c r="AB53" s="117">
        <f t="shared" si="35"/>
        <v>2050</v>
      </c>
      <c r="AD53" s="66">
        <f>H53*Table546[Autocycle]*0.01*$AD$7/1000</f>
        <v>11295.079445484887</v>
      </c>
      <c r="AE53" s="66">
        <f>I53*Table546[Motocycle]*0.01*$AD$7/1000</f>
        <v>8824.7269117817686</v>
      </c>
      <c r="AF53" s="66">
        <f>J53*Table546[Car]*0.01*$AD$7/$AL$8/1000</f>
        <v>101504.41042037088</v>
      </c>
      <c r="AG53" s="66">
        <f>K53*Table546[DPV]*0.01*$AD$7/$AL$8/1000</f>
        <v>6098.0088422522085</v>
      </c>
      <c r="AH53" s="66">
        <f>L53*Table546[Car_Hbrid]*0.01*$AD$7/$AL$8/1000</f>
        <v>853.16036724667129</v>
      </c>
      <c r="AI53" s="66">
        <f>Freight!E45*$AG$8*$AI$8*$AD$7/1000</f>
        <v>9761.1471782169028</v>
      </c>
      <c r="AJ53" s="66">
        <f t="shared" si="36"/>
        <v>138336.53316535332</v>
      </c>
      <c r="AK53" s="66">
        <f>P53*Table546[Car_Dsl]*0.01*$AD$8/$AL$8/1000</f>
        <v>11522.764066560858</v>
      </c>
      <c r="AL53" s="66">
        <f>Q53*Table546[DPV_Dsl]*0.01*$AD$8/$AL$8/1000</f>
        <v>28426.995452450006</v>
      </c>
      <c r="AM53" s="66">
        <f>R53*Table546[Bus]*0.01*$AD$8/$AL$9/1000</f>
        <v>23999.957242348322</v>
      </c>
      <c r="AN53" s="66">
        <f>Freight!E45*$AG$9*$AI$9*$AD$8/1000</f>
        <v>296474.19163997512</v>
      </c>
      <c r="AO53" s="66">
        <f t="shared" si="9"/>
        <v>360423.90840133431</v>
      </c>
      <c r="AQ53" s="66">
        <f>W53*Table546[Car_LPG]*0.01*$AD$9/$AL$8/1000</f>
        <v>124.29017619384722</v>
      </c>
      <c r="AR53" s="66">
        <f>X53*Table546[DPV_LPG]*0.01*$AD$9/$AL$8/1000</f>
        <v>12.761937734189667</v>
      </c>
      <c r="AS53" s="31">
        <f t="shared" si="29"/>
        <v>231.01431281082418</v>
      </c>
      <c r="AT53" s="66">
        <f t="shared" si="10"/>
        <v>368.06642673886108</v>
      </c>
      <c r="AU53" s="31">
        <f t="shared" si="11"/>
        <v>3680.6642673886108</v>
      </c>
      <c r="AX53" s="148">
        <f t="shared" si="12"/>
        <v>499128.50799342652</v>
      </c>
      <c r="BB53" s="117">
        <f t="shared" si="37"/>
        <v>2050</v>
      </c>
      <c r="BC53" s="85">
        <f t="shared" si="13"/>
        <v>429.48513432648252</v>
      </c>
      <c r="BD53" s="85">
        <f t="shared" si="14"/>
        <v>0.20451673063165832</v>
      </c>
      <c r="BE53" s="85">
        <f t="shared" si="15"/>
        <v>1.9831925394585049E-2</v>
      </c>
      <c r="BF53" s="85">
        <f t="shared" si="16"/>
        <v>1156.4309228229329</v>
      </c>
      <c r="BG53" s="85">
        <f t="shared" si="17"/>
        <v>6.0864785411733319E-2</v>
      </c>
      <c r="BH53" s="85">
        <f t="shared" si="18"/>
        <v>6.0864785411733319E-2</v>
      </c>
      <c r="BI53" s="85">
        <f t="shared" si="19"/>
        <v>1.2123445577209953</v>
      </c>
      <c r="BJ53" s="85">
        <f t="shared" si="20"/>
        <v>1.1912101834976501E-3</v>
      </c>
      <c r="BK53" s="85">
        <f t="shared" si="21"/>
        <v>3.84261349515371E-6</v>
      </c>
      <c r="BL53">
        <f t="shared" si="22"/>
        <v>2050</v>
      </c>
      <c r="BM53" s="39">
        <f t="shared" si="23"/>
        <v>1587.1284017071364</v>
      </c>
      <c r="BN53" s="39">
        <f t="shared" si="23"/>
        <v>0.26657272622688932</v>
      </c>
      <c r="BO53" s="39">
        <f t="shared" si="23"/>
        <v>8.0700553419813512E-2</v>
      </c>
      <c r="BP53" s="184">
        <f t="shared" si="24"/>
        <v>1617.8414847819129</v>
      </c>
      <c r="BR53" s="198"/>
      <c r="BS53" s="198"/>
      <c r="BT53" s="198"/>
      <c r="BU53" s="19"/>
      <c r="BV53" s="19"/>
      <c r="BW53" s="19"/>
      <c r="BX53" s="197"/>
      <c r="BY53" s="19"/>
      <c r="BZ53" s="197"/>
      <c r="CA53" s="19"/>
      <c r="CB53" s="197"/>
      <c r="CC53" s="19"/>
    </row>
    <row r="54" spans="1:82" x14ac:dyDescent="0.25">
      <c r="BS54" s="19"/>
      <c r="BT54" s="19"/>
      <c r="BU54" s="19"/>
      <c r="BV54" s="19"/>
      <c r="BW54" s="19"/>
      <c r="BX54" s="19"/>
      <c r="BY54" s="19"/>
      <c r="BZ54" s="19"/>
      <c r="CA54" s="19"/>
      <c r="CB54" s="19"/>
      <c r="CC54" s="19"/>
      <c r="CD54" s="19"/>
    </row>
    <row r="55" spans="1:82" x14ac:dyDescent="0.25">
      <c r="M55" s="31"/>
      <c r="BS55" s="19"/>
      <c r="BT55" s="19"/>
      <c r="BU55" s="19"/>
      <c r="BV55" s="19"/>
      <c r="BW55" s="19"/>
      <c r="BX55" s="19"/>
      <c r="BY55" s="19"/>
      <c r="BZ55" s="19"/>
      <c r="CA55" s="19"/>
      <c r="CB55" s="19"/>
      <c r="CC55" s="19"/>
      <c r="CD55" s="19"/>
    </row>
    <row r="56" spans="1:82" x14ac:dyDescent="0.25">
      <c r="BS56" s="19"/>
      <c r="BT56" s="19"/>
      <c r="BU56" s="19"/>
      <c r="BV56" s="19"/>
      <c r="BW56" s="19"/>
      <c r="BX56" s="19"/>
      <c r="BY56" s="19"/>
      <c r="BZ56" s="19"/>
      <c r="CA56" s="19"/>
      <c r="CB56" s="19"/>
      <c r="CC56" s="19"/>
      <c r="CD56" s="19"/>
    </row>
  </sheetData>
  <mergeCells count="19">
    <mergeCell ref="AJ11:AM11"/>
    <mergeCell ref="AP11:AR11"/>
    <mergeCell ref="AB3:AC3"/>
    <mergeCell ref="AB4:AC4"/>
    <mergeCell ref="A7:E7"/>
    <mergeCell ref="H7:M7"/>
    <mergeCell ref="O7:S7"/>
    <mergeCell ref="U7:Z7"/>
    <mergeCell ref="B11:E11"/>
    <mergeCell ref="H11:K11"/>
    <mergeCell ref="O11:Q11"/>
    <mergeCell ref="V11:X11"/>
    <mergeCell ref="AC11:AH11"/>
    <mergeCell ref="BB11:BD11"/>
    <mergeCell ref="BE11:BG11"/>
    <mergeCell ref="BH11:BJ11"/>
    <mergeCell ref="BL11:BO11"/>
    <mergeCell ref="AQ8:AU9"/>
    <mergeCell ref="AX9:AX10"/>
  </mergeCells>
  <pageMargins left="0.7" right="0.7" top="0.75" bottom="0.75" header="0.3" footer="0.3"/>
  <pageSetup orientation="portrait" horizontalDpi="0" verticalDpi="0" r:id="rId1"/>
  <drawing r:id="rId2"/>
  <tableParts count="8">
    <tablePart r:id="rId3"/>
    <tablePart r:id="rId4"/>
    <tablePart r:id="rId5"/>
    <tablePart r:id="rId6"/>
    <tablePart r:id="rId7"/>
    <tablePart r:id="rId8"/>
    <tablePart r:id="rId9"/>
    <tablePart r:id="rId10"/>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B11" sqref="B11"/>
    </sheetView>
  </sheetViews>
  <sheetFormatPr defaultRowHeight="15" x14ac:dyDescent="0.25"/>
  <cols>
    <col min="2" max="2" width="17.42578125" customWidth="1"/>
  </cols>
  <sheetData>
    <row r="1" spans="1:19" x14ac:dyDescent="0.25">
      <c r="A1" s="115" t="s">
        <v>147</v>
      </c>
      <c r="B1" s="115"/>
      <c r="C1" s="115"/>
      <c r="D1" s="115"/>
      <c r="E1" s="115"/>
      <c r="F1" s="115"/>
      <c r="G1" s="115"/>
      <c r="H1" s="115"/>
      <c r="I1" s="115"/>
      <c r="J1" s="115"/>
      <c r="K1" s="115"/>
      <c r="L1" s="115"/>
      <c r="M1" s="115"/>
      <c r="N1" s="115"/>
      <c r="O1" s="115"/>
      <c r="P1" s="115"/>
      <c r="Q1" s="115"/>
      <c r="R1" s="115"/>
      <c r="S1" s="115"/>
    </row>
    <row r="2" spans="1:19" x14ac:dyDescent="0.25">
      <c r="A2" s="115" t="s">
        <v>148</v>
      </c>
      <c r="B2" s="115"/>
      <c r="C2" s="115"/>
      <c r="D2" s="115"/>
      <c r="E2" s="115"/>
      <c r="F2" s="115"/>
      <c r="G2" s="115"/>
      <c r="H2" s="115"/>
      <c r="I2" s="115"/>
      <c r="J2" s="115"/>
      <c r="K2" s="115"/>
      <c r="L2" s="115"/>
      <c r="M2" s="115"/>
      <c r="N2" s="115"/>
      <c r="O2" s="115"/>
      <c r="P2" s="115"/>
      <c r="Q2" s="115"/>
      <c r="R2" s="115"/>
      <c r="S2" s="115"/>
    </row>
    <row r="3" spans="1:19" x14ac:dyDescent="0.25">
      <c r="A3" s="115" t="s">
        <v>149</v>
      </c>
      <c r="B3" s="115"/>
      <c r="C3" s="115"/>
      <c r="D3" s="115"/>
      <c r="E3" s="115"/>
      <c r="F3" s="115"/>
      <c r="G3" s="115"/>
      <c r="H3" s="115"/>
      <c r="I3" s="115"/>
      <c r="J3" s="115"/>
      <c r="K3" s="115"/>
      <c r="L3" s="115"/>
      <c r="M3" s="115"/>
      <c r="N3" s="115"/>
      <c r="O3" s="115"/>
      <c r="P3" s="115"/>
      <c r="Q3" s="115"/>
      <c r="R3" s="115"/>
      <c r="S3" s="115"/>
    </row>
    <row r="5" spans="1:19" x14ac:dyDescent="0.25">
      <c r="A5" s="26" t="s">
        <v>34</v>
      </c>
      <c r="B5" t="s">
        <v>56</v>
      </c>
    </row>
    <row r="6" spans="1:19" x14ac:dyDescent="0.25">
      <c r="A6" s="26">
        <v>2010</v>
      </c>
      <c r="B6" s="66">
        <v>9991295818.1099663</v>
      </c>
    </row>
    <row r="7" spans="1:19" x14ac:dyDescent="0.25">
      <c r="A7" s="26">
        <f>A6+1</f>
        <v>2011</v>
      </c>
      <c r="B7" s="66">
        <v>10135465715.034311</v>
      </c>
    </row>
    <row r="8" spans="1:19" x14ac:dyDescent="0.25">
      <c r="A8" s="26">
        <f t="shared" ref="A8:A25" si="0">A7+1</f>
        <v>2012</v>
      </c>
      <c r="B8" s="66">
        <v>10284155309.520308</v>
      </c>
    </row>
    <row r="9" spans="1:19" x14ac:dyDescent="0.25">
      <c r="A9" s="26">
        <f t="shared" si="0"/>
        <v>2013</v>
      </c>
      <c r="B9" s="66">
        <v>10425988957.632849</v>
      </c>
    </row>
    <row r="10" spans="1:19" x14ac:dyDescent="0.25">
      <c r="A10" s="26">
        <f t="shared" si="0"/>
        <v>2014</v>
      </c>
      <c r="B10" s="66">
        <v>10561741153.304186</v>
      </c>
    </row>
    <row r="11" spans="1:19" x14ac:dyDescent="0.25">
      <c r="A11" s="26">
        <f t="shared" si="0"/>
        <v>2015</v>
      </c>
      <c r="B11" s="66">
        <v>10685868200.205055</v>
      </c>
    </row>
    <row r="12" spans="1:19" x14ac:dyDescent="0.25">
      <c r="A12" s="26">
        <f t="shared" si="0"/>
        <v>2016</v>
      </c>
      <c r="B12" s="66">
        <v>10805486955.126375</v>
      </c>
    </row>
    <row r="13" spans="1:19" x14ac:dyDescent="0.25">
      <c r="A13" s="26">
        <f t="shared" si="0"/>
        <v>2017</v>
      </c>
      <c r="B13" s="66">
        <v>10920457866.053516</v>
      </c>
    </row>
    <row r="14" spans="1:19" x14ac:dyDescent="0.25">
      <c r="A14" s="26">
        <f t="shared" si="0"/>
        <v>2018</v>
      </c>
      <c r="B14" s="66">
        <v>11030662221.254807</v>
      </c>
    </row>
    <row r="15" spans="1:19" x14ac:dyDescent="0.25">
      <c r="A15" s="26">
        <f t="shared" si="0"/>
        <v>2019</v>
      </c>
      <c r="B15" s="66">
        <v>11136003379.607237</v>
      </c>
    </row>
    <row r="16" spans="1:19" x14ac:dyDescent="0.25">
      <c r="A16" s="26">
        <f t="shared" si="0"/>
        <v>2020</v>
      </c>
      <c r="B16" s="66">
        <v>11226441524.739933</v>
      </c>
    </row>
    <row r="17" spans="1:2" x14ac:dyDescent="0.25">
      <c r="A17" s="26">
        <f t="shared" si="0"/>
        <v>2021</v>
      </c>
      <c r="B17" s="66">
        <v>11311365658.45142</v>
      </c>
    </row>
    <row r="18" spans="1:2" x14ac:dyDescent="0.25">
      <c r="A18" s="26">
        <f t="shared" si="0"/>
        <v>2022</v>
      </c>
      <c r="B18" s="66">
        <v>11390768424.65041</v>
      </c>
    </row>
    <row r="19" spans="1:2" x14ac:dyDescent="0.25">
      <c r="A19" s="26">
        <f t="shared" si="0"/>
        <v>2023</v>
      </c>
      <c r="B19" s="66">
        <v>11464670555.718056</v>
      </c>
    </row>
    <row r="20" spans="1:2" x14ac:dyDescent="0.25">
      <c r="A20" s="26">
        <f t="shared" si="0"/>
        <v>2024</v>
      </c>
      <c r="B20" s="66">
        <v>11533120767.919504</v>
      </c>
    </row>
    <row r="21" spans="1:2" x14ac:dyDescent="0.25">
      <c r="A21" s="26">
        <f t="shared" si="0"/>
        <v>2025</v>
      </c>
      <c r="B21" s="66">
        <v>11579968602.290739</v>
      </c>
    </row>
    <row r="22" spans="1:2" x14ac:dyDescent="0.25">
      <c r="A22" s="26">
        <f t="shared" si="0"/>
        <v>2026</v>
      </c>
      <c r="B22" s="66">
        <v>11620868294.841003</v>
      </c>
    </row>
    <row r="23" spans="1:2" x14ac:dyDescent="0.25">
      <c r="A23" s="26">
        <f t="shared" si="0"/>
        <v>2027</v>
      </c>
      <c r="B23" s="66">
        <v>11655992787.406569</v>
      </c>
    </row>
    <row r="24" spans="1:2" x14ac:dyDescent="0.25">
      <c r="A24" s="26">
        <f t="shared" si="0"/>
        <v>2028</v>
      </c>
      <c r="B24" s="66">
        <v>11685542498.092731</v>
      </c>
    </row>
    <row r="25" spans="1:2" x14ac:dyDescent="0.25">
      <c r="A25" s="26">
        <f t="shared" si="0"/>
        <v>2029</v>
      </c>
      <c r="B25" s="66">
        <v>11709742850.126944</v>
      </c>
    </row>
    <row r="26" spans="1:2" x14ac:dyDescent="0.25">
      <c r="A26" s="26">
        <f>A25+1</f>
        <v>2030</v>
      </c>
      <c r="B26" s="66">
        <v>11728841435.309381</v>
      </c>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view="pageBreakPreview" zoomScale="80" zoomScaleSheetLayoutView="80" workbookViewId="0">
      <selection activeCell="P16" sqref="P16"/>
    </sheetView>
  </sheetViews>
  <sheetFormatPr defaultRowHeight="15.75" x14ac:dyDescent="0.25"/>
  <cols>
    <col min="1" max="1" width="24.85546875" style="2" customWidth="1"/>
    <col min="2" max="2" width="13" style="2" bestFit="1" customWidth="1"/>
    <col min="3" max="5" width="9.28515625" style="2" customWidth="1"/>
    <col min="6" max="6" width="10.85546875" style="2" bestFit="1" customWidth="1"/>
    <col min="7" max="7" width="10.42578125" style="2" bestFit="1" customWidth="1"/>
    <col min="8" max="8" width="10.85546875" style="2" bestFit="1" customWidth="1"/>
    <col min="9" max="9" width="10.42578125" style="2" bestFit="1" customWidth="1"/>
    <col min="10" max="10" width="12.5703125" style="2" bestFit="1" customWidth="1"/>
    <col min="11" max="11" width="10.42578125" style="2" bestFit="1" customWidth="1"/>
    <col min="12" max="12" width="10.85546875" style="2" bestFit="1" customWidth="1"/>
    <col min="13" max="13" width="9.85546875" style="2" bestFit="1" customWidth="1"/>
    <col min="14" max="15" width="10.42578125" style="2" bestFit="1" customWidth="1"/>
    <col min="16" max="17" width="10.85546875" style="2" bestFit="1" customWidth="1"/>
    <col min="18" max="18" width="10.42578125" style="2" bestFit="1" customWidth="1"/>
    <col min="19" max="19" width="9.140625" style="1"/>
  </cols>
  <sheetData>
    <row r="1" spans="1:19" ht="43.5" customHeight="1" x14ac:dyDescent="0.25">
      <c r="A1" s="204" t="s">
        <v>17</v>
      </c>
      <c r="B1" s="204"/>
      <c r="C1" s="204"/>
      <c r="D1" s="204"/>
      <c r="E1" s="204"/>
      <c r="F1" s="204"/>
      <c r="G1" s="204"/>
      <c r="H1" s="204"/>
      <c r="I1" s="204"/>
      <c r="J1" s="204"/>
      <c r="K1" s="204"/>
      <c r="L1" s="204"/>
      <c r="M1" s="204"/>
      <c r="N1" s="204"/>
      <c r="O1" s="204"/>
      <c r="P1" s="204"/>
      <c r="Q1" s="204"/>
      <c r="R1" s="204"/>
    </row>
    <row r="2" spans="1:19" s="7" customFormat="1" ht="30" customHeight="1" x14ac:dyDescent="0.25">
      <c r="A2" s="3"/>
      <c r="B2" s="3"/>
      <c r="C2" s="5">
        <v>2000</v>
      </c>
      <c r="D2" s="5">
        <v>2001</v>
      </c>
      <c r="E2" s="5">
        <v>2002</v>
      </c>
      <c r="F2" s="5">
        <v>2003</v>
      </c>
      <c r="G2" s="5">
        <v>2004</v>
      </c>
      <c r="H2" s="5">
        <v>2005</v>
      </c>
      <c r="I2" s="5">
        <v>2006</v>
      </c>
      <c r="J2" s="5">
        <v>2007</v>
      </c>
      <c r="K2" s="5">
        <v>2008</v>
      </c>
      <c r="L2" s="5">
        <v>2009</v>
      </c>
      <c r="M2" s="5">
        <v>2010</v>
      </c>
      <c r="N2" s="5">
        <v>2011</v>
      </c>
      <c r="O2" s="5">
        <v>2012</v>
      </c>
      <c r="P2" s="5">
        <v>2013</v>
      </c>
      <c r="Q2" s="5">
        <v>2014</v>
      </c>
      <c r="R2" s="5">
        <v>2015</v>
      </c>
      <c r="S2" s="6"/>
    </row>
    <row r="3" spans="1:19" ht="21.75" customHeight="1" x14ac:dyDescent="0.25">
      <c r="A3" s="205" t="s">
        <v>7</v>
      </c>
      <c r="B3" s="42" t="s">
        <v>0</v>
      </c>
      <c r="C3" s="20">
        <f>71799+2000</f>
        <v>73799</v>
      </c>
      <c r="D3" s="20">
        <f>76158+2000</f>
        <v>78158</v>
      </c>
      <c r="E3" s="20">
        <f>81476+500</f>
        <v>81976</v>
      </c>
      <c r="F3" s="13">
        <v>85695</v>
      </c>
      <c r="G3" s="13">
        <v>92245</v>
      </c>
      <c r="H3" s="13">
        <v>97973</v>
      </c>
      <c r="I3" s="13">
        <v>103102</v>
      </c>
      <c r="J3" s="13">
        <v>109090</v>
      </c>
      <c r="K3" s="13">
        <v>118980</v>
      </c>
      <c r="L3" s="13">
        <v>124217</v>
      </c>
      <c r="M3" s="13">
        <v>131916</v>
      </c>
      <c r="N3" s="13">
        <v>139364</v>
      </c>
      <c r="O3" s="13">
        <v>148726</v>
      </c>
      <c r="P3" s="13">
        <v>160039</v>
      </c>
      <c r="Q3" s="13">
        <v>172053</v>
      </c>
      <c r="R3" s="13">
        <v>184850</v>
      </c>
    </row>
    <row r="4" spans="1:19" ht="21" customHeight="1" x14ac:dyDescent="0.25">
      <c r="A4" s="206"/>
      <c r="B4" s="101" t="s">
        <v>1</v>
      </c>
      <c r="C4" s="20">
        <f>6006+500+137</f>
        <v>6643</v>
      </c>
      <c r="D4" s="20">
        <f>6998+500</f>
        <v>7498</v>
      </c>
      <c r="E4" s="20">
        <v>8108</v>
      </c>
      <c r="F4" s="13">
        <v>8971</v>
      </c>
      <c r="G4" s="13">
        <v>9618</v>
      </c>
      <c r="H4" s="13">
        <v>10237</v>
      </c>
      <c r="I4" s="13">
        <v>10750</v>
      </c>
      <c r="J4" s="13">
        <v>11345</v>
      </c>
      <c r="K4" s="13">
        <v>12023</v>
      </c>
      <c r="L4" s="13">
        <v>12421</v>
      </c>
      <c r="M4" s="13">
        <v>13000</v>
      </c>
      <c r="N4" s="13">
        <v>13696</v>
      </c>
      <c r="O4" s="13">
        <v>14493</v>
      </c>
      <c r="P4" s="13">
        <v>15141</v>
      </c>
      <c r="Q4" s="13">
        <v>15815</v>
      </c>
      <c r="R4" s="13">
        <v>16468</v>
      </c>
    </row>
    <row r="5" spans="1:19" ht="21" customHeight="1" x14ac:dyDescent="0.25">
      <c r="A5" s="206"/>
      <c r="B5" s="3" t="s">
        <v>2</v>
      </c>
      <c r="C5" s="20">
        <f>119+20</f>
        <v>139</v>
      </c>
      <c r="D5" s="20">
        <v>153</v>
      </c>
      <c r="E5" s="20">
        <v>177</v>
      </c>
      <c r="F5" s="13">
        <v>186</v>
      </c>
      <c r="G5" s="13">
        <v>200</v>
      </c>
      <c r="H5" s="13">
        <v>203</v>
      </c>
      <c r="I5" s="13">
        <v>204</v>
      </c>
      <c r="J5" s="13">
        <v>204</v>
      </c>
      <c r="K5" s="13">
        <v>207</v>
      </c>
      <c r="L5" s="13">
        <v>211</v>
      </c>
      <c r="M5" s="13">
        <v>214</v>
      </c>
      <c r="N5" s="13">
        <v>218</v>
      </c>
      <c r="O5" s="13">
        <v>218</v>
      </c>
      <c r="P5" s="13">
        <v>218</v>
      </c>
      <c r="Q5" s="13">
        <v>220</v>
      </c>
      <c r="R5" s="13">
        <v>224</v>
      </c>
    </row>
    <row r="6" spans="1:19" ht="21" customHeight="1" x14ac:dyDescent="0.25">
      <c r="A6" s="206"/>
      <c r="B6" s="3" t="s">
        <v>3</v>
      </c>
      <c r="C6" s="13">
        <v>0</v>
      </c>
      <c r="D6" s="13">
        <v>0</v>
      </c>
      <c r="E6" s="13">
        <v>0</v>
      </c>
      <c r="F6" s="13">
        <v>0</v>
      </c>
      <c r="G6" s="13">
        <v>0</v>
      </c>
      <c r="H6" s="13">
        <v>0</v>
      </c>
      <c r="I6" s="13">
        <v>0</v>
      </c>
      <c r="J6" s="13">
        <v>0</v>
      </c>
      <c r="K6" s="13">
        <v>0</v>
      </c>
      <c r="L6" s="13">
        <v>42</v>
      </c>
      <c r="M6" s="13">
        <v>161</v>
      </c>
      <c r="N6" s="13">
        <v>315</v>
      </c>
      <c r="O6" s="13">
        <v>703</v>
      </c>
      <c r="P6" s="13">
        <v>1389</v>
      </c>
      <c r="Q6" s="13">
        <v>1824</v>
      </c>
      <c r="R6" s="13">
        <v>2411</v>
      </c>
    </row>
    <row r="7" spans="1:19" ht="21" customHeight="1" x14ac:dyDescent="0.25">
      <c r="A7" s="207"/>
      <c r="B7" s="3" t="s">
        <v>4</v>
      </c>
      <c r="C7" s="13">
        <v>0</v>
      </c>
      <c r="D7" s="13">
        <v>0</v>
      </c>
      <c r="E7" s="13">
        <v>0</v>
      </c>
      <c r="F7" s="13">
        <v>0</v>
      </c>
      <c r="G7" s="13">
        <v>0</v>
      </c>
      <c r="H7" s="13">
        <v>0</v>
      </c>
      <c r="I7" s="13">
        <v>0</v>
      </c>
      <c r="J7" s="13">
        <v>0</v>
      </c>
      <c r="K7" s="13">
        <v>0</v>
      </c>
      <c r="L7" s="13">
        <v>0</v>
      </c>
      <c r="M7" s="13">
        <v>0</v>
      </c>
      <c r="N7" s="13">
        <v>2</v>
      </c>
      <c r="O7" s="13">
        <v>5</v>
      </c>
      <c r="P7" s="13">
        <v>6</v>
      </c>
      <c r="Q7" s="13">
        <v>8</v>
      </c>
      <c r="R7" s="13">
        <v>19</v>
      </c>
    </row>
    <row r="8" spans="1:19" ht="5.25" customHeight="1" x14ac:dyDescent="0.25">
      <c r="A8" s="15"/>
      <c r="B8" s="4"/>
      <c r="C8" s="14"/>
      <c r="D8" s="14"/>
      <c r="E8" s="14"/>
      <c r="F8" s="14"/>
      <c r="G8" s="14"/>
      <c r="H8" s="14"/>
      <c r="I8" s="14"/>
      <c r="J8" s="14"/>
      <c r="K8" s="14"/>
      <c r="L8" s="14"/>
      <c r="M8" s="14"/>
      <c r="N8" s="14"/>
      <c r="O8" s="14"/>
      <c r="P8" s="14"/>
      <c r="Q8" s="14"/>
      <c r="R8" s="14"/>
    </row>
    <row r="9" spans="1:19" ht="21.75" customHeight="1" x14ac:dyDescent="0.25">
      <c r="A9" s="205" t="s">
        <v>10</v>
      </c>
      <c r="B9" s="42" t="s">
        <v>0</v>
      </c>
      <c r="C9" s="13">
        <v>2426</v>
      </c>
      <c r="D9" s="13">
        <v>2520</v>
      </c>
      <c r="E9" s="13">
        <v>2569</v>
      </c>
      <c r="F9" s="13">
        <v>2600</v>
      </c>
      <c r="G9" s="13">
        <v>2612</v>
      </c>
      <c r="H9" s="13">
        <v>2675</v>
      </c>
      <c r="I9" s="20">
        <v>2685</v>
      </c>
      <c r="J9" s="20">
        <v>2712</v>
      </c>
      <c r="K9" s="20">
        <v>2743</v>
      </c>
      <c r="L9" s="20">
        <v>2726</v>
      </c>
      <c r="M9" s="13">
        <v>2539</v>
      </c>
      <c r="N9" s="13">
        <v>2751</v>
      </c>
      <c r="O9" s="13">
        <v>2704</v>
      </c>
      <c r="P9" s="13">
        <v>2855</v>
      </c>
      <c r="Q9" s="13">
        <v>3203</v>
      </c>
      <c r="R9" s="13">
        <v>3423</v>
      </c>
    </row>
    <row r="10" spans="1:19" ht="21.75" customHeight="1" x14ac:dyDescent="0.25">
      <c r="A10" s="206"/>
      <c r="B10" s="3" t="s">
        <v>1</v>
      </c>
      <c r="C10" s="20">
        <f>17182+1000</f>
        <v>18182</v>
      </c>
      <c r="D10" s="20">
        <f>18932+449</f>
        <v>19381</v>
      </c>
      <c r="E10" s="13">
        <v>20459</v>
      </c>
      <c r="F10" s="13">
        <v>21395</v>
      </c>
      <c r="G10" s="13">
        <v>22322</v>
      </c>
      <c r="H10" s="13">
        <v>23215</v>
      </c>
      <c r="I10" s="20">
        <v>23983</v>
      </c>
      <c r="J10" s="20">
        <v>24790</v>
      </c>
      <c r="K10" s="20">
        <v>25826</v>
      </c>
      <c r="L10" s="20">
        <v>26514</v>
      </c>
      <c r="M10" s="13">
        <v>27637</v>
      </c>
      <c r="N10" s="13">
        <v>28362</v>
      </c>
      <c r="O10" s="13">
        <v>29276</v>
      </c>
      <c r="P10" s="13">
        <v>29888</v>
      </c>
      <c r="Q10" s="13">
        <v>30325</v>
      </c>
      <c r="R10" s="13">
        <v>30820</v>
      </c>
    </row>
    <row r="11" spans="1:19" ht="21.75" customHeight="1" x14ac:dyDescent="0.25">
      <c r="A11" s="206"/>
      <c r="B11" s="2" t="s">
        <v>2</v>
      </c>
      <c r="C11" s="13">
        <v>10</v>
      </c>
      <c r="D11" s="13">
        <v>11</v>
      </c>
      <c r="E11" s="13">
        <v>13</v>
      </c>
      <c r="F11" s="13">
        <v>12</v>
      </c>
      <c r="G11" s="13">
        <v>12</v>
      </c>
      <c r="H11" s="13">
        <v>12</v>
      </c>
      <c r="I11" s="20">
        <v>12</v>
      </c>
      <c r="J11" s="20">
        <v>13</v>
      </c>
      <c r="K11" s="20">
        <v>13</v>
      </c>
      <c r="L11" s="20">
        <v>13</v>
      </c>
      <c r="M11" s="13">
        <v>14</v>
      </c>
      <c r="N11" s="13">
        <v>14</v>
      </c>
      <c r="O11" s="13">
        <v>15</v>
      </c>
      <c r="P11" s="13">
        <v>17</v>
      </c>
      <c r="Q11" s="13">
        <v>17</v>
      </c>
      <c r="R11" s="13">
        <v>17</v>
      </c>
    </row>
    <row r="12" spans="1:19" ht="21.75" customHeight="1" x14ac:dyDescent="0.25">
      <c r="A12" s="206"/>
      <c r="B12" s="3" t="s">
        <v>3</v>
      </c>
      <c r="C12" s="13">
        <v>0</v>
      </c>
      <c r="D12" s="13">
        <v>0</v>
      </c>
      <c r="E12" s="13">
        <v>0</v>
      </c>
      <c r="F12" s="13">
        <v>0</v>
      </c>
      <c r="G12" s="13">
        <v>0</v>
      </c>
      <c r="H12" s="13">
        <v>0</v>
      </c>
      <c r="I12" s="20">
        <v>0</v>
      </c>
      <c r="J12" s="20">
        <v>0</v>
      </c>
      <c r="K12" s="20">
        <v>0</v>
      </c>
      <c r="L12" s="20">
        <v>0</v>
      </c>
      <c r="M12" s="13">
        <v>0</v>
      </c>
      <c r="N12" s="13">
        <v>0</v>
      </c>
      <c r="O12" s="13">
        <v>0</v>
      </c>
      <c r="P12" s="13">
        <v>0</v>
      </c>
      <c r="Q12" s="13">
        <v>1</v>
      </c>
      <c r="R12" s="13">
        <v>2</v>
      </c>
    </row>
    <row r="13" spans="1:19" ht="5.25" customHeight="1" x14ac:dyDescent="0.25">
      <c r="A13" s="15"/>
      <c r="B13" s="4"/>
      <c r="C13" s="14"/>
      <c r="D13" s="14"/>
      <c r="E13" s="14"/>
      <c r="F13" s="14"/>
      <c r="G13" s="14"/>
      <c r="H13" s="14"/>
      <c r="I13" s="14"/>
      <c r="J13" s="14"/>
      <c r="K13" s="14"/>
      <c r="L13" s="14"/>
      <c r="M13" s="14"/>
      <c r="N13" s="14"/>
      <c r="O13" s="14"/>
      <c r="P13" s="14"/>
      <c r="Q13" s="14"/>
      <c r="R13" s="14"/>
    </row>
    <row r="14" spans="1:19" ht="24" customHeight="1" x14ac:dyDescent="0.25">
      <c r="A14" s="205" t="s">
        <v>8</v>
      </c>
      <c r="B14" s="42" t="s">
        <v>0</v>
      </c>
      <c r="C14" s="13">
        <v>5894</v>
      </c>
      <c r="D14" s="13">
        <v>6051</v>
      </c>
      <c r="E14" s="13">
        <v>6120</v>
      </c>
      <c r="F14" s="13">
        <v>6167</v>
      </c>
      <c r="G14" s="13">
        <v>6208</v>
      </c>
      <c r="H14" s="13">
        <v>6214</v>
      </c>
      <c r="I14" s="13">
        <v>6298</v>
      </c>
      <c r="J14" s="13">
        <v>6301</v>
      </c>
      <c r="K14" s="13">
        <v>6436</v>
      </c>
      <c r="L14" s="13">
        <v>6377</v>
      </c>
      <c r="M14" s="13">
        <v>6385</v>
      </c>
      <c r="N14" s="13">
        <v>6203</v>
      </c>
      <c r="O14" s="13">
        <v>6284</v>
      </c>
      <c r="P14" s="13">
        <v>6327</v>
      </c>
      <c r="Q14" s="13">
        <v>6254</v>
      </c>
      <c r="R14" s="13">
        <v>5994</v>
      </c>
    </row>
    <row r="15" spans="1:19" ht="24" customHeight="1" x14ac:dyDescent="0.25">
      <c r="A15" s="206"/>
      <c r="B15" s="101" t="s">
        <v>1</v>
      </c>
      <c r="C15" s="13">
        <v>10818</v>
      </c>
      <c r="D15" s="13">
        <v>11756</v>
      </c>
      <c r="E15" s="13">
        <v>12578</v>
      </c>
      <c r="F15" s="13">
        <v>13511</v>
      </c>
      <c r="G15" s="13">
        <v>14223</v>
      </c>
      <c r="H15" s="13">
        <v>15539</v>
      </c>
      <c r="I15" s="13">
        <v>16690</v>
      </c>
      <c r="J15" s="13">
        <v>17910</v>
      </c>
      <c r="K15" s="13">
        <v>19316</v>
      </c>
      <c r="L15" s="13">
        <v>20470</v>
      </c>
      <c r="M15" s="13">
        <v>21656</v>
      </c>
      <c r="N15" s="13">
        <v>22562</v>
      </c>
      <c r="O15" s="13">
        <v>24117</v>
      </c>
      <c r="P15" s="13">
        <v>24121</v>
      </c>
      <c r="Q15" s="13">
        <v>24253</v>
      </c>
      <c r="R15" s="13">
        <v>23753</v>
      </c>
    </row>
    <row r="16" spans="1:19" ht="23.25" customHeight="1" x14ac:dyDescent="0.25">
      <c r="A16" s="207"/>
      <c r="B16" s="2" t="s">
        <v>2</v>
      </c>
      <c r="C16" s="13">
        <v>9</v>
      </c>
      <c r="D16" s="13">
        <v>9</v>
      </c>
      <c r="E16" s="13">
        <v>10</v>
      </c>
      <c r="F16" s="13">
        <v>10</v>
      </c>
      <c r="G16" s="13">
        <v>11</v>
      </c>
      <c r="H16" s="13">
        <v>11</v>
      </c>
      <c r="I16" s="13">
        <v>11</v>
      </c>
      <c r="J16" s="13">
        <v>12</v>
      </c>
      <c r="K16" s="13">
        <v>12</v>
      </c>
      <c r="L16" s="13">
        <v>12</v>
      </c>
      <c r="M16" s="13">
        <v>12</v>
      </c>
      <c r="N16" s="13">
        <v>12</v>
      </c>
      <c r="O16" s="13">
        <v>12</v>
      </c>
      <c r="P16" s="13">
        <v>12</v>
      </c>
      <c r="Q16" s="13">
        <v>13</v>
      </c>
      <c r="R16" s="13">
        <v>13</v>
      </c>
    </row>
    <row r="17" spans="1:19" ht="5.25" customHeight="1" x14ac:dyDescent="0.25">
      <c r="A17" s="10"/>
      <c r="B17" s="4"/>
      <c r="C17" s="14"/>
      <c r="D17" s="14"/>
      <c r="E17" s="14"/>
      <c r="F17" s="14">
        <v>0</v>
      </c>
      <c r="G17" s="14"/>
      <c r="H17" s="14"/>
      <c r="I17" s="14"/>
      <c r="J17" s="14"/>
      <c r="K17" s="14"/>
      <c r="L17" s="14"/>
      <c r="M17" s="14"/>
      <c r="N17" s="14"/>
      <c r="O17" s="14"/>
      <c r="P17" s="14"/>
      <c r="Q17" s="14"/>
      <c r="R17" s="14"/>
    </row>
    <row r="18" spans="1:19" ht="36" customHeight="1" x14ac:dyDescent="0.25">
      <c r="A18" s="40" t="s">
        <v>5</v>
      </c>
      <c r="B18" s="3" t="s">
        <v>0</v>
      </c>
      <c r="C18" s="20">
        <f>95419+2000+500</f>
        <v>97919</v>
      </c>
      <c r="D18" s="20">
        <f>98865+1000</f>
        <v>99865</v>
      </c>
      <c r="E18" s="20">
        <f>101935+554</f>
        <v>102489</v>
      </c>
      <c r="F18" s="13">
        <v>104968</v>
      </c>
      <c r="G18" s="13">
        <v>108210</v>
      </c>
      <c r="H18" s="13">
        <v>110583</v>
      </c>
      <c r="I18" s="13">
        <v>113456</v>
      </c>
      <c r="J18" s="13">
        <v>115107</v>
      </c>
      <c r="K18" s="13">
        <v>114454</v>
      </c>
      <c r="L18" s="13">
        <v>118798</v>
      </c>
      <c r="M18" s="13">
        <v>121644</v>
      </c>
      <c r="N18" s="13">
        <v>122653</v>
      </c>
      <c r="O18" s="13">
        <v>124737</v>
      </c>
      <c r="P18" s="13">
        <v>125013</v>
      </c>
      <c r="Q18" s="13">
        <v>123713</v>
      </c>
      <c r="R18" s="13">
        <v>123118</v>
      </c>
    </row>
    <row r="19" spans="1:19" ht="5.25" customHeight="1" x14ac:dyDescent="0.25">
      <c r="A19" s="10"/>
      <c r="B19" s="4"/>
      <c r="C19" s="14"/>
      <c r="D19" s="14"/>
      <c r="E19" s="14"/>
      <c r="F19" s="14"/>
      <c r="G19" s="14"/>
      <c r="H19" s="14"/>
      <c r="I19" s="14"/>
      <c r="J19" s="14"/>
      <c r="K19" s="14"/>
      <c r="L19" s="14"/>
      <c r="M19" s="14"/>
      <c r="N19" s="14"/>
      <c r="O19" s="14"/>
      <c r="P19" s="14"/>
      <c r="Q19" s="14"/>
      <c r="R19" s="14"/>
    </row>
    <row r="20" spans="1:19" ht="34.5" customHeight="1" x14ac:dyDescent="0.25">
      <c r="A20" s="41" t="s">
        <v>6</v>
      </c>
      <c r="B20" s="3" t="s">
        <v>0</v>
      </c>
      <c r="C20" s="20">
        <f>22079+500</f>
        <v>22579</v>
      </c>
      <c r="D20" s="20">
        <f>23216+500</f>
        <v>23716</v>
      </c>
      <c r="E20" s="20">
        <f>24430+500</f>
        <v>24930</v>
      </c>
      <c r="F20" s="13">
        <v>26041</v>
      </c>
      <c r="G20" s="13">
        <v>28503</v>
      </c>
      <c r="H20" s="13">
        <v>31099</v>
      </c>
      <c r="I20" s="13">
        <v>34200</v>
      </c>
      <c r="J20" s="13">
        <v>38012</v>
      </c>
      <c r="K20" s="13">
        <v>42368</v>
      </c>
      <c r="L20" s="13">
        <v>45295</v>
      </c>
      <c r="M20" s="13">
        <v>49126</v>
      </c>
      <c r="N20" s="13">
        <v>54172</v>
      </c>
      <c r="O20" s="13">
        <v>60109</v>
      </c>
      <c r="P20" s="13">
        <v>66631</v>
      </c>
      <c r="Q20" s="13">
        <v>74081</v>
      </c>
      <c r="R20" s="13">
        <v>80159</v>
      </c>
    </row>
    <row r="21" spans="1:19" ht="5.25" customHeight="1" x14ac:dyDescent="0.25">
      <c r="A21" s="10"/>
      <c r="B21" s="4"/>
      <c r="C21" s="14"/>
      <c r="D21" s="14"/>
      <c r="E21" s="14"/>
      <c r="F21" s="14"/>
      <c r="G21" s="14"/>
      <c r="H21" s="14"/>
      <c r="I21" s="14"/>
      <c r="J21" s="14"/>
      <c r="K21" s="14"/>
      <c r="L21" s="14"/>
      <c r="M21" s="14"/>
      <c r="N21" s="14"/>
      <c r="O21" s="14"/>
      <c r="P21" s="14"/>
      <c r="Q21" s="14"/>
      <c r="R21" s="14"/>
    </row>
    <row r="22" spans="1:19" ht="31.5" customHeight="1" x14ac:dyDescent="0.25">
      <c r="A22" s="12" t="s">
        <v>13</v>
      </c>
      <c r="B22" s="3" t="s">
        <v>1</v>
      </c>
      <c r="C22" s="20">
        <f>3600+50</f>
        <v>3650</v>
      </c>
      <c r="D22" s="13">
        <v>3930</v>
      </c>
      <c r="E22" s="13">
        <v>4156</v>
      </c>
      <c r="F22" s="13">
        <v>4328</v>
      </c>
      <c r="G22" s="13">
        <v>4609</v>
      </c>
      <c r="H22" s="13">
        <v>4750</v>
      </c>
      <c r="I22" s="13">
        <v>4772</v>
      </c>
      <c r="J22" s="13">
        <v>4913</v>
      </c>
      <c r="K22" s="13">
        <v>4979</v>
      </c>
      <c r="L22" s="13">
        <v>5042</v>
      </c>
      <c r="M22" s="13">
        <v>5172</v>
      </c>
      <c r="N22" s="13">
        <v>5553</v>
      </c>
      <c r="O22" s="13">
        <v>5251</v>
      </c>
      <c r="P22" s="13">
        <v>6349</v>
      </c>
      <c r="Q22" s="13">
        <v>7438</v>
      </c>
      <c r="R22" s="13">
        <v>8836</v>
      </c>
    </row>
    <row r="23" spans="1:19" ht="5.25" customHeight="1" x14ac:dyDescent="0.25">
      <c r="A23" s="10"/>
      <c r="B23" s="4"/>
      <c r="C23" s="14"/>
      <c r="D23" s="14"/>
      <c r="E23" s="14"/>
      <c r="F23" s="14"/>
      <c r="G23" s="14"/>
      <c r="H23" s="14"/>
      <c r="I23" s="14"/>
      <c r="J23" s="14"/>
      <c r="K23" s="14"/>
      <c r="L23" s="14"/>
      <c r="M23" s="14"/>
      <c r="N23" s="14"/>
      <c r="O23" s="14"/>
      <c r="P23" s="14"/>
      <c r="Q23" s="14"/>
      <c r="R23" s="14"/>
    </row>
    <row r="24" spans="1:19" ht="32.25" customHeight="1" x14ac:dyDescent="0.25">
      <c r="A24" s="12" t="s">
        <v>9</v>
      </c>
      <c r="B24" s="3" t="s">
        <v>1</v>
      </c>
      <c r="C24" s="13">
        <v>1157</v>
      </c>
      <c r="D24" s="13">
        <v>1252</v>
      </c>
      <c r="E24" s="13">
        <v>1349</v>
      </c>
      <c r="F24" s="13">
        <v>1422</v>
      </c>
      <c r="G24" s="13">
        <v>1478</v>
      </c>
      <c r="H24" s="13">
        <v>1709</v>
      </c>
      <c r="I24" s="13">
        <v>1920</v>
      </c>
      <c r="J24" s="13">
        <v>2279</v>
      </c>
      <c r="K24" s="13">
        <v>2449</v>
      </c>
      <c r="L24" s="13">
        <v>2632</v>
      </c>
      <c r="M24" s="13">
        <v>2778</v>
      </c>
      <c r="N24" s="13">
        <v>3010</v>
      </c>
      <c r="O24" s="13">
        <v>3136</v>
      </c>
      <c r="P24" s="13">
        <v>3248</v>
      </c>
      <c r="Q24" s="13">
        <v>3501</v>
      </c>
      <c r="R24" s="13">
        <v>3621</v>
      </c>
    </row>
    <row r="25" spans="1:19" ht="5.25" customHeight="1" x14ac:dyDescent="0.25">
      <c r="A25" s="10"/>
      <c r="B25" s="4"/>
      <c r="C25" s="14"/>
      <c r="D25" s="14"/>
      <c r="E25" s="14"/>
      <c r="F25" s="14"/>
      <c r="G25" s="14"/>
      <c r="H25" s="14"/>
      <c r="I25" s="14"/>
      <c r="J25" s="14"/>
      <c r="K25" s="14"/>
      <c r="L25" s="14"/>
      <c r="M25" s="14"/>
      <c r="N25" s="14"/>
      <c r="O25" s="14"/>
      <c r="P25" s="14"/>
      <c r="Q25" s="14"/>
      <c r="R25" s="14"/>
    </row>
    <row r="26" spans="1:19" ht="32.25" customHeight="1" x14ac:dyDescent="0.25">
      <c r="A26" s="12" t="s">
        <v>15</v>
      </c>
      <c r="B26" s="3" t="s">
        <v>1</v>
      </c>
      <c r="C26" s="13">
        <v>26</v>
      </c>
      <c r="D26" s="13">
        <v>26</v>
      </c>
      <c r="E26" s="13">
        <v>28</v>
      </c>
      <c r="F26" s="13">
        <v>33</v>
      </c>
      <c r="G26" s="13">
        <v>33</v>
      </c>
      <c r="H26" s="13">
        <v>32</v>
      </c>
      <c r="I26" s="13">
        <v>36</v>
      </c>
      <c r="J26" s="13">
        <v>39</v>
      </c>
      <c r="K26" s="13">
        <v>42</v>
      </c>
      <c r="L26" s="13">
        <v>40</v>
      </c>
      <c r="M26" s="13">
        <v>42</v>
      </c>
      <c r="N26" s="13">
        <v>42</v>
      </c>
      <c r="O26" s="13">
        <v>46</v>
      </c>
      <c r="P26" s="13">
        <v>42</v>
      </c>
      <c r="Q26" s="13">
        <v>42</v>
      </c>
      <c r="R26" s="13">
        <v>44</v>
      </c>
    </row>
    <row r="27" spans="1:19" ht="5.25" customHeight="1" x14ac:dyDescent="0.25">
      <c r="A27" s="10"/>
      <c r="B27" s="4"/>
      <c r="C27" s="14"/>
      <c r="D27" s="14"/>
      <c r="E27" s="14"/>
      <c r="F27" s="14"/>
      <c r="G27" s="14"/>
      <c r="H27" s="14"/>
      <c r="I27" s="14"/>
      <c r="J27" s="14"/>
      <c r="K27" s="14"/>
      <c r="L27" s="14"/>
      <c r="M27" s="14"/>
      <c r="N27" s="14"/>
      <c r="O27" s="14"/>
      <c r="P27" s="14"/>
      <c r="Q27" s="14"/>
      <c r="R27" s="14"/>
    </row>
    <row r="28" spans="1:19" ht="34.5" customHeight="1" x14ac:dyDescent="0.25">
      <c r="A28" s="12" t="s">
        <v>14</v>
      </c>
      <c r="B28" s="3" t="s">
        <v>1</v>
      </c>
      <c r="C28" s="13">
        <v>61</v>
      </c>
      <c r="D28" s="13">
        <v>69</v>
      </c>
      <c r="E28" s="13">
        <v>83</v>
      </c>
      <c r="F28" s="13">
        <v>160</v>
      </c>
      <c r="G28" s="13">
        <v>199</v>
      </c>
      <c r="H28" s="13">
        <v>248</v>
      </c>
      <c r="I28" s="13">
        <v>285</v>
      </c>
      <c r="J28" s="13">
        <v>332</v>
      </c>
      <c r="K28" s="13">
        <v>400</v>
      </c>
      <c r="L28" s="13">
        <v>485</v>
      </c>
      <c r="M28" s="13">
        <v>557</v>
      </c>
      <c r="N28" s="13">
        <v>644</v>
      </c>
      <c r="O28" s="13">
        <v>706</v>
      </c>
      <c r="P28" s="13">
        <v>792</v>
      </c>
      <c r="Q28" s="13">
        <v>854</v>
      </c>
      <c r="R28" s="13">
        <v>911</v>
      </c>
    </row>
    <row r="29" spans="1:19" ht="5.25" customHeight="1" x14ac:dyDescent="0.25">
      <c r="A29" s="10"/>
      <c r="B29" s="4"/>
      <c r="C29" s="14"/>
      <c r="D29" s="14"/>
      <c r="E29" s="14"/>
      <c r="F29" s="14"/>
      <c r="G29" s="14"/>
      <c r="H29" s="14"/>
      <c r="I29" s="14"/>
      <c r="J29" s="14"/>
      <c r="K29" s="14"/>
      <c r="L29" s="14"/>
      <c r="M29" s="14"/>
      <c r="N29" s="14"/>
      <c r="O29" s="14"/>
      <c r="P29" s="14"/>
      <c r="Q29" s="14"/>
      <c r="R29" s="14"/>
    </row>
    <row r="30" spans="1:19" ht="36.75" customHeight="1" x14ac:dyDescent="0.25">
      <c r="A30" s="22" t="s">
        <v>11</v>
      </c>
      <c r="B30" s="3" t="s">
        <v>1</v>
      </c>
      <c r="C30" s="13">
        <v>706</v>
      </c>
      <c r="D30" s="13">
        <v>754</v>
      </c>
      <c r="E30" s="13">
        <v>796</v>
      </c>
      <c r="F30" s="13">
        <v>872</v>
      </c>
      <c r="G30" s="13">
        <v>922</v>
      </c>
      <c r="H30" s="13">
        <v>996</v>
      </c>
      <c r="I30" s="13">
        <v>1036</v>
      </c>
      <c r="J30" s="13">
        <v>1086</v>
      </c>
      <c r="K30" s="13">
        <v>1158</v>
      </c>
      <c r="L30" s="13">
        <v>1225</v>
      </c>
      <c r="M30" s="13">
        <v>1262</v>
      </c>
      <c r="N30" s="13">
        <v>1346</v>
      </c>
      <c r="O30" s="13">
        <v>1388</v>
      </c>
      <c r="P30" s="13">
        <v>1407</v>
      </c>
      <c r="Q30" s="13">
        <v>1437</v>
      </c>
      <c r="R30" s="13">
        <v>1461</v>
      </c>
    </row>
    <row r="31" spans="1:19" s="19" customFormat="1" ht="5.25" customHeight="1" x14ac:dyDescent="0.25">
      <c r="A31" s="8"/>
      <c r="B31" s="8"/>
      <c r="C31" s="8"/>
      <c r="D31" s="8"/>
      <c r="E31" s="8"/>
      <c r="F31" s="8"/>
      <c r="G31" s="8"/>
      <c r="H31" s="8"/>
      <c r="I31" s="8"/>
      <c r="J31" s="8"/>
      <c r="K31" s="8"/>
      <c r="L31" s="8"/>
      <c r="M31" s="8"/>
      <c r="N31" s="8"/>
      <c r="O31" s="8"/>
      <c r="P31" s="8"/>
      <c r="Q31" s="8"/>
      <c r="R31" s="8"/>
      <c r="S31" s="18"/>
    </row>
    <row r="32" spans="1:19" ht="29.25" customHeight="1" x14ac:dyDescent="0.25">
      <c r="A32" s="3"/>
      <c r="B32" s="5" t="s">
        <v>12</v>
      </c>
      <c r="C32" s="25">
        <f>SUM(C3:C30)</f>
        <v>244018</v>
      </c>
      <c r="D32" s="25">
        <f t="shared" ref="D32:R32" si="0">SUM(D3:D30)</f>
        <v>255149</v>
      </c>
      <c r="E32" s="25">
        <f t="shared" si="0"/>
        <v>265841</v>
      </c>
      <c r="F32" s="25">
        <f t="shared" si="0"/>
        <v>276371</v>
      </c>
      <c r="G32" s="13">
        <f t="shared" si="0"/>
        <v>291405</v>
      </c>
      <c r="H32" s="13">
        <f t="shared" si="0"/>
        <v>305496</v>
      </c>
      <c r="I32" s="20">
        <f t="shared" si="0"/>
        <v>319440</v>
      </c>
      <c r="J32" s="20">
        <f t="shared" si="0"/>
        <v>334145</v>
      </c>
      <c r="K32" s="20">
        <f t="shared" si="0"/>
        <v>351406</v>
      </c>
      <c r="L32" s="20">
        <f t="shared" si="0"/>
        <v>366520</v>
      </c>
      <c r="M32" s="13">
        <f t="shared" si="0"/>
        <v>384115</v>
      </c>
      <c r="N32" s="13">
        <f t="shared" si="0"/>
        <v>400919</v>
      </c>
      <c r="O32" s="13">
        <f t="shared" si="0"/>
        <v>421926</v>
      </c>
      <c r="P32" s="13">
        <f t="shared" si="0"/>
        <v>443495</v>
      </c>
      <c r="Q32" s="13">
        <f t="shared" si="0"/>
        <v>465052</v>
      </c>
      <c r="R32" s="13">
        <f t="shared" si="0"/>
        <v>486144</v>
      </c>
    </row>
    <row r="35" spans="2:7" ht="24.75" customHeight="1" x14ac:dyDescent="0.25">
      <c r="B35" s="23"/>
      <c r="C35" s="16" t="s">
        <v>1</v>
      </c>
      <c r="D35" s="16" t="s">
        <v>2</v>
      </c>
      <c r="E35" s="5" t="s">
        <v>3</v>
      </c>
      <c r="F35" s="5" t="s">
        <v>4</v>
      </c>
      <c r="G35" s="5" t="s">
        <v>12</v>
      </c>
    </row>
    <row r="36" spans="2:7" ht="24.75" customHeight="1" x14ac:dyDescent="0.25">
      <c r="B36" s="24"/>
      <c r="C36" s="17">
        <f>R4+R10+R15+R22+R24+R26+R28+R30</f>
        <v>85914</v>
      </c>
      <c r="D36" s="17">
        <f>R5+R11+R16</f>
        <v>254</v>
      </c>
      <c r="E36" s="21">
        <f>R6+R12</f>
        <v>2413</v>
      </c>
      <c r="F36" s="21">
        <f>R7</f>
        <v>19</v>
      </c>
      <c r="G36" s="21">
        <f>R32</f>
        <v>486144</v>
      </c>
    </row>
  </sheetData>
  <mergeCells count="4">
    <mergeCell ref="A1:R1"/>
    <mergeCell ref="A3:A7"/>
    <mergeCell ref="A9:A12"/>
    <mergeCell ref="A14:A16"/>
  </mergeCells>
  <pageMargins left="0.7" right="0.7" top="0.75" bottom="0.75" header="0.3" footer="0.3"/>
  <pageSetup paperSize="9" scale="64" orientation="landscape" r:id="rId1"/>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abSelected="1" topLeftCell="L19" zoomScale="70" zoomScaleNormal="70" workbookViewId="0">
      <selection activeCell="C48" sqref="C48"/>
    </sheetView>
  </sheetViews>
  <sheetFormatPr defaultRowHeight="15" outlineLevelCol="1" x14ac:dyDescent="0.25"/>
  <cols>
    <col min="2" max="2" width="16.42578125" customWidth="1" outlineLevel="1"/>
    <col min="3" max="3" width="17.28515625" customWidth="1" outlineLevel="1"/>
    <col min="4" max="4" width="16" customWidth="1" outlineLevel="1"/>
    <col min="5" max="5" width="14.28515625" customWidth="1" outlineLevel="1"/>
    <col min="6" max="6" width="13.140625" customWidth="1" outlineLevel="1"/>
    <col min="7" max="7" width="16.7109375" customWidth="1" outlineLevel="1"/>
    <col min="8" max="8" width="17.28515625" customWidth="1" outlineLevel="1"/>
    <col min="9" max="13" width="11.5703125" customWidth="1" outlineLevel="1"/>
    <col min="14" max="14" width="13.5703125" customWidth="1" outlineLevel="1"/>
    <col min="15" max="15" width="13.7109375" customWidth="1" outlineLevel="1"/>
    <col min="16" max="16" width="13.140625" customWidth="1" outlineLevel="1"/>
    <col min="17" max="17" width="14.42578125" customWidth="1"/>
    <col min="18" max="18" width="13.5703125" customWidth="1"/>
    <col min="19" max="19" width="15.28515625" customWidth="1"/>
    <col min="20" max="20" width="14.28515625" customWidth="1"/>
    <col min="21" max="21" width="12.85546875" customWidth="1"/>
    <col min="22" max="22" width="17.28515625" customWidth="1"/>
    <col min="24" max="24" width="10.85546875" customWidth="1"/>
    <col min="27" max="27" width="10.7109375" customWidth="1"/>
    <col min="30" max="30" width="10.42578125" customWidth="1"/>
    <col min="31" max="31" width="10.7109375" customWidth="1"/>
  </cols>
  <sheetData>
    <row r="1" spans="1:33" x14ac:dyDescent="0.25">
      <c r="B1" t="s">
        <v>18</v>
      </c>
    </row>
    <row r="2" spans="1:33" x14ac:dyDescent="0.25">
      <c r="A2" t="s">
        <v>71</v>
      </c>
      <c r="H2" t="s">
        <v>102</v>
      </c>
      <c r="M2" t="s">
        <v>103</v>
      </c>
      <c r="AC2" s="28" t="s">
        <v>38</v>
      </c>
      <c r="AD2" s="28"/>
      <c r="AE2" s="28"/>
      <c r="AF2" s="28"/>
      <c r="AG2" s="30"/>
    </row>
    <row r="3" spans="1:33" ht="47.25" customHeight="1" x14ac:dyDescent="0.25">
      <c r="A3" s="54" t="s">
        <v>34</v>
      </c>
      <c r="B3" s="57" t="s">
        <v>68</v>
      </c>
      <c r="C3" s="45" t="s">
        <v>65</v>
      </c>
      <c r="D3" s="51" t="s">
        <v>67</v>
      </c>
      <c r="E3" s="53" t="s">
        <v>64</v>
      </c>
      <c r="F3" s="78" t="s">
        <v>3</v>
      </c>
      <c r="G3" s="50"/>
      <c r="H3" s="45" t="s">
        <v>65</v>
      </c>
      <c r="I3" s="53" t="s">
        <v>64</v>
      </c>
      <c r="J3" s="80" t="s">
        <v>66</v>
      </c>
      <c r="K3" s="72" t="s">
        <v>88</v>
      </c>
      <c r="L3" s="69"/>
      <c r="M3" s="45" t="s">
        <v>65</v>
      </c>
      <c r="N3" s="53" t="s">
        <v>64</v>
      </c>
      <c r="O3" s="80" t="s">
        <v>66</v>
      </c>
      <c r="P3" s="32"/>
      <c r="Q3" s="71" t="s">
        <v>0</v>
      </c>
      <c r="R3" s="208" t="s">
        <v>69</v>
      </c>
      <c r="S3" s="210"/>
      <c r="T3" s="210"/>
      <c r="U3" s="209"/>
      <c r="V3" s="32"/>
      <c r="X3" s="211" t="s">
        <v>72</v>
      </c>
      <c r="Y3" s="211"/>
      <c r="Z3" s="211"/>
      <c r="AA3" s="211"/>
      <c r="AC3" s="29"/>
      <c r="AD3" s="29"/>
      <c r="AE3" s="29"/>
    </row>
    <row r="4" spans="1:33" ht="15.75" x14ac:dyDescent="0.25">
      <c r="A4" s="5"/>
      <c r="B4" s="43" t="s">
        <v>0</v>
      </c>
      <c r="C4" s="4" t="s">
        <v>0</v>
      </c>
      <c r="D4" s="47" t="s">
        <v>0</v>
      </c>
      <c r="E4" s="55" t="s">
        <v>0</v>
      </c>
      <c r="F4" s="102" t="s">
        <v>0</v>
      </c>
      <c r="G4" s="67"/>
      <c r="H4" s="4" t="s">
        <v>1</v>
      </c>
      <c r="I4" s="55" t="s">
        <v>1</v>
      </c>
      <c r="J4" s="82" t="s">
        <v>1</v>
      </c>
      <c r="K4" s="73" t="s">
        <v>1</v>
      </c>
      <c r="L4" s="70"/>
      <c r="M4" s="4" t="s">
        <v>2</v>
      </c>
      <c r="N4" s="55" t="s">
        <v>2</v>
      </c>
      <c r="O4" s="82" t="s">
        <v>2</v>
      </c>
      <c r="P4" s="33"/>
      <c r="Q4" s="57" t="s">
        <v>5</v>
      </c>
      <c r="R4" s="51" t="s">
        <v>6</v>
      </c>
      <c r="S4" s="52" t="s">
        <v>65</v>
      </c>
      <c r="T4" s="53" t="s">
        <v>64</v>
      </c>
      <c r="U4" s="78" t="s">
        <v>3</v>
      </c>
      <c r="V4" s="5" t="s">
        <v>12</v>
      </c>
      <c r="X4" s="44" t="s">
        <v>19</v>
      </c>
      <c r="Y4" s="44" t="s">
        <v>20</v>
      </c>
      <c r="Z4" s="44" t="s">
        <v>21</v>
      </c>
      <c r="AA4" s="44" t="s">
        <v>22</v>
      </c>
      <c r="AC4" s="59" t="s">
        <v>5</v>
      </c>
      <c r="AD4" s="61" t="s">
        <v>6</v>
      </c>
      <c r="AE4" s="7" t="s">
        <v>45</v>
      </c>
    </row>
    <row r="5" spans="1:33" ht="15.75" x14ac:dyDescent="0.25">
      <c r="A5" s="5">
        <v>2000</v>
      </c>
      <c r="B5" s="58">
        <f>95419+2000+500</f>
        <v>97919</v>
      </c>
      <c r="C5" s="14">
        <f>71799+2000</f>
        <v>73799</v>
      </c>
      <c r="D5" s="48">
        <f>22079+500</f>
        <v>22579</v>
      </c>
      <c r="E5" s="49">
        <v>5894</v>
      </c>
      <c r="F5" s="13">
        <v>0</v>
      </c>
      <c r="G5" s="34"/>
      <c r="H5" s="14">
        <f>6006+500+137</f>
        <v>6643</v>
      </c>
      <c r="I5" s="49">
        <v>10818</v>
      </c>
      <c r="J5" s="81">
        <f>17182+1000</f>
        <v>18182</v>
      </c>
      <c r="K5" s="74">
        <v>2394</v>
      </c>
      <c r="L5" s="68"/>
      <c r="M5" s="14">
        <f>119+20</f>
        <v>139</v>
      </c>
      <c r="N5" s="49">
        <v>9</v>
      </c>
      <c r="O5" s="81">
        <v>10</v>
      </c>
      <c r="P5" s="34"/>
      <c r="Q5" s="58">
        <f>B5*$AA$9*$AA$7</f>
        <v>548346400</v>
      </c>
      <c r="R5" s="48">
        <f>D5*$AA$9*$AA$7</f>
        <v>126442400</v>
      </c>
      <c r="S5" s="46">
        <f t="shared" ref="S5:S20" si="0">C5*$AA$24*$AA$23</f>
        <v>1892944350</v>
      </c>
      <c r="T5" s="49">
        <f>E5*$AA$29*$AA$30</f>
        <v>151181100</v>
      </c>
      <c r="U5" s="79">
        <f>F5*$AA$23*$AA$24</f>
        <v>0</v>
      </c>
      <c r="V5" s="20">
        <f>Q5+R5+S5+T5+U5</f>
        <v>2718914250</v>
      </c>
      <c r="X5" t="s">
        <v>23</v>
      </c>
      <c r="Y5" t="s">
        <v>26</v>
      </c>
      <c r="Z5" t="s">
        <v>27</v>
      </c>
      <c r="AA5" s="26">
        <v>2.5</v>
      </c>
      <c r="AC5" s="60">
        <f>B5*$AA$9*$AA$5*0.01*$Z$11/1000</f>
        <v>9870.2351999999992</v>
      </c>
      <c r="AD5" s="62">
        <f t="shared" ref="AD5:AD20" si="1">D5*$AA$9*$AA$6*0.01*$Z$11/1000</f>
        <v>2731.1558399999999</v>
      </c>
      <c r="AE5" s="31">
        <f t="shared" ref="AE5:AE20" si="2">AC5+AD5</f>
        <v>12601.391039999999</v>
      </c>
    </row>
    <row r="6" spans="1:33" ht="15.75" x14ac:dyDescent="0.25">
      <c r="A6" s="5">
        <v>2001</v>
      </c>
      <c r="B6" s="58">
        <f>98865+1000</f>
        <v>99865</v>
      </c>
      <c r="C6" s="14">
        <f>76158+2000</f>
        <v>78158</v>
      </c>
      <c r="D6" s="48">
        <f>23216+500</f>
        <v>23716</v>
      </c>
      <c r="E6" s="49">
        <v>6051</v>
      </c>
      <c r="F6" s="13">
        <v>0</v>
      </c>
      <c r="G6" s="34"/>
      <c r="H6" s="14">
        <f>6998+500</f>
        <v>7498</v>
      </c>
      <c r="I6" s="49">
        <v>11756</v>
      </c>
      <c r="J6" s="81">
        <f>18932+449</f>
        <v>19381</v>
      </c>
      <c r="K6" s="74">
        <v>2408</v>
      </c>
      <c r="L6" s="68"/>
      <c r="M6" s="14">
        <v>153</v>
      </c>
      <c r="N6" s="49">
        <v>9</v>
      </c>
      <c r="O6" s="81">
        <v>11</v>
      </c>
      <c r="P6" s="34"/>
      <c r="Q6" s="58">
        <f t="shared" ref="Q6:Q20" si="3">B6*$AA$9*$AA$7</f>
        <v>559244000</v>
      </c>
      <c r="R6" s="48">
        <f t="shared" ref="R6:R20" si="4">D6*$AA$9*$AA$7</f>
        <v>132809600</v>
      </c>
      <c r="S6" s="46">
        <f t="shared" si="0"/>
        <v>2004752700</v>
      </c>
      <c r="T6" s="49">
        <f t="shared" ref="T6:T20" si="5">E6*$AA$29*$AA$30</f>
        <v>155208150</v>
      </c>
      <c r="U6" s="79">
        <f t="shared" ref="U6:U20" si="6">F6*$AA$23*$AA$24</f>
        <v>0</v>
      </c>
      <c r="V6" s="20">
        <f t="shared" ref="V6:V20" si="7">Q6+R6+S6+T6+U6</f>
        <v>2852014450</v>
      </c>
      <c r="X6" t="s">
        <v>24</v>
      </c>
      <c r="Y6" t="s">
        <v>25</v>
      </c>
      <c r="Z6" t="s">
        <v>27</v>
      </c>
      <c r="AA6" s="26">
        <v>3</v>
      </c>
      <c r="AC6" s="60">
        <f t="shared" ref="AC6:AC20" si="8">B6*$AA$9*$AA$5*0.01*$Z$11/1000</f>
        <v>10066.392</v>
      </c>
      <c r="AD6" s="62">
        <f t="shared" si="1"/>
        <v>2868.6873599999999</v>
      </c>
      <c r="AE6" s="31">
        <f t="shared" si="2"/>
        <v>12935.07936</v>
      </c>
    </row>
    <row r="7" spans="1:33" ht="15.75" x14ac:dyDescent="0.25">
      <c r="A7" s="5">
        <v>2002</v>
      </c>
      <c r="B7" s="58">
        <f>101935+554</f>
        <v>102489</v>
      </c>
      <c r="C7" s="14">
        <f>81476+500</f>
        <v>81976</v>
      </c>
      <c r="D7" s="48">
        <f>24430+500</f>
        <v>24930</v>
      </c>
      <c r="E7" s="49">
        <v>6120</v>
      </c>
      <c r="F7" s="13">
        <v>0</v>
      </c>
      <c r="G7" s="34"/>
      <c r="H7" s="14">
        <v>8108</v>
      </c>
      <c r="I7" s="49">
        <v>12578</v>
      </c>
      <c r="J7" s="81">
        <v>20459</v>
      </c>
      <c r="K7" s="74">
        <v>2450</v>
      </c>
      <c r="L7" s="68"/>
      <c r="M7" s="14">
        <v>177</v>
      </c>
      <c r="N7" s="49">
        <v>10</v>
      </c>
      <c r="O7" s="81">
        <v>13</v>
      </c>
      <c r="P7" s="34"/>
      <c r="Q7" s="58">
        <f t="shared" si="3"/>
        <v>573938400</v>
      </c>
      <c r="R7" s="48">
        <f t="shared" si="4"/>
        <v>139608000</v>
      </c>
      <c r="S7" s="46">
        <f t="shared" si="0"/>
        <v>2102684400</v>
      </c>
      <c r="T7" s="49">
        <f t="shared" si="5"/>
        <v>156978000</v>
      </c>
      <c r="U7" s="79">
        <f t="shared" si="6"/>
        <v>0</v>
      </c>
      <c r="V7" s="20">
        <f t="shared" si="7"/>
        <v>2973208800</v>
      </c>
      <c r="X7" t="s">
        <v>28</v>
      </c>
      <c r="Y7" t="s">
        <v>29</v>
      </c>
      <c r="Z7" t="s">
        <v>30</v>
      </c>
      <c r="AA7" s="26">
        <v>1</v>
      </c>
      <c r="AC7" s="60">
        <f t="shared" si="8"/>
        <v>10330.8912</v>
      </c>
      <c r="AD7" s="62">
        <f t="shared" si="1"/>
        <v>3015.5328</v>
      </c>
      <c r="AE7" s="31">
        <f t="shared" si="2"/>
        <v>13346.423999999999</v>
      </c>
    </row>
    <row r="8" spans="1:33" ht="15.75" x14ac:dyDescent="0.25">
      <c r="A8" s="5">
        <v>2003</v>
      </c>
      <c r="B8" s="58">
        <v>104968</v>
      </c>
      <c r="C8" s="14">
        <v>85695</v>
      </c>
      <c r="D8" s="48">
        <v>26041</v>
      </c>
      <c r="E8" s="49">
        <v>6167</v>
      </c>
      <c r="F8" s="13">
        <v>0</v>
      </c>
      <c r="G8" s="34"/>
      <c r="H8" s="14">
        <v>8971</v>
      </c>
      <c r="I8" s="49">
        <v>13511</v>
      </c>
      <c r="J8" s="81">
        <v>21395</v>
      </c>
      <c r="K8" s="74">
        <v>2460</v>
      </c>
      <c r="L8" s="68"/>
      <c r="M8" s="14">
        <v>186</v>
      </c>
      <c r="N8" s="49">
        <v>10</v>
      </c>
      <c r="O8" s="81">
        <v>12</v>
      </c>
      <c r="P8" s="35"/>
      <c r="Q8" s="58">
        <f t="shared" si="3"/>
        <v>587820800</v>
      </c>
      <c r="R8" s="48">
        <f t="shared" si="4"/>
        <v>145829600</v>
      </c>
      <c r="S8" s="46">
        <f t="shared" si="0"/>
        <v>2198076750</v>
      </c>
      <c r="T8" s="49">
        <f t="shared" si="5"/>
        <v>158183550</v>
      </c>
      <c r="U8" s="79">
        <f t="shared" si="6"/>
        <v>0</v>
      </c>
      <c r="V8" s="20">
        <f t="shared" si="7"/>
        <v>3089910700</v>
      </c>
      <c r="X8" t="s">
        <v>31</v>
      </c>
      <c r="Y8" t="s">
        <v>32</v>
      </c>
      <c r="Z8" t="s">
        <v>33</v>
      </c>
      <c r="AA8" s="26">
        <v>300</v>
      </c>
      <c r="AC8" s="60">
        <f t="shared" si="8"/>
        <v>10580.7744</v>
      </c>
      <c r="AD8" s="62">
        <f t="shared" si="1"/>
        <v>3149.9193599999999</v>
      </c>
      <c r="AE8" s="31">
        <f t="shared" si="2"/>
        <v>13730.69376</v>
      </c>
    </row>
    <row r="9" spans="1:33" ht="15.75" x14ac:dyDescent="0.25">
      <c r="A9" s="5">
        <v>2004</v>
      </c>
      <c r="B9" s="58">
        <v>108210</v>
      </c>
      <c r="C9" s="14">
        <v>92245</v>
      </c>
      <c r="D9" s="48">
        <v>28503</v>
      </c>
      <c r="E9" s="49">
        <v>6208</v>
      </c>
      <c r="F9" s="13">
        <v>0</v>
      </c>
      <c r="G9" s="34"/>
      <c r="H9" s="14">
        <v>9618</v>
      </c>
      <c r="I9" s="49">
        <v>14223</v>
      </c>
      <c r="J9" s="81">
        <v>22322</v>
      </c>
      <c r="K9" s="74">
        <v>2457</v>
      </c>
      <c r="L9" s="68"/>
      <c r="M9" s="14">
        <v>200</v>
      </c>
      <c r="N9" s="49">
        <v>11</v>
      </c>
      <c r="O9" s="81">
        <v>12</v>
      </c>
      <c r="P9" s="35"/>
      <c r="Q9" s="58">
        <f t="shared" si="3"/>
        <v>605976000</v>
      </c>
      <c r="R9" s="48">
        <f t="shared" si="4"/>
        <v>159616800</v>
      </c>
      <c r="S9" s="46">
        <f t="shared" si="0"/>
        <v>2366084250</v>
      </c>
      <c r="T9" s="49">
        <f t="shared" si="5"/>
        <v>159235200</v>
      </c>
      <c r="U9" s="79">
        <f t="shared" si="6"/>
        <v>0</v>
      </c>
      <c r="V9" s="20">
        <f t="shared" si="7"/>
        <v>3290912250</v>
      </c>
      <c r="X9" t="s">
        <v>35</v>
      </c>
      <c r="Y9" t="s">
        <v>36</v>
      </c>
      <c r="Z9" t="s">
        <v>37</v>
      </c>
      <c r="AA9" s="66">
        <v>5600</v>
      </c>
      <c r="AC9" s="60">
        <f t="shared" si="8"/>
        <v>10907.567999999999</v>
      </c>
      <c r="AD9" s="62">
        <f t="shared" si="1"/>
        <v>3447.7228799999998</v>
      </c>
      <c r="AE9" s="31">
        <f t="shared" si="2"/>
        <v>14355.290879999999</v>
      </c>
    </row>
    <row r="10" spans="1:33" ht="15.75" x14ac:dyDescent="0.25">
      <c r="A10" s="5">
        <v>2005</v>
      </c>
      <c r="B10" s="58">
        <v>110583</v>
      </c>
      <c r="C10" s="14">
        <v>97973</v>
      </c>
      <c r="D10" s="48">
        <v>31099</v>
      </c>
      <c r="E10" s="49">
        <v>6214</v>
      </c>
      <c r="F10" s="13">
        <v>0</v>
      </c>
      <c r="G10" s="34"/>
      <c r="H10" s="14">
        <v>10237</v>
      </c>
      <c r="I10" s="49">
        <v>15539</v>
      </c>
      <c r="J10" s="81">
        <v>23215</v>
      </c>
      <c r="K10" s="74">
        <v>2560</v>
      </c>
      <c r="L10" s="68"/>
      <c r="M10" s="14">
        <v>203</v>
      </c>
      <c r="N10" s="49">
        <v>11</v>
      </c>
      <c r="O10" s="81">
        <v>12</v>
      </c>
      <c r="P10" s="35"/>
      <c r="Q10" s="58">
        <f t="shared" si="3"/>
        <v>619264800</v>
      </c>
      <c r="R10" s="48">
        <f t="shared" si="4"/>
        <v>174154400</v>
      </c>
      <c r="S10" s="46">
        <f t="shared" si="0"/>
        <v>2513007450</v>
      </c>
      <c r="T10" s="49">
        <f t="shared" si="5"/>
        <v>159389099.99999997</v>
      </c>
      <c r="U10" s="79">
        <f t="shared" si="6"/>
        <v>0</v>
      </c>
      <c r="V10" s="20">
        <f t="shared" si="7"/>
        <v>3465815750</v>
      </c>
      <c r="AC10" s="60">
        <f t="shared" si="8"/>
        <v>11146.7664</v>
      </c>
      <c r="AD10" s="62">
        <f t="shared" si="1"/>
        <v>3761.73504</v>
      </c>
      <c r="AE10" s="31">
        <f t="shared" si="2"/>
        <v>14908.50144</v>
      </c>
    </row>
    <row r="11" spans="1:33" ht="15.75" x14ac:dyDescent="0.25">
      <c r="A11" s="5">
        <v>2006</v>
      </c>
      <c r="B11" s="58">
        <v>113456</v>
      </c>
      <c r="C11" s="14">
        <v>103102</v>
      </c>
      <c r="D11" s="48">
        <v>34200</v>
      </c>
      <c r="E11" s="49">
        <v>6298</v>
      </c>
      <c r="F11" s="13">
        <v>0</v>
      </c>
      <c r="G11" s="34"/>
      <c r="H11" s="14">
        <v>10750</v>
      </c>
      <c r="I11" s="49">
        <v>16690</v>
      </c>
      <c r="J11" s="81">
        <v>23983</v>
      </c>
      <c r="K11" s="74">
        <v>2612</v>
      </c>
      <c r="L11" s="68"/>
      <c r="M11" s="14">
        <v>204</v>
      </c>
      <c r="N11" s="49">
        <v>11</v>
      </c>
      <c r="O11" s="81">
        <v>12</v>
      </c>
      <c r="P11" s="35"/>
      <c r="Q11" s="58">
        <f t="shared" si="3"/>
        <v>635353600</v>
      </c>
      <c r="R11" s="48">
        <f t="shared" si="4"/>
        <v>191520000</v>
      </c>
      <c r="S11" s="46">
        <f t="shared" si="0"/>
        <v>2644566300</v>
      </c>
      <c r="T11" s="49">
        <f t="shared" si="5"/>
        <v>161543700</v>
      </c>
      <c r="U11" s="79">
        <f t="shared" si="6"/>
        <v>0</v>
      </c>
      <c r="V11" s="20">
        <f t="shared" si="7"/>
        <v>3632983600</v>
      </c>
      <c r="X11" t="s">
        <v>39</v>
      </c>
      <c r="Y11" t="s">
        <v>40</v>
      </c>
      <c r="Z11">
        <v>0.72</v>
      </c>
      <c r="AA11" t="s">
        <v>41</v>
      </c>
      <c r="AC11" s="60">
        <f t="shared" si="8"/>
        <v>11436.364799999999</v>
      </c>
      <c r="AD11" s="62">
        <f t="shared" si="1"/>
        <v>4136.8320000000003</v>
      </c>
      <c r="AE11" s="31">
        <f t="shared" si="2"/>
        <v>15573.1968</v>
      </c>
    </row>
    <row r="12" spans="1:33" ht="15.75" x14ac:dyDescent="0.25">
      <c r="A12" s="5">
        <v>2007</v>
      </c>
      <c r="B12" s="58">
        <v>115107</v>
      </c>
      <c r="C12" s="14">
        <v>109090</v>
      </c>
      <c r="D12" s="48">
        <v>38012</v>
      </c>
      <c r="E12" s="49">
        <v>6301</v>
      </c>
      <c r="F12" s="13">
        <v>0</v>
      </c>
      <c r="G12" s="34"/>
      <c r="H12" s="14">
        <v>11345</v>
      </c>
      <c r="I12" s="49">
        <v>17910</v>
      </c>
      <c r="J12" s="81">
        <v>24790</v>
      </c>
      <c r="K12" s="74">
        <v>2753</v>
      </c>
      <c r="L12" s="68"/>
      <c r="M12" s="14">
        <v>204</v>
      </c>
      <c r="N12" s="49">
        <v>12</v>
      </c>
      <c r="O12" s="81">
        <v>13</v>
      </c>
      <c r="P12" s="35"/>
      <c r="Q12" s="58">
        <f t="shared" si="3"/>
        <v>644599200</v>
      </c>
      <c r="R12" s="48">
        <f t="shared" si="4"/>
        <v>212867200</v>
      </c>
      <c r="S12" s="46">
        <f t="shared" si="0"/>
        <v>2798158500</v>
      </c>
      <c r="T12" s="49">
        <f t="shared" si="5"/>
        <v>161620650</v>
      </c>
      <c r="U12" s="79">
        <f t="shared" si="6"/>
        <v>0</v>
      </c>
      <c r="V12" s="20">
        <f t="shared" si="7"/>
        <v>3817245550</v>
      </c>
      <c r="AC12" s="60">
        <f t="shared" si="8"/>
        <v>11602.785599999999</v>
      </c>
      <c r="AD12" s="62">
        <f t="shared" si="1"/>
        <v>4597.9315199999992</v>
      </c>
      <c r="AE12" s="31">
        <f t="shared" si="2"/>
        <v>16200.717119999998</v>
      </c>
    </row>
    <row r="13" spans="1:33" ht="15.75" x14ac:dyDescent="0.25">
      <c r="A13" s="5">
        <v>2008</v>
      </c>
      <c r="B13" s="58">
        <v>114454</v>
      </c>
      <c r="C13" s="14">
        <v>118980</v>
      </c>
      <c r="D13" s="48">
        <v>42368</v>
      </c>
      <c r="E13" s="49">
        <v>6436</v>
      </c>
      <c r="F13" s="13">
        <v>0</v>
      </c>
      <c r="G13" s="34"/>
      <c r="H13" s="14">
        <v>12023</v>
      </c>
      <c r="I13" s="49">
        <v>19316</v>
      </c>
      <c r="J13" s="81">
        <v>25826</v>
      </c>
      <c r="K13" s="74">
        <v>2762</v>
      </c>
      <c r="L13" s="68"/>
      <c r="M13" s="14">
        <v>207</v>
      </c>
      <c r="N13" s="49">
        <v>12</v>
      </c>
      <c r="O13" s="81">
        <v>13</v>
      </c>
      <c r="P13" s="35"/>
      <c r="Q13" s="58">
        <f t="shared" si="3"/>
        <v>640942400</v>
      </c>
      <c r="R13" s="48">
        <f t="shared" si="4"/>
        <v>237260800</v>
      </c>
      <c r="S13" s="46">
        <f t="shared" si="0"/>
        <v>3051837000</v>
      </c>
      <c r="T13" s="49">
        <f t="shared" si="5"/>
        <v>165083400</v>
      </c>
      <c r="U13" s="79">
        <f t="shared" si="6"/>
        <v>0</v>
      </c>
      <c r="V13" s="20">
        <f t="shared" si="7"/>
        <v>4095123600</v>
      </c>
      <c r="X13" t="s">
        <v>42</v>
      </c>
      <c r="AC13" s="60">
        <f t="shared" si="8"/>
        <v>11536.9632</v>
      </c>
      <c r="AD13" s="62">
        <f t="shared" si="1"/>
        <v>5124.8332799999998</v>
      </c>
      <c r="AE13" s="31">
        <f t="shared" si="2"/>
        <v>16661.796480000001</v>
      </c>
    </row>
    <row r="14" spans="1:33" ht="15.75" x14ac:dyDescent="0.25">
      <c r="A14" s="5">
        <v>2009</v>
      </c>
      <c r="B14" s="58">
        <v>118798</v>
      </c>
      <c r="C14" s="14">
        <v>124217</v>
      </c>
      <c r="D14" s="48">
        <v>45295</v>
      </c>
      <c r="E14" s="49">
        <v>6377</v>
      </c>
      <c r="F14" s="13">
        <v>42</v>
      </c>
      <c r="G14" s="34"/>
      <c r="H14" s="14">
        <v>12421</v>
      </c>
      <c r="I14" s="49">
        <v>20470</v>
      </c>
      <c r="J14" s="81">
        <v>26514</v>
      </c>
      <c r="K14" s="74">
        <v>2803</v>
      </c>
      <c r="L14" s="68"/>
      <c r="M14" s="14">
        <v>211</v>
      </c>
      <c r="N14" s="49">
        <v>12</v>
      </c>
      <c r="O14" s="81">
        <v>13</v>
      </c>
      <c r="P14" s="35"/>
      <c r="Q14" s="58">
        <f t="shared" si="3"/>
        <v>665268800</v>
      </c>
      <c r="R14" s="48">
        <f t="shared" si="4"/>
        <v>253652000</v>
      </c>
      <c r="S14" s="46">
        <f t="shared" si="0"/>
        <v>3186166050</v>
      </c>
      <c r="T14" s="49">
        <f t="shared" si="5"/>
        <v>163570050</v>
      </c>
      <c r="U14" s="79">
        <f t="shared" si="6"/>
        <v>1077300</v>
      </c>
      <c r="V14" s="20">
        <f t="shared" si="7"/>
        <v>4269734200</v>
      </c>
      <c r="AC14" s="60">
        <f t="shared" si="8"/>
        <v>11974.838400000001</v>
      </c>
      <c r="AD14" s="62">
        <f t="shared" si="1"/>
        <v>5478.8832000000002</v>
      </c>
      <c r="AE14" s="31">
        <f t="shared" si="2"/>
        <v>17453.721600000001</v>
      </c>
    </row>
    <row r="15" spans="1:33" ht="15.75" x14ac:dyDescent="0.25">
      <c r="A15" s="5">
        <v>2010</v>
      </c>
      <c r="B15" s="58">
        <v>121644</v>
      </c>
      <c r="C15" s="14">
        <v>131916</v>
      </c>
      <c r="D15" s="48">
        <v>49126</v>
      </c>
      <c r="E15" s="49">
        <v>6385</v>
      </c>
      <c r="F15" s="13">
        <v>161</v>
      </c>
      <c r="G15" s="34"/>
      <c r="H15" s="14">
        <v>13000</v>
      </c>
      <c r="I15" s="49">
        <v>21656</v>
      </c>
      <c r="J15" s="81">
        <v>27637</v>
      </c>
      <c r="K15" s="74">
        <v>2845</v>
      </c>
      <c r="L15" s="68"/>
      <c r="M15" s="14">
        <v>214</v>
      </c>
      <c r="N15" s="49">
        <v>12</v>
      </c>
      <c r="O15" s="81">
        <v>14</v>
      </c>
      <c r="P15" s="35"/>
      <c r="Q15" s="58">
        <f t="shared" si="3"/>
        <v>681206400</v>
      </c>
      <c r="R15" s="48">
        <f t="shared" si="4"/>
        <v>275105600</v>
      </c>
      <c r="S15" s="46">
        <f t="shared" si="0"/>
        <v>3383645400</v>
      </c>
      <c r="T15" s="49">
        <f t="shared" si="5"/>
        <v>163775250</v>
      </c>
      <c r="U15" s="79">
        <f t="shared" si="6"/>
        <v>4129649.9999999995</v>
      </c>
      <c r="V15" s="20">
        <f t="shared" si="7"/>
        <v>4507862300</v>
      </c>
      <c r="X15" t="s">
        <v>43</v>
      </c>
      <c r="AC15" s="60">
        <f t="shared" si="8"/>
        <v>12261.715199999999</v>
      </c>
      <c r="AD15" s="62">
        <f t="shared" si="1"/>
        <v>5942.2809600000001</v>
      </c>
      <c r="AE15" s="31">
        <f t="shared" si="2"/>
        <v>18203.996159999999</v>
      </c>
    </row>
    <row r="16" spans="1:33" ht="15.75" x14ac:dyDescent="0.25">
      <c r="A16" s="5">
        <v>2011</v>
      </c>
      <c r="B16" s="58">
        <v>122653</v>
      </c>
      <c r="C16" s="14">
        <v>139364</v>
      </c>
      <c r="D16" s="48">
        <v>54172</v>
      </c>
      <c r="E16" s="49">
        <v>6203</v>
      </c>
      <c r="F16" s="13">
        <v>315</v>
      </c>
      <c r="G16" s="34"/>
      <c r="H16" s="14">
        <v>13696</v>
      </c>
      <c r="I16" s="49">
        <v>22562</v>
      </c>
      <c r="J16" s="81">
        <v>28362</v>
      </c>
      <c r="K16" s="74">
        <v>2912</v>
      </c>
      <c r="L16" s="68"/>
      <c r="M16" s="14">
        <v>218</v>
      </c>
      <c r="N16" s="49">
        <v>12</v>
      </c>
      <c r="O16" s="81">
        <v>14</v>
      </c>
      <c r="P16" s="35"/>
      <c r="Q16" s="58">
        <f t="shared" si="3"/>
        <v>686856800</v>
      </c>
      <c r="R16" s="48">
        <f t="shared" si="4"/>
        <v>303363200</v>
      </c>
      <c r="S16" s="46">
        <f t="shared" si="0"/>
        <v>3574686600</v>
      </c>
      <c r="T16" s="49">
        <f t="shared" si="5"/>
        <v>159106950</v>
      </c>
      <c r="U16" s="79">
        <f t="shared" si="6"/>
        <v>8079750</v>
      </c>
      <c r="V16" s="20">
        <f t="shared" si="7"/>
        <v>4732093300</v>
      </c>
      <c r="AC16" s="60">
        <f t="shared" si="8"/>
        <v>12363.422399999999</v>
      </c>
      <c r="AD16" s="62">
        <f t="shared" si="1"/>
        <v>6552.6451200000001</v>
      </c>
      <c r="AE16" s="31">
        <f t="shared" si="2"/>
        <v>18916.067520000001</v>
      </c>
    </row>
    <row r="17" spans="1:31" ht="15.75" x14ac:dyDescent="0.25">
      <c r="A17" s="5">
        <v>2012</v>
      </c>
      <c r="B17" s="58">
        <v>124737</v>
      </c>
      <c r="C17" s="14">
        <v>148726</v>
      </c>
      <c r="D17" s="48">
        <v>60109</v>
      </c>
      <c r="E17" s="49">
        <v>6284</v>
      </c>
      <c r="F17" s="13">
        <v>703</v>
      </c>
      <c r="G17" s="34"/>
      <c r="H17" s="14">
        <v>14493</v>
      </c>
      <c r="I17" s="49">
        <v>24117</v>
      </c>
      <c r="J17" s="81">
        <v>29276</v>
      </c>
      <c r="K17" s="74">
        <v>2957</v>
      </c>
      <c r="L17" s="68"/>
      <c r="M17" s="14">
        <v>218</v>
      </c>
      <c r="N17" s="49">
        <v>12</v>
      </c>
      <c r="O17" s="81">
        <v>15</v>
      </c>
      <c r="P17" s="35"/>
      <c r="Q17" s="58">
        <f t="shared" si="3"/>
        <v>698527200</v>
      </c>
      <c r="R17" s="48">
        <f t="shared" si="4"/>
        <v>336610400</v>
      </c>
      <c r="S17" s="46">
        <f t="shared" si="0"/>
        <v>3814821900</v>
      </c>
      <c r="T17" s="49">
        <f t="shared" si="5"/>
        <v>161184599.99999997</v>
      </c>
      <c r="U17" s="79">
        <f t="shared" si="6"/>
        <v>18031950</v>
      </c>
      <c r="V17" s="20">
        <f t="shared" si="7"/>
        <v>5029176050</v>
      </c>
      <c r="X17" t="s">
        <v>44</v>
      </c>
      <c r="AC17" s="60">
        <f t="shared" si="8"/>
        <v>12573.489599999999</v>
      </c>
      <c r="AD17" s="62">
        <f t="shared" si="1"/>
        <v>7270.7846399999999</v>
      </c>
      <c r="AE17" s="31">
        <f t="shared" si="2"/>
        <v>19844.274239999999</v>
      </c>
    </row>
    <row r="18" spans="1:31" ht="15.75" x14ac:dyDescent="0.25">
      <c r="A18" s="5">
        <v>2013</v>
      </c>
      <c r="B18" s="58">
        <v>125013</v>
      </c>
      <c r="C18" s="14">
        <v>160039</v>
      </c>
      <c r="D18" s="48">
        <v>66631</v>
      </c>
      <c r="E18" s="49">
        <v>6327</v>
      </c>
      <c r="F18" s="13">
        <v>1389</v>
      </c>
      <c r="G18" s="34"/>
      <c r="H18" s="14">
        <v>15141</v>
      </c>
      <c r="I18" s="49">
        <v>24121</v>
      </c>
      <c r="J18" s="81">
        <v>29888</v>
      </c>
      <c r="K18" s="74">
        <v>2963</v>
      </c>
      <c r="L18" s="68"/>
      <c r="M18" s="14">
        <v>218</v>
      </c>
      <c r="N18" s="49">
        <v>12</v>
      </c>
      <c r="O18" s="81">
        <v>17</v>
      </c>
      <c r="P18" s="35"/>
      <c r="Q18" s="58">
        <f t="shared" si="3"/>
        <v>700072800</v>
      </c>
      <c r="R18" s="48">
        <f t="shared" si="4"/>
        <v>373133600</v>
      </c>
      <c r="S18" s="46">
        <f t="shared" si="0"/>
        <v>4105000350</v>
      </c>
      <c r="T18" s="49">
        <f t="shared" si="5"/>
        <v>162287550</v>
      </c>
      <c r="U18" s="79">
        <f t="shared" si="6"/>
        <v>35627850</v>
      </c>
      <c r="V18" s="20">
        <f t="shared" si="7"/>
        <v>5376122150</v>
      </c>
      <c r="AC18" s="60">
        <f t="shared" si="8"/>
        <v>12601.3104</v>
      </c>
      <c r="AD18" s="62">
        <f t="shared" si="1"/>
        <v>8059.6857599999994</v>
      </c>
      <c r="AE18" s="31">
        <f t="shared" si="2"/>
        <v>20660.996159999999</v>
      </c>
    </row>
    <row r="19" spans="1:31" ht="15.75" x14ac:dyDescent="0.25">
      <c r="A19" s="5">
        <v>2014</v>
      </c>
      <c r="B19" s="58">
        <v>123713</v>
      </c>
      <c r="C19" s="14">
        <v>172053</v>
      </c>
      <c r="D19" s="48">
        <v>74081</v>
      </c>
      <c r="E19" s="49">
        <v>6254</v>
      </c>
      <c r="F19" s="13">
        <v>1824</v>
      </c>
      <c r="G19" s="34"/>
      <c r="H19" s="14">
        <v>15815</v>
      </c>
      <c r="I19" s="49">
        <v>24253</v>
      </c>
      <c r="J19" s="81">
        <v>30325</v>
      </c>
      <c r="K19" s="74">
        <v>3006</v>
      </c>
      <c r="L19" s="68"/>
      <c r="M19" s="14">
        <v>220</v>
      </c>
      <c r="N19" s="49">
        <v>13</v>
      </c>
      <c r="O19" s="81">
        <v>17</v>
      </c>
      <c r="P19" s="35"/>
      <c r="Q19" s="58">
        <f t="shared" si="3"/>
        <v>692792800</v>
      </c>
      <c r="R19" s="48">
        <f t="shared" si="4"/>
        <v>414853600</v>
      </c>
      <c r="S19" s="46">
        <f t="shared" si="0"/>
        <v>4413159450</v>
      </c>
      <c r="T19" s="49">
        <f t="shared" si="5"/>
        <v>160415099.99999997</v>
      </c>
      <c r="U19" s="79">
        <f t="shared" si="6"/>
        <v>46785600</v>
      </c>
      <c r="V19" s="20">
        <f t="shared" si="7"/>
        <v>5728006550</v>
      </c>
      <c r="AC19" s="60">
        <f t="shared" si="8"/>
        <v>12470.270400000001</v>
      </c>
      <c r="AD19" s="62">
        <f t="shared" si="1"/>
        <v>8960.8377600000003</v>
      </c>
      <c r="AE19" s="31">
        <f t="shared" si="2"/>
        <v>21431.108160000003</v>
      </c>
    </row>
    <row r="20" spans="1:31" ht="15.75" x14ac:dyDescent="0.25">
      <c r="A20" s="56">
        <v>2015</v>
      </c>
      <c r="B20" s="58">
        <v>123118</v>
      </c>
      <c r="C20" s="14">
        <v>184850</v>
      </c>
      <c r="D20" s="48">
        <v>80159</v>
      </c>
      <c r="E20" s="49">
        <v>5994</v>
      </c>
      <c r="F20" s="13">
        <v>2411</v>
      </c>
      <c r="G20" s="34"/>
      <c r="H20" s="14">
        <v>16468</v>
      </c>
      <c r="I20" s="49">
        <v>23753</v>
      </c>
      <c r="J20" s="81">
        <v>30820</v>
      </c>
      <c r="K20" s="74">
        <v>2980</v>
      </c>
      <c r="L20" s="68"/>
      <c r="M20" s="14">
        <v>224</v>
      </c>
      <c r="N20" s="49">
        <v>13</v>
      </c>
      <c r="O20" s="81">
        <v>17</v>
      </c>
      <c r="P20" s="35"/>
      <c r="Q20" s="58">
        <f t="shared" si="3"/>
        <v>689460800</v>
      </c>
      <c r="R20" s="48">
        <f t="shared" si="4"/>
        <v>448890400</v>
      </c>
      <c r="S20" s="46">
        <f t="shared" si="0"/>
        <v>4741402500</v>
      </c>
      <c r="T20" s="49">
        <f t="shared" si="5"/>
        <v>153746100</v>
      </c>
      <c r="U20" s="79">
        <f t="shared" si="6"/>
        <v>61842149.999999993</v>
      </c>
      <c r="V20" s="20">
        <f t="shared" si="7"/>
        <v>6095341950</v>
      </c>
      <c r="AC20" s="60">
        <f t="shared" si="8"/>
        <v>12410.294400000001</v>
      </c>
      <c r="AD20" s="62">
        <f t="shared" si="1"/>
        <v>9696.0326399999994</v>
      </c>
      <c r="AE20" s="31">
        <f t="shared" si="2"/>
        <v>22106.32704</v>
      </c>
    </row>
    <row r="21" spans="1:31" x14ac:dyDescent="0.25">
      <c r="X21" s="64" t="s">
        <v>85</v>
      </c>
      <c r="Y21" s="64"/>
      <c r="Z21" s="64"/>
      <c r="AA21" s="63"/>
    </row>
    <row r="22" spans="1:31" x14ac:dyDescent="0.25">
      <c r="X22" t="s">
        <v>74</v>
      </c>
      <c r="Y22" t="s">
        <v>73</v>
      </c>
      <c r="Z22" t="s">
        <v>75</v>
      </c>
      <c r="AA22" s="27">
        <v>6.5</v>
      </c>
    </row>
    <row r="23" spans="1:31" ht="35.25" customHeight="1" x14ac:dyDescent="0.25">
      <c r="D23" s="71" t="s">
        <v>1</v>
      </c>
      <c r="E23" s="208" t="s">
        <v>69</v>
      </c>
      <c r="F23" s="210"/>
      <c r="G23" s="209"/>
      <c r="H23" s="36"/>
      <c r="J23" s="212" t="s">
        <v>255</v>
      </c>
      <c r="K23" s="212"/>
      <c r="M23" s="71" t="s">
        <v>2</v>
      </c>
      <c r="N23" s="208" t="s">
        <v>69</v>
      </c>
      <c r="O23" s="209"/>
      <c r="X23" t="s">
        <v>76</v>
      </c>
      <c r="Y23" t="s">
        <v>77</v>
      </c>
      <c r="Z23" t="s">
        <v>78</v>
      </c>
      <c r="AA23" s="27">
        <v>1.9</v>
      </c>
    </row>
    <row r="24" spans="1:31" ht="31.5" x14ac:dyDescent="0.25">
      <c r="D24" s="52" t="s">
        <v>65</v>
      </c>
      <c r="E24" s="53" t="s">
        <v>64</v>
      </c>
      <c r="F24" s="80" t="s">
        <v>70</v>
      </c>
      <c r="G24" s="72" t="s">
        <v>88</v>
      </c>
      <c r="H24" s="54" t="s">
        <v>12</v>
      </c>
      <c r="I24" t="s">
        <v>258</v>
      </c>
      <c r="J24" s="180" t="s">
        <v>256</v>
      </c>
      <c r="K24" s="180" t="s">
        <v>257</v>
      </c>
      <c r="M24" s="52" t="s">
        <v>65</v>
      </c>
      <c r="N24" s="53" t="s">
        <v>64</v>
      </c>
      <c r="O24" s="80" t="s">
        <v>70</v>
      </c>
      <c r="P24" s="54" t="s">
        <v>12</v>
      </c>
      <c r="X24" t="s">
        <v>35</v>
      </c>
      <c r="Y24" t="s">
        <v>79</v>
      </c>
      <c r="Z24" t="s">
        <v>37</v>
      </c>
      <c r="AA24" s="65">
        <v>13500</v>
      </c>
    </row>
    <row r="25" spans="1:31" ht="15.75" x14ac:dyDescent="0.25">
      <c r="C25" s="5">
        <v>2000</v>
      </c>
      <c r="D25" s="46">
        <f>H5*$AA$23*$AA$24</f>
        <v>170392950</v>
      </c>
      <c r="E25" s="49">
        <f>I5*$AA$29*$AA$30</f>
        <v>277481700</v>
      </c>
      <c r="F25" s="81">
        <f>J5*$AA$34*$AA$35</f>
        <v>727280000</v>
      </c>
      <c r="G25" s="74">
        <f>K5*$V$29*$V$30</f>
        <v>3184020000</v>
      </c>
      <c r="H25" s="103">
        <f>D25+E25+G25</f>
        <v>3631894650</v>
      </c>
      <c r="J25" s="180"/>
      <c r="K25" s="180"/>
      <c r="L25" s="5">
        <v>2000</v>
      </c>
      <c r="M25" s="46">
        <f>M5*$AA$23*$AA$24</f>
        <v>3565349.9999999995</v>
      </c>
      <c r="N25" s="49">
        <f>N5*$AA$29*$AA$30</f>
        <v>230849.99999999997</v>
      </c>
      <c r="O25" s="81">
        <f>O5*$AA$34*$AA$35</f>
        <v>400000</v>
      </c>
      <c r="P25" s="103">
        <f>M25+N25</f>
        <v>3796199.9999999995</v>
      </c>
      <c r="AA25" s="27"/>
    </row>
    <row r="26" spans="1:31" ht="15.75" x14ac:dyDescent="0.25">
      <c r="C26" s="5">
        <v>2001</v>
      </c>
      <c r="D26" s="46">
        <f t="shared" ref="D26:D40" si="9">H6*$AA$23*$AA$24</f>
        <v>192323700</v>
      </c>
      <c r="E26" s="49">
        <f t="shared" ref="E26:E40" si="10">I6*$AA$29*$AA$30</f>
        <v>301541400</v>
      </c>
      <c r="F26" s="81">
        <f t="shared" ref="F26:F40" si="11">J6*$AA$34*$AA$35</f>
        <v>775240000</v>
      </c>
      <c r="G26" s="74">
        <f t="shared" ref="G26:G40" si="12">K6*$V$29*$V$30</f>
        <v>3202640000</v>
      </c>
      <c r="H26" s="103">
        <f t="shared" ref="H26:H40" si="13">D26+E26+G26</f>
        <v>3696505100</v>
      </c>
      <c r="J26" s="180"/>
      <c r="K26" s="180"/>
      <c r="L26" s="5">
        <v>2001</v>
      </c>
      <c r="M26" s="46">
        <f t="shared" ref="M26:M39" si="14">M6*$AA$23*$AA$24</f>
        <v>3924450</v>
      </c>
      <c r="N26" s="49">
        <f t="shared" ref="N26:N40" si="15">N6*$AA$29*$AA$30</f>
        <v>230849.99999999997</v>
      </c>
      <c r="O26" s="81">
        <f t="shared" ref="O26:O40" si="16">O6*$AA$34*$AA$35</f>
        <v>440000</v>
      </c>
      <c r="P26" s="103">
        <f t="shared" ref="P26:P40" si="17">M26+N26</f>
        <v>4155300</v>
      </c>
      <c r="AA26" s="27"/>
    </row>
    <row r="27" spans="1:31" ht="15.75" x14ac:dyDescent="0.25">
      <c r="C27" s="5">
        <v>2002</v>
      </c>
      <c r="D27" s="46">
        <f t="shared" si="9"/>
        <v>207970200</v>
      </c>
      <c r="E27" s="49">
        <f t="shared" si="10"/>
        <v>322625699.99999994</v>
      </c>
      <c r="F27" s="81">
        <f t="shared" si="11"/>
        <v>818360000</v>
      </c>
      <c r="G27" s="74">
        <f t="shared" si="12"/>
        <v>3258500000</v>
      </c>
      <c r="H27" s="103">
        <f t="shared" si="13"/>
        <v>3789095900</v>
      </c>
      <c r="J27" s="180"/>
      <c r="K27" s="180"/>
      <c r="L27" s="5">
        <v>2002</v>
      </c>
      <c r="M27" s="46">
        <f t="shared" si="14"/>
        <v>4540050</v>
      </c>
      <c r="N27" s="49">
        <f t="shared" si="15"/>
        <v>256500</v>
      </c>
      <c r="O27" s="81">
        <f t="shared" si="16"/>
        <v>520000</v>
      </c>
      <c r="P27" s="103">
        <f t="shared" si="17"/>
        <v>4796550</v>
      </c>
      <c r="S27" s="64" t="s">
        <v>89</v>
      </c>
      <c r="T27" s="64"/>
      <c r="U27" s="29"/>
      <c r="X27" s="64" t="s">
        <v>80</v>
      </c>
      <c r="Y27" s="64"/>
      <c r="Z27" s="64"/>
      <c r="AA27" s="27"/>
    </row>
    <row r="28" spans="1:31" ht="15.75" x14ac:dyDescent="0.25">
      <c r="C28" s="5">
        <v>2003</v>
      </c>
      <c r="D28" s="46">
        <f t="shared" si="9"/>
        <v>230106149.99999997</v>
      </c>
      <c r="E28" s="49">
        <f t="shared" si="10"/>
        <v>346557150</v>
      </c>
      <c r="F28" s="81">
        <f t="shared" si="11"/>
        <v>855800000</v>
      </c>
      <c r="G28" s="74">
        <f t="shared" si="12"/>
        <v>3271800000</v>
      </c>
      <c r="H28" s="103">
        <f t="shared" si="13"/>
        <v>3848463300</v>
      </c>
      <c r="J28" s="180"/>
      <c r="K28" s="180"/>
      <c r="L28" s="5">
        <v>2003</v>
      </c>
      <c r="M28" s="46">
        <f t="shared" si="14"/>
        <v>4770900</v>
      </c>
      <c r="N28" s="49">
        <f t="shared" si="15"/>
        <v>256500</v>
      </c>
      <c r="O28" s="81">
        <f t="shared" si="16"/>
        <v>480000</v>
      </c>
      <c r="P28" s="103">
        <f t="shared" si="17"/>
        <v>5027400</v>
      </c>
      <c r="S28" t="s">
        <v>74</v>
      </c>
      <c r="T28" t="s">
        <v>90</v>
      </c>
      <c r="U28" t="s">
        <v>91</v>
      </c>
      <c r="V28">
        <v>0.28399999999999997</v>
      </c>
      <c r="X28" t="s">
        <v>74</v>
      </c>
      <c r="Y28" t="s">
        <v>81</v>
      </c>
      <c r="Z28" t="s">
        <v>75</v>
      </c>
      <c r="AA28" s="26">
        <v>11.5</v>
      </c>
    </row>
    <row r="29" spans="1:31" ht="15.75" x14ac:dyDescent="0.25">
      <c r="C29" s="5">
        <v>2004</v>
      </c>
      <c r="D29" s="46">
        <f t="shared" si="9"/>
        <v>246701700</v>
      </c>
      <c r="E29" s="49">
        <f t="shared" si="10"/>
        <v>364819949.99999994</v>
      </c>
      <c r="F29" s="81">
        <f t="shared" si="11"/>
        <v>892880000</v>
      </c>
      <c r="G29" s="74">
        <f t="shared" si="12"/>
        <v>3267810000</v>
      </c>
      <c r="H29" s="103">
        <f t="shared" si="13"/>
        <v>3879331650</v>
      </c>
      <c r="J29" s="180"/>
      <c r="K29" s="180"/>
      <c r="L29" s="5">
        <v>2004</v>
      </c>
      <c r="M29" s="46">
        <f t="shared" si="14"/>
        <v>5130000</v>
      </c>
      <c r="N29" s="49">
        <f t="shared" si="15"/>
        <v>282150</v>
      </c>
      <c r="O29" s="81">
        <f t="shared" si="16"/>
        <v>480000</v>
      </c>
      <c r="P29" s="103">
        <f t="shared" si="17"/>
        <v>5412150</v>
      </c>
      <c r="S29" t="s">
        <v>76</v>
      </c>
      <c r="T29" t="s">
        <v>92</v>
      </c>
      <c r="U29" t="s">
        <v>78</v>
      </c>
      <c r="V29">
        <v>35</v>
      </c>
      <c r="X29" t="s">
        <v>76</v>
      </c>
      <c r="Y29" t="s">
        <v>82</v>
      </c>
      <c r="Z29" t="s">
        <v>78</v>
      </c>
      <c r="AA29" s="26">
        <f>AA23</f>
        <v>1.9</v>
      </c>
    </row>
    <row r="30" spans="1:31" ht="15.75" x14ac:dyDescent="0.25">
      <c r="C30" s="5">
        <v>2005</v>
      </c>
      <c r="D30" s="46">
        <f t="shared" si="9"/>
        <v>262579050</v>
      </c>
      <c r="E30" s="49">
        <f t="shared" si="10"/>
        <v>398575350</v>
      </c>
      <c r="F30" s="81">
        <f t="shared" si="11"/>
        <v>928600000</v>
      </c>
      <c r="G30" s="74">
        <f t="shared" si="12"/>
        <v>3404800000</v>
      </c>
      <c r="H30" s="103">
        <f t="shared" si="13"/>
        <v>4065954400</v>
      </c>
      <c r="J30" s="180"/>
      <c r="K30" s="180"/>
      <c r="L30" s="5">
        <v>2005</v>
      </c>
      <c r="M30" s="46">
        <f t="shared" si="14"/>
        <v>5206950</v>
      </c>
      <c r="N30" s="49">
        <f t="shared" si="15"/>
        <v>282150</v>
      </c>
      <c r="O30" s="81">
        <f t="shared" si="16"/>
        <v>480000</v>
      </c>
      <c r="P30" s="103">
        <f t="shared" si="17"/>
        <v>5489100</v>
      </c>
      <c r="S30" t="s">
        <v>35</v>
      </c>
      <c r="T30" t="s">
        <v>93</v>
      </c>
      <c r="U30" t="s">
        <v>37</v>
      </c>
      <c r="V30" s="31">
        <v>38000</v>
      </c>
      <c r="X30" t="s">
        <v>35</v>
      </c>
      <c r="Y30" t="s">
        <v>83</v>
      </c>
      <c r="Z30" t="s">
        <v>37</v>
      </c>
      <c r="AA30" s="66">
        <v>13500</v>
      </c>
    </row>
    <row r="31" spans="1:31" ht="15.75" x14ac:dyDescent="0.25">
      <c r="C31" s="5">
        <v>2006</v>
      </c>
      <c r="D31" s="46">
        <f t="shared" si="9"/>
        <v>275737500</v>
      </c>
      <c r="E31" s="49">
        <f t="shared" si="10"/>
        <v>428098500</v>
      </c>
      <c r="F31" s="81">
        <f t="shared" si="11"/>
        <v>959320000</v>
      </c>
      <c r="G31" s="74">
        <f t="shared" si="12"/>
        <v>3473960000</v>
      </c>
      <c r="H31" s="103">
        <f t="shared" si="13"/>
        <v>4177796000</v>
      </c>
      <c r="J31" s="180"/>
      <c r="K31" s="180"/>
      <c r="L31" s="5">
        <v>2006</v>
      </c>
      <c r="M31" s="46">
        <f t="shared" si="14"/>
        <v>5232600</v>
      </c>
      <c r="N31" s="49">
        <f t="shared" si="15"/>
        <v>282150</v>
      </c>
      <c r="O31" s="81">
        <f t="shared" si="16"/>
        <v>480000</v>
      </c>
      <c r="P31" s="103">
        <f t="shared" si="17"/>
        <v>5514750</v>
      </c>
    </row>
    <row r="32" spans="1:31" ht="15.75" x14ac:dyDescent="0.25">
      <c r="C32" s="5">
        <v>2007</v>
      </c>
      <c r="D32" s="46">
        <f t="shared" si="9"/>
        <v>290999250</v>
      </c>
      <c r="E32" s="49">
        <f t="shared" si="10"/>
        <v>459391500</v>
      </c>
      <c r="F32" s="81">
        <f t="shared" si="11"/>
        <v>991600000</v>
      </c>
      <c r="G32" s="74">
        <f t="shared" si="12"/>
        <v>3661490000</v>
      </c>
      <c r="H32" s="103">
        <f t="shared" si="13"/>
        <v>4411880750</v>
      </c>
      <c r="J32" s="180"/>
      <c r="K32" s="180"/>
      <c r="L32" s="5">
        <v>2007</v>
      </c>
      <c r="M32" s="46">
        <f t="shared" si="14"/>
        <v>5232600</v>
      </c>
      <c r="N32" s="49">
        <f t="shared" si="15"/>
        <v>307799.99999999994</v>
      </c>
      <c r="O32" s="81">
        <f t="shared" si="16"/>
        <v>520000</v>
      </c>
      <c r="P32" s="103">
        <f t="shared" si="17"/>
        <v>5540400</v>
      </c>
      <c r="X32" s="64" t="s">
        <v>84</v>
      </c>
      <c r="Y32" s="64"/>
    </row>
    <row r="33" spans="1:27" ht="15.75" x14ac:dyDescent="0.25">
      <c r="C33" s="5">
        <v>2008</v>
      </c>
      <c r="D33" s="46">
        <f t="shared" si="9"/>
        <v>308389950</v>
      </c>
      <c r="E33" s="49">
        <f t="shared" si="10"/>
        <v>495455400</v>
      </c>
      <c r="F33" s="81">
        <f t="shared" si="11"/>
        <v>1033040000</v>
      </c>
      <c r="G33" s="74">
        <f t="shared" si="12"/>
        <v>3673460000</v>
      </c>
      <c r="H33" s="103">
        <f t="shared" si="13"/>
        <v>4477305350</v>
      </c>
      <c r="J33" s="180"/>
      <c r="K33" s="180"/>
      <c r="L33" s="5">
        <v>2008</v>
      </c>
      <c r="M33" s="46">
        <f t="shared" si="14"/>
        <v>5309549.9999999991</v>
      </c>
      <c r="N33" s="49">
        <f t="shared" si="15"/>
        <v>307799.99999999994</v>
      </c>
      <c r="O33" s="81">
        <f t="shared" si="16"/>
        <v>520000</v>
      </c>
      <c r="P33" s="103">
        <f t="shared" si="17"/>
        <v>5617349.9999999991</v>
      </c>
      <c r="S33" t="s">
        <v>94</v>
      </c>
      <c r="U33" t="s">
        <v>95</v>
      </c>
      <c r="V33">
        <v>17.899999999999999</v>
      </c>
      <c r="X33" t="s">
        <v>74</v>
      </c>
      <c r="Y33" t="s">
        <v>81</v>
      </c>
      <c r="Z33" t="s">
        <v>75</v>
      </c>
      <c r="AA33" s="26">
        <v>15</v>
      </c>
    </row>
    <row r="34" spans="1:27" ht="15.75" x14ac:dyDescent="0.25">
      <c r="C34" s="5">
        <v>2009</v>
      </c>
      <c r="D34" s="46">
        <f t="shared" si="9"/>
        <v>318598650</v>
      </c>
      <c r="E34" s="49">
        <f t="shared" si="10"/>
        <v>525055500</v>
      </c>
      <c r="F34" s="81">
        <f t="shared" si="11"/>
        <v>1060560000</v>
      </c>
      <c r="G34" s="74">
        <f t="shared" si="12"/>
        <v>3727990000</v>
      </c>
      <c r="H34" s="103">
        <f t="shared" si="13"/>
        <v>4571644150</v>
      </c>
      <c r="J34" s="180"/>
      <c r="K34" s="180"/>
      <c r="L34" s="5">
        <v>2009</v>
      </c>
      <c r="M34" s="46">
        <f t="shared" si="14"/>
        <v>5412150</v>
      </c>
      <c r="N34" s="49">
        <f t="shared" si="15"/>
        <v>307799.99999999994</v>
      </c>
      <c r="O34" s="81">
        <f t="shared" si="16"/>
        <v>520000</v>
      </c>
      <c r="P34" s="103">
        <f>M34+N34</f>
        <v>5719950</v>
      </c>
      <c r="S34" t="s">
        <v>96</v>
      </c>
      <c r="V34">
        <v>300</v>
      </c>
      <c r="X34" t="s">
        <v>76</v>
      </c>
      <c r="Y34" t="s">
        <v>82</v>
      </c>
      <c r="Z34" t="s">
        <v>78</v>
      </c>
      <c r="AA34" s="26">
        <v>1</v>
      </c>
    </row>
    <row r="35" spans="1:27" ht="15.75" x14ac:dyDescent="0.25">
      <c r="C35" s="5">
        <v>2010</v>
      </c>
      <c r="D35" s="46">
        <f t="shared" si="9"/>
        <v>333450000</v>
      </c>
      <c r="E35" s="49">
        <f t="shared" si="10"/>
        <v>555476400</v>
      </c>
      <c r="F35" s="81">
        <f t="shared" si="11"/>
        <v>1105480000</v>
      </c>
      <c r="G35" s="74">
        <f t="shared" si="12"/>
        <v>3783850000</v>
      </c>
      <c r="H35" s="103">
        <f>D35+E35+G35</f>
        <v>4672776400</v>
      </c>
      <c r="J35" s="180"/>
      <c r="K35" s="180"/>
      <c r="L35" s="5">
        <v>2010</v>
      </c>
      <c r="M35" s="46">
        <f>M15*$AA$23*$AA$24</f>
        <v>5489100</v>
      </c>
      <c r="N35" s="49">
        <f t="shared" si="15"/>
        <v>307799.99999999994</v>
      </c>
      <c r="O35" s="81">
        <f t="shared" si="16"/>
        <v>560000</v>
      </c>
      <c r="P35" s="103">
        <f t="shared" si="17"/>
        <v>5796900</v>
      </c>
      <c r="S35" t="s">
        <v>97</v>
      </c>
      <c r="V35" s="37">
        <v>240000000</v>
      </c>
      <c r="X35" t="s">
        <v>35</v>
      </c>
      <c r="Y35" t="s">
        <v>83</v>
      </c>
      <c r="Z35" t="s">
        <v>37</v>
      </c>
      <c r="AA35" s="66">
        <v>40000</v>
      </c>
    </row>
    <row r="36" spans="1:27" ht="15.75" x14ac:dyDescent="0.25">
      <c r="C36" s="5">
        <v>2011</v>
      </c>
      <c r="D36" s="46">
        <f t="shared" si="9"/>
        <v>351302400</v>
      </c>
      <c r="E36" s="49">
        <f t="shared" si="10"/>
        <v>578715300</v>
      </c>
      <c r="F36" s="81">
        <f t="shared" si="11"/>
        <v>1134480000</v>
      </c>
      <c r="G36" s="74">
        <f t="shared" si="12"/>
        <v>3872960000</v>
      </c>
      <c r="H36" s="103">
        <f t="shared" si="13"/>
        <v>4802977700</v>
      </c>
      <c r="I36">
        <f>K36/V16%</f>
        <v>1.0840868247462491E-3</v>
      </c>
      <c r="J36" s="180">
        <v>2</v>
      </c>
      <c r="K36" s="181">
        <f>J36*$AA$23*$AA$24</f>
        <v>51300</v>
      </c>
      <c r="L36" s="5">
        <v>2011</v>
      </c>
      <c r="M36" s="46">
        <f t="shared" si="14"/>
        <v>5591700</v>
      </c>
      <c r="N36" s="49">
        <f t="shared" si="15"/>
        <v>307799.99999999994</v>
      </c>
      <c r="O36" s="81">
        <f t="shared" si="16"/>
        <v>560000</v>
      </c>
      <c r="P36" s="103">
        <f t="shared" si="17"/>
        <v>5899500</v>
      </c>
    </row>
    <row r="37" spans="1:27" ht="15.75" x14ac:dyDescent="0.25">
      <c r="C37" s="5">
        <v>2012</v>
      </c>
      <c r="D37" s="46">
        <f t="shared" si="9"/>
        <v>371745449.99999994</v>
      </c>
      <c r="E37" s="49">
        <f t="shared" si="10"/>
        <v>618601050</v>
      </c>
      <c r="F37" s="81">
        <f t="shared" si="11"/>
        <v>1171040000</v>
      </c>
      <c r="G37" s="74">
        <f t="shared" si="12"/>
        <v>3932810000</v>
      </c>
      <c r="H37" s="103">
        <f t="shared" si="13"/>
        <v>4923156500</v>
      </c>
      <c r="I37">
        <f t="shared" ref="I37:I40" si="18">K37/V17%</f>
        <v>2.5501195170926656E-3</v>
      </c>
      <c r="J37" s="180">
        <v>5</v>
      </c>
      <c r="K37" s="181">
        <f t="shared" ref="K37:K40" si="19">J37*$AA$23*$AA$24</f>
        <v>128250</v>
      </c>
      <c r="L37" s="5">
        <v>2012</v>
      </c>
      <c r="M37" s="46">
        <f t="shared" si="14"/>
        <v>5591700</v>
      </c>
      <c r="N37" s="49">
        <f t="shared" si="15"/>
        <v>307799.99999999994</v>
      </c>
      <c r="O37" s="81">
        <f t="shared" si="16"/>
        <v>600000</v>
      </c>
      <c r="P37" s="103">
        <f t="shared" si="17"/>
        <v>5899500</v>
      </c>
      <c r="V37" s="37">
        <f>V33*V34*V35</f>
        <v>1288800000000</v>
      </c>
      <c r="X37" s="64" t="s">
        <v>86</v>
      </c>
      <c r="Y37" s="64"/>
      <c r="Z37" s="64"/>
      <c r="AA37" s="64"/>
    </row>
    <row r="38" spans="1:27" ht="15.75" x14ac:dyDescent="0.25">
      <c r="C38" s="5">
        <v>2013</v>
      </c>
      <c r="D38" s="46">
        <f t="shared" si="9"/>
        <v>388366650</v>
      </c>
      <c r="E38" s="49">
        <f t="shared" si="10"/>
        <v>618703650</v>
      </c>
      <c r="F38" s="81">
        <f t="shared" si="11"/>
        <v>1195520000</v>
      </c>
      <c r="G38" s="74">
        <f t="shared" si="12"/>
        <v>3940790000</v>
      </c>
      <c r="H38" s="103">
        <f t="shared" si="13"/>
        <v>4947860300</v>
      </c>
      <c r="I38">
        <f t="shared" si="18"/>
        <v>2.8626581708155567E-3</v>
      </c>
      <c r="J38" s="180">
        <v>6</v>
      </c>
      <c r="K38" s="181">
        <f t="shared" si="19"/>
        <v>153899.99999999997</v>
      </c>
      <c r="L38" s="5">
        <v>2013</v>
      </c>
      <c r="M38" s="46">
        <f t="shared" si="14"/>
        <v>5591700</v>
      </c>
      <c r="N38" s="49">
        <f t="shared" si="15"/>
        <v>307799.99999999994</v>
      </c>
      <c r="O38" s="81">
        <f t="shared" si="16"/>
        <v>680000</v>
      </c>
      <c r="P38" s="103">
        <f t="shared" si="17"/>
        <v>5899500</v>
      </c>
      <c r="X38" t="s">
        <v>74</v>
      </c>
      <c r="Y38" t="s">
        <v>73</v>
      </c>
      <c r="Z38" t="s">
        <v>75</v>
      </c>
      <c r="AA38" s="66">
        <v>9.1</v>
      </c>
    </row>
    <row r="39" spans="1:27" ht="15.75" x14ac:dyDescent="0.25">
      <c r="C39" s="5">
        <v>2014</v>
      </c>
      <c r="D39" s="46">
        <f t="shared" si="9"/>
        <v>405654750</v>
      </c>
      <c r="E39" s="49">
        <f t="shared" si="10"/>
        <v>622089450</v>
      </c>
      <c r="F39" s="81">
        <f t="shared" si="11"/>
        <v>1213000000</v>
      </c>
      <c r="G39" s="74">
        <f t="shared" si="12"/>
        <v>3997980000</v>
      </c>
      <c r="H39" s="103">
        <f t="shared" si="13"/>
        <v>5025724200</v>
      </c>
      <c r="I39">
        <f t="shared" si="18"/>
        <v>3.582398138144587E-3</v>
      </c>
      <c r="J39" s="180">
        <v>8</v>
      </c>
      <c r="K39" s="181">
        <f t="shared" si="19"/>
        <v>205200</v>
      </c>
      <c r="L39" s="5">
        <v>2014</v>
      </c>
      <c r="M39" s="46">
        <f t="shared" si="14"/>
        <v>5643000</v>
      </c>
      <c r="N39" s="49">
        <f t="shared" si="15"/>
        <v>333450</v>
      </c>
      <c r="O39" s="81">
        <f t="shared" si="16"/>
        <v>680000</v>
      </c>
      <c r="P39" s="103">
        <f t="shared" si="17"/>
        <v>5976450</v>
      </c>
      <c r="X39" t="s">
        <v>76</v>
      </c>
      <c r="Y39" t="s">
        <v>77</v>
      </c>
      <c r="Z39" t="s">
        <v>78</v>
      </c>
      <c r="AA39" s="85">
        <f>AA23</f>
        <v>1.9</v>
      </c>
    </row>
    <row r="40" spans="1:27" ht="15.75" x14ac:dyDescent="0.25">
      <c r="C40" s="56">
        <v>2015</v>
      </c>
      <c r="D40" s="46">
        <f t="shared" si="9"/>
        <v>422404199.99999994</v>
      </c>
      <c r="E40" s="49">
        <f t="shared" si="10"/>
        <v>609264450</v>
      </c>
      <c r="F40" s="81">
        <f t="shared" si="11"/>
        <v>1232800000</v>
      </c>
      <c r="G40" s="74">
        <f t="shared" si="12"/>
        <v>3963400000</v>
      </c>
      <c r="H40" s="103">
        <f t="shared" si="13"/>
        <v>4995068650</v>
      </c>
      <c r="I40">
        <f t="shared" si="18"/>
        <v>7.9954497056559728E-3</v>
      </c>
      <c r="J40" s="180">
        <v>19</v>
      </c>
      <c r="K40" s="181">
        <f t="shared" si="19"/>
        <v>487350</v>
      </c>
      <c r="L40" s="56">
        <v>2015</v>
      </c>
      <c r="M40" s="46">
        <f>M20*$AA$23*$AA$24</f>
        <v>5745600</v>
      </c>
      <c r="N40" s="49">
        <f t="shared" si="15"/>
        <v>333450</v>
      </c>
      <c r="O40" s="81">
        <f t="shared" si="16"/>
        <v>680000</v>
      </c>
      <c r="P40" s="103">
        <f t="shared" si="17"/>
        <v>6079050</v>
      </c>
      <c r="X40" t="s">
        <v>35</v>
      </c>
      <c r="Y40" t="s">
        <v>79</v>
      </c>
      <c r="Z40" t="s">
        <v>37</v>
      </c>
      <c r="AA40" s="66">
        <v>13500</v>
      </c>
    </row>
    <row r="42" spans="1:27" x14ac:dyDescent="0.25">
      <c r="A42" t="s">
        <v>34</v>
      </c>
      <c r="B42" t="s">
        <v>106</v>
      </c>
      <c r="C42" t="s">
        <v>105</v>
      </c>
      <c r="D42" t="s">
        <v>107</v>
      </c>
      <c r="X42" s="64" t="s">
        <v>87</v>
      </c>
      <c r="Y42" s="64"/>
      <c r="Z42" s="64"/>
      <c r="AA42" s="64"/>
    </row>
    <row r="43" spans="1:27" x14ac:dyDescent="0.25">
      <c r="A43">
        <v>2010</v>
      </c>
      <c r="B43" s="31">
        <v>9991295818.1099663</v>
      </c>
      <c r="C43" s="31">
        <f>V15+H35+P35</f>
        <v>9186435600</v>
      </c>
      <c r="D43" s="85">
        <f>(C43-B43)/C43%</f>
        <v>-8.7613983611877302</v>
      </c>
      <c r="E43" s="31"/>
      <c r="X43" t="s">
        <v>74</v>
      </c>
      <c r="Y43" t="s">
        <v>73</v>
      </c>
      <c r="Z43" t="s">
        <v>75</v>
      </c>
      <c r="AA43" s="66">
        <v>9.1</v>
      </c>
    </row>
    <row r="44" spans="1:27" x14ac:dyDescent="0.25">
      <c r="A44">
        <v>2011</v>
      </c>
      <c r="B44" s="31">
        <v>10135465715.034311</v>
      </c>
      <c r="C44" s="31">
        <f t="shared" ref="C44:C47" si="20">V16+H36+P36</f>
        <v>9540970500</v>
      </c>
      <c r="D44" s="85">
        <f t="shared" ref="D44:D48" si="21">(C44-B44)/C44%</f>
        <v>-6.2309721535593399</v>
      </c>
      <c r="E44" s="31"/>
      <c r="X44" t="s">
        <v>76</v>
      </c>
      <c r="Y44" t="s">
        <v>77</v>
      </c>
      <c r="Z44" t="s">
        <v>78</v>
      </c>
      <c r="AA44" s="85">
        <f>AA23</f>
        <v>1.9</v>
      </c>
    </row>
    <row r="45" spans="1:27" x14ac:dyDescent="0.25">
      <c r="A45">
        <v>2012</v>
      </c>
      <c r="B45" s="31">
        <v>10284155309.520308</v>
      </c>
      <c r="C45" s="31">
        <f t="shared" si="20"/>
        <v>9958232050</v>
      </c>
      <c r="D45" s="85">
        <f t="shared" si="21"/>
        <v>-3.2729028394182431</v>
      </c>
      <c r="E45" s="31"/>
      <c r="I45">
        <f>I37-I36</f>
        <v>1.4660326923464165E-3</v>
      </c>
      <c r="X45" t="s">
        <v>35</v>
      </c>
      <c r="Y45" t="s">
        <v>79</v>
      </c>
      <c r="Z45" t="s">
        <v>37</v>
      </c>
      <c r="AA45" s="66">
        <v>13500</v>
      </c>
    </row>
    <row r="46" spans="1:27" x14ac:dyDescent="0.25">
      <c r="A46">
        <v>2013</v>
      </c>
      <c r="B46" s="31">
        <v>10425988957.632849</v>
      </c>
      <c r="C46" s="31">
        <f t="shared" si="20"/>
        <v>10329881950</v>
      </c>
      <c r="D46" s="85">
        <f t="shared" si="21"/>
        <v>-0.93037856674488661</v>
      </c>
      <c r="E46" s="31"/>
      <c r="I46">
        <f t="shared" ref="I46:I48" si="22">I38-I37</f>
        <v>3.1253865372289115E-4</v>
      </c>
    </row>
    <row r="47" spans="1:27" x14ac:dyDescent="0.25">
      <c r="A47">
        <v>2014</v>
      </c>
      <c r="B47" s="31">
        <v>10561741153.304186</v>
      </c>
      <c r="C47" s="31">
        <f t="shared" si="20"/>
        <v>10759707200</v>
      </c>
      <c r="D47" s="85">
        <f t="shared" si="21"/>
        <v>1.8398832144411339</v>
      </c>
      <c r="E47" s="31"/>
      <c r="I47">
        <f t="shared" si="22"/>
        <v>7.197399673290303E-4</v>
      </c>
    </row>
    <row r="48" spans="1:27" x14ac:dyDescent="0.25">
      <c r="A48">
        <v>2015</v>
      </c>
      <c r="B48" s="31">
        <v>10685868200.205055</v>
      </c>
      <c r="C48" s="31">
        <f>V20+H40+P40</f>
        <v>11096489650</v>
      </c>
      <c r="D48" s="85">
        <f t="shared" si="21"/>
        <v>3.7004626034589667</v>
      </c>
      <c r="E48" s="31"/>
      <c r="I48">
        <f t="shared" si="22"/>
        <v>4.4130515675113863E-3</v>
      </c>
    </row>
  </sheetData>
  <mergeCells count="5">
    <mergeCell ref="N23:O23"/>
    <mergeCell ref="E23:G23"/>
    <mergeCell ref="X3:AA3"/>
    <mergeCell ref="R3:U3"/>
    <mergeCell ref="J23:K2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50"/>
  <sheetViews>
    <sheetView zoomScale="90" zoomScaleNormal="90" workbookViewId="0">
      <selection activeCell="H9" sqref="H9"/>
    </sheetView>
  </sheetViews>
  <sheetFormatPr defaultRowHeight="15" x14ac:dyDescent="0.25"/>
  <cols>
    <col min="3" max="4" width="15" customWidth="1"/>
    <col min="5" max="5" width="10.7109375" customWidth="1"/>
    <col min="6" max="6" width="11.42578125" customWidth="1"/>
    <col min="7" max="7" width="10.7109375" customWidth="1"/>
    <col min="17" max="17" width="17.140625" customWidth="1"/>
    <col min="19" max="19" width="13.140625" customWidth="1"/>
    <col min="20" max="20" width="15.7109375" customWidth="1"/>
    <col min="21" max="21" width="15" customWidth="1"/>
    <col min="22" max="22" width="16.28515625" customWidth="1"/>
  </cols>
  <sheetData>
    <row r="3" spans="1:22" x14ac:dyDescent="0.25">
      <c r="S3" t="s">
        <v>60</v>
      </c>
    </row>
    <row r="4" spans="1:22" x14ac:dyDescent="0.25">
      <c r="S4" t="s">
        <v>61</v>
      </c>
    </row>
    <row r="5" spans="1:22" x14ac:dyDescent="0.25">
      <c r="A5" t="s">
        <v>34</v>
      </c>
      <c r="B5" t="s">
        <v>52</v>
      </c>
      <c r="C5" t="s">
        <v>46</v>
      </c>
      <c r="D5" t="s">
        <v>50</v>
      </c>
      <c r="E5" t="s">
        <v>47</v>
      </c>
      <c r="M5" t="s">
        <v>34</v>
      </c>
      <c r="N5" t="s">
        <v>55</v>
      </c>
      <c r="O5" t="s">
        <v>57</v>
      </c>
      <c r="Q5" t="s">
        <v>56</v>
      </c>
      <c r="S5" t="s">
        <v>5</v>
      </c>
      <c r="T5" t="s">
        <v>62</v>
      </c>
      <c r="U5" t="s">
        <v>63</v>
      </c>
      <c r="V5" t="s">
        <v>64</v>
      </c>
    </row>
    <row r="6" spans="1:22" x14ac:dyDescent="0.25">
      <c r="A6">
        <v>2010</v>
      </c>
      <c r="B6">
        <f>D6/E6</f>
        <v>4088.0618536594261</v>
      </c>
      <c r="C6" s="31">
        <v>6630525388.651</v>
      </c>
      <c r="D6" s="31">
        <f>C6/$H$7</f>
        <v>4948153275.1126862</v>
      </c>
      <c r="E6" s="31">
        <v>1210391</v>
      </c>
      <c r="G6" t="s">
        <v>48</v>
      </c>
      <c r="H6">
        <v>3.8</v>
      </c>
      <c r="I6" t="s">
        <v>49</v>
      </c>
      <c r="J6" t="s">
        <v>266</v>
      </c>
      <c r="K6" t="s">
        <v>54</v>
      </c>
      <c r="L6">
        <v>10000</v>
      </c>
      <c r="M6">
        <v>2010</v>
      </c>
      <c r="N6" s="39">
        <f>$L$6*(1-P6)</f>
        <v>8254.6018750221756</v>
      </c>
      <c r="O6" s="38">
        <f t="shared" ref="O6:O46" si="0">B6*$L$7</f>
        <v>-1.745602411512575</v>
      </c>
      <c r="P6">
        <f>EXP(O6)</f>
        <v>0.17453981249778233</v>
      </c>
      <c r="Q6" s="31">
        <f>N6*E6</f>
        <v>9991295818.1099663</v>
      </c>
      <c r="S6" s="31">
        <f>INDEX((PassMobility!$Q$15:$Q$20),MATCH(M6,PassMobility!$A$15:A$20,0))</f>
        <v>681206400</v>
      </c>
      <c r="T6" s="31">
        <f>INDEX((PassMobility!$R$15:$R$20),MATCH(M6,PassMobility!$A$15:A$20,0))</f>
        <v>275105600</v>
      </c>
      <c r="U6" s="31"/>
      <c r="V6" s="31"/>
    </row>
    <row r="7" spans="1:22" x14ac:dyDescent="0.25">
      <c r="A7">
        <f>A6+1</f>
        <v>2011</v>
      </c>
      <c r="B7">
        <f t="shared" ref="B7:B26" si="1">D7/E7</f>
        <v>4237.8482626901687</v>
      </c>
      <c r="C7" s="31">
        <f>C6*(1+$H$6/100)</f>
        <v>6882485353.4197378</v>
      </c>
      <c r="D7" s="31">
        <f t="shared" ref="D7:D46" si="2">C7/$H$7</f>
        <v>5136183099.566968</v>
      </c>
      <c r="E7" s="31">
        <v>1211979</v>
      </c>
      <c r="G7" t="s">
        <v>51</v>
      </c>
      <c r="H7">
        <v>1.34</v>
      </c>
      <c r="K7" t="s">
        <v>53</v>
      </c>
      <c r="L7" s="37">
        <v>-4.2700000000000002E-4</v>
      </c>
      <c r="M7">
        <v>2011</v>
      </c>
      <c r="N7" s="39">
        <f t="shared" ref="N7:N46" si="3">$L$6*(1-P7)</f>
        <v>8362.7403734176187</v>
      </c>
      <c r="O7" s="38">
        <f t="shared" si="0"/>
        <v>-1.809561208168702</v>
      </c>
      <c r="P7">
        <f t="shared" ref="P7:P46" si="4">EXP(O7)</f>
        <v>0.16372596265823813</v>
      </c>
      <c r="Q7" s="31">
        <f t="shared" ref="Q7:Q46" si="5">N7*E7</f>
        <v>10135465715.034311</v>
      </c>
      <c r="S7" s="31">
        <f>INDEX((PassMobility!$Q$15:$Q$20),MATCH(M7,PassMobility!$A$15:A$20,0))</f>
        <v>686856800</v>
      </c>
      <c r="T7" s="31">
        <f>INDEX((PassMobility!$R$15:$R$20),MATCH(M7,PassMobility!$A$15:A$20,0))</f>
        <v>303363200</v>
      </c>
      <c r="U7" s="31"/>
      <c r="V7" s="31"/>
    </row>
    <row r="8" spans="1:22" x14ac:dyDescent="0.25">
      <c r="A8">
        <f t="shared" ref="A8:A25" si="6">A7+1</f>
        <v>2012</v>
      </c>
      <c r="B8">
        <f t="shared" si="1"/>
        <v>4387.9959681465834</v>
      </c>
      <c r="C8" s="31">
        <f t="shared" ref="C8:C25" si="7">C7*(1+$H$6/100)</f>
        <v>7144019796.8496885</v>
      </c>
      <c r="D8" s="31">
        <f t="shared" si="2"/>
        <v>5331358057.3505135</v>
      </c>
      <c r="E8" s="31">
        <v>1214987</v>
      </c>
      <c r="G8" t="s">
        <v>267</v>
      </c>
      <c r="H8">
        <v>3</v>
      </c>
      <c r="I8" t="s">
        <v>49</v>
      </c>
      <c r="J8" t="s">
        <v>268</v>
      </c>
      <c r="M8">
        <v>2012</v>
      </c>
      <c r="N8" s="39">
        <f t="shared" si="3"/>
        <v>8464.415923396964</v>
      </c>
      <c r="O8" s="38">
        <f t="shared" si="0"/>
        <v>-1.8736742783985911</v>
      </c>
      <c r="P8">
        <f t="shared" si="4"/>
        <v>0.15355840766030365</v>
      </c>
      <c r="Q8" s="31">
        <f t="shared" si="5"/>
        <v>10284155309.520308</v>
      </c>
      <c r="S8" s="31">
        <f>INDEX((PassMobility!$Q$15:$Q$20),MATCH(M8,PassMobility!$A$15:A$20,0))</f>
        <v>698527200</v>
      </c>
      <c r="T8" s="31">
        <f>INDEX((PassMobility!$R$15:$R$20),MATCH(M8,PassMobility!$A$15:A$20,0))</f>
        <v>336610400</v>
      </c>
      <c r="U8" s="31"/>
      <c r="V8" s="31"/>
    </row>
    <row r="9" spans="1:22" x14ac:dyDescent="0.25">
      <c r="A9">
        <f t="shared" si="6"/>
        <v>2013</v>
      </c>
      <c r="B9">
        <f t="shared" si="1"/>
        <v>4545.9322108840779</v>
      </c>
      <c r="C9" s="31">
        <f t="shared" si="7"/>
        <v>7415492549.1299772</v>
      </c>
      <c r="D9" s="31">
        <f t="shared" si="2"/>
        <v>5533949663.5298338</v>
      </c>
      <c r="E9" s="31">
        <v>1217341</v>
      </c>
      <c r="M9">
        <v>2013</v>
      </c>
      <c r="N9" s="39">
        <f t="shared" si="3"/>
        <v>8564.559115016129</v>
      </c>
      <c r="O9" s="38">
        <f t="shared" si="0"/>
        <v>-1.9411130540475015</v>
      </c>
      <c r="P9">
        <f t="shared" si="4"/>
        <v>0.1435440884983871</v>
      </c>
      <c r="Q9" s="31">
        <f t="shared" si="5"/>
        <v>10425988957.632849</v>
      </c>
      <c r="S9" s="31">
        <f>INDEX((PassMobility!$Q$15:$Q$20),MATCH(M9,PassMobility!$A$15:A$20,0))</f>
        <v>700072800</v>
      </c>
      <c r="T9" s="31">
        <f>INDEX((PassMobility!$R$15:$R$20),MATCH(M9,PassMobility!$A$15:A$20,0))</f>
        <v>373133600</v>
      </c>
      <c r="U9" s="31"/>
      <c r="V9" s="31"/>
    </row>
    <row r="10" spans="1:22" x14ac:dyDescent="0.25">
      <c r="A10">
        <f t="shared" si="6"/>
        <v>2014</v>
      </c>
      <c r="B10">
        <f t="shared" si="1"/>
        <v>4711.2315622477208</v>
      </c>
      <c r="C10" s="31">
        <f t="shared" si="7"/>
        <v>7697281265.9969168</v>
      </c>
      <c r="D10" s="31">
        <f t="shared" si="2"/>
        <v>5744239750.7439671</v>
      </c>
      <c r="E10" s="31">
        <v>1219265</v>
      </c>
      <c r="F10" s="31">
        <v>1219265</v>
      </c>
      <c r="I10" t="s">
        <v>58</v>
      </c>
      <c r="M10">
        <v>2014</v>
      </c>
      <c r="N10" s="39">
        <f t="shared" si="3"/>
        <v>8662.3836108673549</v>
      </c>
      <c r="O10" s="38">
        <f t="shared" si="0"/>
        <v>-2.0116958770797768</v>
      </c>
      <c r="P10">
        <f t="shared" si="4"/>
        <v>0.1337616389132644</v>
      </c>
      <c r="Q10" s="31">
        <f t="shared" si="5"/>
        <v>10561741153.304186</v>
      </c>
      <c r="S10" s="31">
        <f>INDEX((PassMobility!$Q$15:$Q$20),MATCH(M10,PassMobility!$A$15:A$20,0))</f>
        <v>692792800</v>
      </c>
      <c r="T10" s="31">
        <f>INDEX((PassMobility!$R$15:$R$20),MATCH(M10,PassMobility!$A$15:A$20,0))</f>
        <v>414853600</v>
      </c>
      <c r="U10" s="31"/>
      <c r="V10" s="31"/>
    </row>
    <row r="11" spans="1:22" x14ac:dyDescent="0.25">
      <c r="A11">
        <f t="shared" si="6"/>
        <v>2015</v>
      </c>
      <c r="B11">
        <f t="shared" si="1"/>
        <v>4887.5958221774172</v>
      </c>
      <c r="C11" s="31">
        <f t="shared" si="7"/>
        <v>7989777954.1048002</v>
      </c>
      <c r="D11" s="31">
        <f t="shared" si="2"/>
        <v>5962520861.2722387</v>
      </c>
      <c r="E11" s="31">
        <f>E10+$G$14</f>
        <v>1219929.2</v>
      </c>
      <c r="F11" s="31">
        <f>F10+$G$14</f>
        <v>1219929.2</v>
      </c>
      <c r="M11">
        <v>2015</v>
      </c>
      <c r="N11" s="39">
        <f t="shared" si="3"/>
        <v>8759.4166941860694</v>
      </c>
      <c r="O11" s="38">
        <f t="shared" si="0"/>
        <v>-2.0870034160697575</v>
      </c>
      <c r="P11">
        <f t="shared" si="4"/>
        <v>0.12405833058139305</v>
      </c>
      <c r="Q11" s="31">
        <f t="shared" si="5"/>
        <v>10685868200.205055</v>
      </c>
      <c r="S11" s="31">
        <f>INDEX((PassMobility!$Q$15:$Q$20),MATCH(M11,PassMobility!$A$15:A$20,0))</f>
        <v>689460800</v>
      </c>
      <c r="T11" s="31">
        <f>INDEX((PassMobility!$R$15:$R$20),MATCH(M11,PassMobility!$A$15:A$20,0))</f>
        <v>448890400</v>
      </c>
      <c r="U11" s="31"/>
      <c r="V11" s="31"/>
    </row>
    <row r="12" spans="1:22" x14ac:dyDescent="0.25">
      <c r="A12">
        <f t="shared" si="6"/>
        <v>2016</v>
      </c>
      <c r="B12">
        <f t="shared" si="1"/>
        <v>5070.5637553017932</v>
      </c>
      <c r="C12" s="31">
        <f t="shared" si="7"/>
        <v>8293389516.3607826</v>
      </c>
      <c r="D12" s="31">
        <f t="shared" si="2"/>
        <v>6189096654.0005836</v>
      </c>
      <c r="E12" s="31">
        <f t="shared" ref="E12:F15" si="8">E11+$G$14</f>
        <v>1220593.3999999999</v>
      </c>
      <c r="F12" s="31">
        <f t="shared" si="8"/>
        <v>1220593.3999999999</v>
      </c>
      <c r="I12" t="s">
        <v>59</v>
      </c>
      <c r="M12">
        <v>2016</v>
      </c>
      <c r="N12" s="39">
        <f t="shared" si="3"/>
        <v>8852.6506493697052</v>
      </c>
      <c r="O12" s="38">
        <f t="shared" si="0"/>
        <v>-2.1651307235138657</v>
      </c>
      <c r="P12">
        <f t="shared" si="4"/>
        <v>0.11473493506302962</v>
      </c>
      <c r="Q12" s="31">
        <f t="shared" si="5"/>
        <v>10805486955.126375</v>
      </c>
      <c r="S12" s="31"/>
      <c r="T12" s="31"/>
      <c r="U12" s="31"/>
      <c r="V12" s="31"/>
    </row>
    <row r="13" spans="1:22" x14ac:dyDescent="0.25">
      <c r="A13">
        <f t="shared" si="6"/>
        <v>2017</v>
      </c>
      <c r="B13">
        <f t="shared" si="1"/>
        <v>5260.3826799952822</v>
      </c>
      <c r="C13" s="31">
        <f t="shared" si="7"/>
        <v>8608538317.9824924</v>
      </c>
      <c r="D13" s="31">
        <f t="shared" si="2"/>
        <v>6424282326.8526058</v>
      </c>
      <c r="E13" s="31">
        <f t="shared" si="8"/>
        <v>1221257.5999999999</v>
      </c>
      <c r="F13" s="31">
        <f t="shared" si="8"/>
        <v>1221257.5999999999</v>
      </c>
      <c r="M13">
        <v>2017</v>
      </c>
      <c r="N13" s="39">
        <f t="shared" si="3"/>
        <v>8941.977405957201</v>
      </c>
      <c r="O13" s="38">
        <f t="shared" si="0"/>
        <v>-2.2461834043579856</v>
      </c>
      <c r="P13">
        <f t="shared" si="4"/>
        <v>0.1058022594042799</v>
      </c>
      <c r="Q13" s="31">
        <f t="shared" si="5"/>
        <v>10920457866.053516</v>
      </c>
      <c r="S13" s="31"/>
      <c r="T13" s="31"/>
      <c r="U13" s="31"/>
      <c r="V13" s="31"/>
    </row>
    <row r="14" spans="1:22" x14ac:dyDescent="0.25">
      <c r="A14">
        <f t="shared" si="6"/>
        <v>2018</v>
      </c>
      <c r="B14">
        <f t="shared" si="1"/>
        <v>5457.3091790923172</v>
      </c>
      <c r="C14" s="31">
        <f t="shared" si="7"/>
        <v>8935662774.0658283</v>
      </c>
      <c r="D14" s="31">
        <f t="shared" si="2"/>
        <v>6668405055.2730055</v>
      </c>
      <c r="E14" s="31">
        <f t="shared" si="8"/>
        <v>1221921.7999999998</v>
      </c>
      <c r="F14" s="31">
        <f t="shared" si="8"/>
        <v>1221921.7999999998</v>
      </c>
      <c r="G14">
        <f>(E15-E10)/5</f>
        <v>664.2</v>
      </c>
      <c r="M14">
        <v>2018</v>
      </c>
      <c r="N14" s="39">
        <f t="shared" si="3"/>
        <v>9027.3061837957284</v>
      </c>
      <c r="O14" s="38">
        <f t="shared" si="0"/>
        <v>-2.3302710194724194</v>
      </c>
      <c r="P14">
        <f t="shared" si="4"/>
        <v>9.7269381620427059E-2</v>
      </c>
      <c r="Q14" s="31">
        <f t="shared" si="5"/>
        <v>11030662221.254807</v>
      </c>
      <c r="S14" s="31"/>
      <c r="T14" s="31"/>
      <c r="U14" s="31"/>
      <c r="V14" s="31"/>
    </row>
    <row r="15" spans="1:22" x14ac:dyDescent="0.25">
      <c r="A15">
        <f t="shared" si="6"/>
        <v>2019</v>
      </c>
      <c r="B15">
        <f t="shared" si="1"/>
        <v>5661.609447002812</v>
      </c>
      <c r="C15" s="31">
        <f t="shared" si="7"/>
        <v>9275217959.4803295</v>
      </c>
      <c r="D15" s="31">
        <f t="shared" si="2"/>
        <v>6921804447.3733797</v>
      </c>
      <c r="E15" s="31">
        <v>1222586</v>
      </c>
      <c r="F15" s="31">
        <f t="shared" si="8"/>
        <v>1222585.9999999998</v>
      </c>
      <c r="M15">
        <v>2019</v>
      </c>
      <c r="N15" s="39">
        <f t="shared" si="3"/>
        <v>9108.5644524043601</v>
      </c>
      <c r="O15" s="38">
        <f t="shared" si="0"/>
        <v>-2.4175072338702011</v>
      </c>
      <c r="P15">
        <f t="shared" si="4"/>
        <v>8.9143554759564092E-2</v>
      </c>
      <c r="Q15" s="31">
        <f t="shared" si="5"/>
        <v>11136003379.607237</v>
      </c>
      <c r="S15" s="31"/>
      <c r="T15" s="31"/>
      <c r="U15" s="31"/>
      <c r="V15" s="31"/>
    </row>
    <row r="16" spans="1:22" x14ac:dyDescent="0.25">
      <c r="A16">
        <f t="shared" si="6"/>
        <v>2020</v>
      </c>
      <c r="B16">
        <f t="shared" si="1"/>
        <v>5880.2636059232927</v>
      </c>
      <c r="C16" s="31">
        <f t="shared" si="7"/>
        <v>9627676241.9405823</v>
      </c>
      <c r="D16" s="31">
        <f t="shared" si="2"/>
        <v>7184833016.3735685</v>
      </c>
      <c r="E16" s="31">
        <f>E15+$G$19</f>
        <v>1221855.6000000001</v>
      </c>
      <c r="F16" s="31">
        <f>F15+$G$19</f>
        <v>1221855.5999999999</v>
      </c>
      <c r="M16">
        <v>2020</v>
      </c>
      <c r="N16" s="39">
        <f t="shared" si="3"/>
        <v>9188.0264122372009</v>
      </c>
      <c r="O16" s="38">
        <f t="shared" si="0"/>
        <v>-2.5108725597292461</v>
      </c>
      <c r="P16">
        <f t="shared" si="4"/>
        <v>8.1197358776279996E-2</v>
      </c>
      <c r="Q16" s="31">
        <f t="shared" si="5"/>
        <v>11226441524.739933</v>
      </c>
      <c r="S16" s="31"/>
      <c r="T16" s="31"/>
      <c r="U16" s="31"/>
      <c r="V16" s="31"/>
    </row>
    <row r="17" spans="1:22" x14ac:dyDescent="0.25">
      <c r="A17">
        <f t="shared" si="6"/>
        <v>2021</v>
      </c>
      <c r="B17">
        <f t="shared" si="1"/>
        <v>6107.3644790851613</v>
      </c>
      <c r="C17" s="31">
        <f t="shared" si="7"/>
        <v>9993527939.134325</v>
      </c>
      <c r="D17" s="31">
        <f t="shared" si="2"/>
        <v>7457856670.9957647</v>
      </c>
      <c r="E17" s="31">
        <f t="shared" ref="E17:F20" si="9">E16+$G$19</f>
        <v>1221125.2000000002</v>
      </c>
      <c r="F17" s="31">
        <f t="shared" si="9"/>
        <v>1221125.2</v>
      </c>
      <c r="M17">
        <v>2021</v>
      </c>
      <c r="N17" s="39">
        <f t="shared" si="3"/>
        <v>9263.0679134714592</v>
      </c>
      <c r="O17" s="38">
        <f t="shared" si="0"/>
        <v>-2.6078446325693641</v>
      </c>
      <c r="P17">
        <f t="shared" si="4"/>
        <v>7.3693208652854003E-2</v>
      </c>
      <c r="Q17" s="31">
        <f t="shared" si="5"/>
        <v>11311365658.45142</v>
      </c>
      <c r="S17" s="31"/>
      <c r="T17" s="31"/>
      <c r="U17" s="31"/>
      <c r="V17" s="31"/>
    </row>
    <row r="18" spans="1:22" x14ac:dyDescent="0.25">
      <c r="A18">
        <f t="shared" si="6"/>
        <v>2022</v>
      </c>
      <c r="B18">
        <f t="shared" si="1"/>
        <v>6343.2384540589665</v>
      </c>
      <c r="C18" s="31">
        <f t="shared" si="7"/>
        <v>10373282000.82143</v>
      </c>
      <c r="D18" s="31">
        <f t="shared" si="2"/>
        <v>7741255224.4936037</v>
      </c>
      <c r="E18" s="31">
        <f t="shared" si="9"/>
        <v>1220394.8000000003</v>
      </c>
      <c r="F18" s="31">
        <f t="shared" si="9"/>
        <v>1220394.8</v>
      </c>
      <c r="M18">
        <v>2022</v>
      </c>
      <c r="N18" s="39">
        <f t="shared" si="3"/>
        <v>9333.6749916096069</v>
      </c>
      <c r="O18" s="38">
        <f t="shared" si="0"/>
        <v>-2.7085628198831788</v>
      </c>
      <c r="P18">
        <f t="shared" si="4"/>
        <v>6.6632500839039377E-2</v>
      </c>
      <c r="Q18" s="31">
        <f t="shared" si="5"/>
        <v>11390768424.65041</v>
      </c>
      <c r="S18" s="31"/>
      <c r="T18" s="31"/>
      <c r="U18" s="31"/>
      <c r="V18" s="31"/>
    </row>
    <row r="19" spans="1:22" x14ac:dyDescent="0.25">
      <c r="A19">
        <f t="shared" si="6"/>
        <v>2023</v>
      </c>
      <c r="B19">
        <f t="shared" si="1"/>
        <v>6588.2245337523655</v>
      </c>
      <c r="C19" s="31">
        <f t="shared" si="7"/>
        <v>10767466716.852644</v>
      </c>
      <c r="D19" s="31">
        <f t="shared" si="2"/>
        <v>8035422923.0243607</v>
      </c>
      <c r="E19" s="31">
        <f t="shared" si="9"/>
        <v>1219664.4000000004</v>
      </c>
      <c r="F19" s="31">
        <f t="shared" si="9"/>
        <v>1219664.4000000001</v>
      </c>
      <c r="G19">
        <f>(E20-E15)/5</f>
        <v>-730.4</v>
      </c>
      <c r="M19">
        <v>2023</v>
      </c>
      <c r="N19" s="39">
        <f t="shared" si="3"/>
        <v>9399.8566783764873</v>
      </c>
      <c r="O19" s="38">
        <f t="shared" si="0"/>
        <v>-2.8131718759122601</v>
      </c>
      <c r="P19">
        <f t="shared" si="4"/>
        <v>6.0014332162351344E-2</v>
      </c>
      <c r="Q19" s="31">
        <f t="shared" si="5"/>
        <v>11464670555.718056</v>
      </c>
      <c r="S19" s="31"/>
      <c r="T19" s="31"/>
      <c r="U19" s="31"/>
      <c r="V19" s="31"/>
    </row>
    <row r="20" spans="1:22" x14ac:dyDescent="0.25">
      <c r="A20">
        <f t="shared" si="6"/>
        <v>2024</v>
      </c>
      <c r="B20">
        <f t="shared" si="1"/>
        <v>6842.6748241490404</v>
      </c>
      <c r="C20" s="31">
        <f t="shared" si="7"/>
        <v>11176630452.093044</v>
      </c>
      <c r="D20" s="31">
        <f t="shared" si="2"/>
        <v>8340768994.0992861</v>
      </c>
      <c r="E20" s="31">
        <v>1218934</v>
      </c>
      <c r="F20" s="31">
        <f t="shared" si="9"/>
        <v>1218934.0000000002</v>
      </c>
      <c r="M20">
        <v>2024</v>
      </c>
      <c r="N20" s="39">
        <f t="shared" si="3"/>
        <v>9461.6449848141929</v>
      </c>
      <c r="O20" s="38">
        <f t="shared" si="0"/>
        <v>-2.9218221499116406</v>
      </c>
      <c r="P20">
        <f t="shared" si="4"/>
        <v>5.3835501518580631E-2</v>
      </c>
      <c r="Q20" s="31">
        <f t="shared" si="5"/>
        <v>11533120767.919504</v>
      </c>
      <c r="S20" s="31"/>
      <c r="T20" s="31"/>
      <c r="U20" s="31"/>
      <c r="V20" s="31"/>
    </row>
    <row r="21" spans="1:22" x14ac:dyDescent="0.25">
      <c r="A21">
        <f t="shared" si="6"/>
        <v>2025</v>
      </c>
      <c r="B21">
        <f t="shared" si="1"/>
        <v>7118.7147348830176</v>
      </c>
      <c r="C21" s="31">
        <f t="shared" si="7"/>
        <v>11601342409.272581</v>
      </c>
      <c r="D21" s="31">
        <f t="shared" si="2"/>
        <v>8657718215.8750591</v>
      </c>
      <c r="E21" s="31">
        <f>E20+$G$24</f>
        <v>1216191.2</v>
      </c>
      <c r="F21" s="31">
        <f>F20+$G$24</f>
        <v>1216191.2000000002</v>
      </c>
      <c r="M21">
        <v>2025</v>
      </c>
      <c r="N21" s="39">
        <f t="shared" si="3"/>
        <v>9521.5033641838054</v>
      </c>
      <c r="O21" s="38">
        <f t="shared" si="0"/>
        <v>-3.0396911917950487</v>
      </c>
      <c r="P21">
        <f t="shared" si="4"/>
        <v>4.784966358161942E-2</v>
      </c>
      <c r="Q21" s="31">
        <f t="shared" si="5"/>
        <v>11579968602.290739</v>
      </c>
      <c r="S21" s="31"/>
      <c r="T21" s="31"/>
      <c r="U21" s="31"/>
      <c r="V21" s="31"/>
    </row>
    <row r="22" spans="1:22" x14ac:dyDescent="0.25">
      <c r="A22">
        <f t="shared" si="6"/>
        <v>2026</v>
      </c>
      <c r="B22">
        <f t="shared" si="1"/>
        <v>7405.928021396141</v>
      </c>
      <c r="C22" s="31">
        <f t="shared" si="7"/>
        <v>12042193420.82494</v>
      </c>
      <c r="D22" s="31">
        <f t="shared" si="2"/>
        <v>8986711508.0783119</v>
      </c>
      <c r="E22" s="31">
        <f t="shared" ref="E22:F24" si="10">E21+$G$24</f>
        <v>1213448.3999999999</v>
      </c>
      <c r="F22" s="31">
        <f t="shared" si="10"/>
        <v>1213448.4000000001</v>
      </c>
      <c r="M22">
        <v>2026</v>
      </c>
      <c r="N22" s="39">
        <f t="shared" si="3"/>
        <v>9576.7304937243352</v>
      </c>
      <c r="O22" s="38">
        <f t="shared" si="0"/>
        <v>-3.1623312651361526</v>
      </c>
      <c r="P22">
        <f t="shared" si="4"/>
        <v>4.2326950627566494E-2</v>
      </c>
      <c r="Q22" s="31">
        <f t="shared" si="5"/>
        <v>11620868294.841003</v>
      </c>
      <c r="S22" s="31"/>
      <c r="T22" s="31"/>
      <c r="U22" s="31"/>
      <c r="V22" s="31"/>
    </row>
    <row r="23" spans="1:22" x14ac:dyDescent="0.25">
      <c r="A23">
        <f t="shared" si="6"/>
        <v>2027</v>
      </c>
      <c r="B23">
        <f t="shared" si="1"/>
        <v>7704.7686451481595</v>
      </c>
      <c r="C23" s="31">
        <f t="shared" si="7"/>
        <v>12499796770.816288</v>
      </c>
      <c r="D23" s="31">
        <f t="shared" si="2"/>
        <v>9328206545.3852882</v>
      </c>
      <c r="E23" s="31">
        <f t="shared" si="10"/>
        <v>1210705.5999999999</v>
      </c>
      <c r="F23" s="31">
        <f t="shared" si="10"/>
        <v>1210705.6000000001</v>
      </c>
      <c r="M23">
        <v>2027</v>
      </c>
      <c r="N23" s="39">
        <f t="shared" si="3"/>
        <v>9627.4377416000807</v>
      </c>
      <c r="O23" s="38">
        <f t="shared" si="0"/>
        <v>-3.2899362114782642</v>
      </c>
      <c r="P23">
        <f t="shared" si="4"/>
        <v>3.7256225839991872E-2</v>
      </c>
      <c r="Q23" s="31">
        <f t="shared" si="5"/>
        <v>11655992787.406569</v>
      </c>
      <c r="S23" s="31"/>
      <c r="T23" s="31"/>
      <c r="U23" s="31"/>
      <c r="V23" s="31"/>
    </row>
    <row r="24" spans="1:22" x14ac:dyDescent="0.25">
      <c r="A24">
        <f t="shared" si="6"/>
        <v>2028</v>
      </c>
      <c r="B24">
        <f t="shared" si="1"/>
        <v>8015.7090881523272</v>
      </c>
      <c r="C24" s="31">
        <f t="shared" si="7"/>
        <v>12974789048.107307</v>
      </c>
      <c r="D24" s="31">
        <f t="shared" si="2"/>
        <v>9682678394.10993</v>
      </c>
      <c r="E24" s="31">
        <f t="shared" si="10"/>
        <v>1207962.7999999998</v>
      </c>
      <c r="F24" s="31">
        <f t="shared" si="10"/>
        <v>1207962.8</v>
      </c>
      <c r="G24">
        <f>(E25-E20)/5</f>
        <v>-2742.8</v>
      </c>
      <c r="M24">
        <v>2028</v>
      </c>
      <c r="N24" s="39">
        <f t="shared" si="3"/>
        <v>9673.7602334217027</v>
      </c>
      <c r="O24" s="38">
        <f t="shared" si="0"/>
        <v>-3.4227077806410438</v>
      </c>
      <c r="P24">
        <f t="shared" si="4"/>
        <v>3.2623976657829769E-2</v>
      </c>
      <c r="Q24" s="31">
        <f t="shared" si="5"/>
        <v>11685542498.092731</v>
      </c>
      <c r="S24" s="31"/>
      <c r="T24" s="31"/>
      <c r="U24" s="31"/>
      <c r="V24" s="31"/>
    </row>
    <row r="25" spans="1:22" x14ac:dyDescent="0.25">
      <c r="A25">
        <f t="shared" si="6"/>
        <v>2029</v>
      </c>
      <c r="B25">
        <f t="shared" si="1"/>
        <v>8339.2411120675952</v>
      </c>
      <c r="C25" s="31">
        <f t="shared" si="7"/>
        <v>13467831031.935385</v>
      </c>
      <c r="D25" s="31">
        <f t="shared" si="2"/>
        <v>10050620173.086107</v>
      </c>
      <c r="E25" s="31">
        <v>1205220</v>
      </c>
      <c r="F25" s="31">
        <f>F24+$G$24</f>
        <v>1205220</v>
      </c>
      <c r="M25">
        <v>2029</v>
      </c>
      <c r="N25" s="39">
        <f t="shared" si="3"/>
        <v>9715.8550722083473</v>
      </c>
      <c r="O25" s="38">
        <f>B25*$L$7</f>
        <v>-3.5608559548528635</v>
      </c>
      <c r="P25">
        <f t="shared" si="4"/>
        <v>2.841449277916518E-2</v>
      </c>
      <c r="Q25" s="31">
        <f t="shared" si="5"/>
        <v>11709742850.126944</v>
      </c>
      <c r="S25" s="31"/>
      <c r="T25" s="31"/>
      <c r="U25" s="31"/>
      <c r="V25" s="31"/>
    </row>
    <row r="26" spans="1:22" x14ac:dyDescent="0.25">
      <c r="A26">
        <f>A25+1</f>
        <v>2030</v>
      </c>
      <c r="B26">
        <f t="shared" si="1"/>
        <v>8675.8765485643962</v>
      </c>
      <c r="C26" s="31">
        <f>C25*(1+$H$6/100)</f>
        <v>13979608611.14893</v>
      </c>
      <c r="D26" s="31">
        <f t="shared" si="2"/>
        <v>10432543739.66338</v>
      </c>
      <c r="E26" s="31">
        <f>E25+G24</f>
        <v>1202477.2</v>
      </c>
      <c r="F26" s="31">
        <f t="shared" ref="F26:F29" si="11">F25+$G$24</f>
        <v>1202477.2</v>
      </c>
      <c r="M26">
        <v>2030</v>
      </c>
      <c r="N26" s="39">
        <f>$L$6*(1-P26)</f>
        <v>9753.899230113786</v>
      </c>
      <c r="O26" s="38">
        <f t="shared" si="0"/>
        <v>-3.7045992862369972</v>
      </c>
      <c r="P26">
        <f t="shared" si="4"/>
        <v>2.461007698862136E-2</v>
      </c>
      <c r="Q26" s="31">
        <f t="shared" si="5"/>
        <v>11728841435.309381</v>
      </c>
      <c r="S26" s="31"/>
      <c r="T26" s="31"/>
      <c r="U26" s="31"/>
      <c r="V26" s="31"/>
    </row>
    <row r="27" spans="1:22" x14ac:dyDescent="0.25">
      <c r="A27">
        <f t="shared" ref="A27:A46" si="12">A26+1</f>
        <v>2031</v>
      </c>
      <c r="B27">
        <f>D27/E27</f>
        <v>8956.5824334563404</v>
      </c>
      <c r="C27" s="31">
        <f>C26*(1+$H$8/100)</f>
        <v>14398996869.483398</v>
      </c>
      <c r="D27" s="31">
        <f t="shared" si="2"/>
        <v>10745520051.853281</v>
      </c>
      <c r="E27" s="31">
        <f>F27</f>
        <v>1199734.3999999999</v>
      </c>
      <c r="F27" s="31">
        <f t="shared" si="11"/>
        <v>1199734.3999999999</v>
      </c>
      <c r="M27">
        <f>A27</f>
        <v>2031</v>
      </c>
      <c r="N27" s="39">
        <f t="shared" si="3"/>
        <v>9781.6979459326303</v>
      </c>
      <c r="O27" s="38">
        <f t="shared" si="0"/>
        <v>-3.8244606990858574</v>
      </c>
      <c r="P27">
        <f t="shared" si="4"/>
        <v>2.1830205406736913E-2</v>
      </c>
      <c r="Q27" s="31">
        <f t="shared" si="5"/>
        <v>11735439516.144716</v>
      </c>
    </row>
    <row r="28" spans="1:22" x14ac:dyDescent="0.25">
      <c r="A28">
        <f t="shared" si="12"/>
        <v>2032</v>
      </c>
      <c r="B28">
        <f t="shared" ref="B28:B46" si="13">D28/E28</f>
        <v>9246.4188164803181</v>
      </c>
      <c r="C28" s="31">
        <f t="shared" ref="C28:C46" si="14">C27*(1+$H$8/100)</f>
        <v>14830966775.567902</v>
      </c>
      <c r="D28" s="31">
        <f t="shared" si="2"/>
        <v>11067885653.40888</v>
      </c>
      <c r="E28" s="31">
        <f t="shared" ref="E28:E46" si="15">F28</f>
        <v>1196991.5999999999</v>
      </c>
      <c r="F28" s="31">
        <f t="shared" si="11"/>
        <v>1196991.5999999999</v>
      </c>
      <c r="M28">
        <f t="shared" ref="M28:M46" si="16">A28</f>
        <v>2032</v>
      </c>
      <c r="N28" s="39">
        <f t="shared" si="3"/>
        <v>9807.1101043336057</v>
      </c>
      <c r="O28" s="38">
        <f t="shared" si="0"/>
        <v>-3.9482208346370959</v>
      </c>
      <c r="P28">
        <f t="shared" si="4"/>
        <v>1.9288989566639391E-2</v>
      </c>
      <c r="Q28" s="31">
        <f t="shared" si="5"/>
        <v>11739028415.162449</v>
      </c>
    </row>
    <row r="29" spans="1:22" x14ac:dyDescent="0.25">
      <c r="A29">
        <f t="shared" si="12"/>
        <v>2033</v>
      </c>
      <c r="B29">
        <f t="shared" si="13"/>
        <v>9545.6844696106455</v>
      </c>
      <c r="C29" s="31">
        <f t="shared" si="14"/>
        <v>15275895778.83494</v>
      </c>
      <c r="D29" s="31">
        <f t="shared" si="2"/>
        <v>11399922223.011148</v>
      </c>
      <c r="E29" s="31">
        <f t="shared" si="15"/>
        <v>1194248.7999999998</v>
      </c>
      <c r="F29" s="31">
        <f t="shared" si="11"/>
        <v>1194248.7999999998</v>
      </c>
      <c r="G29">
        <f>(F30-F25)/5</f>
        <v>-5190</v>
      </c>
      <c r="M29">
        <f t="shared" si="16"/>
        <v>2033</v>
      </c>
      <c r="N29" s="39">
        <f t="shared" si="3"/>
        <v>9830.2489242885276</v>
      </c>
      <c r="O29" s="38">
        <f t="shared" si="0"/>
        <v>-4.0760072685237461</v>
      </c>
      <c r="P29">
        <f t="shared" si="4"/>
        <v>1.697510757114723E-2</v>
      </c>
      <c r="Q29" s="31">
        <f t="shared" si="5"/>
        <v>11739762981.532864</v>
      </c>
    </row>
    <row r="30" spans="1:22" x14ac:dyDescent="0.25">
      <c r="A30">
        <f t="shared" si="12"/>
        <v>2034</v>
      </c>
      <c r="B30">
        <f t="shared" si="13"/>
        <v>9956.9393690176839</v>
      </c>
      <c r="C30" s="31">
        <f t="shared" si="14"/>
        <v>15734172652.199989</v>
      </c>
      <c r="D30" s="31">
        <f t="shared" si="2"/>
        <v>11741919889.701485</v>
      </c>
      <c r="E30" s="31">
        <f t="shared" si="15"/>
        <v>1179270</v>
      </c>
      <c r="F30">
        <v>1179270</v>
      </c>
      <c r="M30">
        <f t="shared" si="16"/>
        <v>2034</v>
      </c>
      <c r="N30" s="39">
        <f t="shared" si="3"/>
        <v>9857.5875732881032</v>
      </c>
      <c r="O30" s="38">
        <f t="shared" si="0"/>
        <v>-4.2516131105705517</v>
      </c>
      <c r="P30">
        <f t="shared" si="4"/>
        <v>1.4241242671189704E-2</v>
      </c>
      <c r="Q30" s="31">
        <f t="shared" si="5"/>
        <v>11624757297.551462</v>
      </c>
    </row>
    <row r="31" spans="1:22" x14ac:dyDescent="0.25">
      <c r="A31">
        <f t="shared" si="12"/>
        <v>2035</v>
      </c>
      <c r="B31">
        <f t="shared" si="13"/>
        <v>10300.982459791947</v>
      </c>
      <c r="C31" s="31">
        <f t="shared" si="14"/>
        <v>16206197831.765989</v>
      </c>
      <c r="D31" s="31">
        <f t="shared" si="2"/>
        <v>12094177486.392529</v>
      </c>
      <c r="E31" s="31">
        <f t="shared" si="15"/>
        <v>1174080</v>
      </c>
      <c r="F31" s="31">
        <f>F30+$G$29</f>
        <v>1174080</v>
      </c>
      <c r="M31">
        <f t="shared" si="16"/>
        <v>2035</v>
      </c>
      <c r="N31" s="39">
        <f t="shared" si="3"/>
        <v>9877.0447016036014</v>
      </c>
      <c r="O31" s="38">
        <f t="shared" si="0"/>
        <v>-4.3985195103311616</v>
      </c>
      <c r="P31">
        <f t="shared" si="4"/>
        <v>1.2295529839639869E-2</v>
      </c>
      <c r="Q31" s="31">
        <f t="shared" si="5"/>
        <v>11596440643.258757</v>
      </c>
    </row>
    <row r="32" spans="1:22" x14ac:dyDescent="0.25">
      <c r="A32">
        <f t="shared" si="12"/>
        <v>2036</v>
      </c>
      <c r="B32">
        <f t="shared" si="13"/>
        <v>10657.121552057341</v>
      </c>
      <c r="C32" s="31">
        <f t="shared" si="14"/>
        <v>16692383766.718969</v>
      </c>
      <c r="D32" s="31">
        <f t="shared" si="2"/>
        <v>12457002810.984304</v>
      </c>
      <c r="E32" s="31">
        <f t="shared" si="15"/>
        <v>1168890</v>
      </c>
      <c r="F32" s="31">
        <f t="shared" ref="F32:F34" si="17">F31+$G$29</f>
        <v>1168890</v>
      </c>
      <c r="M32">
        <f t="shared" si="16"/>
        <v>2036</v>
      </c>
      <c r="N32" s="39">
        <f t="shared" si="3"/>
        <v>9894.3903796155901</v>
      </c>
      <c r="O32" s="38">
        <f t="shared" si="0"/>
        <v>-4.5505909027284845</v>
      </c>
      <c r="P32">
        <f t="shared" si="4"/>
        <v>1.0560962038440884E-2</v>
      </c>
      <c r="Q32" s="31">
        <f t="shared" si="5"/>
        <v>11565453970.828867</v>
      </c>
    </row>
    <row r="33" spans="1:17" x14ac:dyDescent="0.25">
      <c r="A33">
        <f t="shared" si="12"/>
        <v>2037</v>
      </c>
      <c r="B33">
        <f t="shared" si="13"/>
        <v>11025.79092146931</v>
      </c>
      <c r="C33" s="31">
        <f t="shared" si="14"/>
        <v>17193155279.720539</v>
      </c>
      <c r="D33" s="31">
        <f t="shared" si="2"/>
        <v>12830712895.313835</v>
      </c>
      <c r="E33" s="31">
        <f t="shared" si="15"/>
        <v>1163700</v>
      </c>
      <c r="F33" s="31">
        <f t="shared" si="17"/>
        <v>1163700</v>
      </c>
      <c r="M33">
        <f t="shared" si="16"/>
        <v>2037</v>
      </c>
      <c r="N33" s="39">
        <f t="shared" si="3"/>
        <v>9909.7730964146795</v>
      </c>
      <c r="O33" s="38">
        <f t="shared" si="0"/>
        <v>-4.7080127234673954</v>
      </c>
      <c r="P33">
        <f t="shared" si="4"/>
        <v>9.0226903585320477E-3</v>
      </c>
      <c r="Q33" s="31">
        <f t="shared" si="5"/>
        <v>11532002952.297762</v>
      </c>
    </row>
    <row r="34" spans="1:17" x14ac:dyDescent="0.25">
      <c r="A34">
        <f t="shared" si="12"/>
        <v>2038</v>
      </c>
      <c r="B34">
        <f t="shared" si="13"/>
        <v>11407.44083536029</v>
      </c>
      <c r="C34" s="31">
        <f t="shared" si="14"/>
        <v>17708949938.112156</v>
      </c>
      <c r="D34" s="31">
        <f t="shared" si="2"/>
        <v>13215634282.17325</v>
      </c>
      <c r="E34" s="31">
        <f t="shared" si="15"/>
        <v>1158510</v>
      </c>
      <c r="F34" s="31">
        <f t="shared" si="17"/>
        <v>1158510</v>
      </c>
      <c r="G34">
        <f>(F35-F30)/5</f>
        <v>-7808.8</v>
      </c>
      <c r="M34">
        <f t="shared" si="16"/>
        <v>2038</v>
      </c>
      <c r="N34" s="39">
        <f t="shared" si="3"/>
        <v>9923.341297434612</v>
      </c>
      <c r="O34" s="38">
        <f t="shared" si="0"/>
        <v>-4.8709772366988444</v>
      </c>
      <c r="P34">
        <f t="shared" si="4"/>
        <v>7.665870256538844E-3</v>
      </c>
      <c r="Q34" s="31">
        <f t="shared" si="5"/>
        <v>11496290126.490973</v>
      </c>
    </row>
    <row r="35" spans="1:17" x14ac:dyDescent="0.25">
      <c r="A35">
        <f t="shared" si="12"/>
        <v>2039</v>
      </c>
      <c r="B35">
        <f t="shared" si="13"/>
        <v>11938.074829585054</v>
      </c>
      <c r="C35" s="31">
        <f t="shared" si="14"/>
        <v>18240218436.25552</v>
      </c>
      <c r="D35" s="31">
        <f t="shared" si="2"/>
        <v>13612103310.638447</v>
      </c>
      <c r="E35" s="31">
        <f t="shared" si="15"/>
        <v>1140226</v>
      </c>
      <c r="F35">
        <v>1140226</v>
      </c>
      <c r="M35">
        <f t="shared" si="16"/>
        <v>2039</v>
      </c>
      <c r="N35" s="39">
        <f t="shared" si="3"/>
        <v>9938.8834669406897</v>
      </c>
      <c r="O35" s="38">
        <f t="shared" si="0"/>
        <v>-5.097557952232818</v>
      </c>
      <c r="P35">
        <f t="shared" si="4"/>
        <v>6.1116533059309523E-3</v>
      </c>
      <c r="Q35" s="31">
        <f t="shared" si="5"/>
        <v>11332573339.975914</v>
      </c>
    </row>
    <row r="36" spans="1:17" x14ac:dyDescent="0.25">
      <c r="A36">
        <f t="shared" si="12"/>
        <v>2040</v>
      </c>
      <c r="B36">
        <f t="shared" si="13"/>
        <v>12402.895643594744</v>
      </c>
      <c r="C36" s="31">
        <f t="shared" si="14"/>
        <v>18787424989.343185</v>
      </c>
      <c r="D36" s="31">
        <f t="shared" si="2"/>
        <v>14020466409.9576</v>
      </c>
      <c r="E36" s="31">
        <f t="shared" si="15"/>
        <v>1130418.8</v>
      </c>
      <c r="F36" s="31">
        <f>F35+$G$39</f>
        <v>1130418.8</v>
      </c>
      <c r="M36">
        <f t="shared" si="16"/>
        <v>2040</v>
      </c>
      <c r="N36" s="39">
        <f t="shared" si="3"/>
        <v>9949.885823498731</v>
      </c>
      <c r="O36" s="38">
        <f t="shared" si="0"/>
        <v>-5.296036439814956</v>
      </c>
      <c r="P36">
        <f t="shared" si="4"/>
        <v>5.0114176501269581E-3</v>
      </c>
      <c r="Q36" s="31">
        <f t="shared" si="5"/>
        <v>11247537992.736448</v>
      </c>
    </row>
    <row r="37" spans="1:17" x14ac:dyDescent="0.25">
      <c r="A37">
        <f t="shared" si="12"/>
        <v>2041</v>
      </c>
      <c r="B37">
        <f t="shared" si="13"/>
        <v>12886.784682807433</v>
      </c>
      <c r="C37" s="31">
        <f t="shared" si="14"/>
        <v>19351047739.023483</v>
      </c>
      <c r="D37" s="31">
        <f t="shared" si="2"/>
        <v>14441080402.25633</v>
      </c>
      <c r="E37" s="31">
        <f t="shared" si="15"/>
        <v>1120611.6000000001</v>
      </c>
      <c r="F37" s="31">
        <f t="shared" ref="F37:F39" si="18">F36+$G$39</f>
        <v>1120611.6000000001</v>
      </c>
      <c r="M37">
        <f t="shared" si="16"/>
        <v>2041</v>
      </c>
      <c r="N37" s="39">
        <f t="shared" si="3"/>
        <v>9959.2407294318691</v>
      </c>
      <c r="O37" s="38">
        <f t="shared" si="0"/>
        <v>-5.502657059558774</v>
      </c>
      <c r="P37">
        <f t="shared" si="4"/>
        <v>4.0759270568130126E-3</v>
      </c>
      <c r="Q37" s="31">
        <f t="shared" si="5"/>
        <v>11160440688.593815</v>
      </c>
    </row>
    <row r="38" spans="1:17" x14ac:dyDescent="0.25">
      <c r="A38">
        <f t="shared" si="12"/>
        <v>2042</v>
      </c>
      <c r="B38">
        <f t="shared" si="13"/>
        <v>13390.577868006299</v>
      </c>
      <c r="C38" s="31">
        <f t="shared" si="14"/>
        <v>19931579171.194187</v>
      </c>
      <c r="D38" s="31">
        <f t="shared" si="2"/>
        <v>14874312814.324018</v>
      </c>
      <c r="E38" s="31">
        <f t="shared" si="15"/>
        <v>1110804.4000000001</v>
      </c>
      <c r="F38" s="31">
        <f t="shared" si="18"/>
        <v>1110804.4000000001</v>
      </c>
      <c r="M38">
        <f t="shared" si="16"/>
        <v>2042</v>
      </c>
      <c r="N38" s="39">
        <f t="shared" si="3"/>
        <v>9967.1298936765088</v>
      </c>
      <c r="O38" s="38">
        <f t="shared" si="0"/>
        <v>-5.7177767496386904</v>
      </c>
      <c r="P38">
        <f t="shared" si="4"/>
        <v>3.2870106323491005E-3</v>
      </c>
      <c r="Q38" s="31">
        <f t="shared" si="5"/>
        <v>11071531741.267399</v>
      </c>
    </row>
    <row r="39" spans="1:17" x14ac:dyDescent="0.25">
      <c r="A39">
        <f t="shared" si="12"/>
        <v>2043</v>
      </c>
      <c r="B39">
        <f>D39/E39</f>
        <v>13915.150918416266</v>
      </c>
      <c r="C39" s="31">
        <f t="shared" si="14"/>
        <v>20529526546.330013</v>
      </c>
      <c r="D39" s="31">
        <f t="shared" si="2"/>
        <v>15320542198.75374</v>
      </c>
      <c r="E39" s="31">
        <f t="shared" si="15"/>
        <v>1100997.2000000002</v>
      </c>
      <c r="F39" s="31">
        <f t="shared" si="18"/>
        <v>1100997.2000000002</v>
      </c>
      <c r="G39">
        <f>(F40-F35)/5</f>
        <v>-9807.2000000000007</v>
      </c>
      <c r="M39">
        <f t="shared" si="16"/>
        <v>2043</v>
      </c>
      <c r="N39" s="39">
        <f t="shared" si="3"/>
        <v>9973.7262345531217</v>
      </c>
      <c r="O39" s="38">
        <f t="shared" si="0"/>
        <v>-5.9417694421637464</v>
      </c>
      <c r="P39">
        <f t="shared" si="4"/>
        <v>2.6273765446877722E-3</v>
      </c>
      <c r="Q39" s="31">
        <f t="shared" si="5"/>
        <v>10981044657.809532</v>
      </c>
    </row>
    <row r="40" spans="1:17" x14ac:dyDescent="0.25">
      <c r="A40">
        <f t="shared" si="12"/>
        <v>2044</v>
      </c>
      <c r="B40">
        <f t="shared" si="13"/>
        <v>14461.421443301673</v>
      </c>
      <c r="C40" s="31">
        <f t="shared" si="14"/>
        <v>21145412342.719913</v>
      </c>
      <c r="D40" s="31">
        <f t="shared" si="2"/>
        <v>15780158464.716352</v>
      </c>
      <c r="E40" s="31">
        <f t="shared" si="15"/>
        <v>1091190</v>
      </c>
      <c r="F40">
        <v>1091190</v>
      </c>
      <c r="M40">
        <f t="shared" si="16"/>
        <v>2044</v>
      </c>
      <c r="N40" s="39">
        <f t="shared" si="3"/>
        <v>9979.1925017260182</v>
      </c>
      <c r="O40" s="38">
        <f t="shared" si="0"/>
        <v>-6.1750269562898152</v>
      </c>
      <c r="P40">
        <f t="shared" si="4"/>
        <v>2.0807498273981624E-3</v>
      </c>
      <c r="Q40" s="31">
        <f t="shared" si="5"/>
        <v>10889195065.958414</v>
      </c>
    </row>
    <row r="41" spans="1:17" x14ac:dyDescent="0.25">
      <c r="A41">
        <f t="shared" si="12"/>
        <v>2045</v>
      </c>
      <c r="B41">
        <f t="shared" si="13"/>
        <v>15047.30782473428</v>
      </c>
      <c r="C41" s="31">
        <f t="shared" si="14"/>
        <v>21779774713.001511</v>
      </c>
      <c r="D41" s="31">
        <f t="shared" si="2"/>
        <v>16253563218.657843</v>
      </c>
      <c r="E41" s="31">
        <f t="shared" si="15"/>
        <v>1080164.2</v>
      </c>
      <c r="F41" s="31">
        <f>F40+$G$44</f>
        <v>1080164.2</v>
      </c>
      <c r="M41">
        <f t="shared" si="16"/>
        <v>2045</v>
      </c>
      <c r="N41" s="39">
        <f t="shared" si="3"/>
        <v>9983.7979151109157</v>
      </c>
      <c r="O41" s="38">
        <f t="shared" si="0"/>
        <v>-6.4252004411615378</v>
      </c>
      <c r="P41">
        <f t="shared" si="4"/>
        <v>1.6202084889083994E-3</v>
      </c>
      <c r="Q41" s="31">
        <f t="shared" si="5"/>
        <v>10784141087.93745</v>
      </c>
    </row>
    <row r="42" spans="1:17" x14ac:dyDescent="0.25">
      <c r="A42">
        <f>A41+1</f>
        <v>2046</v>
      </c>
      <c r="B42">
        <f t="shared" si="13"/>
        <v>15658.562179805327</v>
      </c>
      <c r="C42" s="31">
        <f t="shared" si="14"/>
        <v>22433167954.391556</v>
      </c>
      <c r="D42" s="31">
        <f t="shared" si="2"/>
        <v>16741170115.217579</v>
      </c>
      <c r="E42" s="31">
        <f t="shared" si="15"/>
        <v>1069138.3999999999</v>
      </c>
      <c r="F42" s="31">
        <f t="shared" ref="F42:F44" si="19">F41+$G$44</f>
        <v>1069138.3999999999</v>
      </c>
      <c r="M42">
        <f t="shared" si="16"/>
        <v>2046</v>
      </c>
      <c r="N42" s="39">
        <f t="shared" si="3"/>
        <v>9987.5199131606369</v>
      </c>
      <c r="O42" s="38">
        <f t="shared" si="0"/>
        <v>-6.6862060507768755</v>
      </c>
      <c r="P42">
        <f t="shared" si="4"/>
        <v>1.2480086839362285E-3</v>
      </c>
      <c r="Q42" s="31">
        <f t="shared" si="5"/>
        <v>10678041059.924702</v>
      </c>
    </row>
    <row r="43" spans="1:17" x14ac:dyDescent="0.25">
      <c r="A43">
        <f t="shared" si="12"/>
        <v>2047</v>
      </c>
      <c r="B43">
        <f t="shared" si="13"/>
        <v>16296.38019495667</v>
      </c>
      <c r="C43" s="31">
        <f t="shared" si="14"/>
        <v>23106162993.023304</v>
      </c>
      <c r="D43" s="31">
        <f t="shared" si="2"/>
        <v>17243405218.674107</v>
      </c>
      <c r="E43" s="31">
        <f t="shared" si="15"/>
        <v>1058112.5999999999</v>
      </c>
      <c r="F43" s="31">
        <f t="shared" si="19"/>
        <v>1058112.5999999999</v>
      </c>
      <c r="M43">
        <f t="shared" si="16"/>
        <v>2047</v>
      </c>
      <c r="N43" s="39">
        <f t="shared" si="3"/>
        <v>9990.495303653388</v>
      </c>
      <c r="O43" s="38">
        <f t="shared" si="0"/>
        <v>-6.9585543432464982</v>
      </c>
      <c r="P43">
        <f t="shared" si="4"/>
        <v>9.5046963466126854E-4</v>
      </c>
      <c r="Q43" s="31">
        <f t="shared" si="5"/>
        <v>10571068961.036474</v>
      </c>
    </row>
    <row r="44" spans="1:17" x14ac:dyDescent="0.25">
      <c r="A44">
        <f t="shared" si="12"/>
        <v>2048</v>
      </c>
      <c r="B44">
        <f t="shared" si="13"/>
        <v>16962.020125966952</v>
      </c>
      <c r="C44" s="31">
        <f t="shared" si="14"/>
        <v>23799347882.814003</v>
      </c>
      <c r="D44" s="31">
        <f t="shared" si="2"/>
        <v>17760707375.234329</v>
      </c>
      <c r="E44" s="31">
        <f t="shared" si="15"/>
        <v>1047086.7999999998</v>
      </c>
      <c r="F44" s="31">
        <f t="shared" si="19"/>
        <v>1047086.7999999998</v>
      </c>
      <c r="G44">
        <f>(F45-F40)/5</f>
        <v>-11025.8</v>
      </c>
      <c r="M44">
        <f t="shared" si="16"/>
        <v>2048</v>
      </c>
      <c r="N44" s="39">
        <f t="shared" si="3"/>
        <v>9992.8468145270144</v>
      </c>
      <c r="O44" s="38">
        <f t="shared" si="0"/>
        <v>-7.2427825937878891</v>
      </c>
      <c r="P44">
        <f t="shared" si="4"/>
        <v>7.1531854729853814E-4</v>
      </c>
      <c r="Q44" s="31">
        <f t="shared" si="5"/>
        <v>10463377993.913282</v>
      </c>
    </row>
    <row r="45" spans="1:17" x14ac:dyDescent="0.25">
      <c r="A45">
        <f t="shared" si="12"/>
        <v>2049</v>
      </c>
      <c r="B45">
        <f t="shared" si="13"/>
        <v>17656.806497389014</v>
      </c>
      <c r="C45" s="31">
        <f t="shared" si="14"/>
        <v>24513328319.298424</v>
      </c>
      <c r="D45" s="31">
        <f t="shared" si="2"/>
        <v>18293528596.49136</v>
      </c>
      <c r="E45" s="31">
        <f t="shared" si="15"/>
        <v>1036061</v>
      </c>
      <c r="F45">
        <v>1036061</v>
      </c>
      <c r="M45">
        <f t="shared" si="16"/>
        <v>2049</v>
      </c>
      <c r="N45" s="39">
        <f t="shared" si="3"/>
        <v>9994.6831341830693</v>
      </c>
      <c r="O45" s="38">
        <f t="shared" si="0"/>
        <v>-7.5394563743851091</v>
      </c>
      <c r="P45">
        <f t="shared" si="4"/>
        <v>5.3168658169303854E-4</v>
      </c>
      <c r="Q45" s="31">
        <f t="shared" si="5"/>
        <v>10355101402.684845</v>
      </c>
    </row>
    <row r="46" spans="1:17" x14ac:dyDescent="0.25">
      <c r="A46">
        <f t="shared" si="12"/>
        <v>2050</v>
      </c>
      <c r="B46">
        <f t="shared" si="13"/>
        <v>18390.728058047087</v>
      </c>
      <c r="C46" s="31">
        <f t="shared" si="14"/>
        <v>25248728168.877377</v>
      </c>
      <c r="D46" s="31">
        <f t="shared" si="2"/>
        <v>18842334454.386101</v>
      </c>
      <c r="E46" s="31">
        <f t="shared" si="15"/>
        <v>1024556.2</v>
      </c>
      <c r="F46" s="31">
        <f>F45+$G$49</f>
        <v>1024556.2</v>
      </c>
      <c r="M46">
        <f t="shared" si="16"/>
        <v>2050</v>
      </c>
      <c r="N46" s="39">
        <f t="shared" si="3"/>
        <v>9996.1135369934655</v>
      </c>
      <c r="O46" s="38">
        <f t="shared" si="0"/>
        <v>-7.8528408807861068</v>
      </c>
      <c r="P46">
        <f t="shared" si="4"/>
        <v>3.8864630065333462E-4</v>
      </c>
      <c r="Q46" s="31">
        <f t="shared" si="5"/>
        <v>10241580100.230583</v>
      </c>
    </row>
    <row r="47" spans="1:17" x14ac:dyDescent="0.25">
      <c r="F47" s="31">
        <f t="shared" ref="F47:F49" si="20">F46+$G$49</f>
        <v>1013051.3999999999</v>
      </c>
    </row>
    <row r="48" spans="1:17" x14ac:dyDescent="0.25">
      <c r="F48" s="31">
        <f t="shared" si="20"/>
        <v>1001546.5999999999</v>
      </c>
    </row>
    <row r="49" spans="6:7" x14ac:dyDescent="0.25">
      <c r="F49" s="31">
        <f t="shared" si="20"/>
        <v>990041.79999999981</v>
      </c>
      <c r="G49">
        <f>(F50-F45)/5</f>
        <v>-11504.8</v>
      </c>
    </row>
    <row r="50" spans="6:7" x14ac:dyDescent="0.25">
      <c r="F50">
        <v>978537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16" zoomScale="80" zoomScaleNormal="80" workbookViewId="0">
      <selection activeCell="E45" sqref="E45"/>
    </sheetView>
  </sheetViews>
  <sheetFormatPr defaultRowHeight="15" x14ac:dyDescent="0.25"/>
  <cols>
    <col min="2" max="2" width="13.85546875" customWidth="1"/>
    <col min="3" max="3" width="13.28515625" customWidth="1"/>
    <col min="4" max="4" width="11.7109375" customWidth="1"/>
    <col min="5" max="5" width="16.85546875" customWidth="1"/>
  </cols>
  <sheetData>
    <row r="1" spans="1:5" x14ac:dyDescent="0.25">
      <c r="A1" t="s">
        <v>98</v>
      </c>
    </row>
    <row r="4" spans="1:5" ht="45.75" customHeight="1" x14ac:dyDescent="0.25">
      <c r="A4" s="76" t="s">
        <v>34</v>
      </c>
      <c r="B4" s="77" t="s">
        <v>52</v>
      </c>
      <c r="C4" s="77" t="s">
        <v>99</v>
      </c>
      <c r="D4" s="77" t="s">
        <v>47</v>
      </c>
      <c r="E4" s="77" t="s">
        <v>100</v>
      </c>
    </row>
    <row r="5" spans="1:5" x14ac:dyDescent="0.25">
      <c r="A5">
        <v>2010</v>
      </c>
      <c r="B5" s="31">
        <f>INDEX((Proj_PasMob!$B$6:$B$46),MATCH(A5,Proj_PasMob!$A$6:A$46,0))</f>
        <v>4088.0618536594261</v>
      </c>
      <c r="C5" s="31">
        <f>(0.52*B5-26.16)</f>
        <v>2099.632163902902</v>
      </c>
      <c r="D5" s="31">
        <f>INDEX((Proj_PasMob!$E$6:$E$46),MATCH(A5,Proj_PasMob!$A$6:A$46,0))</f>
        <v>1210391</v>
      </c>
      <c r="E5" s="31">
        <f>C5*D5</f>
        <v>2541375874.4985976</v>
      </c>
    </row>
    <row r="6" spans="1:5" x14ac:dyDescent="0.25">
      <c r="A6">
        <v>2011</v>
      </c>
      <c r="B6" s="31">
        <f>INDEX((Proj_PasMob!$B$6:$B$46),MATCH(A6,Proj_PasMob!$A$6:A$46,0))</f>
        <v>4237.8482626901687</v>
      </c>
      <c r="C6" s="31">
        <f t="shared" ref="C6:C45" si="0">(0.52*B6-26.16)</f>
        <v>2177.5210965988881</v>
      </c>
      <c r="D6" s="31">
        <f>INDEX((Proj_PasMob!$E$6:$E$46),MATCH(A6,Proj_PasMob!$A$6:A$46,0))</f>
        <v>1211979</v>
      </c>
      <c r="E6" s="31">
        <f t="shared" ref="E6:E45" si="1">C6*D6</f>
        <v>2639109841.1348238</v>
      </c>
    </row>
    <row r="7" spans="1:5" x14ac:dyDescent="0.25">
      <c r="A7">
        <v>2012</v>
      </c>
      <c r="B7" s="31">
        <f>INDEX((Proj_PasMob!$B$6:$B$46),MATCH(A7,Proj_PasMob!$A$6:A$46,0))</f>
        <v>4387.9959681465834</v>
      </c>
      <c r="C7" s="31">
        <f t="shared" si="0"/>
        <v>2255.5979034362235</v>
      </c>
      <c r="D7" s="31">
        <f>INDEX((Proj_PasMob!$E$6:$E$46),MATCH(A7,Proj_PasMob!$A$6:A$46,0))</f>
        <v>1214987</v>
      </c>
      <c r="E7" s="31">
        <f t="shared" si="1"/>
        <v>2740522129.902267</v>
      </c>
    </row>
    <row r="8" spans="1:5" x14ac:dyDescent="0.25">
      <c r="A8">
        <v>2013</v>
      </c>
      <c r="B8" s="31">
        <f>INDEX((Proj_PasMob!$B$6:$B$46),MATCH(A8,Proj_PasMob!$A$6:A$46,0))</f>
        <v>4545.9322108840779</v>
      </c>
      <c r="C8" s="31">
        <f t="shared" si="0"/>
        <v>2337.7247496597206</v>
      </c>
      <c r="D8" s="31">
        <f>INDEX((Proj_PasMob!$E$6:$E$46),MATCH(A8,Proj_PasMob!$A$6:A$46,0))</f>
        <v>1217341</v>
      </c>
      <c r="E8" s="31">
        <f t="shared" si="1"/>
        <v>2845808184.4755139</v>
      </c>
    </row>
    <row r="9" spans="1:5" x14ac:dyDescent="0.25">
      <c r="A9">
        <v>2014</v>
      </c>
      <c r="B9" s="31">
        <f>INDEX((Proj_PasMob!$B$6:$B$46),MATCH(A9,Proj_PasMob!$A$6:A$46,0))</f>
        <v>4711.2315622477208</v>
      </c>
      <c r="C9" s="31">
        <f t="shared" si="0"/>
        <v>2423.6804123688153</v>
      </c>
      <c r="D9" s="31">
        <f>INDEX((Proj_PasMob!$E$6:$E$46),MATCH(A9,Proj_PasMob!$A$6:A$46,0))</f>
        <v>1219265</v>
      </c>
      <c r="E9" s="31">
        <f t="shared" si="1"/>
        <v>2955108697.9868636</v>
      </c>
    </row>
    <row r="10" spans="1:5" x14ac:dyDescent="0.25">
      <c r="A10">
        <v>2015</v>
      </c>
      <c r="B10" s="31">
        <f>INDEX((Proj_PasMob!$B$6:$B$46),MATCH(A10,Proj_PasMob!$A$6:A$46,0))</f>
        <v>4887.5958221774172</v>
      </c>
      <c r="C10" s="31">
        <f t="shared" si="0"/>
        <v>2515.3898275322572</v>
      </c>
      <c r="D10" s="31">
        <f>INDEX((Proj_PasMob!$E$6:$E$46),MATCH(A10,Proj_PasMob!$A$6:A$46,0))</f>
        <v>1219929.2</v>
      </c>
      <c r="E10" s="31">
        <f t="shared" si="1"/>
        <v>3068597499.9895644</v>
      </c>
    </row>
    <row r="11" spans="1:5" x14ac:dyDescent="0.25">
      <c r="A11">
        <v>2016</v>
      </c>
      <c r="B11" s="31">
        <f>INDEX((Proj_PasMob!$B$6:$B$46),MATCH(A11,Proj_PasMob!$A$6:A$46,0))</f>
        <v>5070.5637553017932</v>
      </c>
      <c r="C11" s="31">
        <f t="shared" si="0"/>
        <v>2610.5331527569329</v>
      </c>
      <c r="D11" s="31">
        <f>INDEX((Proj_PasMob!$E$6:$E$46),MATCH(A11,Proj_PasMob!$A$6:A$46,0))</f>
        <v>1220593.3999999999</v>
      </c>
      <c r="E11" s="31">
        <f t="shared" si="1"/>
        <v>3186399536.7363038</v>
      </c>
    </row>
    <row r="12" spans="1:5" x14ac:dyDescent="0.25">
      <c r="A12">
        <v>2017</v>
      </c>
      <c r="B12" s="31">
        <f>INDEX((Proj_PasMob!$B$6:$B$46),MATCH(A12,Proj_PasMob!$A$6:A$46,0))</f>
        <v>5260.3826799952822</v>
      </c>
      <c r="C12" s="31">
        <f t="shared" si="0"/>
        <v>2709.2389935975471</v>
      </c>
      <c r="D12" s="31">
        <f>INDEX((Proj_PasMob!$E$6:$E$46),MATCH(A12,Proj_PasMob!$A$6:A$46,0))</f>
        <v>1221257.5999999999</v>
      </c>
      <c r="E12" s="31">
        <f t="shared" si="1"/>
        <v>3308678711.1473551</v>
      </c>
    </row>
    <row r="13" spans="1:5" x14ac:dyDescent="0.25">
      <c r="A13">
        <v>2018</v>
      </c>
      <c r="B13" s="31">
        <f>INDEX((Proj_PasMob!$B$6:$B$46),MATCH(A13,Proj_PasMob!$A$6:A$46,0))</f>
        <v>5457.3091790923172</v>
      </c>
      <c r="C13" s="31">
        <f t="shared" si="0"/>
        <v>2811.6407731280051</v>
      </c>
      <c r="D13" s="31">
        <f>INDEX((Proj_PasMob!$E$6:$E$46),MATCH(A13,Proj_PasMob!$A$6:A$46,0))</f>
        <v>1221921.7999999998</v>
      </c>
      <c r="E13" s="31">
        <f t="shared" si="1"/>
        <v>3435605154.4539633</v>
      </c>
    </row>
    <row r="14" spans="1:5" x14ac:dyDescent="0.25">
      <c r="A14">
        <v>2019</v>
      </c>
      <c r="B14" s="31">
        <f>INDEX((Proj_PasMob!$B$6:$B$46),MATCH(A14,Proj_PasMob!$A$6:A$46,0))</f>
        <v>5661.609447002812</v>
      </c>
      <c r="C14" s="31">
        <f t="shared" si="0"/>
        <v>2917.8769124414625</v>
      </c>
      <c r="D14" s="31">
        <f>INDEX((Proj_PasMob!$E$6:$E$46),MATCH(A14,Proj_PasMob!$A$6:A$46,0))</f>
        <v>1222586</v>
      </c>
      <c r="E14" s="31">
        <f t="shared" si="1"/>
        <v>3567355462.8741579</v>
      </c>
    </row>
    <row r="15" spans="1:5" x14ac:dyDescent="0.25">
      <c r="A15">
        <v>2020</v>
      </c>
      <c r="B15" s="31">
        <f>INDEX((Proj_PasMob!$B$6:$B$46),MATCH(A15,Proj_PasMob!$A$6:A$46,0))</f>
        <v>5880.2636059232927</v>
      </c>
      <c r="C15" s="31">
        <f t="shared" si="0"/>
        <v>3031.5770750801125</v>
      </c>
      <c r="D15" s="31">
        <f>INDEX((Proj_PasMob!$E$6:$E$46),MATCH(A15,Proj_PasMob!$A$6:A$46,0))</f>
        <v>1221855.6000000001</v>
      </c>
      <c r="E15" s="31">
        <f t="shared" si="1"/>
        <v>3704149426.0182562</v>
      </c>
    </row>
    <row r="16" spans="1:5" x14ac:dyDescent="0.25">
      <c r="A16">
        <v>2021</v>
      </c>
      <c r="B16" s="31">
        <f>INDEX((Proj_PasMob!$B$6:$B$46),MATCH(A16,Proj_PasMob!$A$6:A$46,0))</f>
        <v>6107.3644790851613</v>
      </c>
      <c r="C16" s="31">
        <f t="shared" si="0"/>
        <v>3149.6695291242841</v>
      </c>
      <c r="D16" s="31">
        <f>INDEX((Proj_PasMob!$E$6:$E$46),MATCH(A16,Proj_PasMob!$A$6:A$46,0))</f>
        <v>1221125.2000000002</v>
      </c>
      <c r="E16" s="31">
        <f t="shared" si="1"/>
        <v>3846140833.6857977</v>
      </c>
    </row>
    <row r="17" spans="1:5" x14ac:dyDescent="0.25">
      <c r="A17">
        <v>2022</v>
      </c>
      <c r="B17" s="31">
        <f>INDEX((Proj_PasMob!$B$6:$B$46),MATCH(A17,Proj_PasMob!$A$6:A$46,0))</f>
        <v>6343.2384540589665</v>
      </c>
      <c r="C17" s="31">
        <f t="shared" si="0"/>
        <v>3272.3239961106628</v>
      </c>
      <c r="D17" s="31">
        <f>INDEX((Proj_PasMob!$E$6:$E$46),MATCH(A17,Proj_PasMob!$A$6:A$46,0))</f>
        <v>1220394.8000000003</v>
      </c>
      <c r="E17" s="31">
        <f t="shared" si="1"/>
        <v>3993527188.7686739</v>
      </c>
    </row>
    <row r="18" spans="1:5" x14ac:dyDescent="0.25">
      <c r="A18">
        <v>2023</v>
      </c>
      <c r="B18" s="31">
        <f>INDEX((Proj_PasMob!$B$6:$B$46),MATCH(A18,Proj_PasMob!$A$6:A$46,0))</f>
        <v>6588.2245337523655</v>
      </c>
      <c r="C18" s="31">
        <f t="shared" si="0"/>
        <v>3399.7167575512303</v>
      </c>
      <c r="D18" s="31">
        <f>INDEX((Proj_PasMob!$E$6:$E$46),MATCH(A18,Proj_PasMob!$A$6:A$46,0))</f>
        <v>1219664.4000000004</v>
      </c>
      <c r="E18" s="31">
        <f t="shared" si="1"/>
        <v>4146513499.2686682</v>
      </c>
    </row>
    <row r="19" spans="1:5" x14ac:dyDescent="0.25">
      <c r="A19">
        <v>2024</v>
      </c>
      <c r="B19" s="31">
        <f>INDEX((Proj_PasMob!$B$6:$B$46),MATCH(A19,Proj_PasMob!$A$6:A$46,0))</f>
        <v>6842.6748241490404</v>
      </c>
      <c r="C19" s="31">
        <f t="shared" si="0"/>
        <v>3532.0309085575013</v>
      </c>
      <c r="D19" s="31">
        <f>INDEX((Proj_PasMob!$E$6:$E$46),MATCH(A19,Proj_PasMob!$A$6:A$46,0))</f>
        <v>1218934</v>
      </c>
      <c r="E19" s="31">
        <f t="shared" si="1"/>
        <v>4305312563.4916296</v>
      </c>
    </row>
    <row r="20" spans="1:5" x14ac:dyDescent="0.25">
      <c r="A20">
        <v>2025</v>
      </c>
      <c r="B20" s="31">
        <f>INDEX((Proj_PasMob!$B$6:$B$46),MATCH(A20,Proj_PasMob!$A$6:A$46,0))</f>
        <v>7118.7147348830176</v>
      </c>
      <c r="C20" s="31">
        <f t="shared" si="0"/>
        <v>3675.5716621391693</v>
      </c>
      <c r="D20" s="31">
        <f>INDEX((Proj_PasMob!$E$6:$E$46),MATCH(A20,Proj_PasMob!$A$6:A$46,0))</f>
        <v>1216191.2</v>
      </c>
      <c r="E20" s="31">
        <f t="shared" si="1"/>
        <v>4470197910.4630308</v>
      </c>
    </row>
    <row r="21" spans="1:5" x14ac:dyDescent="0.25">
      <c r="A21">
        <v>2026</v>
      </c>
      <c r="B21" s="31">
        <f>INDEX((Proj_PasMob!$B$6:$B$46),MATCH(A21,Proj_PasMob!$A$6:A$46,0))</f>
        <v>7405.928021396141</v>
      </c>
      <c r="C21" s="31">
        <f t="shared" si="0"/>
        <v>3824.9225711259937</v>
      </c>
      <c r="D21" s="31">
        <f>INDEX((Proj_PasMob!$E$6:$E$46),MATCH(A21,Proj_PasMob!$A$6:A$46,0))</f>
        <v>1213448.3999999999</v>
      </c>
      <c r="E21" s="31">
        <f t="shared" si="1"/>
        <v>4641346174.0567226</v>
      </c>
    </row>
    <row r="22" spans="1:5" x14ac:dyDescent="0.25">
      <c r="A22">
        <v>2027</v>
      </c>
      <c r="B22" s="31">
        <f>INDEX((Proj_PasMob!$B$6:$B$46),MATCH(A22,Proj_PasMob!$A$6:A$46,0))</f>
        <v>7704.7686451481595</v>
      </c>
      <c r="C22" s="31">
        <f t="shared" si="0"/>
        <v>3980.3196954770433</v>
      </c>
      <c r="D22" s="31">
        <f>INDEX((Proj_PasMob!$E$6:$E$46),MATCH(A22,Proj_PasMob!$A$6:A$46,0))</f>
        <v>1210705.5999999999</v>
      </c>
      <c r="E22" s="31">
        <f t="shared" si="1"/>
        <v>4818995345.1043501</v>
      </c>
    </row>
    <row r="23" spans="1:5" x14ac:dyDescent="0.25">
      <c r="A23">
        <v>2028</v>
      </c>
      <c r="B23" s="31">
        <f>INDEX((Proj_PasMob!$B$6:$B$46),MATCH(A23,Proj_PasMob!$A$6:A$46,0))</f>
        <v>8015.7090881523272</v>
      </c>
      <c r="C23" s="31">
        <f t="shared" si="0"/>
        <v>4142.0087258392105</v>
      </c>
      <c r="D23" s="31">
        <f>INDEX((Proj_PasMob!$E$6:$E$46),MATCH(A23,Proj_PasMob!$A$6:A$46,0))</f>
        <v>1207962.7999999998</v>
      </c>
      <c r="E23" s="31">
        <f t="shared" si="1"/>
        <v>5003392458.0891638</v>
      </c>
    </row>
    <row r="24" spans="1:5" x14ac:dyDescent="0.25">
      <c r="A24">
        <v>2029</v>
      </c>
      <c r="B24" s="31">
        <f>INDEX((Proj_PasMob!$B$6:$B$46),MATCH(A24,Proj_PasMob!$A$6:A$46,0))</f>
        <v>8339.2411120675952</v>
      </c>
      <c r="C24" s="31">
        <f t="shared" si="0"/>
        <v>4310.24537827515</v>
      </c>
      <c r="D24" s="31">
        <f>INDEX((Proj_PasMob!$E$6:$E$46),MATCH(A24,Proj_PasMob!$A$6:A$46,0))</f>
        <v>1205220</v>
      </c>
      <c r="E24" s="31">
        <f t="shared" si="1"/>
        <v>5194793934.8047762</v>
      </c>
    </row>
    <row r="25" spans="1:5" x14ac:dyDescent="0.25">
      <c r="A25">
        <v>2030</v>
      </c>
      <c r="B25" s="31">
        <f>INDEX((Proj_PasMob!$B$6:$B$46),MATCH(A25,Proj_PasMob!$A$6:A$46,0))</f>
        <v>8675.8765485643962</v>
      </c>
      <c r="C25" s="31">
        <f t="shared" si="0"/>
        <v>4485.2958052534859</v>
      </c>
      <c r="D25" s="31">
        <f>INDEX((Proj_PasMob!$E$6:$E$46),MATCH(A25,Proj_PasMob!$A$6:A$46,0))</f>
        <v>1202477.2</v>
      </c>
      <c r="E25" s="31">
        <f t="shared" si="1"/>
        <v>5393465941.072957</v>
      </c>
    </row>
    <row r="26" spans="1:5" x14ac:dyDescent="0.25">
      <c r="A26">
        <f>A25+1</f>
        <v>2031</v>
      </c>
      <c r="B26" s="31">
        <f>INDEX((Proj_PasMob!$B$6:$B$46),MATCH(A26,Proj_PasMob!$A$6:A$46,0))</f>
        <v>8956.5824334563404</v>
      </c>
      <c r="C26" s="31">
        <f t="shared" si="0"/>
        <v>4631.262865397297</v>
      </c>
      <c r="D26" s="31">
        <f>INDEX((Proj_PasMob!$E$6:$E$46),MATCH(A26,Proj_PasMob!$A$6:A$46,0))</f>
        <v>1199734.3999999999</v>
      </c>
      <c r="E26" s="31">
        <f t="shared" si="1"/>
        <v>5556285375.0597067</v>
      </c>
    </row>
    <row r="27" spans="1:5" x14ac:dyDescent="0.25">
      <c r="A27">
        <f t="shared" ref="A27:A45" si="2">A26+1</f>
        <v>2032</v>
      </c>
      <c r="B27" s="31">
        <f>INDEX((Proj_PasMob!$B$6:$B$46),MATCH(A27,Proj_PasMob!$A$6:A$46,0))</f>
        <v>9246.4188164803181</v>
      </c>
      <c r="C27" s="31">
        <f t="shared" si="0"/>
        <v>4781.9777845697654</v>
      </c>
      <c r="D27" s="31">
        <f>INDEX((Proj_PasMob!$E$6:$E$46),MATCH(A27,Proj_PasMob!$A$6:A$46,0))</f>
        <v>1196991.5999999999</v>
      </c>
      <c r="E27" s="31">
        <f t="shared" si="1"/>
        <v>5723987239.5166178</v>
      </c>
    </row>
    <row r="28" spans="1:5" x14ac:dyDescent="0.25">
      <c r="A28">
        <f t="shared" si="2"/>
        <v>2033</v>
      </c>
      <c r="B28" s="31">
        <f>INDEX((Proj_PasMob!$B$6:$B$46),MATCH(A28,Proj_PasMob!$A$6:A$46,0))</f>
        <v>9545.6844696106455</v>
      </c>
      <c r="C28" s="31">
        <f t="shared" si="0"/>
        <v>4937.5959241975361</v>
      </c>
      <c r="D28" s="31">
        <f>INDEX((Proj_PasMob!$E$6:$E$46),MATCH(A28,Proj_PasMob!$A$6:A$46,0))</f>
        <v>1194248.7999999998</v>
      </c>
      <c r="E28" s="31">
        <f t="shared" si="1"/>
        <v>5896718007.3577976</v>
      </c>
    </row>
    <row r="29" spans="1:5" x14ac:dyDescent="0.25">
      <c r="A29">
        <f t="shared" si="2"/>
        <v>2034</v>
      </c>
      <c r="B29" s="31">
        <f>INDEX((Proj_PasMob!$B$6:$B$46),MATCH(A29,Proj_PasMob!$A$6:A$46,0))</f>
        <v>9956.9393690176839</v>
      </c>
      <c r="C29" s="31">
        <f t="shared" si="0"/>
        <v>5151.4484718891963</v>
      </c>
      <c r="D29" s="31">
        <f>INDEX((Proj_PasMob!$E$6:$E$46),MATCH(A29,Proj_PasMob!$A$6:A$46,0))</f>
        <v>1179270</v>
      </c>
      <c r="E29" s="31">
        <f t="shared" si="1"/>
        <v>6074948639.4447727</v>
      </c>
    </row>
    <row r="30" spans="1:5" x14ac:dyDescent="0.25">
      <c r="A30">
        <f t="shared" si="2"/>
        <v>2035</v>
      </c>
      <c r="B30" s="31">
        <f>INDEX((Proj_PasMob!$B$6:$B$46),MATCH(A30,Proj_PasMob!$A$6:A$46,0))</f>
        <v>10300.982459791947</v>
      </c>
      <c r="C30" s="31">
        <f t="shared" si="0"/>
        <v>5330.3508790918131</v>
      </c>
      <c r="D30" s="31">
        <f>INDEX((Proj_PasMob!$E$6:$E$46),MATCH(A30,Proj_PasMob!$A$6:A$46,0))</f>
        <v>1174080</v>
      </c>
      <c r="E30" s="31">
        <f t="shared" si="1"/>
        <v>6258258360.1241159</v>
      </c>
    </row>
    <row r="31" spans="1:5" x14ac:dyDescent="0.25">
      <c r="A31">
        <f t="shared" si="2"/>
        <v>2036</v>
      </c>
      <c r="B31" s="31">
        <f>INDEX((Proj_PasMob!$B$6:$B$46),MATCH(A31,Proj_PasMob!$A$6:A$46,0))</f>
        <v>10657.121552057341</v>
      </c>
      <c r="C31" s="31">
        <f t="shared" si="0"/>
        <v>5515.5432070698171</v>
      </c>
      <c r="D31" s="31">
        <f>INDEX((Proj_PasMob!$E$6:$E$46),MATCH(A31,Proj_PasMob!$A$6:A$46,0))</f>
        <v>1168890</v>
      </c>
      <c r="E31" s="31">
        <f t="shared" si="1"/>
        <v>6447063299.3118382</v>
      </c>
    </row>
    <row r="32" spans="1:5" x14ac:dyDescent="0.25">
      <c r="A32">
        <f t="shared" si="2"/>
        <v>2037</v>
      </c>
      <c r="B32" s="31">
        <f>INDEX((Proj_PasMob!$B$6:$B$46),MATCH(A32,Proj_PasMob!$A$6:A$46,0))</f>
        <v>11025.79092146931</v>
      </c>
      <c r="C32" s="31">
        <f t="shared" si="0"/>
        <v>5707.2512791640411</v>
      </c>
      <c r="D32" s="31">
        <f>INDEX((Proj_PasMob!$E$6:$E$46),MATCH(A32,Proj_PasMob!$A$6:A$46,0))</f>
        <v>1163700</v>
      </c>
      <c r="E32" s="31">
        <f t="shared" si="1"/>
        <v>6641528313.5631943</v>
      </c>
    </row>
    <row r="33" spans="1:5" x14ac:dyDescent="0.25">
      <c r="A33">
        <f t="shared" si="2"/>
        <v>2038</v>
      </c>
      <c r="B33" s="31">
        <f>INDEX((Proj_PasMob!$B$6:$B$46),MATCH(A33,Proj_PasMob!$A$6:A$46,0))</f>
        <v>11407.44083536029</v>
      </c>
      <c r="C33" s="31">
        <f t="shared" si="0"/>
        <v>5905.709234387351</v>
      </c>
      <c r="D33" s="31">
        <f>INDEX((Proj_PasMob!$E$6:$E$46),MATCH(A33,Proj_PasMob!$A$6:A$46,0))</f>
        <v>1158510</v>
      </c>
      <c r="E33" s="31">
        <f t="shared" si="1"/>
        <v>6841823205.1300898</v>
      </c>
    </row>
    <row r="34" spans="1:5" x14ac:dyDescent="0.25">
      <c r="A34">
        <f t="shared" si="2"/>
        <v>2039</v>
      </c>
      <c r="B34" s="31">
        <f>INDEX((Proj_PasMob!$B$6:$B$46),MATCH(A34,Proj_PasMob!$A$6:A$46,0))</f>
        <v>11938.074829585054</v>
      </c>
      <c r="C34" s="31">
        <f t="shared" si="0"/>
        <v>6181.6389113842279</v>
      </c>
      <c r="D34" s="31">
        <f>INDEX((Proj_PasMob!$E$6:$E$46),MATCH(A34,Proj_PasMob!$A$6:A$46,0))</f>
        <v>1140226</v>
      </c>
      <c r="E34" s="31">
        <f t="shared" si="1"/>
        <v>7048465409.3719931</v>
      </c>
    </row>
    <row r="35" spans="1:5" x14ac:dyDescent="0.25">
      <c r="A35">
        <f t="shared" si="2"/>
        <v>2040</v>
      </c>
      <c r="B35" s="31">
        <f>INDEX((Proj_PasMob!$B$6:$B$46),MATCH(A35,Proj_PasMob!$A$6:A$46,0))</f>
        <v>12402.895643594744</v>
      </c>
      <c r="C35" s="31">
        <f t="shared" si="0"/>
        <v>6423.3457346692676</v>
      </c>
      <c r="D35" s="31">
        <f>INDEX((Proj_PasMob!$E$6:$E$46),MATCH(A35,Proj_PasMob!$A$6:A$46,0))</f>
        <v>1130418.8</v>
      </c>
      <c r="E35" s="31">
        <f t="shared" si="1"/>
        <v>7261070777.3699522</v>
      </c>
    </row>
    <row r="36" spans="1:5" x14ac:dyDescent="0.25">
      <c r="A36">
        <f t="shared" si="2"/>
        <v>2041</v>
      </c>
      <c r="B36" s="31">
        <f>INDEX((Proj_PasMob!$B$6:$B$46),MATCH(A36,Proj_PasMob!$A$6:A$46,0))</f>
        <v>12886.784682807433</v>
      </c>
      <c r="C36" s="31">
        <f t="shared" si="0"/>
        <v>6674.9680350598655</v>
      </c>
      <c r="D36" s="31">
        <f>INDEX((Proj_PasMob!$E$6:$E$46),MATCH(A36,Proj_PasMob!$A$6:A$46,0))</f>
        <v>1120611.6000000001</v>
      </c>
      <c r="E36" s="31">
        <f t="shared" si="1"/>
        <v>7480046609.7172928</v>
      </c>
    </row>
    <row r="37" spans="1:5" x14ac:dyDescent="0.25">
      <c r="A37">
        <f t="shared" si="2"/>
        <v>2042</v>
      </c>
      <c r="B37" s="31">
        <f>INDEX((Proj_PasMob!$B$6:$B$46),MATCH(A37,Proj_PasMob!$A$6:A$46,0))</f>
        <v>13390.577868006299</v>
      </c>
      <c r="C37" s="31">
        <f t="shared" si="0"/>
        <v>6936.9404913632761</v>
      </c>
      <c r="D37" s="31">
        <f>INDEX((Proj_PasMob!$E$6:$E$46),MATCH(A37,Proj_PasMob!$A$6:A$46,0))</f>
        <v>1110804.4000000001</v>
      </c>
      <c r="E37" s="31">
        <f t="shared" si="1"/>
        <v>7705584020.3444901</v>
      </c>
    </row>
    <row r="38" spans="1:5" x14ac:dyDescent="0.25">
      <c r="A38">
        <f t="shared" si="2"/>
        <v>2043</v>
      </c>
      <c r="B38" s="31">
        <f>INDEX((Proj_PasMob!$B$6:$B$46),MATCH(A38,Proj_PasMob!$A$6:A$46,0))</f>
        <v>13915.150918416266</v>
      </c>
      <c r="C38" s="31">
        <f t="shared" si="0"/>
        <v>7209.718477576459</v>
      </c>
      <c r="D38" s="31">
        <f>INDEX((Proj_PasMob!$E$6:$E$46),MATCH(A38,Proj_PasMob!$A$6:A$46,0))</f>
        <v>1100997.2000000002</v>
      </c>
      <c r="E38" s="31">
        <f t="shared" si="1"/>
        <v>7937879856.5999451</v>
      </c>
    </row>
    <row r="39" spans="1:5" x14ac:dyDescent="0.25">
      <c r="A39">
        <f t="shared" si="2"/>
        <v>2044</v>
      </c>
      <c r="B39" s="31">
        <f>INDEX((Proj_PasMob!$B$6:$B$46),MATCH(A39,Proj_PasMob!$A$6:A$46,0))</f>
        <v>14461.421443301673</v>
      </c>
      <c r="C39" s="31">
        <f t="shared" si="0"/>
        <v>7493.7791505168707</v>
      </c>
      <c r="D39" s="31">
        <f>INDEX((Proj_PasMob!$E$6:$E$46),MATCH(A39,Proj_PasMob!$A$6:A$46,0))</f>
        <v>1091190</v>
      </c>
      <c r="E39" s="31">
        <f t="shared" si="1"/>
        <v>8177136871.2525043</v>
      </c>
    </row>
    <row r="40" spans="1:5" x14ac:dyDescent="0.25">
      <c r="A40">
        <f t="shared" si="2"/>
        <v>2045</v>
      </c>
      <c r="B40" s="31">
        <f>INDEX((Proj_PasMob!$B$6:$B$46),MATCH(A40,Proj_PasMob!$A$6:A$46,0))</f>
        <v>15047.30782473428</v>
      </c>
      <c r="C40" s="31">
        <f t="shared" si="0"/>
        <v>7798.4400688618261</v>
      </c>
      <c r="D40" s="31">
        <f>INDEX((Proj_PasMob!$E$6:$E$46),MATCH(A40,Proj_PasMob!$A$6:A$46,0))</f>
        <v>1080164.2</v>
      </c>
      <c r="E40" s="31">
        <f t="shared" si="1"/>
        <v>8423595778.2300787</v>
      </c>
    </row>
    <row r="41" spans="1:5" x14ac:dyDescent="0.25">
      <c r="A41">
        <f t="shared" si="2"/>
        <v>2046</v>
      </c>
      <c r="B41" s="31">
        <f>INDEX((Proj_PasMob!$B$6:$B$46),MATCH(A41,Proj_PasMob!$A$6:A$46,0))</f>
        <v>15658.562179805327</v>
      </c>
      <c r="C41" s="31">
        <f t="shared" si="0"/>
        <v>8116.2923334987709</v>
      </c>
      <c r="D41" s="31">
        <f>INDEX((Proj_PasMob!$E$6:$E$46),MATCH(A41,Proj_PasMob!$A$6:A$46,0))</f>
        <v>1069138.3999999999</v>
      </c>
      <c r="E41" s="31">
        <f t="shared" si="1"/>
        <v>8677439799.3691406</v>
      </c>
    </row>
    <row r="42" spans="1:5" x14ac:dyDescent="0.25">
      <c r="A42">
        <f t="shared" si="2"/>
        <v>2047</v>
      </c>
      <c r="B42" s="31">
        <f>INDEX((Proj_PasMob!$B$6:$B$46),MATCH(A42,Proj_PasMob!$A$6:A$46,0))</f>
        <v>16296.38019495667</v>
      </c>
      <c r="C42" s="31">
        <f t="shared" si="0"/>
        <v>8447.9577013774688</v>
      </c>
      <c r="D42" s="31">
        <f>INDEX((Proj_PasMob!$E$6:$E$46),MATCH(A42,Proj_PasMob!$A$6:A$46,0))</f>
        <v>1058112.5999999999</v>
      </c>
      <c r="E42" s="31">
        <f t="shared" si="1"/>
        <v>8938890488.0945358</v>
      </c>
    </row>
    <row r="43" spans="1:5" x14ac:dyDescent="0.25">
      <c r="A43">
        <f t="shared" si="2"/>
        <v>2048</v>
      </c>
      <c r="B43" s="31">
        <f>INDEX((Proj_PasMob!$B$6:$B$46),MATCH(A43,Proj_PasMob!$A$6:A$46,0))</f>
        <v>16962.020125966952</v>
      </c>
      <c r="C43" s="31">
        <f t="shared" si="0"/>
        <v>8794.0904655028153</v>
      </c>
      <c r="D43" s="31">
        <f>INDEX((Proj_PasMob!$E$6:$E$46),MATCH(A43,Proj_PasMob!$A$6:A$46,0))</f>
        <v>1047086.7999999998</v>
      </c>
      <c r="E43" s="31">
        <f t="shared" si="1"/>
        <v>9208176044.4338512</v>
      </c>
    </row>
    <row r="44" spans="1:5" x14ac:dyDescent="0.25">
      <c r="A44">
        <f t="shared" si="2"/>
        <v>2049</v>
      </c>
      <c r="B44" s="31">
        <f>INDEX((Proj_PasMob!$B$6:$B$46),MATCH(A44,Proj_PasMob!$A$6:A$46,0))</f>
        <v>17656.806497389014</v>
      </c>
      <c r="C44" s="31">
        <f t="shared" si="0"/>
        <v>9155.3793786422884</v>
      </c>
      <c r="D44" s="31">
        <f>INDEX((Proj_PasMob!$E$6:$E$46),MATCH(A44,Proj_PasMob!$A$6:A$46,0))</f>
        <v>1036061</v>
      </c>
      <c r="E44" s="31">
        <f t="shared" si="1"/>
        <v>9485531514.4155083</v>
      </c>
    </row>
    <row r="45" spans="1:5" x14ac:dyDescent="0.25">
      <c r="A45">
        <f t="shared" si="2"/>
        <v>2050</v>
      </c>
      <c r="B45" s="31">
        <f>INDEX((Proj_PasMob!$B$6:$B$46),MATCH(A45,Proj_PasMob!$A$6:A$46,0))</f>
        <v>18390.728058047087</v>
      </c>
      <c r="C45" s="31">
        <f t="shared" si="0"/>
        <v>9537.0185901844852</v>
      </c>
      <c r="D45" s="31">
        <f>INDEX((Proj_PasMob!$E$6:$E$46),MATCH(A45,Proj_PasMob!$A$6:A$46,0))</f>
        <v>1024556.2</v>
      </c>
      <c r="E45" s="31">
        <f t="shared" si="1"/>
        <v>9771211526.0887737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8"/>
  <sheetViews>
    <sheetView topLeftCell="A61" zoomScale="80" zoomScaleNormal="80" workbookViewId="0">
      <selection activeCell="C8" sqref="C8"/>
    </sheetView>
  </sheetViews>
  <sheetFormatPr defaultRowHeight="15" outlineLevelRow="1" x14ac:dyDescent="0.25"/>
  <cols>
    <col min="1" max="1" width="12.5703125" customWidth="1"/>
    <col min="2" max="2" width="11.7109375" customWidth="1"/>
    <col min="3" max="3" width="13.28515625" customWidth="1"/>
    <col min="4" max="4" width="14.140625" customWidth="1"/>
    <col min="5" max="5" width="13.7109375" customWidth="1"/>
    <col min="6" max="6" width="17.140625" customWidth="1"/>
    <col min="7" max="7" width="13.85546875" customWidth="1"/>
    <col min="8" max="8" width="17.5703125" customWidth="1"/>
    <col min="9" max="9" width="12" customWidth="1"/>
    <col min="10" max="10" width="15.7109375" customWidth="1"/>
    <col min="11" max="11" width="13.85546875" customWidth="1"/>
    <col min="12" max="12" width="15" customWidth="1"/>
    <col min="13" max="13" width="15.140625" customWidth="1"/>
    <col min="14" max="14" width="13.42578125" customWidth="1"/>
    <col min="16" max="16" width="14" customWidth="1"/>
    <col min="17" max="17" width="10.5703125" customWidth="1"/>
    <col min="19" max="19" width="15.42578125" customWidth="1"/>
    <col min="21" max="21" width="15.42578125" customWidth="1"/>
    <col min="22" max="23" width="11.140625" customWidth="1"/>
  </cols>
  <sheetData>
    <row r="1" spans="1:26" ht="42" customHeight="1" x14ac:dyDescent="0.25">
      <c r="C1" s="86" t="s">
        <v>109</v>
      </c>
      <c r="D1" s="220" t="s">
        <v>108</v>
      </c>
      <c r="E1" s="220"/>
      <c r="F1" s="220"/>
      <c r="G1" s="220"/>
      <c r="H1" s="220"/>
      <c r="I1" s="87"/>
      <c r="J1" s="88" t="s">
        <v>110</v>
      </c>
      <c r="K1" s="221" t="s">
        <v>108</v>
      </c>
      <c r="L1" s="221"/>
      <c r="M1" s="221"/>
      <c r="N1" s="87"/>
      <c r="O1" s="87"/>
      <c r="P1" s="89" t="s">
        <v>2</v>
      </c>
      <c r="Q1" s="222" t="s">
        <v>108</v>
      </c>
      <c r="R1" s="222"/>
      <c r="S1" s="222"/>
      <c r="T1" s="87"/>
      <c r="U1" s="87"/>
      <c r="V1" s="87"/>
      <c r="W1" s="213" t="s">
        <v>111</v>
      </c>
      <c r="X1" s="213"/>
      <c r="Y1" s="213"/>
    </row>
    <row r="2" spans="1:26" x14ac:dyDescent="0.25">
      <c r="A2" s="83" t="s">
        <v>34</v>
      </c>
      <c r="B2" s="83"/>
      <c r="C2" s="83" t="s">
        <v>5</v>
      </c>
      <c r="D2" s="83" t="s">
        <v>62</v>
      </c>
      <c r="E2" s="83" t="s">
        <v>65</v>
      </c>
      <c r="F2" s="83" t="s">
        <v>64</v>
      </c>
      <c r="G2" s="83" t="s">
        <v>3</v>
      </c>
      <c r="H2" s="83" t="s">
        <v>104</v>
      </c>
      <c r="I2" s="83"/>
      <c r="J2" s="83" t="s">
        <v>65</v>
      </c>
      <c r="K2" s="83" t="s">
        <v>64</v>
      </c>
      <c r="L2" s="83" t="s">
        <v>88</v>
      </c>
      <c r="M2" s="83" t="s">
        <v>104</v>
      </c>
      <c r="N2" s="83"/>
      <c r="P2" s="83" t="s">
        <v>65</v>
      </c>
      <c r="Q2" s="83" t="s">
        <v>64</v>
      </c>
      <c r="R2" s="83"/>
      <c r="S2" s="83" t="s">
        <v>104</v>
      </c>
      <c r="U2" s="83" t="s">
        <v>104</v>
      </c>
      <c r="W2" s="84" t="s">
        <v>109</v>
      </c>
      <c r="X2" s="91" t="s">
        <v>110</v>
      </c>
      <c r="Y2" s="93" t="s">
        <v>2</v>
      </c>
      <c r="Z2" t="s">
        <v>104</v>
      </c>
    </row>
    <row r="3" spans="1:26" x14ac:dyDescent="0.25">
      <c r="A3" s="26">
        <v>2010</v>
      </c>
      <c r="B3" s="75"/>
      <c r="C3" s="31">
        <f>INDEX((PassMobility!$Q$15:$Q$20),MATCH(A3,PassMobility!$A$15:A$20,0))</f>
        <v>681206400</v>
      </c>
      <c r="D3" s="31">
        <f>INDEX((PassMobility!$R$15:$R$20),MATCH(A3,PassMobility!$A$15:A$20,0))</f>
        <v>275105600</v>
      </c>
      <c r="E3" s="31">
        <f>INDEX((PassMobility!$S$15:$S$20),MATCH(A3,PassMobility!$A$15:A$20,0))</f>
        <v>3383645400</v>
      </c>
      <c r="F3" s="31">
        <f>INDEX((PassMobility!$T$15:$T$20),MATCH(A3,PassMobility!$A$15:A$20,0))</f>
        <v>163775250</v>
      </c>
      <c r="G3" s="31">
        <f>INDEX((PassMobility!$U$15:$U$20),MATCH(A3,PassMobility!$A$15:A$20,0))</f>
        <v>4129649.9999999995</v>
      </c>
      <c r="H3" s="31">
        <f>SUM(C3:G3)</f>
        <v>4507862300</v>
      </c>
      <c r="I3" s="31"/>
      <c r="J3" s="31">
        <f>INDEX((PassMobility!$D$35:$D$40),MATCH(A3,PassMobility!$C$35:$C$40,0))</f>
        <v>333450000</v>
      </c>
      <c r="K3" s="31">
        <f>INDEX((PassMobility!$E$35:$E$40),MATCH(A3,PassMobility!$C$35:$C$40,0))</f>
        <v>555476400</v>
      </c>
      <c r="L3" s="31">
        <f>INDEX((PassMobility!$G$35:$G$40),MATCH(A3,PassMobility!$C$35:$C$40,0))</f>
        <v>3783850000</v>
      </c>
      <c r="M3" s="31">
        <f>SUM(J3:L3)</f>
        <v>4672776400</v>
      </c>
      <c r="N3" s="31"/>
      <c r="O3" s="31"/>
      <c r="P3" s="31">
        <f>INDEX((PassMobility!$M$35:$M$40),MATCH(A3,PassMobility!$L$35:$L$40,0))</f>
        <v>5489100</v>
      </c>
      <c r="Q3" s="31">
        <f>INDEX((PassMobility!$N$35:$N$40),MATCH(A3,PassMobility!$L$35:$L$40,0))</f>
        <v>307799.99999999994</v>
      </c>
      <c r="R3" s="31"/>
      <c r="S3" s="31">
        <f>SUM(P3:Q3)</f>
        <v>5796900</v>
      </c>
      <c r="U3" s="31">
        <f t="shared" ref="U3:U7" si="0">H3+M3+S3</f>
        <v>9186435600</v>
      </c>
      <c r="W3" s="90">
        <f t="shared" ref="W3:W7" si="1">H3/U3%</f>
        <v>49.070852899681789</v>
      </c>
      <c r="X3" s="92">
        <f t="shared" ref="X3:X7" si="2">M3/U3%</f>
        <v>50.86604427945916</v>
      </c>
      <c r="Y3" s="94">
        <f>S3/U3%</f>
        <v>6.3102820859050057E-2</v>
      </c>
      <c r="Z3" s="116">
        <f>W3+X3+Y3</f>
        <v>99.999999999999986</v>
      </c>
    </row>
    <row r="4" spans="1:26" x14ac:dyDescent="0.25">
      <c r="A4" s="26">
        <v>2011</v>
      </c>
      <c r="B4" s="75"/>
      <c r="C4" s="31">
        <f>INDEX((PassMobility!$Q$15:$Q$20),MATCH(A4,PassMobility!$A$15:A$20,0))</f>
        <v>686856800</v>
      </c>
      <c r="D4" s="31">
        <f>INDEX((PassMobility!$R$15:$R$20),MATCH(A4,PassMobility!$A$15:A$20,0))</f>
        <v>303363200</v>
      </c>
      <c r="E4" s="31">
        <f>INDEX((PassMobility!$S$15:$S$20),MATCH(A4,PassMobility!$A$15:A$20,0))</f>
        <v>3574686600</v>
      </c>
      <c r="F4" s="31">
        <f>INDEX((PassMobility!$T$15:$T$20),MATCH(A4,PassMobility!$A$15:A$20,0))</f>
        <v>159106950</v>
      </c>
      <c r="G4" s="31">
        <f>INDEX((PassMobility!$U$15:$U$20),MATCH(A4,PassMobility!$A$15:A$20,0))</f>
        <v>8079750</v>
      </c>
      <c r="H4" s="31">
        <f t="shared" ref="H4:H7" si="3">SUM(C4:G4)</f>
        <v>4732093300</v>
      </c>
      <c r="I4" s="31"/>
      <c r="J4" s="31">
        <f>INDEX((PassMobility!$D$35:$D$40),MATCH(A4,PassMobility!$C$35:$C$40,0))</f>
        <v>351302400</v>
      </c>
      <c r="K4" s="31">
        <f>INDEX((PassMobility!$E$35:$E$40),MATCH(A4,PassMobility!$C$35:$C$40,0))</f>
        <v>578715300</v>
      </c>
      <c r="L4" s="31">
        <f>INDEX((PassMobility!$G$35:$G$40),MATCH(A4,PassMobility!$C$35:$C$40,0))</f>
        <v>3872960000</v>
      </c>
      <c r="M4" s="31">
        <f t="shared" ref="M4:M8" si="4">SUM(J4:L4)</f>
        <v>4802977700</v>
      </c>
      <c r="N4" s="31"/>
      <c r="O4" s="31"/>
      <c r="P4" s="31">
        <f>INDEX((PassMobility!$M$35:$M$40),MATCH(A4,PassMobility!$L$35:$L$40,0))</f>
        <v>5591700</v>
      </c>
      <c r="Q4" s="31">
        <f>INDEX((PassMobility!$N$35:$N$40),MATCH(A4,PassMobility!$L$35:$L$40,0))</f>
        <v>307799.99999999994</v>
      </c>
      <c r="R4" s="31"/>
      <c r="S4" s="31">
        <f t="shared" ref="S4:S7" si="5">SUM(P4:Q4)</f>
        <v>5899500</v>
      </c>
      <c r="U4" s="31">
        <f t="shared" si="0"/>
        <v>9540970500</v>
      </c>
      <c r="W4" s="90">
        <f t="shared" si="1"/>
        <v>49.597609593279842</v>
      </c>
      <c r="X4" s="92">
        <f t="shared" si="2"/>
        <v>50.340557074356326</v>
      </c>
      <c r="Y4" s="94">
        <f t="shared" ref="Y4:Y8" si="6">S4/U4%</f>
        <v>6.1833332363830283E-2</v>
      </c>
      <c r="Z4" s="116">
        <f t="shared" ref="Z4:Z8" si="7">W4+X4+Y4</f>
        <v>100</v>
      </c>
    </row>
    <row r="5" spans="1:26" x14ac:dyDescent="0.25">
      <c r="A5" s="26">
        <v>2012</v>
      </c>
      <c r="B5" s="75"/>
      <c r="C5" s="31">
        <f>INDEX((PassMobility!$Q$15:$Q$20),MATCH(A5,PassMobility!$A$15:A$20,0))</f>
        <v>698527200</v>
      </c>
      <c r="D5" s="31">
        <f>INDEX((PassMobility!$R$15:$R$20),MATCH(A5,PassMobility!$A$15:A$20,0))</f>
        <v>336610400</v>
      </c>
      <c r="E5" s="31">
        <f>INDEX((PassMobility!$S$15:$S$20),MATCH(A5,PassMobility!$A$15:A$20,0))</f>
        <v>3814821900</v>
      </c>
      <c r="F5" s="31">
        <f>INDEX((PassMobility!$T$15:$T$20),MATCH(A5,PassMobility!$A$15:A$20,0))</f>
        <v>161184599.99999997</v>
      </c>
      <c r="G5" s="31">
        <f>INDEX((PassMobility!$U$15:$U$20),MATCH(A5,PassMobility!$A$15:A$20,0))</f>
        <v>18031950</v>
      </c>
      <c r="H5" s="31">
        <f t="shared" si="3"/>
        <v>5029176050</v>
      </c>
      <c r="I5" s="31"/>
      <c r="J5" s="31">
        <f>INDEX((PassMobility!$D$35:$D$40),MATCH(A5,PassMobility!$C$35:$C$40,0))</f>
        <v>371745449.99999994</v>
      </c>
      <c r="K5" s="31">
        <f>INDEX((PassMobility!$E$35:$E$40),MATCH(A5,PassMobility!$C$35:$C$40,0))</f>
        <v>618601050</v>
      </c>
      <c r="L5" s="31">
        <f>INDEX((PassMobility!$G$35:$G$40),MATCH(A5,PassMobility!$C$35:$C$40,0))</f>
        <v>3932810000</v>
      </c>
      <c r="M5" s="31">
        <f t="shared" si="4"/>
        <v>4923156500</v>
      </c>
      <c r="N5" s="31"/>
      <c r="O5" s="31"/>
      <c r="P5" s="31">
        <f>INDEX((PassMobility!$M$35:$M$40),MATCH(A5,PassMobility!$L$35:$L$40,0))</f>
        <v>5591700</v>
      </c>
      <c r="Q5" s="31">
        <f>INDEX((PassMobility!$N$35:$N$40),MATCH(A5,PassMobility!$L$35:$L$40,0))</f>
        <v>307799.99999999994</v>
      </c>
      <c r="R5" s="31"/>
      <c r="S5" s="31">
        <f t="shared" si="5"/>
        <v>5899500</v>
      </c>
      <c r="U5" s="31">
        <f t="shared" si="0"/>
        <v>9958232050</v>
      </c>
      <c r="W5" s="90">
        <f t="shared" si="1"/>
        <v>50.502699924531285</v>
      </c>
      <c r="X5" s="92">
        <f t="shared" si="2"/>
        <v>49.438057631926746</v>
      </c>
      <c r="Y5" s="94">
        <f t="shared" si="6"/>
        <v>5.9242443541973902E-2</v>
      </c>
      <c r="Z5" s="116">
        <f t="shared" si="7"/>
        <v>100.00000000000001</v>
      </c>
    </row>
    <row r="6" spans="1:26" x14ac:dyDescent="0.25">
      <c r="A6" s="26">
        <v>2013</v>
      </c>
      <c r="B6" s="75"/>
      <c r="C6" s="31">
        <f>INDEX((PassMobility!$Q$15:$Q$20),MATCH(A6,PassMobility!$A$15:A$20,0))</f>
        <v>700072800</v>
      </c>
      <c r="D6" s="31">
        <f>INDEX((PassMobility!$R$15:$R$20),MATCH(A6,PassMobility!$A$15:A$20,0))</f>
        <v>373133600</v>
      </c>
      <c r="E6" s="31">
        <f>INDEX((PassMobility!$S$15:$S$20),MATCH(A6,PassMobility!$A$15:A$20,0))</f>
        <v>4105000350</v>
      </c>
      <c r="F6" s="31">
        <f>INDEX((PassMobility!$T$15:$T$20),MATCH(A6,PassMobility!$A$15:A$20,0))</f>
        <v>162287550</v>
      </c>
      <c r="G6" s="31">
        <f>INDEX((PassMobility!$U$15:$U$20),MATCH(A6,PassMobility!$A$15:A$20,0))</f>
        <v>35627850</v>
      </c>
      <c r="H6" s="31">
        <f t="shared" si="3"/>
        <v>5376122150</v>
      </c>
      <c r="I6" s="31"/>
      <c r="J6" s="31">
        <f>INDEX((PassMobility!$D$35:$D$40),MATCH(A6,PassMobility!$C$35:$C$40,0))</f>
        <v>388366650</v>
      </c>
      <c r="K6" s="31">
        <f>INDEX((PassMobility!$E$35:$E$40),MATCH(A6,PassMobility!$C$35:$C$40,0))</f>
        <v>618703650</v>
      </c>
      <c r="L6" s="31">
        <f>INDEX((PassMobility!$G$35:$G$40),MATCH(A6,PassMobility!$C$35:$C$40,0))</f>
        <v>3940790000</v>
      </c>
      <c r="M6" s="31">
        <f t="shared" si="4"/>
        <v>4947860300</v>
      </c>
      <c r="N6" s="31"/>
      <c r="O6" s="31"/>
      <c r="P6" s="31">
        <f>INDEX((PassMobility!$M$35:$M$40),MATCH(A6,PassMobility!$L$35:$L$40,0))</f>
        <v>5591700</v>
      </c>
      <c r="Q6" s="31">
        <f>INDEX((PassMobility!$N$35:$N$40),MATCH(A6,PassMobility!$L$35:$L$40,0))</f>
        <v>307799.99999999994</v>
      </c>
      <c r="R6" s="31"/>
      <c r="S6" s="31">
        <f t="shared" si="5"/>
        <v>5899500</v>
      </c>
      <c r="U6" s="31">
        <f t="shared" si="0"/>
        <v>10329881950</v>
      </c>
      <c r="W6" s="90">
        <f t="shared" si="1"/>
        <v>52.044371620335895</v>
      </c>
      <c r="X6" s="92">
        <f t="shared" si="2"/>
        <v>47.898517368826269</v>
      </c>
      <c r="Y6" s="94">
        <f t="shared" si="6"/>
        <v>5.7111010837834403E-2</v>
      </c>
      <c r="Z6" s="116">
        <f t="shared" si="7"/>
        <v>99.999999999999986</v>
      </c>
    </row>
    <row r="7" spans="1:26" x14ac:dyDescent="0.25">
      <c r="A7" s="26">
        <v>2014</v>
      </c>
      <c r="B7" s="75"/>
      <c r="C7" s="31">
        <f>INDEX((PassMobility!$Q$15:$Q$20),MATCH(A7,PassMobility!$A$15:A$20,0))</f>
        <v>692792800</v>
      </c>
      <c r="D7" s="31">
        <f>INDEX((PassMobility!$R$15:$R$20),MATCH(A7,PassMobility!$A$15:A$20,0))</f>
        <v>414853600</v>
      </c>
      <c r="E7" s="31">
        <f>INDEX((PassMobility!$S$15:$S$20),MATCH(A7,PassMobility!$A$15:A$20,0))</f>
        <v>4413159450</v>
      </c>
      <c r="F7" s="31">
        <f>INDEX((PassMobility!$T$15:$T$20),MATCH(A7,PassMobility!$A$15:A$20,0))</f>
        <v>160415099.99999997</v>
      </c>
      <c r="G7" s="31">
        <f>INDEX((PassMobility!$U$15:$U$20),MATCH(A7,PassMobility!$A$15:A$20,0))</f>
        <v>46785600</v>
      </c>
      <c r="H7" s="31">
        <f t="shared" si="3"/>
        <v>5728006550</v>
      </c>
      <c r="I7" s="31"/>
      <c r="J7" s="31">
        <f>INDEX((PassMobility!$D$35:$D$40),MATCH(A7,PassMobility!$C$35:$C$40,0))</f>
        <v>405654750</v>
      </c>
      <c r="K7" s="31">
        <f>INDEX((PassMobility!$E$35:$E$40),MATCH(A7,PassMobility!$C$35:$C$40,0))</f>
        <v>622089450</v>
      </c>
      <c r="L7" s="31">
        <f>INDEX((PassMobility!$G$35:$G$40),MATCH(A7,PassMobility!$C$35:$C$40,0))</f>
        <v>3997980000</v>
      </c>
      <c r="M7" s="31">
        <f t="shared" si="4"/>
        <v>5025724200</v>
      </c>
      <c r="N7" s="31"/>
      <c r="O7" s="31"/>
      <c r="P7" s="31">
        <f>INDEX((PassMobility!$M$35:$M$40),MATCH(A7,PassMobility!$L$35:$L$40,0))</f>
        <v>5643000</v>
      </c>
      <c r="Q7" s="31">
        <f>INDEX((PassMobility!$N$35:$N$40),MATCH(A7,PassMobility!$L$35:$L$40,0))</f>
        <v>333450</v>
      </c>
      <c r="R7" s="31"/>
      <c r="S7" s="31">
        <f t="shared" si="5"/>
        <v>5976450</v>
      </c>
      <c r="U7" s="31">
        <f t="shared" si="0"/>
        <v>10759707200</v>
      </c>
      <c r="W7" s="90">
        <f t="shared" si="1"/>
        <v>53.23571026170675</v>
      </c>
      <c r="X7" s="92">
        <f t="shared" si="2"/>
        <v>46.708745011202538</v>
      </c>
      <c r="Y7" s="94">
        <f t="shared" si="6"/>
        <v>5.5544727090714882E-2</v>
      </c>
      <c r="Z7" s="116">
        <f t="shared" si="7"/>
        <v>100.00000000000001</v>
      </c>
    </row>
    <row r="8" spans="1:26" x14ac:dyDescent="0.25">
      <c r="A8" s="26">
        <v>2015</v>
      </c>
      <c r="B8" s="75"/>
      <c r="C8" s="31">
        <f>INDEX((PassMobility!$Q$15:$Q$20),MATCH(A8,PassMobility!$A$15:A$20,0))</f>
        <v>689460800</v>
      </c>
      <c r="D8" s="31">
        <f>INDEX((PassMobility!$R$15:$R$20),MATCH(A8,PassMobility!$A$15:A$20,0))</f>
        <v>448890400</v>
      </c>
      <c r="E8" s="31">
        <f>INDEX((PassMobility!$S$15:$S$20),MATCH(A8,PassMobility!$A$15:A$20,0))</f>
        <v>4741402500</v>
      </c>
      <c r="F8" s="31">
        <f>INDEX((PassMobility!$T$15:$T$20),MATCH(A8,PassMobility!$A$15:A$20,0))</f>
        <v>153746100</v>
      </c>
      <c r="G8" s="31">
        <f>INDEX((PassMobility!$U$15:$U$20),MATCH(A8,PassMobility!$A$15:A$20,0))</f>
        <v>61842149.999999993</v>
      </c>
      <c r="H8" s="31">
        <f>SUM(C8:G8)</f>
        <v>6095341950</v>
      </c>
      <c r="I8" s="31"/>
      <c r="J8" s="31">
        <f>INDEX((PassMobility!$D$35:$D$40),MATCH(A8,PassMobility!$C$35:$C$40,0))</f>
        <v>422404199.99999994</v>
      </c>
      <c r="K8" s="31">
        <f>INDEX((PassMobility!$E$35:$E$40),MATCH(A8,PassMobility!$C$35:$C$40,0))</f>
        <v>609264450</v>
      </c>
      <c r="L8" s="31">
        <f>INDEX((PassMobility!$G$35:$G$40),MATCH(A8,PassMobility!$C$35:$C$40,0))</f>
        <v>3963400000</v>
      </c>
      <c r="M8" s="31">
        <f t="shared" si="4"/>
        <v>4995068650</v>
      </c>
      <c r="N8" s="31"/>
      <c r="O8" s="31"/>
      <c r="P8" s="31">
        <f>INDEX((PassMobility!$M$35:$M$40),MATCH(A8,PassMobility!$L$35:$L$40,0))</f>
        <v>5745600</v>
      </c>
      <c r="Q8" s="31">
        <f>INDEX((PassMobility!$N$35:$N$40),MATCH(A8,PassMobility!$L$35:$L$40,0))</f>
        <v>333450</v>
      </c>
      <c r="R8" s="31"/>
      <c r="S8" s="31">
        <f>SUM(P8:Q8)</f>
        <v>6079050</v>
      </c>
      <c r="U8" s="31">
        <f>H8+M8+S8</f>
        <v>11096489650</v>
      </c>
      <c r="W8" s="90">
        <f>H8/U8%</f>
        <v>54.930362143851504</v>
      </c>
      <c r="X8" s="92">
        <f>M8/U8%</f>
        <v>45.014854314760704</v>
      </c>
      <c r="Y8" s="94">
        <f t="shared" si="6"/>
        <v>5.4783541387793754E-2</v>
      </c>
      <c r="Z8" s="116">
        <f t="shared" si="7"/>
        <v>100</v>
      </c>
    </row>
    <row r="9" spans="1:26" outlineLevel="1" x14ac:dyDescent="0.25">
      <c r="B9" s="75"/>
    </row>
    <row r="10" spans="1:26" outlineLevel="1" x14ac:dyDescent="0.25">
      <c r="B10" s="75"/>
    </row>
    <row r="11" spans="1:26" ht="15" customHeight="1" outlineLevel="1" x14ac:dyDescent="0.25">
      <c r="B11" s="75"/>
      <c r="C11" s="214" t="s">
        <v>113</v>
      </c>
      <c r="D11" s="214"/>
      <c r="E11" s="214"/>
      <c r="F11" s="214"/>
      <c r="G11" s="214"/>
      <c r="H11" s="105"/>
      <c r="J11" s="215" t="s">
        <v>112</v>
      </c>
      <c r="K11" s="215"/>
      <c r="L11" s="215"/>
      <c r="M11" s="215"/>
      <c r="O11" s="216" t="s">
        <v>114</v>
      </c>
      <c r="P11" s="216"/>
      <c r="Q11" s="216"/>
      <c r="R11" s="216"/>
    </row>
    <row r="12" spans="1:26" outlineLevel="1" x14ac:dyDescent="0.25">
      <c r="C12" s="214"/>
      <c r="D12" s="214"/>
      <c r="E12" s="214"/>
      <c r="F12" s="214"/>
      <c r="G12" s="214"/>
      <c r="H12" s="105"/>
      <c r="J12" s="215"/>
      <c r="K12" s="215"/>
      <c r="L12" s="215"/>
      <c r="M12" s="215"/>
      <c r="O12" s="216"/>
      <c r="P12" s="216"/>
      <c r="Q12" s="216"/>
      <c r="R12" s="216"/>
    </row>
    <row r="13" spans="1:26" outlineLevel="1" x14ac:dyDescent="0.25">
      <c r="A13" s="83" t="s">
        <v>34</v>
      </c>
      <c r="C13" s="83" t="s">
        <v>5</v>
      </c>
      <c r="D13" s="83" t="s">
        <v>62</v>
      </c>
      <c r="E13" s="83" t="s">
        <v>101</v>
      </c>
      <c r="F13" s="83" t="s">
        <v>64</v>
      </c>
      <c r="G13" s="83" t="s">
        <v>3</v>
      </c>
      <c r="H13" s="83" t="s">
        <v>104</v>
      </c>
      <c r="I13" s="39">
        <f>AVERAGE(I16:I19)</f>
        <v>0.21095920285899203</v>
      </c>
      <c r="J13" s="83" t="s">
        <v>65</v>
      </c>
      <c r="K13" s="83" t="s">
        <v>64</v>
      </c>
      <c r="L13" s="83" t="s">
        <v>88</v>
      </c>
      <c r="M13" s="83" t="s">
        <v>104</v>
      </c>
      <c r="O13" s="83" t="s">
        <v>65</v>
      </c>
      <c r="P13" s="83" t="s">
        <v>64</v>
      </c>
      <c r="Q13" s="83"/>
      <c r="R13" s="83" t="s">
        <v>104</v>
      </c>
    </row>
    <row r="14" spans="1:26" outlineLevel="1" x14ac:dyDescent="0.25">
      <c r="A14" s="26">
        <v>2010</v>
      </c>
      <c r="C14" s="85">
        <f>C3/$H$3%</f>
        <v>15.111517492448694</v>
      </c>
      <c r="D14" s="85">
        <f>D3/$H$3%</f>
        <v>6.10279510977964</v>
      </c>
      <c r="E14" s="85">
        <f>E3/$H$3%</f>
        <v>75.06097513227057</v>
      </c>
      <c r="F14" s="85">
        <f>F3/$H$3%</f>
        <v>3.6331023243544949</v>
      </c>
      <c r="G14" s="85">
        <f>G3/H3%</f>
        <v>9.1609941146605117E-2</v>
      </c>
      <c r="H14" s="85">
        <f>SUM(C14:G14)</f>
        <v>100</v>
      </c>
      <c r="J14" s="85">
        <f>J3/$M$3%</f>
        <v>7.1360144688284253</v>
      </c>
      <c r="K14" s="85">
        <f>K3/$M$3%</f>
        <v>11.887502256688336</v>
      </c>
      <c r="L14" s="85">
        <f>L3/$M$3%</f>
        <v>80.976483274483243</v>
      </c>
      <c r="M14" s="85">
        <f>SUM(J14:L14)</f>
        <v>100</v>
      </c>
      <c r="O14" s="85">
        <f>P3/$S$3%</f>
        <v>94.690265486725664</v>
      </c>
      <c r="P14" s="85">
        <f>Q3/$S$3%</f>
        <v>5.3097345132743357</v>
      </c>
      <c r="Q14" s="85"/>
      <c r="R14" s="85">
        <f>O14+P14</f>
        <v>100</v>
      </c>
    </row>
    <row r="15" spans="1:26" outlineLevel="1" x14ac:dyDescent="0.25">
      <c r="A15" s="26">
        <v>2011</v>
      </c>
      <c r="C15" s="85">
        <f>C4/$H$4%</f>
        <v>14.514861742053988</v>
      </c>
      <c r="D15" s="85">
        <f>D4/$H$4%</f>
        <v>6.4107611741298509</v>
      </c>
      <c r="E15" s="85">
        <f>E4/$H$4%</f>
        <v>75.541338121968138</v>
      </c>
      <c r="F15" s="85">
        <f>F4/$H$4%</f>
        <v>3.3622952869504918</v>
      </c>
      <c r="G15" s="85">
        <f>G4/H4%</f>
        <v>0.17074367489753425</v>
      </c>
      <c r="H15" s="85">
        <f t="shared" ref="H15:H19" si="8">SUM(C15:G15)</f>
        <v>100.00000000000001</v>
      </c>
      <c r="I15" s="39">
        <f>G15-G14</f>
        <v>7.9133733750929136E-2</v>
      </c>
      <c r="J15" s="85">
        <f>J4/$M$4%</f>
        <v>7.314262566740628</v>
      </c>
      <c r="K15" s="85">
        <f>K4/$M$4%</f>
        <v>12.049094044305058</v>
      </c>
      <c r="L15" s="85">
        <f>L4/$M$4%</f>
        <v>80.636643388954312</v>
      </c>
      <c r="M15" s="85">
        <f t="shared" ref="M15:M19" si="9">SUM(J15:L15)</f>
        <v>100</v>
      </c>
      <c r="O15" s="85">
        <f>P4/$S$4%</f>
        <v>94.782608695652172</v>
      </c>
      <c r="P15" s="85">
        <f>Q4/$S$4%</f>
        <v>5.2173913043478253</v>
      </c>
      <c r="Q15" s="85"/>
      <c r="R15" s="85">
        <f t="shared" ref="R15:R19" si="10">O15+P15</f>
        <v>100</v>
      </c>
    </row>
    <row r="16" spans="1:26" outlineLevel="1" x14ac:dyDescent="0.25">
      <c r="A16" s="26">
        <v>2012</v>
      </c>
      <c r="C16" s="85">
        <f>C5/$H$5%</f>
        <v>13.889495874776545</v>
      </c>
      <c r="D16" s="85">
        <f>D5/$H$5%</f>
        <v>6.6931520522134038</v>
      </c>
      <c r="E16" s="85">
        <f>E5/$H$5%</f>
        <v>75.853815059824754</v>
      </c>
      <c r="F16" s="85">
        <f>F5/$H$5%</f>
        <v>3.2049902090820614</v>
      </c>
      <c r="G16" s="85">
        <f t="shared" ref="G16:G19" si="11">G5/H5%</f>
        <v>0.35854680410322881</v>
      </c>
      <c r="H16" s="85">
        <f t="shared" si="8"/>
        <v>99.999999999999986</v>
      </c>
      <c r="I16" s="39">
        <f t="shared" ref="I16:I19" si="12">G16-G15</f>
        <v>0.18780312920569456</v>
      </c>
      <c r="J16" s="85">
        <f>J5/$M$5%</f>
        <v>7.5509573989776673</v>
      </c>
      <c r="K16" s="85">
        <f>K5/$M$5%</f>
        <v>12.565130724566647</v>
      </c>
      <c r="L16" s="85">
        <f>L5/$M$5%</f>
        <v>79.883911876455684</v>
      </c>
      <c r="M16" s="85">
        <f t="shared" si="9"/>
        <v>100</v>
      </c>
      <c r="O16" s="85">
        <f>P5/$S$5%</f>
        <v>94.782608695652172</v>
      </c>
      <c r="P16" s="85">
        <f>Q5/$S$5%</f>
        <v>5.2173913043478253</v>
      </c>
      <c r="Q16" s="85"/>
      <c r="R16" s="85">
        <f t="shared" si="10"/>
        <v>100</v>
      </c>
    </row>
    <row r="17" spans="1:18" outlineLevel="1" x14ac:dyDescent="0.25">
      <c r="A17" s="26">
        <v>2013</v>
      </c>
      <c r="C17" s="85">
        <f>C6/$H$6%</f>
        <v>13.021891624988468</v>
      </c>
      <c r="D17" s="85">
        <f>D6/$H$6%</f>
        <v>6.9405714674842347</v>
      </c>
      <c r="E17" s="85">
        <f>E6/$H$6%</f>
        <v>76.356158499858495</v>
      </c>
      <c r="F17" s="85">
        <f>F6/$H$6%</f>
        <v>3.0186730411250049</v>
      </c>
      <c r="G17" s="85">
        <f t="shared" si="11"/>
        <v>0.66270536654380141</v>
      </c>
      <c r="H17" s="85">
        <f t="shared" si="8"/>
        <v>100</v>
      </c>
      <c r="I17" s="39">
        <f t="shared" si="12"/>
        <v>0.3041585624405726</v>
      </c>
      <c r="J17" s="85">
        <f>J6/$M$6%</f>
        <v>7.8491838179020537</v>
      </c>
      <c r="K17" s="85">
        <f>K6/$M$6%</f>
        <v>12.50446885090915</v>
      </c>
      <c r="L17" s="85">
        <f>L6/$M$6%</f>
        <v>79.646347331188792</v>
      </c>
      <c r="M17" s="85">
        <f t="shared" si="9"/>
        <v>100</v>
      </c>
      <c r="O17" s="85">
        <f>P6/$S$6%</f>
        <v>94.782608695652172</v>
      </c>
      <c r="P17" s="85">
        <f>Q6/$S$6%</f>
        <v>5.2173913043478253</v>
      </c>
      <c r="Q17" s="85"/>
      <c r="R17" s="85">
        <f t="shared" si="10"/>
        <v>100</v>
      </c>
    </row>
    <row r="18" spans="1:18" outlineLevel="1" x14ac:dyDescent="0.25">
      <c r="A18" s="26">
        <v>2014</v>
      </c>
      <c r="C18" s="85">
        <f>C7/$H$7%</f>
        <v>12.094832538206507</v>
      </c>
      <c r="D18" s="85">
        <f>D7/$H$7%</f>
        <v>7.2425475840281646</v>
      </c>
      <c r="E18" s="85">
        <f>E7/$H$7%</f>
        <v>77.045293357773829</v>
      </c>
      <c r="F18" s="85">
        <f>F7/$H$7%</f>
        <v>2.8005397444945306</v>
      </c>
      <c r="G18" s="85">
        <f t="shared" si="11"/>
        <v>0.81678677549696588</v>
      </c>
      <c r="H18" s="85">
        <f t="shared" si="8"/>
        <v>99.999999999999986</v>
      </c>
      <c r="I18" s="39">
        <f t="shared" si="12"/>
        <v>0.15408140895316447</v>
      </c>
      <c r="J18" s="85">
        <f>J7/$M$7%</f>
        <v>8.0715680737116458</v>
      </c>
      <c r="K18" s="85">
        <f>K7/$M$7%</f>
        <v>12.37810562704575</v>
      </c>
      <c r="L18" s="85">
        <f>L7/$M$7%</f>
        <v>79.550326299242599</v>
      </c>
      <c r="M18" s="85">
        <f t="shared" si="9"/>
        <v>100</v>
      </c>
      <c r="O18" s="85">
        <f>P7/$S$7%</f>
        <v>94.420600858369099</v>
      </c>
      <c r="P18" s="85">
        <f>Q7/$S$7%</f>
        <v>5.5793991416309012</v>
      </c>
      <c r="Q18" s="85"/>
      <c r="R18" s="85">
        <f t="shared" si="10"/>
        <v>100</v>
      </c>
    </row>
    <row r="19" spans="1:18" outlineLevel="1" x14ac:dyDescent="0.25">
      <c r="A19" s="26">
        <v>2015</v>
      </c>
      <c r="C19" s="85">
        <f>C8/$H$8%</f>
        <v>11.311273520921988</v>
      </c>
      <c r="D19" s="85">
        <f>D8/$H$8%</f>
        <v>7.3644826439967002</v>
      </c>
      <c r="E19" s="85">
        <f>E8/$H$8%</f>
        <v>77.787309373184556</v>
      </c>
      <c r="F19" s="85">
        <f>F8/$H$8%</f>
        <v>2.5223539755632576</v>
      </c>
      <c r="G19" s="85">
        <f t="shared" si="11"/>
        <v>1.0145804863335024</v>
      </c>
      <c r="H19" s="85">
        <f t="shared" si="8"/>
        <v>100.00000000000001</v>
      </c>
      <c r="I19" s="39">
        <f t="shared" si="12"/>
        <v>0.19779371083653652</v>
      </c>
      <c r="J19" s="85">
        <f>J8/$M$8%</f>
        <v>8.4564243176117291</v>
      </c>
      <c r="K19" s="85">
        <f>K8/$M$8%</f>
        <v>12.197318849661857</v>
      </c>
      <c r="L19" s="85">
        <f>L8/$M$8%</f>
        <v>79.346256832726411</v>
      </c>
      <c r="M19" s="85">
        <f t="shared" si="9"/>
        <v>100</v>
      </c>
      <c r="O19" s="85">
        <f>P8/$S$8%</f>
        <v>94.514767932489448</v>
      </c>
      <c r="P19" s="85">
        <f>Q8/$S$8%</f>
        <v>5.4852320675105481</v>
      </c>
      <c r="Q19" s="85"/>
      <c r="R19" s="85">
        <f t="shared" si="10"/>
        <v>100</v>
      </c>
    </row>
    <row r="20" spans="1:18" outlineLevel="1" x14ac:dyDescent="0.25"/>
    <row r="21" spans="1:18" outlineLevel="1" x14ac:dyDescent="0.25"/>
    <row r="22" spans="1:18" outlineLevel="1" x14ac:dyDescent="0.25"/>
    <row r="23" spans="1:18" x14ac:dyDescent="0.25">
      <c r="A23" s="95" t="s">
        <v>117</v>
      </c>
      <c r="B23" s="95"/>
      <c r="C23" s="95"/>
      <c r="D23" s="95"/>
      <c r="E23" s="95"/>
      <c r="F23" s="99" t="s">
        <v>124</v>
      </c>
      <c r="G23" s="99"/>
    </row>
    <row r="25" spans="1:18" x14ac:dyDescent="0.25">
      <c r="A25" t="s">
        <v>115</v>
      </c>
      <c r="B25" t="s">
        <v>116</v>
      </c>
      <c r="C25" t="s">
        <v>118</v>
      </c>
      <c r="F25" s="26" t="s">
        <v>122</v>
      </c>
      <c r="G25" s="26">
        <f>0.71</f>
        <v>0.71</v>
      </c>
    </row>
    <row r="26" spans="1:18" x14ac:dyDescent="0.25">
      <c r="A26" s="26" t="s">
        <v>5</v>
      </c>
      <c r="B26" s="26" t="s">
        <v>0</v>
      </c>
      <c r="C26" s="26">
        <v>2.5</v>
      </c>
      <c r="F26" s="26" t="s">
        <v>123</v>
      </c>
      <c r="G26" s="26">
        <v>0.85</v>
      </c>
    </row>
    <row r="27" spans="1:18" x14ac:dyDescent="0.25">
      <c r="A27" s="26" t="s">
        <v>62</v>
      </c>
      <c r="B27" s="26" t="s">
        <v>0</v>
      </c>
      <c r="C27" s="26">
        <v>3</v>
      </c>
      <c r="F27" s="26" t="s">
        <v>2</v>
      </c>
      <c r="G27" s="26">
        <v>0.55700000000000005</v>
      </c>
    </row>
    <row r="28" spans="1:18" x14ac:dyDescent="0.25">
      <c r="A28" s="26" t="s">
        <v>63</v>
      </c>
      <c r="B28" s="26" t="s">
        <v>0</v>
      </c>
      <c r="C28" s="26">
        <v>6.5</v>
      </c>
    </row>
    <row r="29" spans="1:18" x14ac:dyDescent="0.25">
      <c r="A29" s="26" t="s">
        <v>64</v>
      </c>
      <c r="B29" s="26" t="s">
        <v>0</v>
      </c>
      <c r="C29" s="26">
        <v>11.5</v>
      </c>
      <c r="F29" s="218" t="s">
        <v>128</v>
      </c>
      <c r="G29" s="218"/>
    </row>
    <row r="30" spans="1:18" x14ac:dyDescent="0.25">
      <c r="A30" s="26" t="s">
        <v>63</v>
      </c>
      <c r="B30" s="26" t="s">
        <v>1</v>
      </c>
      <c r="C30" s="26">
        <v>7</v>
      </c>
      <c r="F30" s="100" t="s">
        <v>129</v>
      </c>
      <c r="G30" s="100">
        <f>PassMobility!AA23</f>
        <v>1.9</v>
      </c>
    </row>
    <row r="31" spans="1:18" x14ac:dyDescent="0.25">
      <c r="A31" s="26" t="s">
        <v>64</v>
      </c>
      <c r="B31" s="26" t="s">
        <v>1</v>
      </c>
      <c r="C31" s="26">
        <v>11.3</v>
      </c>
      <c r="F31" s="100" t="s">
        <v>119</v>
      </c>
      <c r="G31" s="26">
        <f>PassMobility!V29</f>
        <v>35</v>
      </c>
    </row>
    <row r="32" spans="1:18" x14ac:dyDescent="0.25">
      <c r="A32" s="26" t="s">
        <v>119</v>
      </c>
      <c r="B32" s="26" t="s">
        <v>1</v>
      </c>
      <c r="C32" s="26">
        <v>30.3</v>
      </c>
    </row>
    <row r="33" spans="1:10" x14ac:dyDescent="0.25">
      <c r="A33" s="26" t="s">
        <v>120</v>
      </c>
      <c r="B33" s="26" t="s">
        <v>1</v>
      </c>
      <c r="C33" s="26">
        <v>30</v>
      </c>
    </row>
    <row r="34" spans="1:10" x14ac:dyDescent="0.25">
      <c r="A34" s="26" t="s">
        <v>120</v>
      </c>
      <c r="B34" s="26" t="s">
        <v>0</v>
      </c>
      <c r="C34" s="26">
        <v>20</v>
      </c>
    </row>
    <row r="35" spans="1:10" x14ac:dyDescent="0.25">
      <c r="A35" s="26" t="s">
        <v>63</v>
      </c>
      <c r="B35" s="26" t="s">
        <v>3</v>
      </c>
      <c r="C35" s="26">
        <v>4</v>
      </c>
    </row>
    <row r="36" spans="1:10" x14ac:dyDescent="0.25">
      <c r="A36" s="26" t="s">
        <v>63</v>
      </c>
      <c r="B36" s="26" t="s">
        <v>2</v>
      </c>
      <c r="C36" s="107">
        <f>CarPet*1.23</f>
        <v>7.9950000000000001</v>
      </c>
    </row>
    <row r="37" spans="1:10" x14ac:dyDescent="0.25">
      <c r="A37" s="26" t="s">
        <v>64</v>
      </c>
      <c r="B37" s="26" t="s">
        <v>2</v>
      </c>
      <c r="C37" s="107">
        <f>DPVPet*1.23</f>
        <v>14.145</v>
      </c>
    </row>
    <row r="38" spans="1:10" x14ac:dyDescent="0.25">
      <c r="A38" s="26"/>
      <c r="B38" s="26"/>
      <c r="C38" s="26"/>
    </row>
    <row r="39" spans="1:10" x14ac:dyDescent="0.25">
      <c r="A39" s="26"/>
      <c r="B39" s="26"/>
      <c r="C39" s="26"/>
    </row>
    <row r="40" spans="1:10" ht="15" customHeight="1" x14ac:dyDescent="0.25">
      <c r="A40" s="214" t="s">
        <v>121</v>
      </c>
      <c r="B40" s="214"/>
      <c r="C40" s="214"/>
      <c r="D40" s="214"/>
      <c r="E40" s="214"/>
      <c r="F40" s="76"/>
      <c r="G40" s="76"/>
    </row>
    <row r="41" spans="1:10" ht="30" customHeight="1" x14ac:dyDescent="0.25">
      <c r="A41" s="26"/>
      <c r="B41" s="220" t="s">
        <v>126</v>
      </c>
      <c r="C41" s="220"/>
      <c r="D41" s="220"/>
      <c r="E41" s="220"/>
      <c r="F41" s="220"/>
      <c r="G41" s="220"/>
      <c r="H41" s="83" t="s">
        <v>125</v>
      </c>
      <c r="I41" s="104" t="s">
        <v>127</v>
      </c>
    </row>
    <row r="42" spans="1:10" x14ac:dyDescent="0.25">
      <c r="A42" s="83" t="s">
        <v>34</v>
      </c>
      <c r="B42" s="83" t="s">
        <v>5</v>
      </c>
      <c r="C42" s="83" t="s">
        <v>62</v>
      </c>
      <c r="D42" s="83" t="s">
        <v>101</v>
      </c>
      <c r="E42" s="83" t="s">
        <v>64</v>
      </c>
      <c r="F42" s="83" t="s">
        <v>3</v>
      </c>
      <c r="G42" s="83" t="s">
        <v>12</v>
      </c>
      <c r="H42" s="83" t="s">
        <v>12</v>
      </c>
      <c r="I42" s="104"/>
      <c r="J42" s="83" t="s">
        <v>135</v>
      </c>
    </row>
    <row r="43" spans="1:10" x14ac:dyDescent="0.25">
      <c r="A43" s="26">
        <v>2010</v>
      </c>
      <c r="B43" s="66">
        <f>C3*AC*0.01*$G$25/1000</f>
        <v>12091.4136</v>
      </c>
      <c r="C43" s="66">
        <f>D3*MC*0.01*$G$25/1000</f>
        <v>5859.7492799999991</v>
      </c>
      <c r="D43" s="31">
        <f t="shared" ref="D43:D48" si="13">E3*CarPet*0.01*$G$25/$G$30/1000</f>
        <v>82186.965899999996</v>
      </c>
      <c r="E43" s="31">
        <f t="shared" ref="E43:E48" si="14">F3*DPVPet*0.01*$G$25/$G$30/1000</f>
        <v>7038.0258750000003</v>
      </c>
      <c r="F43" s="31">
        <f t="shared" ref="F43:F48" si="15">G3*hybrid*0.01*$G$25/$G$30/1000</f>
        <v>61.727399999999989</v>
      </c>
      <c r="G43" s="31">
        <f>SUM(B43:F43)</f>
        <v>107237.88205500001</v>
      </c>
      <c r="H43" s="96">
        <v>115266</v>
      </c>
      <c r="I43" s="31">
        <f>H43-G43</f>
        <v>8028.1179449999909</v>
      </c>
      <c r="J43" s="108">
        <f t="shared" ref="J43:J48" si="16">I43/H43%</f>
        <v>6.9648620972359501</v>
      </c>
    </row>
    <row r="44" spans="1:10" x14ac:dyDescent="0.25">
      <c r="A44" s="26">
        <v>2011</v>
      </c>
      <c r="B44" s="66">
        <f t="shared" ref="B44:B48" si="17">C4*AC*0.01*$G$25/1000</f>
        <v>12191.708199999999</v>
      </c>
      <c r="C44" s="66">
        <f t="shared" ref="C44:C48" si="18">D4*MC*0.01*$G$25/1000</f>
        <v>6461.6361599999991</v>
      </c>
      <c r="D44" s="31">
        <f t="shared" si="13"/>
        <v>86827.256100000013</v>
      </c>
      <c r="E44" s="31">
        <f t="shared" si="14"/>
        <v>6837.4118250000001</v>
      </c>
      <c r="F44" s="31">
        <f t="shared" si="15"/>
        <v>120.771</v>
      </c>
      <c r="G44" s="31">
        <f t="shared" ref="G44:G48" si="19">SUM(B44:F44)</f>
        <v>112438.78328500001</v>
      </c>
      <c r="H44" s="97">
        <v>117370</v>
      </c>
      <c r="I44" s="31">
        <f t="shared" ref="I44:I48" si="20">H44-G44</f>
        <v>4931.2167149999877</v>
      </c>
      <c r="J44" s="108">
        <f t="shared" si="16"/>
        <v>4.2014285720371367</v>
      </c>
    </row>
    <row r="45" spans="1:10" x14ac:dyDescent="0.25">
      <c r="A45" s="26">
        <v>2012</v>
      </c>
      <c r="B45" s="66">
        <f t="shared" si="17"/>
        <v>12398.8578</v>
      </c>
      <c r="C45" s="66">
        <f t="shared" si="18"/>
        <v>7169.80152</v>
      </c>
      <c r="D45" s="31">
        <f t="shared" si="13"/>
        <v>92660.01615000001</v>
      </c>
      <c r="E45" s="31">
        <f t="shared" si="14"/>
        <v>6926.6960999999983</v>
      </c>
      <c r="F45" s="31">
        <f t="shared" si="15"/>
        <v>269.53020000000004</v>
      </c>
      <c r="G45" s="31">
        <f t="shared" si="19"/>
        <v>119424.90177000001</v>
      </c>
      <c r="H45" s="96">
        <v>123352</v>
      </c>
      <c r="I45" s="31">
        <f t="shared" si="20"/>
        <v>3927.0982299999887</v>
      </c>
      <c r="J45" s="108">
        <f t="shared" si="16"/>
        <v>3.1836518499902624</v>
      </c>
    </row>
    <row r="46" spans="1:10" x14ac:dyDescent="0.25">
      <c r="A46" s="26">
        <v>2013</v>
      </c>
      <c r="B46" s="66">
        <f t="shared" si="17"/>
        <v>12426.2922</v>
      </c>
      <c r="C46" s="66">
        <f t="shared" si="18"/>
        <v>7947.74568</v>
      </c>
      <c r="D46" s="31">
        <f t="shared" si="13"/>
        <v>99708.297975000009</v>
      </c>
      <c r="E46" s="31">
        <f t="shared" si="14"/>
        <v>6974.0939250000001</v>
      </c>
      <c r="F46" s="31">
        <f t="shared" si="15"/>
        <v>532.54259999999999</v>
      </c>
      <c r="G46" s="31">
        <f t="shared" si="19"/>
        <v>127588.97238000001</v>
      </c>
      <c r="H46" s="97">
        <v>128928</v>
      </c>
      <c r="I46" s="31">
        <f t="shared" si="20"/>
        <v>1339.0276199999935</v>
      </c>
      <c r="J46" s="108">
        <f t="shared" si="16"/>
        <v>1.0385855826507768</v>
      </c>
    </row>
    <row r="47" spans="1:10" x14ac:dyDescent="0.25">
      <c r="A47" s="26">
        <v>2014</v>
      </c>
      <c r="B47" s="66">
        <f t="shared" si="17"/>
        <v>12297.072199999999</v>
      </c>
      <c r="C47" s="66">
        <f t="shared" si="18"/>
        <v>8836.3816800000004</v>
      </c>
      <c r="D47" s="31">
        <f t="shared" si="13"/>
        <v>107193.32032499999</v>
      </c>
      <c r="E47" s="31">
        <f t="shared" si="14"/>
        <v>6893.6278499999989</v>
      </c>
      <c r="F47" s="31">
        <f t="shared" si="15"/>
        <v>699.3216000000001</v>
      </c>
      <c r="G47" s="31">
        <f t="shared" si="19"/>
        <v>135919.72365499998</v>
      </c>
      <c r="H47" s="96">
        <v>137244</v>
      </c>
      <c r="I47" s="31">
        <f t="shared" si="20"/>
        <v>1324.2763450000202</v>
      </c>
      <c r="J47" s="108">
        <f t="shared" si="16"/>
        <v>0.96490654964881539</v>
      </c>
    </row>
    <row r="48" spans="1:10" x14ac:dyDescent="0.25">
      <c r="A48" s="26">
        <v>2015</v>
      </c>
      <c r="B48" s="66">
        <f t="shared" si="17"/>
        <v>12237.929199999999</v>
      </c>
      <c r="C48" s="66">
        <f t="shared" si="18"/>
        <v>9561.3655199999994</v>
      </c>
      <c r="D48" s="31">
        <f t="shared" si="13"/>
        <v>115166.17125</v>
      </c>
      <c r="E48" s="31">
        <f t="shared" si="14"/>
        <v>6607.0363499999994</v>
      </c>
      <c r="F48" s="31">
        <f t="shared" si="15"/>
        <v>924.37739999999974</v>
      </c>
      <c r="G48" s="31">
        <f t="shared" si="19"/>
        <v>144496.87972</v>
      </c>
      <c r="H48" s="98">
        <v>147564.71</v>
      </c>
      <c r="I48" s="31">
        <f t="shared" si="20"/>
        <v>3067.8302799999947</v>
      </c>
      <c r="J48" s="108">
        <f t="shared" si="16"/>
        <v>2.0789728655313287</v>
      </c>
    </row>
    <row r="50" spans="1:9" x14ac:dyDescent="0.25">
      <c r="A50" s="7" t="s">
        <v>130</v>
      </c>
    </row>
    <row r="51" spans="1:9" x14ac:dyDescent="0.25">
      <c r="A51" s="106" t="s">
        <v>131</v>
      </c>
    </row>
    <row r="54" spans="1:9" x14ac:dyDescent="0.25">
      <c r="A54" s="217" t="s">
        <v>132</v>
      </c>
      <c r="B54" s="217"/>
      <c r="C54" s="217"/>
      <c r="D54" s="217"/>
    </row>
    <row r="55" spans="1:9" x14ac:dyDescent="0.25">
      <c r="B55" s="223" t="s">
        <v>133</v>
      </c>
      <c r="C55" s="223"/>
      <c r="D55" s="223"/>
    </row>
    <row r="56" spans="1:9" x14ac:dyDescent="0.25">
      <c r="A56" s="83" t="s">
        <v>34</v>
      </c>
      <c r="B56" s="83" t="s">
        <v>101</v>
      </c>
      <c r="C56" s="83" t="s">
        <v>64</v>
      </c>
      <c r="D56" s="83" t="s">
        <v>12</v>
      </c>
      <c r="E56" s="83" t="s">
        <v>125</v>
      </c>
      <c r="F56" s="83" t="s">
        <v>134</v>
      </c>
      <c r="G56" s="83" t="s">
        <v>107</v>
      </c>
      <c r="H56" s="83" t="s">
        <v>182</v>
      </c>
    </row>
    <row r="57" spans="1:9" x14ac:dyDescent="0.25">
      <c r="A57" s="26">
        <v>2010</v>
      </c>
      <c r="B57" s="66">
        <f>P3*$C$36*0.01*$G$27/$G$30/1000</f>
        <v>128.65338135000002</v>
      </c>
      <c r="C57" s="66">
        <f>Q3*$C$37*0.01*$G$27/$G$30/1000</f>
        <v>12.763599299999999</v>
      </c>
      <c r="D57" s="66">
        <f>B57+C57</f>
        <v>141.41698065000003</v>
      </c>
      <c r="E57" s="110">
        <v>4641</v>
      </c>
      <c r="F57" s="66">
        <f>E57-D57</f>
        <v>4499.5830193499996</v>
      </c>
      <c r="G57" s="26"/>
    </row>
    <row r="58" spans="1:9" x14ac:dyDescent="0.25">
      <c r="A58" s="26">
        <v>2011</v>
      </c>
      <c r="B58" s="66">
        <f t="shared" ref="B58:B62" si="21">P4*$C$36*0.01*$G$27/$G$30/1000</f>
        <v>131.05811745000003</v>
      </c>
      <c r="C58" s="66">
        <f t="shared" ref="C58:C62" si="22">Q4*$C$37*0.01*$G$27/$G$30/1000</f>
        <v>12.763599299999999</v>
      </c>
      <c r="D58" s="66">
        <f t="shared" ref="D58:D62" si="23">B58+C58</f>
        <v>143.82171675000004</v>
      </c>
      <c r="E58" s="110">
        <v>4502.0000000000009</v>
      </c>
      <c r="F58" s="66">
        <f t="shared" ref="F58:F62" si="24">E58-D58</f>
        <v>4358.1782832500012</v>
      </c>
      <c r="G58" s="26"/>
      <c r="H58" s="145">
        <f>(E58-E57)/E57%</f>
        <v>-2.9950441715147402</v>
      </c>
    </row>
    <row r="59" spans="1:9" x14ac:dyDescent="0.25">
      <c r="A59" s="26">
        <v>2012</v>
      </c>
      <c r="B59" s="66">
        <f t="shared" si="21"/>
        <v>131.05811745000003</v>
      </c>
      <c r="C59" s="66">
        <f t="shared" si="22"/>
        <v>12.763599299999999</v>
      </c>
      <c r="D59" s="66">
        <f t="shared" si="23"/>
        <v>143.82171675000004</v>
      </c>
      <c r="E59" s="110">
        <v>4363</v>
      </c>
      <c r="F59" s="66">
        <f t="shared" si="24"/>
        <v>4219.1782832500003</v>
      </c>
      <c r="G59" s="26"/>
      <c r="H59" s="145">
        <f t="shared" ref="H59:H62" si="25">(E59-E58)/E58%</f>
        <v>-3.0875166592625694</v>
      </c>
    </row>
    <row r="60" spans="1:9" x14ac:dyDescent="0.25">
      <c r="A60" s="26">
        <v>2013</v>
      </c>
      <c r="B60" s="66">
        <f t="shared" si="21"/>
        <v>131.05811745000003</v>
      </c>
      <c r="C60" s="66">
        <f t="shared" si="22"/>
        <v>12.763599299999999</v>
      </c>
      <c r="D60" s="66">
        <f t="shared" si="23"/>
        <v>143.82171675000004</v>
      </c>
      <c r="E60" s="110">
        <v>4068</v>
      </c>
      <c r="F60" s="66">
        <f t="shared" si="24"/>
        <v>3924.1782832499998</v>
      </c>
      <c r="G60" s="26"/>
      <c r="H60" s="145">
        <f t="shared" si="25"/>
        <v>-6.7614027045610818</v>
      </c>
    </row>
    <row r="61" spans="1:9" x14ac:dyDescent="0.25">
      <c r="A61" s="26">
        <v>2014</v>
      </c>
      <c r="B61" s="66">
        <f t="shared" si="21"/>
        <v>132.26048550000004</v>
      </c>
      <c r="C61" s="66">
        <f t="shared" si="22"/>
        <v>13.827232575000002</v>
      </c>
      <c r="D61" s="66">
        <f t="shared" si="23"/>
        <v>146.08771807500005</v>
      </c>
      <c r="E61" s="110">
        <v>3744</v>
      </c>
      <c r="F61" s="66">
        <f t="shared" si="24"/>
        <v>3597.9122819250001</v>
      </c>
      <c r="G61" s="26"/>
      <c r="H61" s="145">
        <f t="shared" si="25"/>
        <v>-7.9646017699115044</v>
      </c>
    </row>
    <row r="62" spans="1:9" x14ac:dyDescent="0.25">
      <c r="A62" s="26">
        <v>2015</v>
      </c>
      <c r="B62" s="66">
        <f t="shared" si="21"/>
        <v>134.66522160000002</v>
      </c>
      <c r="C62" s="66">
        <f t="shared" si="22"/>
        <v>13.827232575000002</v>
      </c>
      <c r="D62" s="66">
        <f t="shared" si="23"/>
        <v>148.49245417500003</v>
      </c>
      <c r="E62" s="114">
        <v>3190</v>
      </c>
      <c r="F62" s="66">
        <f t="shared" si="24"/>
        <v>3041.5075458249999</v>
      </c>
      <c r="G62" s="26"/>
      <c r="H62" s="145">
        <f t="shared" si="25"/>
        <v>-14.797008547008549</v>
      </c>
      <c r="I62" s="144">
        <f>AVERAGE(H58:H62)</f>
        <v>-7.1211147704516886</v>
      </c>
    </row>
    <row r="64" spans="1:9" x14ac:dyDescent="0.25">
      <c r="A64" s="7" t="s">
        <v>136</v>
      </c>
    </row>
    <row r="65" spans="1:17" x14ac:dyDescent="0.25">
      <c r="A65" s="7" t="s">
        <v>137</v>
      </c>
    </row>
    <row r="67" spans="1:17" x14ac:dyDescent="0.25">
      <c r="A67" s="109" t="s">
        <v>138</v>
      </c>
      <c r="B67" s="109"/>
      <c r="C67" s="109"/>
      <c r="D67" s="109"/>
      <c r="N67" t="s">
        <v>146</v>
      </c>
      <c r="P67" t="s">
        <v>163</v>
      </c>
    </row>
    <row r="68" spans="1:17" x14ac:dyDescent="0.25">
      <c r="B68" s="224" t="s">
        <v>139</v>
      </c>
      <c r="C68" s="224"/>
      <c r="D68" s="224"/>
      <c r="E68" s="224"/>
      <c r="H68" s="219" t="s">
        <v>162</v>
      </c>
      <c r="I68" s="219"/>
      <c r="J68" s="7" t="s">
        <v>142</v>
      </c>
      <c r="K68" s="83" t="s">
        <v>1</v>
      </c>
      <c r="L68" s="83" t="s">
        <v>0</v>
      </c>
      <c r="N68">
        <v>3.6799999999999999E-2</v>
      </c>
      <c r="O68" t="s">
        <v>145</v>
      </c>
      <c r="P68">
        <v>4.6899999999999997E-2</v>
      </c>
      <c r="Q68" t="s">
        <v>145</v>
      </c>
    </row>
    <row r="69" spans="1:17" x14ac:dyDescent="0.25">
      <c r="A69" s="83" t="s">
        <v>34</v>
      </c>
      <c r="B69" s="83" t="s">
        <v>65</v>
      </c>
      <c r="C69" s="83" t="s">
        <v>64</v>
      </c>
      <c r="D69" s="83" t="s">
        <v>88</v>
      </c>
      <c r="E69" s="83" t="s">
        <v>140</v>
      </c>
      <c r="F69" s="83" t="s">
        <v>125</v>
      </c>
      <c r="G69" s="142" t="s">
        <v>134</v>
      </c>
      <c r="H69" s="132" t="s">
        <v>1</v>
      </c>
      <c r="I69" s="133" t="s">
        <v>0</v>
      </c>
      <c r="J69" s="83" t="s">
        <v>143</v>
      </c>
      <c r="K69" s="83" t="s">
        <v>144</v>
      </c>
      <c r="L69" s="83" t="s">
        <v>144</v>
      </c>
      <c r="M69" s="83" t="s">
        <v>135</v>
      </c>
    </row>
    <row r="70" spans="1:17" x14ac:dyDescent="0.25">
      <c r="A70" s="26">
        <v>2010</v>
      </c>
      <c r="B70" s="66">
        <f t="shared" ref="B70:B75" si="26">J3*CarDsl*0.01*$G$26/$G$30/1000</f>
        <v>10442.25</v>
      </c>
      <c r="C70" s="66">
        <f>K3*$C$31*0.01*$G$26/$G$30/1000</f>
        <v>28080.793799999999</v>
      </c>
      <c r="D70" s="66">
        <f>L3*$C$32*0.01*$G$26/$G$31/1000</f>
        <v>27843.730500000001</v>
      </c>
      <c r="E70" s="66">
        <f>SUM(B70:D70)</f>
        <v>66366.774300000005</v>
      </c>
      <c r="F70" s="112">
        <v>159470.83499999999</v>
      </c>
      <c r="G70" s="143">
        <f>F70-E70</f>
        <v>93104.060699999987</v>
      </c>
      <c r="H70" s="134">
        <f>J70*$N$70</f>
        <v>2465134598.2636395</v>
      </c>
      <c r="I70" s="135">
        <f>J70*$P$70</f>
        <v>76241276.234957919</v>
      </c>
      <c r="J70" s="31">
        <f>INDEX((Freight!$E$5:$E$10),MATCH(A70,Freight!$A$5:$A$10,0))</f>
        <v>2541375874.4985976</v>
      </c>
      <c r="K70" s="31">
        <f>H70*$N$68*$G$26/1000</f>
        <v>77109.410233686634</v>
      </c>
      <c r="L70" s="31">
        <f>I70*$P$68*$G$25/1000</f>
        <v>2538.7582573478635</v>
      </c>
      <c r="M70">
        <f t="shared" ref="M70:M75" si="27">(K70-G70)/K70%</f>
        <v>-20.742799637346728</v>
      </c>
      <c r="N70" s="131">
        <v>0.97</v>
      </c>
      <c r="P70" s="131">
        <v>0.03</v>
      </c>
    </row>
    <row r="71" spans="1:17" x14ac:dyDescent="0.25">
      <c r="A71" s="26">
        <v>2011</v>
      </c>
      <c r="B71" s="66">
        <f t="shared" si="26"/>
        <v>11001.312</v>
      </c>
      <c r="C71" s="66">
        <f t="shared" ref="C71:C75" si="28">K4*$C$31*0.01*$G$26/$G$30/1000</f>
        <v>29255.58135</v>
      </c>
      <c r="D71" s="66">
        <f t="shared" ref="D71:D75" si="29">L4*$C$32*0.01*$G$26/$G$31/1000</f>
        <v>28499.452799999999</v>
      </c>
      <c r="E71" s="66">
        <f t="shared" ref="E71:E75" si="30">SUM(B71:D71)</f>
        <v>68756.346149999998</v>
      </c>
      <c r="F71" s="112">
        <v>159903.783</v>
      </c>
      <c r="G71" s="143">
        <f t="shared" ref="G71:G75" si="31">F71-E71</f>
        <v>91147.436849999998</v>
      </c>
      <c r="H71" s="134">
        <f t="shared" ref="H71:H74" si="32">J71*$N$70</f>
        <v>2559936545.9007792</v>
      </c>
      <c r="I71" s="135">
        <f t="shared" ref="I71:I75" si="33">J71*$P$70</f>
        <v>79173295.234044716</v>
      </c>
      <c r="J71" s="31">
        <f>INDEX((Freight!$E$5:$E$10),MATCH(A71,Freight!$A$5:$A$10,0))</f>
        <v>2639109841.1348238</v>
      </c>
      <c r="K71" s="31">
        <f t="shared" ref="K71:K75" si="34">H71*$N$68*$G$26/1000</f>
        <v>80074.815155776363</v>
      </c>
      <c r="L71" s="31">
        <f t="shared" ref="L71:L75" si="35">I71*$P$68*$G$25/1000</f>
        <v>2636.3915579984546</v>
      </c>
      <c r="M71">
        <f t="shared" si="27"/>
        <v>-13.827845462625321</v>
      </c>
    </row>
    <row r="72" spans="1:17" x14ac:dyDescent="0.25">
      <c r="A72" s="26">
        <v>2012</v>
      </c>
      <c r="B72" s="66">
        <f t="shared" si="26"/>
        <v>11641.502249999998</v>
      </c>
      <c r="C72" s="66">
        <f t="shared" si="28"/>
        <v>31271.910975000006</v>
      </c>
      <c r="D72" s="66">
        <f t="shared" si="29"/>
        <v>28939.863300000001</v>
      </c>
      <c r="E72" s="66">
        <f t="shared" si="30"/>
        <v>71853.276525000008</v>
      </c>
      <c r="F72" s="112">
        <v>164650</v>
      </c>
      <c r="G72" s="143">
        <f t="shared" si="31"/>
        <v>92796.723474999992</v>
      </c>
      <c r="H72" s="134">
        <f t="shared" si="32"/>
        <v>2658306466.005199</v>
      </c>
      <c r="I72" s="135">
        <f t="shared" si="33"/>
        <v>82215663.897068009</v>
      </c>
      <c r="J72" s="31">
        <f>INDEX((Freight!$E$5:$E$10),MATCH(A72,Freight!$A$5:$A$10,0))</f>
        <v>2740522129.902267</v>
      </c>
      <c r="K72" s="31">
        <f t="shared" si="34"/>
        <v>83151.826256642613</v>
      </c>
      <c r="L72" s="31">
        <f t="shared" si="35"/>
        <v>2737.6993921084672</v>
      </c>
      <c r="M72">
        <f t="shared" si="27"/>
        <v>-11.599140575204014</v>
      </c>
    </row>
    <row r="73" spans="1:17" x14ac:dyDescent="0.25">
      <c r="A73" s="26">
        <v>2013</v>
      </c>
      <c r="B73" s="66">
        <f t="shared" si="26"/>
        <v>12162.008250000003</v>
      </c>
      <c r="C73" s="66">
        <f t="shared" si="28"/>
        <v>31277.097675000005</v>
      </c>
      <c r="D73" s="66">
        <f t="shared" si="29"/>
        <v>28998.584699999999</v>
      </c>
      <c r="E73" s="66">
        <f t="shared" si="30"/>
        <v>72437.690625000017</v>
      </c>
      <c r="F73" s="112">
        <v>164802</v>
      </c>
      <c r="G73" s="143">
        <f t="shared" si="31"/>
        <v>92364.309374999983</v>
      </c>
      <c r="H73" s="134">
        <f t="shared" si="32"/>
        <v>2760433938.9412484</v>
      </c>
      <c r="I73" s="135">
        <f t="shared" si="33"/>
        <v>85374245.534265414</v>
      </c>
      <c r="J73" s="31">
        <f>INDEX((Freight!$E$5:$E$10),MATCH(A73,Freight!$A$5:$A$10,0))</f>
        <v>2845808184.4755139</v>
      </c>
      <c r="K73" s="31">
        <f t="shared" si="34"/>
        <v>86346.373610082257</v>
      </c>
      <c r="L73" s="31">
        <f t="shared" si="35"/>
        <v>2842.877002045504</v>
      </c>
      <c r="M73">
        <f t="shared" si="27"/>
        <v>-6.9695292498248476</v>
      </c>
    </row>
    <row r="74" spans="1:17" x14ac:dyDescent="0.25">
      <c r="A74" s="26">
        <v>2014</v>
      </c>
      <c r="B74" s="66">
        <f t="shared" si="26"/>
        <v>12703.39875</v>
      </c>
      <c r="C74" s="66">
        <f t="shared" si="28"/>
        <v>31448.258774999998</v>
      </c>
      <c r="D74" s="66">
        <f t="shared" si="29"/>
        <v>29419.421399999999</v>
      </c>
      <c r="E74" s="66">
        <f t="shared" si="30"/>
        <v>73571.078925000009</v>
      </c>
      <c r="F74" s="112">
        <v>165140</v>
      </c>
      <c r="G74" s="143">
        <f t="shared" si="31"/>
        <v>91568.921074999991</v>
      </c>
      <c r="H74" s="134">
        <f t="shared" si="32"/>
        <v>2866455437.0472574</v>
      </c>
      <c r="I74" s="135">
        <f t="shared" si="33"/>
        <v>88653260.939605907</v>
      </c>
      <c r="J74" s="31">
        <f>INDEX((Freight!$E$5:$E$10),MATCH(A74,Freight!$A$5:$A$10,0))</f>
        <v>2955108697.9868636</v>
      </c>
      <c r="K74" s="31">
        <f t="shared" si="34"/>
        <v>89662.726070838195</v>
      </c>
      <c r="L74" s="31">
        <f t="shared" si="35"/>
        <v>2952.0649360279367</v>
      </c>
      <c r="M74">
        <f t="shared" si="27"/>
        <v>-2.1259614643612372</v>
      </c>
    </row>
    <row r="75" spans="1:17" x14ac:dyDescent="0.25">
      <c r="A75" s="26">
        <v>2015</v>
      </c>
      <c r="B75" s="66">
        <f t="shared" si="26"/>
        <v>13227.920999999998</v>
      </c>
      <c r="C75" s="66">
        <f t="shared" si="28"/>
        <v>30799.921274999997</v>
      </c>
      <c r="D75" s="66">
        <f t="shared" si="29"/>
        <v>29164.962</v>
      </c>
      <c r="E75" s="66">
        <f t="shared" si="30"/>
        <v>73192.804275000002</v>
      </c>
      <c r="F75" s="113">
        <v>166293.5</v>
      </c>
      <c r="G75" s="143">
        <f t="shared" si="31"/>
        <v>93100.695724999998</v>
      </c>
      <c r="H75" s="134">
        <f>J75*$N$70</f>
        <v>2976539574.9898772</v>
      </c>
      <c r="I75" s="135">
        <f t="shared" si="33"/>
        <v>92057924.999686927</v>
      </c>
      <c r="J75" s="31">
        <f>INDEX((Freight!$E$5:$E$10),MATCH(A75,Freight!$A$5:$A$10,0))</f>
        <v>3068597499.9895644</v>
      </c>
      <c r="K75" s="31">
        <f t="shared" si="34"/>
        <v>93106.157905683358</v>
      </c>
      <c r="L75" s="31">
        <f t="shared" si="35"/>
        <v>3065.4368445645746</v>
      </c>
      <c r="M75">
        <f t="shared" si="27"/>
        <v>5.8666159212513065E-3</v>
      </c>
    </row>
    <row r="76" spans="1:17" x14ac:dyDescent="0.25">
      <c r="I76" s="111"/>
    </row>
    <row r="77" spans="1:17" x14ac:dyDescent="0.25">
      <c r="A77" s="7" t="s">
        <v>141</v>
      </c>
    </row>
    <row r="78" spans="1:17" x14ac:dyDescent="0.25">
      <c r="A78" t="s">
        <v>161</v>
      </c>
    </row>
  </sheetData>
  <mergeCells count="14">
    <mergeCell ref="H68:I68"/>
    <mergeCell ref="D1:H1"/>
    <mergeCell ref="B41:G41"/>
    <mergeCell ref="K1:M1"/>
    <mergeCell ref="Q1:S1"/>
    <mergeCell ref="B55:D55"/>
    <mergeCell ref="B68:E68"/>
    <mergeCell ref="W1:Y1"/>
    <mergeCell ref="C11:G12"/>
    <mergeCell ref="J11:M12"/>
    <mergeCell ref="O11:R12"/>
    <mergeCell ref="A54:D54"/>
    <mergeCell ref="A40:E40"/>
    <mergeCell ref="F29:G29"/>
  </mergeCells>
  <pageMargins left="0.7" right="0.7" top="0.75" bottom="0.75" header="0.3" footer="0.3"/>
  <pageSetup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3"/>
  <sheetViews>
    <sheetView topLeftCell="AB5" zoomScale="80" zoomScaleNormal="80" workbookViewId="0">
      <selection activeCell="AJ33" sqref="AJ33"/>
    </sheetView>
  </sheetViews>
  <sheetFormatPr defaultRowHeight="15" outlineLevelCol="1" x14ac:dyDescent="0.25"/>
  <cols>
    <col min="2" max="2" width="17.42578125" customWidth="1"/>
    <col min="3" max="3" width="14.7109375" customWidth="1"/>
    <col min="4" max="4" width="15.140625" customWidth="1"/>
    <col min="5" max="5" width="14.7109375" customWidth="1"/>
    <col min="6" max="6" width="9.140625" customWidth="1"/>
    <col min="7" max="7" width="9.5703125" customWidth="1"/>
    <col min="8" max="8" width="11.85546875" customWidth="1"/>
    <col min="9" max="9" width="12.42578125" customWidth="1"/>
    <col min="10" max="10" width="14.7109375" customWidth="1"/>
    <col min="11" max="11" width="11.85546875" customWidth="1"/>
    <col min="12" max="12" width="10.5703125" customWidth="1"/>
    <col min="13" max="13" width="10.140625" customWidth="1"/>
    <col min="14" max="14" width="3" customWidth="1"/>
    <col min="15" max="15" width="9.140625" customWidth="1"/>
    <col min="16" max="16" width="12.42578125" customWidth="1"/>
    <col min="17" max="17" width="11.85546875" customWidth="1"/>
    <col min="18" max="18" width="16" customWidth="1"/>
    <col min="19" max="19" width="13.5703125" customWidth="1"/>
    <col min="20" max="20" width="3" customWidth="1"/>
    <col min="21" max="22" width="9.140625" customWidth="1" outlineLevel="1"/>
    <col min="23" max="23" width="10.85546875" customWidth="1" outlineLevel="1"/>
    <col min="24" max="24" width="10.5703125" customWidth="1" outlineLevel="1"/>
    <col min="25" max="26" width="9.140625" customWidth="1" outlineLevel="1"/>
    <col min="27" max="27" width="2.85546875" style="130" customWidth="1" outlineLevel="1"/>
    <col min="30" max="30" width="15.28515625" customWidth="1"/>
    <col min="31" max="31" width="12.42578125" customWidth="1"/>
    <col min="34" max="34" width="10" customWidth="1"/>
    <col min="35" max="35" width="14.5703125" customWidth="1"/>
    <col min="36" max="36" width="14.28515625" customWidth="1"/>
    <col min="37" max="37" width="11.85546875" customWidth="1"/>
    <col min="38" max="38" width="11" customWidth="1"/>
    <col min="39" max="39" width="12.5703125" customWidth="1"/>
    <col min="40" max="40" width="10.7109375" customWidth="1"/>
    <col min="41" max="41" width="10.42578125" customWidth="1"/>
    <col min="50" max="50" width="18.7109375" bestFit="1" customWidth="1"/>
    <col min="52" max="52" width="2.7109375" style="130" customWidth="1"/>
    <col min="55" max="56" width="10" customWidth="1"/>
    <col min="57" max="57" width="10.5703125" customWidth="1"/>
    <col min="58" max="58" width="10.42578125" customWidth="1"/>
    <col min="59" max="59" width="13.42578125" customWidth="1"/>
    <col min="60" max="60" width="14.140625" customWidth="1"/>
    <col min="61" max="61" width="15.140625" customWidth="1"/>
    <col min="68" max="68" width="10.28515625" customWidth="1"/>
    <col min="70" max="70" width="11.7109375" customWidth="1"/>
    <col min="71" max="71" width="11.140625" customWidth="1"/>
    <col min="72" max="73" width="11.7109375" customWidth="1"/>
    <col min="86" max="86" width="18" bestFit="1" customWidth="1"/>
  </cols>
  <sheetData>
    <row r="1" spans="1:86" x14ac:dyDescent="0.25">
      <c r="A1" s="115" t="s">
        <v>147</v>
      </c>
      <c r="B1" s="115"/>
      <c r="C1" s="115"/>
      <c r="D1" s="115"/>
      <c r="E1" s="115"/>
      <c r="F1" s="115"/>
      <c r="G1" s="115"/>
      <c r="H1" s="115"/>
      <c r="I1" s="115"/>
      <c r="J1" s="115"/>
      <c r="K1" s="115"/>
      <c r="L1" s="115"/>
      <c r="M1" s="115"/>
      <c r="N1" s="115"/>
      <c r="O1" s="115"/>
      <c r="P1" s="115"/>
      <c r="Q1" s="29"/>
      <c r="R1" s="29"/>
      <c r="S1" s="29"/>
      <c r="AB1" s="136" t="s">
        <v>159</v>
      </c>
      <c r="AC1" s="136"/>
      <c r="AD1" s="136"/>
      <c r="AE1" s="136"/>
      <c r="AF1" s="136"/>
      <c r="AG1" s="136"/>
      <c r="AH1" s="136"/>
      <c r="AI1" s="136"/>
      <c r="AJ1" s="136"/>
      <c r="AK1" s="136"/>
      <c r="AL1" s="136"/>
      <c r="AM1" s="136"/>
      <c r="AN1" s="136"/>
      <c r="BA1" s="136" t="s">
        <v>187</v>
      </c>
      <c r="BB1" s="136"/>
      <c r="BC1" s="136"/>
      <c r="BD1" s="136"/>
      <c r="BE1" s="136"/>
      <c r="BF1" s="136"/>
      <c r="BG1" s="136"/>
      <c r="BH1" s="136"/>
      <c r="BI1" s="136"/>
      <c r="BJ1" s="136"/>
      <c r="BK1" s="136"/>
      <c r="BL1" s="136"/>
    </row>
    <row r="2" spans="1:86" x14ac:dyDescent="0.25">
      <c r="A2" s="115" t="s">
        <v>148</v>
      </c>
      <c r="B2" s="115"/>
      <c r="C2" s="115"/>
      <c r="D2" s="115"/>
      <c r="E2" s="115"/>
      <c r="F2" s="115"/>
      <c r="G2" s="115"/>
      <c r="H2" s="115"/>
      <c r="I2" s="115"/>
      <c r="J2" s="115"/>
      <c r="K2" s="115"/>
      <c r="L2" s="115"/>
      <c r="M2" s="115"/>
      <c r="N2" s="115"/>
      <c r="O2" s="115"/>
      <c r="P2" s="115"/>
      <c r="Q2" s="29"/>
      <c r="R2" s="29"/>
      <c r="S2" s="29"/>
    </row>
    <row r="3" spans="1:86" x14ac:dyDescent="0.25">
      <c r="A3" s="115" t="s">
        <v>149</v>
      </c>
      <c r="B3" s="115"/>
      <c r="C3" s="115"/>
      <c r="D3" s="115"/>
      <c r="E3" s="115"/>
      <c r="F3" s="115"/>
      <c r="G3" s="115"/>
      <c r="H3" s="115"/>
      <c r="I3" s="115"/>
      <c r="J3" s="115"/>
      <c r="K3" s="115"/>
      <c r="L3" s="115"/>
      <c r="M3" s="115"/>
      <c r="N3" s="115"/>
      <c r="O3" s="115"/>
      <c r="P3" s="115"/>
      <c r="Q3" s="29"/>
      <c r="R3" s="29"/>
      <c r="S3" s="29"/>
      <c r="AB3" s="219" t="s">
        <v>160</v>
      </c>
      <c r="AC3" s="219"/>
      <c r="AD3" s="26" t="s">
        <v>5</v>
      </c>
      <c r="AE3" s="26" t="s">
        <v>62</v>
      </c>
      <c r="AF3" s="26" t="s">
        <v>63</v>
      </c>
      <c r="AG3" s="26" t="s">
        <v>64</v>
      </c>
      <c r="AH3" s="26" t="s">
        <v>165</v>
      </c>
      <c r="AI3" s="26" t="s">
        <v>166</v>
      </c>
      <c r="AJ3" s="26" t="s">
        <v>119</v>
      </c>
      <c r="AK3" s="26" t="s">
        <v>167</v>
      </c>
      <c r="AL3" s="26" t="s">
        <v>168</v>
      </c>
      <c r="AM3" s="26" t="s">
        <v>169</v>
      </c>
      <c r="BA3" s="149" t="s">
        <v>188</v>
      </c>
      <c r="BB3" s="149"/>
      <c r="BC3" s="149"/>
      <c r="BK3" s="149" t="s">
        <v>206</v>
      </c>
      <c r="BL3" s="149"/>
      <c r="BM3" s="149"/>
      <c r="BN3" s="149"/>
    </row>
    <row r="4" spans="1:86" x14ac:dyDescent="0.25">
      <c r="A4" s="29"/>
      <c r="B4" s="29"/>
      <c r="C4" s="29"/>
      <c r="D4" s="29"/>
      <c r="E4" s="29"/>
      <c r="F4" s="29"/>
      <c r="G4" s="29"/>
      <c r="H4" s="29"/>
      <c r="I4" s="29"/>
      <c r="J4" s="29"/>
      <c r="K4" s="29"/>
      <c r="L4" s="29"/>
      <c r="M4" s="29"/>
      <c r="N4" s="29"/>
      <c r="O4" s="29"/>
      <c r="P4" s="29"/>
      <c r="Q4" s="29"/>
      <c r="R4" s="29"/>
      <c r="S4" s="29"/>
      <c r="AB4" s="219" t="s">
        <v>164</v>
      </c>
      <c r="AC4" s="219"/>
      <c r="AD4" s="108">
        <f>EnergyCal!C$26</f>
        <v>2.5</v>
      </c>
      <c r="AE4" s="108">
        <f>EnergyCal!C27</f>
        <v>3</v>
      </c>
      <c r="AF4" s="108">
        <f>EnergyCal!C28</f>
        <v>6.5</v>
      </c>
      <c r="AG4" s="108">
        <f>EnergyCal!C29</f>
        <v>11.5</v>
      </c>
      <c r="AH4" s="108">
        <f>EnergyCal!C30</f>
        <v>7</v>
      </c>
      <c r="AI4" s="108">
        <f>EnergyCal!C31</f>
        <v>11.3</v>
      </c>
      <c r="AJ4" s="108">
        <f>EnergyCal!C32</f>
        <v>30.3</v>
      </c>
      <c r="AK4" s="108">
        <f>EnergyCal!C35</f>
        <v>4</v>
      </c>
      <c r="AL4" s="108">
        <f>EnergyCal!C36</f>
        <v>7.9950000000000001</v>
      </c>
      <c r="AM4" s="108">
        <f>EnergyCal!C37</f>
        <v>14.145</v>
      </c>
      <c r="BB4" s="26"/>
      <c r="BC4" s="26"/>
      <c r="BD4" s="26"/>
      <c r="BE4" s="26"/>
      <c r="BF4" s="152" t="s">
        <v>189</v>
      </c>
      <c r="BG4" s="150" t="s">
        <v>194</v>
      </c>
      <c r="BH4" s="150" t="s">
        <v>195</v>
      </c>
      <c r="BI4" s="150" t="s">
        <v>196</v>
      </c>
      <c r="BJ4" s="26"/>
    </row>
    <row r="5" spans="1:86" x14ac:dyDescent="0.25">
      <c r="A5" s="64" t="s">
        <v>150</v>
      </c>
      <c r="B5" s="64"/>
      <c r="C5" s="64"/>
      <c r="D5" s="64"/>
      <c r="E5" s="64"/>
      <c r="F5" s="64"/>
      <c r="G5" s="64"/>
      <c r="H5" s="64"/>
      <c r="I5" s="64"/>
      <c r="J5" s="64"/>
      <c r="K5" s="64"/>
      <c r="L5" s="64"/>
      <c r="M5" s="64"/>
      <c r="N5" s="29"/>
      <c r="O5" s="29"/>
      <c r="P5" s="29"/>
      <c r="Q5" s="29"/>
      <c r="R5" s="29"/>
      <c r="S5" s="29"/>
      <c r="BB5" s="84" t="s">
        <v>116</v>
      </c>
      <c r="BC5" s="151" t="s">
        <v>190</v>
      </c>
      <c r="BD5" s="151" t="s">
        <v>191</v>
      </c>
      <c r="BE5" s="151" t="s">
        <v>192</v>
      </c>
      <c r="BF5" s="152" t="s">
        <v>193</v>
      </c>
      <c r="BG5" s="150" t="s">
        <v>197</v>
      </c>
      <c r="BH5" s="150" t="s">
        <v>198</v>
      </c>
      <c r="BI5" s="150" t="s">
        <v>199</v>
      </c>
      <c r="BK5" s="150" t="s">
        <v>208</v>
      </c>
      <c r="BL5" s="150" t="s">
        <v>207</v>
      </c>
    </row>
    <row r="6" spans="1:86" x14ac:dyDescent="0.25">
      <c r="AC6" s="26" t="s">
        <v>170</v>
      </c>
      <c r="AD6" s="26" t="s">
        <v>171</v>
      </c>
      <c r="AF6" s="59" t="s">
        <v>172</v>
      </c>
      <c r="AG6" s="59"/>
      <c r="AH6" s="59"/>
      <c r="AK6" s="141" t="s">
        <v>179</v>
      </c>
      <c r="AL6" s="141"/>
      <c r="AM6" s="141"/>
      <c r="BB6" s="84" t="s">
        <v>152</v>
      </c>
      <c r="BC6" s="151">
        <v>69300</v>
      </c>
      <c r="BD6" s="151">
        <v>33</v>
      </c>
      <c r="BE6" s="151">
        <v>3.2</v>
      </c>
      <c r="BF6" s="152">
        <v>44.8</v>
      </c>
      <c r="BG6" s="150">
        <f>BC6*BF6*0.000001</f>
        <v>3.1046399999999998</v>
      </c>
      <c r="BH6" s="150">
        <f>BD6*BF6*0.000001</f>
        <v>1.4783999999999997E-3</v>
      </c>
      <c r="BI6" s="150">
        <f>BE6*BF6*0.000001</f>
        <v>1.4335999999999998E-4</v>
      </c>
      <c r="BK6" s="117" t="s">
        <v>200</v>
      </c>
      <c r="BL6" s="117">
        <v>1</v>
      </c>
    </row>
    <row r="7" spans="1:86" x14ac:dyDescent="0.25">
      <c r="A7" s="227" t="s">
        <v>154</v>
      </c>
      <c r="B7" s="227"/>
      <c r="C7" s="227"/>
      <c r="D7" s="227"/>
      <c r="E7" s="227"/>
      <c r="H7" s="227" t="s">
        <v>151</v>
      </c>
      <c r="I7" s="227"/>
      <c r="J7" s="227"/>
      <c r="K7" s="227"/>
      <c r="L7" s="227"/>
      <c r="M7" s="227"/>
      <c r="O7" s="226" t="s">
        <v>157</v>
      </c>
      <c r="P7" s="226"/>
      <c r="Q7" s="226"/>
      <c r="R7" s="226"/>
      <c r="S7" s="226"/>
      <c r="U7" s="230" t="s">
        <v>158</v>
      </c>
      <c r="V7" s="230"/>
      <c r="W7" s="230"/>
      <c r="X7" s="230"/>
      <c r="Y7" s="230"/>
      <c r="Z7" s="230"/>
      <c r="AC7" s="26" t="s">
        <v>122</v>
      </c>
      <c r="AD7" s="26">
        <f>EnergyCal!G25</f>
        <v>0.71</v>
      </c>
      <c r="AF7" t="s">
        <v>173</v>
      </c>
      <c r="AI7" t="s">
        <v>174</v>
      </c>
      <c r="AK7" t="s">
        <v>180</v>
      </c>
      <c r="AL7" t="s">
        <v>181</v>
      </c>
      <c r="BB7" s="84" t="s">
        <v>1</v>
      </c>
      <c r="BC7" s="151">
        <v>74100</v>
      </c>
      <c r="BD7" s="151">
        <v>3.9</v>
      </c>
      <c r="BE7" s="151">
        <v>3.9</v>
      </c>
      <c r="BF7" s="152">
        <v>43.3</v>
      </c>
      <c r="BG7" s="150">
        <f t="shared" ref="BG7:BG8" si="0">BC7*BF7*0.000001</f>
        <v>3.2085299999999997</v>
      </c>
      <c r="BH7" s="150">
        <f t="shared" ref="BH7:BH8" si="1">BD7*BF7*0.000001</f>
        <v>1.6886999999999997E-4</v>
      </c>
      <c r="BI7" s="150">
        <f t="shared" ref="BI7:BI8" si="2">BE7*BF7*0.000001</f>
        <v>1.6886999999999997E-4</v>
      </c>
      <c r="BK7" s="117" t="s">
        <v>201</v>
      </c>
      <c r="BL7" s="117">
        <v>25</v>
      </c>
    </row>
    <row r="8" spans="1:86" x14ac:dyDescent="0.25">
      <c r="A8" t="s">
        <v>34</v>
      </c>
      <c r="B8" t="s">
        <v>152</v>
      </c>
      <c r="C8" t="s">
        <v>153</v>
      </c>
      <c r="D8" t="s">
        <v>2</v>
      </c>
      <c r="E8" t="s">
        <v>12</v>
      </c>
      <c r="G8" t="s">
        <v>34</v>
      </c>
      <c r="H8" s="83" t="s">
        <v>5</v>
      </c>
      <c r="I8" s="83" t="s">
        <v>62</v>
      </c>
      <c r="J8" s="83" t="s">
        <v>101</v>
      </c>
      <c r="K8" s="83" t="s">
        <v>64</v>
      </c>
      <c r="L8" s="83" t="s">
        <v>3</v>
      </c>
      <c r="M8" s="83" t="s">
        <v>104</v>
      </c>
      <c r="O8" s="26" t="s">
        <v>34</v>
      </c>
      <c r="P8" s="83" t="s">
        <v>65</v>
      </c>
      <c r="Q8" s="83" t="s">
        <v>64</v>
      </c>
      <c r="R8" s="83" t="s">
        <v>88</v>
      </c>
      <c r="S8" s="83" t="s">
        <v>104</v>
      </c>
      <c r="T8" s="83"/>
      <c r="V8" s="83" t="s">
        <v>34</v>
      </c>
      <c r="W8" s="83" t="s">
        <v>65</v>
      </c>
      <c r="X8" s="83" t="s">
        <v>64</v>
      </c>
      <c r="Y8" s="83" t="s">
        <v>104</v>
      </c>
      <c r="AC8" s="26" t="s">
        <v>123</v>
      </c>
      <c r="AD8" s="26">
        <f>EnergyCal!G26</f>
        <v>0.85</v>
      </c>
      <c r="AF8" t="s">
        <v>0</v>
      </c>
      <c r="AG8" s="140">
        <v>0.03</v>
      </c>
      <c r="AI8" s="26">
        <f>EnergyCal!P68</f>
        <v>4.6899999999999997E-2</v>
      </c>
      <c r="AK8" s="26" t="s">
        <v>129</v>
      </c>
      <c r="AL8" s="26">
        <f>EnergyCal!G30</f>
        <v>1.9</v>
      </c>
      <c r="AQ8" s="231" t="s">
        <v>183</v>
      </c>
      <c r="AR8" s="231"/>
      <c r="AS8" s="231"/>
      <c r="AT8" s="231"/>
      <c r="AU8" s="231"/>
      <c r="BB8" s="84" t="s">
        <v>2</v>
      </c>
      <c r="BC8" s="151">
        <v>63100</v>
      </c>
      <c r="BD8" s="151">
        <v>62</v>
      </c>
      <c r="BE8" s="151">
        <v>0.2</v>
      </c>
      <c r="BF8" s="152">
        <v>52.2</v>
      </c>
      <c r="BG8" s="150">
        <f t="shared" si="0"/>
        <v>3.2938199999999997</v>
      </c>
      <c r="BH8" s="150">
        <f t="shared" si="1"/>
        <v>3.2364E-3</v>
      </c>
      <c r="BI8" s="150">
        <f t="shared" si="2"/>
        <v>1.044E-5</v>
      </c>
      <c r="BK8" s="117" t="s">
        <v>202</v>
      </c>
      <c r="BL8" s="117">
        <v>298</v>
      </c>
    </row>
    <row r="9" spans="1:86" ht="15" customHeight="1" x14ac:dyDescent="0.25">
      <c r="A9">
        <v>2015</v>
      </c>
      <c r="B9" s="85">
        <f>EnergyCal!W8</f>
        <v>54.930362143851504</v>
      </c>
      <c r="C9" s="85">
        <f>EnergyCal!X8</f>
        <v>45.014854314760704</v>
      </c>
      <c r="D9" s="85">
        <f>EnergyCal!Y8</f>
        <v>5.4783541387793754E-2</v>
      </c>
      <c r="E9" s="85">
        <f>B9+C9+D9</f>
        <v>100</v>
      </c>
      <c r="G9" s="26">
        <v>2015</v>
      </c>
      <c r="H9" s="85">
        <f>EnergyCal!C$19</f>
        <v>11.311273520921988</v>
      </c>
      <c r="I9" s="85">
        <f>EnergyCal!D$19</f>
        <v>7.3644826439967002</v>
      </c>
      <c r="J9" s="85">
        <f>EnergyCal!E$19</f>
        <v>77.787309373184556</v>
      </c>
      <c r="K9" s="85">
        <f>EnergyCal!F$19</f>
        <v>2.5223539755632576</v>
      </c>
      <c r="L9" s="85">
        <f>EnergyCal!G$19</f>
        <v>1.0145804863335024</v>
      </c>
      <c r="M9" s="85">
        <f>SUM(H9:L9)</f>
        <v>100.00000000000001</v>
      </c>
      <c r="O9" s="26">
        <v>2015</v>
      </c>
      <c r="P9" s="85">
        <f>EnergyCal!J19</f>
        <v>8.4564243176117291</v>
      </c>
      <c r="Q9" s="85">
        <f>EnergyCal!K19</f>
        <v>12.197318849661857</v>
      </c>
      <c r="R9" s="85">
        <f>EnergyCal!L19</f>
        <v>79.346256832726411</v>
      </c>
      <c r="S9" s="85">
        <f>P9+Q9+R9</f>
        <v>100</v>
      </c>
      <c r="T9" s="85"/>
      <c r="V9" s="26">
        <v>2015</v>
      </c>
      <c r="W9" s="85">
        <f>EnergyCal!O19</f>
        <v>94.514767932489448</v>
      </c>
      <c r="X9" s="85">
        <f>EnergyCal!P19</f>
        <v>5.4852320675105481</v>
      </c>
      <c r="Y9" s="85">
        <f>W9+X9</f>
        <v>100</v>
      </c>
      <c r="AC9" s="26" t="s">
        <v>2</v>
      </c>
      <c r="AD9" s="26">
        <f>EnergyCal!G27</f>
        <v>0.55700000000000005</v>
      </c>
      <c r="AF9" t="s">
        <v>1</v>
      </c>
      <c r="AG9" s="140">
        <v>0.97</v>
      </c>
      <c r="AI9" s="26">
        <f>EnergyCal!N68</f>
        <v>3.6799999999999999E-2</v>
      </c>
      <c r="AK9" s="26" t="s">
        <v>119</v>
      </c>
      <c r="AL9" s="26">
        <f>EnergyCal!G31</f>
        <v>35</v>
      </c>
      <c r="AQ9" s="231"/>
      <c r="AR9" s="231"/>
      <c r="AS9" s="231"/>
      <c r="AT9" s="231"/>
      <c r="AU9" s="231"/>
      <c r="AX9" s="232" t="s">
        <v>185</v>
      </c>
      <c r="BC9" s="151"/>
      <c r="BD9" s="151"/>
      <c r="BE9" s="151"/>
      <c r="BF9" s="152"/>
      <c r="BG9" s="150"/>
      <c r="BH9" s="150"/>
      <c r="BI9" s="150"/>
    </row>
    <row r="10" spans="1:86" x14ac:dyDescent="0.25">
      <c r="U10" s="39"/>
      <c r="V10" s="39"/>
      <c r="W10" s="39"/>
      <c r="AX10" s="232"/>
    </row>
    <row r="11" spans="1:86" x14ac:dyDescent="0.25">
      <c r="C11" s="228" t="s">
        <v>155</v>
      </c>
      <c r="D11" s="228"/>
      <c r="E11" s="228"/>
      <c r="F11" s="228"/>
      <c r="H11" s="125" t="s">
        <v>109</v>
      </c>
      <c r="I11" s="229" t="s">
        <v>155</v>
      </c>
      <c r="J11" s="229"/>
      <c r="K11" s="229"/>
      <c r="L11" s="229"/>
      <c r="M11" s="127"/>
      <c r="O11" s="122" t="s">
        <v>110</v>
      </c>
      <c r="P11" s="226" t="s">
        <v>155</v>
      </c>
      <c r="Q11" s="226"/>
      <c r="R11" s="226"/>
      <c r="S11" s="122"/>
      <c r="V11" s="120" t="s">
        <v>2</v>
      </c>
      <c r="W11" s="230" t="s">
        <v>155</v>
      </c>
      <c r="X11" s="230"/>
      <c r="Y11" s="230"/>
      <c r="AD11" s="229" t="s">
        <v>176</v>
      </c>
      <c r="AE11" s="229"/>
      <c r="AF11" s="229"/>
      <c r="AG11" s="229"/>
      <c r="AH11" s="229"/>
      <c r="AI11" s="229"/>
      <c r="AK11" s="226" t="s">
        <v>177</v>
      </c>
      <c r="AL11" s="226"/>
      <c r="AM11" s="226"/>
      <c r="AN11" s="226"/>
      <c r="AQ11" s="230" t="s">
        <v>178</v>
      </c>
      <c r="AR11" s="230"/>
      <c r="AS11" s="230"/>
      <c r="AT11" s="147">
        <v>7.0999999999999994E-2</v>
      </c>
      <c r="AX11" s="137" t="s">
        <v>186</v>
      </c>
      <c r="BC11" s="229" t="s">
        <v>205</v>
      </c>
      <c r="BD11" s="229"/>
      <c r="BE11" s="229"/>
      <c r="BF11" s="226" t="s">
        <v>203</v>
      </c>
      <c r="BG11" s="226"/>
      <c r="BH11" s="226"/>
      <c r="BI11" s="230" t="s">
        <v>204</v>
      </c>
      <c r="BJ11" s="230"/>
      <c r="BK11" s="230"/>
      <c r="BM11" s="225" t="s">
        <v>211</v>
      </c>
      <c r="BN11" s="225"/>
      <c r="BO11" s="225"/>
      <c r="BP11" s="225"/>
      <c r="BR11" s="169" t="s">
        <v>221</v>
      </c>
      <c r="BS11" s="172" t="s">
        <v>230</v>
      </c>
      <c r="BT11" s="182" t="s">
        <v>261</v>
      </c>
      <c r="BU11" s="201" t="s">
        <v>276</v>
      </c>
      <c r="BX11" t="s">
        <v>263</v>
      </c>
      <c r="BZ11" t="s">
        <v>264</v>
      </c>
      <c r="CB11" t="s">
        <v>265</v>
      </c>
      <c r="CD11" t="s">
        <v>277</v>
      </c>
      <c r="CF11" t="s">
        <v>278</v>
      </c>
      <c r="CH11" t="s">
        <v>279</v>
      </c>
    </row>
    <row r="12" spans="1:86" x14ac:dyDescent="0.25">
      <c r="A12" s="83" t="s">
        <v>34</v>
      </c>
      <c r="B12" s="7" t="s">
        <v>56</v>
      </c>
      <c r="C12" s="84" t="s">
        <v>152</v>
      </c>
      <c r="D12" s="122" t="s">
        <v>1</v>
      </c>
      <c r="E12" s="120" t="s">
        <v>2</v>
      </c>
      <c r="F12" s="83" t="s">
        <v>156</v>
      </c>
      <c r="H12" s="125" t="s">
        <v>5</v>
      </c>
      <c r="I12" s="125" t="s">
        <v>62</v>
      </c>
      <c r="J12" s="125" t="s">
        <v>65</v>
      </c>
      <c r="K12" s="125" t="s">
        <v>64</v>
      </c>
      <c r="L12" s="125" t="s">
        <v>3</v>
      </c>
      <c r="M12" s="125" t="s">
        <v>156</v>
      </c>
      <c r="O12" s="122"/>
      <c r="P12" s="122" t="s">
        <v>65</v>
      </c>
      <c r="Q12" s="122" t="s">
        <v>64</v>
      </c>
      <c r="R12" s="122" t="s">
        <v>88</v>
      </c>
      <c r="S12" s="122" t="s">
        <v>156</v>
      </c>
      <c r="V12" s="129"/>
      <c r="W12" s="120" t="s">
        <v>65</v>
      </c>
      <c r="X12" s="120" t="s">
        <v>64</v>
      </c>
      <c r="Y12" s="120" t="s">
        <v>156</v>
      </c>
      <c r="AB12" s="83" t="s">
        <v>34</v>
      </c>
      <c r="AD12" s="125" t="s">
        <v>5</v>
      </c>
      <c r="AE12" s="125" t="s">
        <v>62</v>
      </c>
      <c r="AF12" s="125" t="s">
        <v>101</v>
      </c>
      <c r="AG12" s="125" t="s">
        <v>64</v>
      </c>
      <c r="AH12" s="125" t="s">
        <v>3</v>
      </c>
      <c r="AI12" s="125" t="s">
        <v>10</v>
      </c>
      <c r="AJ12" s="138" t="s">
        <v>104</v>
      </c>
      <c r="AK12" s="122" t="s">
        <v>65</v>
      </c>
      <c r="AL12" s="122" t="s">
        <v>64</v>
      </c>
      <c r="AM12" s="122" t="s">
        <v>88</v>
      </c>
      <c r="AN12" s="122" t="s">
        <v>98</v>
      </c>
      <c r="AO12" s="139" t="s">
        <v>104</v>
      </c>
      <c r="AQ12" s="120" t="s">
        <v>101</v>
      </c>
      <c r="AR12" s="120" t="s">
        <v>64</v>
      </c>
      <c r="AS12" s="120" t="s">
        <v>175</v>
      </c>
      <c r="AT12" s="157" t="s">
        <v>104</v>
      </c>
      <c r="AU12" s="120" t="s">
        <v>184</v>
      </c>
      <c r="AX12" s="137"/>
      <c r="BB12" s="83" t="s">
        <v>34</v>
      </c>
      <c r="BC12" s="126" t="s">
        <v>200</v>
      </c>
      <c r="BD12" s="126" t="s">
        <v>201</v>
      </c>
      <c r="BE12" s="126" t="s">
        <v>202</v>
      </c>
      <c r="BF12" s="128" t="s">
        <v>200</v>
      </c>
      <c r="BG12" s="128" t="s">
        <v>201</v>
      </c>
      <c r="BH12" s="128" t="s">
        <v>202</v>
      </c>
      <c r="BI12" s="124" t="s">
        <v>200</v>
      </c>
      <c r="BJ12" s="124" t="s">
        <v>201</v>
      </c>
      <c r="BK12" s="124" t="s">
        <v>202</v>
      </c>
      <c r="BM12" s="158" t="s">
        <v>200</v>
      </c>
      <c r="BN12" s="158" t="s">
        <v>201</v>
      </c>
      <c r="BO12" s="158" t="s">
        <v>209</v>
      </c>
      <c r="BP12" s="158" t="s">
        <v>210</v>
      </c>
      <c r="BR12" s="169" t="s">
        <v>222</v>
      </c>
      <c r="BS12" s="172" t="s">
        <v>222</v>
      </c>
      <c r="BT12" s="182" t="s">
        <v>222</v>
      </c>
      <c r="BU12" s="201" t="s">
        <v>222</v>
      </c>
      <c r="BX12" s="31"/>
    </row>
    <row r="13" spans="1:86" x14ac:dyDescent="0.25">
      <c r="A13" s="26">
        <v>2010</v>
      </c>
      <c r="B13" s="66">
        <f>INDEX((Proj_PasMob!$Q$6:$Q$46),MATCH(A13,Proj_PasMob!$M$6:M$46,0))</f>
        <v>9991295818.1099663</v>
      </c>
      <c r="C13" s="119">
        <f>B13*Table1[Gasoline]%</f>
        <v>5488254975.751296</v>
      </c>
      <c r="D13" s="123">
        <f>B13*Table1[[Diesel ]]%</f>
        <v>4497567256.6789799</v>
      </c>
      <c r="E13" s="121">
        <f>B13*Table1[LPG]%</f>
        <v>5473585.6796911797</v>
      </c>
      <c r="F13" s="66">
        <f>C13+D13+E13-B13</f>
        <v>0</v>
      </c>
      <c r="H13" s="31">
        <f>C13*Table2[Autocycle]%</f>
        <v>620791531.83283985</v>
      </c>
      <c r="I13" s="66">
        <f>C13*Table2[Motocycle]%</f>
        <v>404181585.14748949</v>
      </c>
      <c r="J13" s="66">
        <f>C13*Table2[cars]%</f>
        <v>4269165877.1768556</v>
      </c>
      <c r="K13" s="66">
        <f>C13*Table2[DPV]%</f>
        <v>138433217.56991112</v>
      </c>
      <c r="L13" s="66">
        <f>C13*Table2[Hybrid]%</f>
        <v>55682764.024200149</v>
      </c>
      <c r="M13" s="66">
        <f>SUM(H13:L13)-C13</f>
        <v>0</v>
      </c>
      <c r="P13" s="66">
        <f>D13*Table3[Cars]%</f>
        <v>380333371.19474393</v>
      </c>
      <c r="Q13" s="66">
        <f>D13*Table3[DPV]%</f>
        <v>548582618.77512491</v>
      </c>
      <c r="R13" s="66">
        <f>D13*Table3[Buses]%</f>
        <v>3568651266.7091112</v>
      </c>
      <c r="S13" s="66">
        <f>SUM(P13:R13)-D13</f>
        <v>0</v>
      </c>
      <c r="W13" s="66">
        <f>E13*Table4[Cars]%</f>
        <v>5173346.8027460938</v>
      </c>
      <c r="X13" s="66">
        <f>E13*Table4[DPV]%</f>
        <v>300238.87694508577</v>
      </c>
      <c r="Y13" s="66">
        <f>W13+X13-E13</f>
        <v>0</v>
      </c>
      <c r="AB13" s="26">
        <v>2010</v>
      </c>
      <c r="AD13" s="66">
        <f>INDEX((EnergyCal!$B$43:$B$48),MATCH(AB13,EnergyCal!$A$43:$A$48,0))</f>
        <v>12091.4136</v>
      </c>
      <c r="AE13" s="66">
        <f>INDEX((EnergyCal!$C$43:$C$48),MATCH(AB13,EnergyCal!$A$43:$A$48,0))</f>
        <v>5859.7492799999991</v>
      </c>
      <c r="AF13" s="66">
        <f>INDEX((EnergyCal!$D$43:$D$48),MATCH(AB13,EnergyCal!$A$43:$A$48,0))</f>
        <v>82186.965899999996</v>
      </c>
      <c r="AG13" s="66">
        <f>INDEX((EnergyCal!$E$43:$E$48),MATCH(AB13,EnergyCal!$A$43:$A$48,0))</f>
        <v>7038.0258750000003</v>
      </c>
      <c r="AH13" s="66">
        <f>INDEX((EnergyCal!$F$43:$F$48),MATCH(AB13,EnergyCal!$A$43:$A$48,0))</f>
        <v>61.727399999999989</v>
      </c>
      <c r="AI13" s="66">
        <f>INDEX((EnergyCal!$I$43:$I$48),MATCH(AB13,EnergyCal!$A$43:$A$48,0))</f>
        <v>8028.1179449999909</v>
      </c>
      <c r="AJ13" s="66">
        <f>SUM(AD13:AI13)</f>
        <v>115266</v>
      </c>
      <c r="AK13" s="66">
        <f>INDEX((EnergyCal!$B$70:$B$75),MATCH(AB13,EnergyCal!$A$70:$A$75,0))</f>
        <v>10442.25</v>
      </c>
      <c r="AL13" s="66">
        <f>INDEX((EnergyCal!$C$70:$C$75),MATCH(AB13,EnergyCal!$A$70:$A$75,0))</f>
        <v>28080.793799999999</v>
      </c>
      <c r="AM13" s="66">
        <f>INDEX((EnergyCal!$D$70:$D$75),MATCH(AB13,EnergyCal!$A$70:$A$75,0))</f>
        <v>27843.730500000001</v>
      </c>
      <c r="AN13" s="66">
        <f>INDEX((EnergyCal!$K$70:$K$75),MATCH(AB13,EnergyCal!$A$70:$A$75,0))</f>
        <v>77109.410233686634</v>
      </c>
      <c r="AO13" s="66">
        <f>SUM(AK13:AN13)</f>
        <v>143476.18453368664</v>
      </c>
      <c r="AP13" s="66"/>
      <c r="AQ13" s="66">
        <f>INDEX((EnergyCal!$B$57:$B$62),MATCH(AB13,EnergyCal!$A$57:$A$62,0))</f>
        <v>128.65338135000002</v>
      </c>
      <c r="AR13" s="146">
        <f>INDEX((EnergyCal!$C$57:$C$62),MATCH(AB13,EnergyCal!$A$57:$A$62,0))</f>
        <v>12.763599299999999</v>
      </c>
      <c r="AS13" s="66">
        <f>INDEX((EnergyCal!$F$57:$F$62),MATCH(AB13,EnergyCal!$A$57:$A$62,0))</f>
        <v>4499.5830193499996</v>
      </c>
      <c r="AT13" s="66">
        <f>SUM(AQ13:AS13)</f>
        <v>4641</v>
      </c>
      <c r="AU13" s="31">
        <f>AT13*10</f>
        <v>46410</v>
      </c>
      <c r="AX13" s="148">
        <f>AT13+AO13+AJ13</f>
        <v>263383.18453368661</v>
      </c>
      <c r="BB13" s="26">
        <v>2010</v>
      </c>
      <c r="BC13" s="85">
        <f>AJ13*$BG$6/1000</f>
        <v>357.85943423999998</v>
      </c>
      <c r="BD13" s="85">
        <f>AJ13*$BH$6/1000</f>
        <v>0.17040925439999999</v>
      </c>
      <c r="BE13" s="85">
        <f>AJ13*$BI$6/1000</f>
        <v>1.6524533759999998E-2</v>
      </c>
      <c r="BF13" s="85">
        <f>AO13*$BG$7/1000</f>
        <v>460.34764236186959</v>
      </c>
      <c r="BG13" s="85">
        <f>AO13*$BH$7/1000</f>
        <v>2.422882328220366E-2</v>
      </c>
      <c r="BH13" s="85">
        <f>AO13*$BI$7/1000</f>
        <v>2.422882328220366E-2</v>
      </c>
      <c r="BI13" s="85">
        <f>AT13*$BG$8/1000</f>
        <v>15.286618619999999</v>
      </c>
      <c r="BJ13" s="85">
        <f>AT13*$BH$8/1000</f>
        <v>1.50201324E-2</v>
      </c>
      <c r="BK13" s="85">
        <f>AT13*$BI$8/1000</f>
        <v>4.8452039999999999E-5</v>
      </c>
      <c r="BL13">
        <f>BB13</f>
        <v>2010</v>
      </c>
      <c r="BM13" s="39">
        <f>BC13+BF13+BI13</f>
        <v>833.49369522186964</v>
      </c>
      <c r="BN13" s="39">
        <f>BD13+BG13+BJ13</f>
        <v>0.20965821008220364</v>
      </c>
      <c r="BO13" s="39">
        <f>BE13+BH13+BK13</f>
        <v>4.0801809082203662E-2</v>
      </c>
      <c r="BP13" s="184">
        <f>BM13+(BN13*$BL$7)+(BO13*$BL$8)</f>
        <v>850.89408958042145</v>
      </c>
      <c r="BR13" s="170">
        <f>Scenario1!BT13</f>
        <v>850.89408958042145</v>
      </c>
      <c r="BS13" s="173">
        <f>Scenario2!BT13</f>
        <v>850.89408958042145</v>
      </c>
      <c r="BT13" s="183">
        <f>Scenario3!BX13</f>
        <v>850.89408958042145</v>
      </c>
      <c r="BU13" s="201">
        <f>'LRS4'!BP13</f>
        <v>850.89408958042145</v>
      </c>
      <c r="BW13">
        <f>BL13</f>
        <v>2010</v>
      </c>
      <c r="BX13" s="31">
        <f>BP13-BR13</f>
        <v>0</v>
      </c>
      <c r="BZ13" s="31">
        <f>BP13-BS13</f>
        <v>0</v>
      </c>
      <c r="CB13" s="31">
        <f>BP13-BT13</f>
        <v>0</v>
      </c>
      <c r="CD13" s="202">
        <f>BP13-BU13</f>
        <v>0</v>
      </c>
      <c r="CF13" s="202">
        <f>BX13+BZ13+CB13+CD13</f>
        <v>0</v>
      </c>
      <c r="CH13" s="202">
        <f>BP13-CF13</f>
        <v>850.89408958042145</v>
      </c>
    </row>
    <row r="14" spans="1:86" x14ac:dyDescent="0.25">
      <c r="A14" s="26">
        <f>A13+1</f>
        <v>2011</v>
      </c>
      <c r="B14" s="66">
        <f>INDEX((Proj_PasMob!$Q$6:$Q$46),MATCH(A14,Proj_PasMob!$M$6:M$46,0))</f>
        <v>10135465715.034311</v>
      </c>
      <c r="C14" s="119">
        <f>B14*Table1[Gasoline]%</f>
        <v>5567448022.2342558</v>
      </c>
      <c r="D14" s="123">
        <f>B14*Table1[[Diesel ]]%</f>
        <v>4562465125.7452145</v>
      </c>
      <c r="E14" s="121">
        <f>B14*Table1[LPG]%</f>
        <v>5552567.0548414681</v>
      </c>
      <c r="F14" s="66">
        <f t="shared" ref="F14:F53" si="3">C14+D14+E14-B14</f>
        <v>0</v>
      </c>
      <c r="H14" s="31">
        <f>C14*Table2[Autocycle]%</f>
        <v>629749273.93007827</v>
      </c>
      <c r="I14" s="66">
        <f>C14*Table2[Motocycle]%</f>
        <v>410013743.31097931</v>
      </c>
      <c r="J14" s="66">
        <f>C14*Table2[cars]%</f>
        <v>4330768017.2466049</v>
      </c>
      <c r="K14" s="66">
        <f>C14*Table2[DPV]%</f>
        <v>140430746.52624372</v>
      </c>
      <c r="L14" s="66">
        <f>C14*Table2[Hybrid]%</f>
        <v>56486241.220349275</v>
      </c>
      <c r="M14" s="66">
        <f t="shared" ref="M14:M53" si="4">SUM(H14:L14)-C14</f>
        <v>0</v>
      </c>
      <c r="P14" s="66">
        <f>D14*Table3[Cars]%</f>
        <v>385821410.37607282</v>
      </c>
      <c r="Q14" s="66">
        <f>D14*Table3[DPV]%</f>
        <v>556498418.7917695</v>
      </c>
      <c r="R14" s="66">
        <f>D14*Table3[Buses]%</f>
        <v>3620145296.5773721</v>
      </c>
      <c r="S14" s="66">
        <f t="shared" ref="S14:S53" si="5">SUM(P14:R14)-D14</f>
        <v>0</v>
      </c>
      <c r="W14" s="66">
        <f>E14*Table4[Cars]%</f>
        <v>5247995.8661792781</v>
      </c>
      <c r="X14" s="66">
        <f>E14*Table4[DPV]%</f>
        <v>304571.18866219022</v>
      </c>
      <c r="Y14" s="66">
        <f t="shared" ref="Y14:Y53" si="6">W14+X14-E14</f>
        <v>0</v>
      </c>
      <c r="AB14" s="26">
        <f>AB13+1</f>
        <v>2011</v>
      </c>
      <c r="AD14" s="66">
        <f>INDEX((EnergyCal!$B$43:$B$48),MATCH(AB14,EnergyCal!$A$43:$A$48,0))</f>
        <v>12191.708199999999</v>
      </c>
      <c r="AE14" s="66">
        <f>INDEX((EnergyCal!$C$43:$C$48),MATCH(AB14,EnergyCal!$A$43:$A$48,0))</f>
        <v>6461.6361599999991</v>
      </c>
      <c r="AF14" s="66">
        <f>INDEX((EnergyCal!$D$43:$D$48),MATCH(AB14,EnergyCal!$A$43:$A$48,0))</f>
        <v>86827.256100000013</v>
      </c>
      <c r="AG14" s="66">
        <f>INDEX((EnergyCal!$E$43:$E$48),MATCH(AB14,EnergyCal!$A$43:$A$48,0))</f>
        <v>6837.4118250000001</v>
      </c>
      <c r="AH14" s="66">
        <f>INDEX((EnergyCal!$F$43:$F$48),MATCH(AB14,EnergyCal!$A$43:$A$48,0))</f>
        <v>120.771</v>
      </c>
      <c r="AI14" s="66">
        <f>INDEX((EnergyCal!$I$43:$I$48),MATCH(AB14,EnergyCal!$A$43:$A$48,0))</f>
        <v>4931.2167149999877</v>
      </c>
      <c r="AJ14" s="66">
        <f t="shared" ref="AJ14:AJ17" si="7">SUM(AD14:AI14)</f>
        <v>117370</v>
      </c>
      <c r="AK14" s="66">
        <f>INDEX((EnergyCal!$B$70:$B$75),MATCH(AB14,EnergyCal!$A$70:$A$75,0))</f>
        <v>11001.312</v>
      </c>
      <c r="AL14" s="66">
        <f>INDEX((EnergyCal!$C$70:$C$75),MATCH(AB14,EnergyCal!$A$70:$A$75,0))</f>
        <v>29255.58135</v>
      </c>
      <c r="AM14" s="66">
        <f>INDEX((EnergyCal!$D$70:$D$75),MATCH(AB14,EnergyCal!$A$70:$A$75,0))</f>
        <v>28499.452799999999</v>
      </c>
      <c r="AN14" s="66">
        <f>INDEX((EnergyCal!$K$70:$K$75),MATCH(AB14,EnergyCal!$A$70:$A$75,0))</f>
        <v>80074.815155776363</v>
      </c>
      <c r="AO14" s="66">
        <f t="shared" ref="AO14:AO53" si="8">SUM(AK14:AN14)</f>
        <v>148831.16130577636</v>
      </c>
      <c r="AP14" s="66"/>
      <c r="AQ14" s="66">
        <f>INDEX((EnergyCal!$B$57:$B$62),MATCH(AB14,EnergyCal!$A$57:$A$62,0))</f>
        <v>131.05811745000003</v>
      </c>
      <c r="AR14" s="146">
        <f>INDEX((EnergyCal!$C$57:$C$62),MATCH(AB14,EnergyCal!$A$57:$A$62,0))</f>
        <v>12.763599299999999</v>
      </c>
      <c r="AS14" s="66">
        <f>INDEX((EnergyCal!$F$57:$F$62),MATCH(AB14,EnergyCal!$A$57:$A$62,0))</f>
        <v>4358.1782832500012</v>
      </c>
      <c r="AT14" s="66">
        <f t="shared" ref="AT14:AT53" si="9">SUM(AQ14:AS14)</f>
        <v>4502.0000000000009</v>
      </c>
      <c r="AU14" s="31">
        <f t="shared" ref="AU14:AU53" si="10">AT14*10</f>
        <v>45020.000000000007</v>
      </c>
      <c r="AX14" s="148">
        <f t="shared" ref="AX14:AX53" si="11">AT14+AO14+AJ14</f>
        <v>270703.16130577633</v>
      </c>
      <c r="BB14" s="26">
        <f>BB13+1</f>
        <v>2011</v>
      </c>
      <c r="BC14" s="85">
        <f t="shared" ref="BC14:BC53" si="12">AJ14*$BG$6/1000</f>
        <v>364.3915968</v>
      </c>
      <c r="BD14" s="85">
        <f t="shared" ref="BD14:BD53" si="13">AJ14*$BH$6/1000</f>
        <v>0.17351980799999994</v>
      </c>
      <c r="BE14" s="85">
        <f t="shared" ref="BE14:BE53" si="14">AJ14*$BI$6/1000</f>
        <v>1.6826163199999997E-2</v>
      </c>
      <c r="BF14" s="85">
        <f t="shared" ref="BF14:BF53" si="15">AO14*$BG$7/1000</f>
        <v>477.52924598442257</v>
      </c>
      <c r="BG14" s="85">
        <f t="shared" ref="BG14:BG53" si="16">AO14*$BH$7/1000</f>
        <v>2.513311820970645E-2</v>
      </c>
      <c r="BH14" s="85">
        <f t="shared" ref="BH14:BH53" si="17">AO14*$BI$7/1000</f>
        <v>2.513311820970645E-2</v>
      </c>
      <c r="BI14" s="85">
        <f t="shared" ref="BI14:BI53" si="18">AT14*$BG$8/1000</f>
        <v>14.828777640000002</v>
      </c>
      <c r="BJ14" s="85">
        <f t="shared" ref="BJ14:BJ53" si="19">AT14*$BH$8/1000</f>
        <v>1.4570272800000002E-2</v>
      </c>
      <c r="BK14" s="85">
        <f t="shared" ref="BK14:BK53" si="20">AT14*$BI$8/1000</f>
        <v>4.7000880000000011E-5</v>
      </c>
      <c r="BL14">
        <f t="shared" ref="BL14:BL53" si="21">BB14</f>
        <v>2011</v>
      </c>
      <c r="BM14" s="39">
        <f t="shared" ref="BM14:BM53" si="22">BC14+BF14+BI14</f>
        <v>856.74962042442257</v>
      </c>
      <c r="BN14" s="39">
        <f t="shared" ref="BN14:BN53" si="23">BD14+BG14+BJ14</f>
        <v>0.2132231990097064</v>
      </c>
      <c r="BO14" s="39">
        <f t="shared" ref="BO14:BO53" si="24">BE14+BH14+BK14</f>
        <v>4.2006282289706452E-2</v>
      </c>
      <c r="BP14" s="184">
        <f t="shared" ref="BP14:BP53" si="25">BM14+(BN14*$BL$7)+(BO14*$BL$8)</f>
        <v>874.59807252199778</v>
      </c>
      <c r="BR14" s="170">
        <f>Scenario1!BT14</f>
        <v>874.59807252199778</v>
      </c>
      <c r="BS14" s="173">
        <f>Scenario2!BT14</f>
        <v>874.59807252199778</v>
      </c>
      <c r="BT14" s="183">
        <f>Scenario3!BX14</f>
        <v>874.59807252199778</v>
      </c>
      <c r="BU14" s="201">
        <f>'LRS4'!BP14</f>
        <v>874.59807252199778</v>
      </c>
      <c r="BW14">
        <f t="shared" ref="BW14:BW53" si="26">BL14</f>
        <v>2011</v>
      </c>
      <c r="BX14" s="31">
        <f t="shared" ref="BX14:BX53" si="27">BP14-BR14</f>
        <v>0</v>
      </c>
      <c r="BZ14" s="31">
        <f t="shared" ref="BZ14:BZ53" si="28">BP14-BS14</f>
        <v>0</v>
      </c>
      <c r="CB14" s="31">
        <f t="shared" ref="CB14:CB53" si="29">BP14-BT14</f>
        <v>0</v>
      </c>
      <c r="CD14" s="202">
        <f t="shared" ref="CD14:CD53" si="30">BP14-BU14</f>
        <v>0</v>
      </c>
      <c r="CF14" s="202">
        <f t="shared" ref="CF14:CF53" si="31">BX14+BZ14+CB14+CD14</f>
        <v>0</v>
      </c>
      <c r="CH14" s="202">
        <f t="shared" ref="CH14:CH53" si="32">BP14-CF14</f>
        <v>874.59807252199778</v>
      </c>
    </row>
    <row r="15" spans="1:86" x14ac:dyDescent="0.25">
      <c r="A15" s="26">
        <f t="shared" ref="A15:A32" si="33">A14+1</f>
        <v>2012</v>
      </c>
      <c r="B15" s="66">
        <f>INDEX((Proj_PasMob!$Q$6:$Q$46),MATCH(A15,Proj_PasMob!$M$6:M$46,0))</f>
        <v>10284155309.520308</v>
      </c>
      <c r="C15" s="119">
        <f>B15*Table1[Gasoline]%</f>
        <v>5649123754.9556379</v>
      </c>
      <c r="D15" s="123">
        <f>B15*Table1[[Diesel ]]%</f>
        <v>4629397530.0842943</v>
      </c>
      <c r="E15" s="121">
        <f>B15*Table1[LPG]%</f>
        <v>5634024.4803760471</v>
      </c>
      <c r="F15" s="66">
        <f t="shared" si="3"/>
        <v>0</v>
      </c>
      <c r="H15" s="31">
        <f>C15*Table2[Autocycle]%</f>
        <v>638987839.45841098</v>
      </c>
      <c r="I15" s="66">
        <f>C15*Table2[Motocycle]%</f>
        <v>416028738.47160262</v>
      </c>
      <c r="J15" s="66">
        <f>C15*Table2[cars]%</f>
        <v>4394301372.1414022</v>
      </c>
      <c r="K15" s="66">
        <f>C15*Table2[DPV]%</f>
        <v>142490897.61761191</v>
      </c>
      <c r="L15" s="66">
        <f>C15*Table2[Hybrid]%</f>
        <v>57314907.266610324</v>
      </c>
      <c r="M15" s="66">
        <f t="shared" si="4"/>
        <v>0</v>
      </c>
      <c r="P15" s="66">
        <f>D15*Table3[Cars]%</f>
        <v>391481498.49296498</v>
      </c>
      <c r="Q15" s="66">
        <f>D15*Table3[DPV]%</f>
        <v>564662377.56275201</v>
      </c>
      <c r="R15" s="66">
        <f>D15*Table3[Buses]%</f>
        <v>3673253654.0285773</v>
      </c>
      <c r="S15" s="66">
        <f t="shared" si="5"/>
        <v>0</v>
      </c>
      <c r="W15" s="66">
        <f>E15*Table4[Cars]%</f>
        <v>5324985.1628870657</v>
      </c>
      <c r="X15" s="66">
        <f>E15*Table4[DPV]%</f>
        <v>309039.31748898147</v>
      </c>
      <c r="Y15" s="66">
        <f t="shared" si="6"/>
        <v>0</v>
      </c>
      <c r="AB15" s="26">
        <f t="shared" ref="AB15:AB32" si="34">AB14+1</f>
        <v>2012</v>
      </c>
      <c r="AD15" s="66">
        <f>INDEX((EnergyCal!$B$43:$B$48),MATCH(AB15,EnergyCal!$A$43:$A$48,0))</f>
        <v>12398.8578</v>
      </c>
      <c r="AE15" s="66">
        <f>INDEX((EnergyCal!$C$43:$C$48),MATCH(AB15,EnergyCal!$A$43:$A$48,0))</f>
        <v>7169.80152</v>
      </c>
      <c r="AF15" s="66">
        <f>INDEX((EnergyCal!$D$43:$D$48),MATCH(AB15,EnergyCal!$A$43:$A$48,0))</f>
        <v>92660.01615000001</v>
      </c>
      <c r="AG15" s="66">
        <f>INDEX((EnergyCal!$E$43:$E$48),MATCH(AB15,EnergyCal!$A$43:$A$48,0))</f>
        <v>6926.6960999999983</v>
      </c>
      <c r="AH15" s="66">
        <f>INDEX((EnergyCal!$F$43:$F$48),MATCH(AB15,EnergyCal!$A$43:$A$48,0))</f>
        <v>269.53020000000004</v>
      </c>
      <c r="AI15" s="66">
        <f>INDEX((EnergyCal!$I$43:$I$48),MATCH(AB15,EnergyCal!$A$43:$A$48,0))</f>
        <v>3927.0982299999887</v>
      </c>
      <c r="AJ15" s="66">
        <f t="shared" si="7"/>
        <v>123352</v>
      </c>
      <c r="AK15" s="66">
        <f>INDEX((EnergyCal!$B$70:$B$75),MATCH(AB15,EnergyCal!$A$70:$A$75,0))</f>
        <v>11641.502249999998</v>
      </c>
      <c r="AL15" s="66">
        <f>INDEX((EnergyCal!$C$70:$C$75),MATCH(AB15,EnergyCal!$A$70:$A$75,0))</f>
        <v>31271.910975000006</v>
      </c>
      <c r="AM15" s="66">
        <f>INDEX((EnergyCal!$D$70:$D$75),MATCH(AB15,EnergyCal!$A$70:$A$75,0))</f>
        <v>28939.863300000001</v>
      </c>
      <c r="AN15" s="66">
        <f>INDEX((EnergyCal!$K$70:$K$75),MATCH(AB15,EnergyCal!$A$70:$A$75,0))</f>
        <v>83151.826256642613</v>
      </c>
      <c r="AO15" s="66">
        <f t="shared" si="8"/>
        <v>155005.10278164264</v>
      </c>
      <c r="AP15" s="66"/>
      <c r="AQ15" s="66">
        <f>INDEX((EnergyCal!$B$57:$B$62),MATCH(AB15,EnergyCal!$A$57:$A$62,0))</f>
        <v>131.05811745000003</v>
      </c>
      <c r="AR15" s="146">
        <f>INDEX((EnergyCal!$C$57:$C$62),MATCH(AB15,EnergyCal!$A$57:$A$62,0))</f>
        <v>12.763599299999999</v>
      </c>
      <c r="AS15" s="66">
        <f>INDEX((EnergyCal!$F$57:$F$62),MATCH(AB15,EnergyCal!$A$57:$A$62,0))</f>
        <v>4219.1782832500003</v>
      </c>
      <c r="AT15" s="66">
        <f t="shared" si="9"/>
        <v>4363</v>
      </c>
      <c r="AU15" s="31">
        <f t="shared" si="10"/>
        <v>43630</v>
      </c>
      <c r="AX15" s="148">
        <f t="shared" si="11"/>
        <v>282720.10278164264</v>
      </c>
      <c r="BB15" s="26">
        <f t="shared" ref="BB15:BB32" si="35">BB14+1</f>
        <v>2012</v>
      </c>
      <c r="BC15" s="85">
        <f t="shared" si="12"/>
        <v>382.96355327999999</v>
      </c>
      <c r="BD15" s="85">
        <f t="shared" si="13"/>
        <v>0.18236359679999994</v>
      </c>
      <c r="BE15" s="85">
        <f t="shared" si="14"/>
        <v>1.7683742719999999E-2</v>
      </c>
      <c r="BF15" s="85">
        <f t="shared" si="15"/>
        <v>497.33852242798383</v>
      </c>
      <c r="BG15" s="85">
        <f t="shared" si="16"/>
        <v>2.617571170673599E-2</v>
      </c>
      <c r="BH15" s="85">
        <f t="shared" si="17"/>
        <v>2.617571170673599E-2</v>
      </c>
      <c r="BI15" s="85">
        <f t="shared" si="18"/>
        <v>14.37093666</v>
      </c>
      <c r="BJ15" s="85">
        <f t="shared" si="19"/>
        <v>1.4120413199999999E-2</v>
      </c>
      <c r="BK15" s="85">
        <f t="shared" si="20"/>
        <v>4.5549720000000003E-5</v>
      </c>
      <c r="BL15">
        <f t="shared" si="21"/>
        <v>2012</v>
      </c>
      <c r="BM15" s="39">
        <f t="shared" si="22"/>
        <v>894.6730123679838</v>
      </c>
      <c r="BN15" s="39">
        <f t="shared" si="23"/>
        <v>0.22265972170673592</v>
      </c>
      <c r="BO15" s="39">
        <f t="shared" si="24"/>
        <v>4.3905004146735989E-2</v>
      </c>
      <c r="BP15" s="184">
        <f t="shared" si="25"/>
        <v>913.32319664637953</v>
      </c>
      <c r="BR15" s="170">
        <f>Scenario1!BT15</f>
        <v>913.32319664637953</v>
      </c>
      <c r="BS15" s="173">
        <f>Scenario2!BT15</f>
        <v>913.32319664637953</v>
      </c>
      <c r="BT15" s="183">
        <f>Scenario3!BX15</f>
        <v>913.32319664637953</v>
      </c>
      <c r="BU15" s="201">
        <f>'LRS4'!BP15</f>
        <v>913.32319664637953</v>
      </c>
      <c r="BW15">
        <f t="shared" si="26"/>
        <v>2012</v>
      </c>
      <c r="BX15" s="31">
        <f t="shared" si="27"/>
        <v>0</v>
      </c>
      <c r="BZ15" s="31">
        <f t="shared" si="28"/>
        <v>0</v>
      </c>
      <c r="CB15" s="31">
        <f t="shared" si="29"/>
        <v>0</v>
      </c>
      <c r="CD15" s="202">
        <f t="shared" si="30"/>
        <v>0</v>
      </c>
      <c r="CF15" s="202">
        <f t="shared" si="31"/>
        <v>0</v>
      </c>
      <c r="CH15" s="202">
        <f t="shared" si="32"/>
        <v>913.32319664637953</v>
      </c>
    </row>
    <row r="16" spans="1:86" x14ac:dyDescent="0.25">
      <c r="A16" s="26">
        <f t="shared" si="33"/>
        <v>2013</v>
      </c>
      <c r="B16" s="66">
        <f>INDEX((Proj_PasMob!$Q$6:$Q$46),MATCH(A16,Proj_PasMob!$M$6:M$46,0))</f>
        <v>10425988957.632849</v>
      </c>
      <c r="C16" s="119">
        <f>B16*Table1[Gasoline]%</f>
        <v>5727033491.5056925</v>
      </c>
      <c r="D16" s="123">
        <f>B16*Table1[[Diesel ]]%</f>
        <v>4693243740.1514654</v>
      </c>
      <c r="E16" s="121">
        <f>B16*Table1[LPG]%</f>
        <v>5711725.9756915988</v>
      </c>
      <c r="F16" s="66">
        <f t="shared" si="3"/>
        <v>0</v>
      </c>
      <c r="H16" s="31">
        <f>C16*Table2[Autocycle]%</f>
        <v>647800422.85901737</v>
      </c>
      <c r="I16" s="66">
        <f>C16*Table2[Motocycle]%</f>
        <v>421766387.49781495</v>
      </c>
      <c r="J16" s="66">
        <f>C16*Table2[cars]%</f>
        <v>4454905259.9434261</v>
      </c>
      <c r="K16" s="66">
        <f>C16*Table2[DPV]%</f>
        <v>144456056.95483309</v>
      </c>
      <c r="L16" s="66">
        <f>C16*Table2[Hybrid]%</f>
        <v>58105364.250601023</v>
      </c>
      <c r="M16" s="66">
        <f t="shared" si="4"/>
        <v>0</v>
      </c>
      <c r="P16" s="66">
        <f>D16*Table3[Cars]%</f>
        <v>396880604.92695874</v>
      </c>
      <c r="Q16" s="66">
        <f>D16*Table3[DPV]%</f>
        <v>572449903.37806976</v>
      </c>
      <c r="R16" s="66">
        <f>D16*Table3[Buses]%</f>
        <v>3723913231.846437</v>
      </c>
      <c r="S16" s="66">
        <f t="shared" si="5"/>
        <v>0</v>
      </c>
      <c r="W16" s="66">
        <f>E16*Table4[Cars]%</f>
        <v>5398424.5508646332</v>
      </c>
      <c r="X16" s="66">
        <f>E16*Table4[DPV]%</f>
        <v>313301.42482696532</v>
      </c>
      <c r="Y16" s="66">
        <f t="shared" si="6"/>
        <v>0</v>
      </c>
      <c r="AB16" s="26">
        <f t="shared" si="34"/>
        <v>2013</v>
      </c>
      <c r="AD16" s="66">
        <f>INDEX((EnergyCal!$B$43:$B$48),MATCH(AB16,EnergyCal!$A$43:$A$48,0))</f>
        <v>12426.2922</v>
      </c>
      <c r="AE16" s="66">
        <f>INDEX((EnergyCal!$C$43:$C$48),MATCH(AB16,EnergyCal!$A$43:$A$48,0))</f>
        <v>7947.74568</v>
      </c>
      <c r="AF16" s="66">
        <f>INDEX((EnergyCal!$D$43:$D$48),MATCH(AB16,EnergyCal!$A$43:$A$48,0))</f>
        <v>99708.297975000009</v>
      </c>
      <c r="AG16" s="66">
        <f>INDEX((EnergyCal!$E$43:$E$48),MATCH(AB16,EnergyCal!$A$43:$A$48,0))</f>
        <v>6974.0939250000001</v>
      </c>
      <c r="AH16" s="66">
        <f>INDEX((EnergyCal!$F$43:$F$48),MATCH(AB16,EnergyCal!$A$43:$A$48,0))</f>
        <v>532.54259999999999</v>
      </c>
      <c r="AI16" s="66">
        <f>INDEX((EnergyCal!$I$43:$I$48),MATCH(AB16,EnergyCal!$A$43:$A$48,0))</f>
        <v>1339.0276199999935</v>
      </c>
      <c r="AJ16" s="66">
        <f t="shared" si="7"/>
        <v>128928</v>
      </c>
      <c r="AK16" s="66">
        <f>INDEX((EnergyCal!$B$70:$B$75),MATCH(AB16,EnergyCal!$A$70:$A$75,0))</f>
        <v>12162.008250000003</v>
      </c>
      <c r="AL16" s="66">
        <f>INDEX((EnergyCal!$C$70:$C$75),MATCH(AB16,EnergyCal!$A$70:$A$75,0))</f>
        <v>31277.097675000005</v>
      </c>
      <c r="AM16" s="66">
        <f>INDEX((EnergyCal!$D$70:$D$75),MATCH(AB16,EnergyCal!$A$70:$A$75,0))</f>
        <v>28998.584699999999</v>
      </c>
      <c r="AN16" s="66">
        <f>INDEX((EnergyCal!$K$70:$K$75),MATCH(AB16,EnergyCal!$A$70:$A$75,0))</f>
        <v>86346.373610082257</v>
      </c>
      <c r="AO16" s="66">
        <f t="shared" si="8"/>
        <v>158784.06423508227</v>
      </c>
      <c r="AP16" s="66"/>
      <c r="AQ16" s="66">
        <f>INDEX((EnergyCal!$B$57:$B$62),MATCH(AB16,EnergyCal!$A$57:$A$62,0))</f>
        <v>131.05811745000003</v>
      </c>
      <c r="AR16" s="146">
        <f>INDEX((EnergyCal!$C$57:$C$62),MATCH(AB16,EnergyCal!$A$57:$A$62,0))</f>
        <v>12.763599299999999</v>
      </c>
      <c r="AS16" s="66">
        <f>INDEX((EnergyCal!$F$57:$F$62),MATCH(AB16,EnergyCal!$A$57:$A$62,0))</f>
        <v>3924.1782832499998</v>
      </c>
      <c r="AT16" s="66">
        <f t="shared" si="9"/>
        <v>4068</v>
      </c>
      <c r="AU16" s="31">
        <f t="shared" si="10"/>
        <v>40680</v>
      </c>
      <c r="AX16" s="148">
        <f t="shared" si="11"/>
        <v>291780.06423508225</v>
      </c>
      <c r="BB16" s="26">
        <f t="shared" si="35"/>
        <v>2013</v>
      </c>
      <c r="BC16" s="85">
        <f t="shared" si="12"/>
        <v>400.27502591999996</v>
      </c>
      <c r="BD16" s="85">
        <f t="shared" si="13"/>
        <v>0.19060715519999996</v>
      </c>
      <c r="BE16" s="85">
        <f t="shared" si="14"/>
        <v>1.8483118079999996E-2</v>
      </c>
      <c r="BF16" s="85">
        <f t="shared" si="15"/>
        <v>509.46343362018848</v>
      </c>
      <c r="BG16" s="85">
        <f t="shared" si="16"/>
        <v>2.6813864927378341E-2</v>
      </c>
      <c r="BH16" s="85">
        <f t="shared" si="17"/>
        <v>2.6813864927378341E-2</v>
      </c>
      <c r="BI16" s="85">
        <f t="shared" si="18"/>
        <v>13.39925976</v>
      </c>
      <c r="BJ16" s="85">
        <f t="shared" si="19"/>
        <v>1.3165675199999999E-2</v>
      </c>
      <c r="BK16" s="85">
        <f t="shared" si="20"/>
        <v>4.2469919999999999E-5</v>
      </c>
      <c r="BL16">
        <f t="shared" si="21"/>
        <v>2013</v>
      </c>
      <c r="BM16" s="160">
        <f t="shared" si="22"/>
        <v>923.13771930018834</v>
      </c>
      <c r="BN16" s="39">
        <f t="shared" si="23"/>
        <v>0.2305866953273783</v>
      </c>
      <c r="BO16" s="39">
        <f t="shared" si="24"/>
        <v>4.5339452927378336E-2</v>
      </c>
      <c r="BP16" s="184">
        <f t="shared" si="25"/>
        <v>942.41354365573159</v>
      </c>
      <c r="BR16" s="170">
        <f>Scenario1!BT16</f>
        <v>942.41354365573159</v>
      </c>
      <c r="BS16" s="173">
        <f>Scenario2!BT16</f>
        <v>942.41354365573159</v>
      </c>
      <c r="BT16" s="183">
        <f>Scenario3!BX16</f>
        <v>942.41354365573159</v>
      </c>
      <c r="BU16" s="201">
        <f>'LRS4'!BP16</f>
        <v>942.41354365573159</v>
      </c>
      <c r="BW16">
        <f t="shared" si="26"/>
        <v>2013</v>
      </c>
      <c r="BX16" s="31">
        <f t="shared" si="27"/>
        <v>0</v>
      </c>
      <c r="BZ16" s="31">
        <f t="shared" si="28"/>
        <v>0</v>
      </c>
      <c r="CB16" s="31">
        <f t="shared" si="29"/>
        <v>0</v>
      </c>
      <c r="CD16" s="202">
        <f t="shared" si="30"/>
        <v>0</v>
      </c>
      <c r="CF16" s="202">
        <f t="shared" si="31"/>
        <v>0</v>
      </c>
      <c r="CH16" s="202">
        <f t="shared" si="32"/>
        <v>942.41354365573159</v>
      </c>
    </row>
    <row r="17" spans="1:86" x14ac:dyDescent="0.25">
      <c r="A17" s="26">
        <f t="shared" si="33"/>
        <v>2014</v>
      </c>
      <c r="B17" s="66">
        <f>INDEX((Proj_PasMob!$Q$6:$Q$46),MATCH(A17,Proj_PasMob!$M$6:M$46,0))</f>
        <v>10561741153.304186</v>
      </c>
      <c r="C17" s="119">
        <f>B17*Table1[Gasoline]%</f>
        <v>5801602664.2061882</v>
      </c>
      <c r="D17" s="123">
        <f>B17*Table1[[Diesel ]]%</f>
        <v>4754352393.2620068</v>
      </c>
      <c r="E17" s="121">
        <f>B17*Table1[LPG]%</f>
        <v>5786095.8359920438</v>
      </c>
      <c r="F17" s="66">
        <f t="shared" si="3"/>
        <v>0</v>
      </c>
      <c r="H17" s="31">
        <f>C17*Table2[Autocycle]%</f>
        <v>656235145.94545913</v>
      </c>
      <c r="I17" s="66">
        <f>C17*Table2[Motocycle]%</f>
        <v>427258021.2791149</v>
      </c>
      <c r="J17" s="66">
        <f>C17*Table2[cars]%</f>
        <v>4512910613.0089855</v>
      </c>
      <c r="K17" s="66">
        <f>C17*Table2[DPV]%</f>
        <v>146336955.44698867</v>
      </c>
      <c r="L17" s="66">
        <f>C17*Table2[Hybrid]%</f>
        <v>58861928.525640577</v>
      </c>
      <c r="M17" s="66">
        <f t="shared" si="4"/>
        <v>0</v>
      </c>
      <c r="P17" s="66">
        <f>D17*Table3[Cars]%</f>
        <v>402048211.92876351</v>
      </c>
      <c r="Q17" s="66">
        <f>D17*Table3[DPV]%</f>
        <v>579903520.64269638</v>
      </c>
      <c r="R17" s="66">
        <f>D17*Table3[Buses]%</f>
        <v>3772400660.690547</v>
      </c>
      <c r="S17" s="66">
        <f t="shared" si="5"/>
        <v>0</v>
      </c>
      <c r="W17" s="66">
        <f>E17*Table4[Cars]%</f>
        <v>5468715.0517393155</v>
      </c>
      <c r="X17" s="66">
        <f>E17*Table4[DPV]%</f>
        <v>317380.7842527281</v>
      </c>
      <c r="Y17" s="66">
        <f t="shared" si="6"/>
        <v>0</v>
      </c>
      <c r="AB17" s="26">
        <f t="shared" si="34"/>
        <v>2014</v>
      </c>
      <c r="AD17" s="66">
        <f>INDEX((EnergyCal!$B$43:$B$48),MATCH(AB17,EnergyCal!$A$43:$A$48,0))</f>
        <v>12297.072199999999</v>
      </c>
      <c r="AE17" s="66">
        <f>INDEX((EnergyCal!$C$43:$C$48),MATCH(AB17,EnergyCal!$A$43:$A$48,0))</f>
        <v>8836.3816800000004</v>
      </c>
      <c r="AF17" s="66">
        <f>INDEX((EnergyCal!$D$43:$D$48),MATCH(AB17,EnergyCal!$A$43:$A$48,0))</f>
        <v>107193.32032499999</v>
      </c>
      <c r="AG17" s="66">
        <f>INDEX((EnergyCal!$E$43:$E$48),MATCH(AB17,EnergyCal!$A$43:$A$48,0))</f>
        <v>6893.6278499999989</v>
      </c>
      <c r="AH17" s="66">
        <f>INDEX((EnergyCal!$F$43:$F$48),MATCH(AB17,EnergyCal!$A$43:$A$48,0))</f>
        <v>699.3216000000001</v>
      </c>
      <c r="AI17" s="66">
        <f>INDEX((EnergyCal!$I$43:$I$48),MATCH(AB17,EnergyCal!$A$43:$A$48,0))</f>
        <v>1324.2763450000202</v>
      </c>
      <c r="AJ17" s="66">
        <f t="shared" si="7"/>
        <v>137244</v>
      </c>
      <c r="AK17" s="66">
        <f>INDEX((EnergyCal!$B$70:$B$75),MATCH(AB17,EnergyCal!$A$70:$A$75,0))</f>
        <v>12703.39875</v>
      </c>
      <c r="AL17" s="66">
        <f>INDEX((EnergyCal!$C$70:$C$75),MATCH(AB17,EnergyCal!$A$70:$A$75,0))</f>
        <v>31448.258774999998</v>
      </c>
      <c r="AM17" s="66">
        <f>INDEX((EnergyCal!$D$70:$D$75),MATCH(AB17,EnergyCal!$A$70:$A$75,0))</f>
        <v>29419.421399999999</v>
      </c>
      <c r="AN17" s="66">
        <f>INDEX((EnergyCal!$K$70:$K$75),MATCH(AB17,EnergyCal!$A$70:$A$75,0))</f>
        <v>89662.726070838195</v>
      </c>
      <c r="AO17" s="66">
        <f t="shared" si="8"/>
        <v>163233.8049958382</v>
      </c>
      <c r="AP17" s="66"/>
      <c r="AQ17" s="66">
        <f>INDEX((EnergyCal!$B$57:$B$62),MATCH(AB17,EnergyCal!$A$57:$A$62,0))</f>
        <v>132.26048550000004</v>
      </c>
      <c r="AR17" s="146">
        <f>INDEX((EnergyCal!$C$57:$C$62),MATCH(AB17,EnergyCal!$A$57:$A$62,0))</f>
        <v>13.827232575000002</v>
      </c>
      <c r="AS17" s="66">
        <f>INDEX((EnergyCal!$F$57:$F$62),MATCH(AB17,EnergyCal!$A$57:$A$62,0))</f>
        <v>3597.9122819250001</v>
      </c>
      <c r="AT17" s="66">
        <f t="shared" si="9"/>
        <v>3744</v>
      </c>
      <c r="AU17" s="31">
        <f t="shared" si="10"/>
        <v>37440</v>
      </c>
      <c r="AX17" s="148">
        <f t="shared" si="11"/>
        <v>304221.8049958382</v>
      </c>
      <c r="BB17" s="26">
        <f t="shared" si="35"/>
        <v>2014</v>
      </c>
      <c r="BC17" s="85">
        <f t="shared" si="12"/>
        <v>426.09321216000001</v>
      </c>
      <c r="BD17" s="85">
        <f t="shared" si="13"/>
        <v>0.20290152959999996</v>
      </c>
      <c r="BE17" s="85">
        <f t="shared" si="14"/>
        <v>1.9675299839999997E-2</v>
      </c>
      <c r="BF17" s="85">
        <f t="shared" si="15"/>
        <v>523.74056034329669</v>
      </c>
      <c r="BG17" s="85">
        <f t="shared" si="16"/>
        <v>2.7565292649647195E-2</v>
      </c>
      <c r="BH17" s="85">
        <f t="shared" si="17"/>
        <v>2.7565292649647195E-2</v>
      </c>
      <c r="BI17" s="85">
        <f t="shared" si="18"/>
        <v>12.33206208</v>
      </c>
      <c r="BJ17" s="85">
        <f t="shared" si="19"/>
        <v>1.2117081600000001E-2</v>
      </c>
      <c r="BK17" s="85">
        <f t="shared" si="20"/>
        <v>3.9087359999999998E-5</v>
      </c>
      <c r="BL17">
        <f t="shared" si="21"/>
        <v>2014</v>
      </c>
      <c r="BM17" s="39">
        <f t="shared" si="22"/>
        <v>962.16583458329671</v>
      </c>
      <c r="BN17" s="39">
        <f t="shared" si="23"/>
        <v>0.24258390384964715</v>
      </c>
      <c r="BO17" s="39">
        <f t="shared" si="24"/>
        <v>4.7279679849647198E-2</v>
      </c>
      <c r="BP17" s="184">
        <f t="shared" si="25"/>
        <v>982.31977677473276</v>
      </c>
      <c r="BR17" s="170">
        <f>Scenario1!BT17</f>
        <v>982.31977677473276</v>
      </c>
      <c r="BS17" s="173">
        <f>Scenario2!BT17</f>
        <v>982.31977677473276</v>
      </c>
      <c r="BT17" s="183">
        <f>Scenario3!BX17</f>
        <v>982.31977677473276</v>
      </c>
      <c r="BU17" s="201">
        <f>'LRS4'!BP17</f>
        <v>982.31977677473276</v>
      </c>
      <c r="BW17">
        <f t="shared" si="26"/>
        <v>2014</v>
      </c>
      <c r="BX17" s="31">
        <f t="shared" si="27"/>
        <v>0</v>
      </c>
      <c r="BZ17" s="31">
        <f t="shared" si="28"/>
        <v>0</v>
      </c>
      <c r="CB17" s="31">
        <f t="shared" si="29"/>
        <v>0</v>
      </c>
      <c r="CD17" s="202">
        <f t="shared" si="30"/>
        <v>0</v>
      </c>
      <c r="CF17" s="202">
        <f t="shared" si="31"/>
        <v>0</v>
      </c>
      <c r="CH17" s="202">
        <f t="shared" si="32"/>
        <v>982.31977677473276</v>
      </c>
    </row>
    <row r="18" spans="1:86" x14ac:dyDescent="0.25">
      <c r="A18" s="26">
        <f t="shared" si="33"/>
        <v>2015</v>
      </c>
      <c r="B18" s="66">
        <f>INDEX((Proj_PasMob!$Q$6:$Q$46),MATCH(A18,Proj_PasMob!$M$6:M$46,0))</f>
        <v>10685868200.205055</v>
      </c>
      <c r="C18" s="119">
        <f>B18*Table1[Gasoline]%</f>
        <v>5869786100.5873041</v>
      </c>
      <c r="D18" s="123">
        <f>B18*Table1[[Diesel ]]%</f>
        <v>4810228002.5896473</v>
      </c>
      <c r="E18" s="121">
        <f>B18*Table1[LPG]%</f>
        <v>5854097.0281044282</v>
      </c>
      <c r="F18" s="66">
        <f t="shared" si="3"/>
        <v>0</v>
      </c>
      <c r="H18" s="31">
        <f>C18*Table2[Autocycle]%</f>
        <v>663947560.93049109</v>
      </c>
      <c r="I18" s="66">
        <f>C18*Table2[Motocycle]%</f>
        <v>432279378.61748272</v>
      </c>
      <c r="J18" s="66">
        <f>C18*Table2[cars]%</f>
        <v>4565948673.6080322</v>
      </c>
      <c r="K18" s="66">
        <f>C18*Table2[DPV]%</f>
        <v>148056783.0652234</v>
      </c>
      <c r="L18" s="66">
        <f>C18*Table2[Hybrid]%</f>
        <v>59553704.366075002</v>
      </c>
      <c r="M18" s="66">
        <f t="shared" si="4"/>
        <v>0</v>
      </c>
      <c r="P18" s="66">
        <f>D18*Table3[Cars]%</f>
        <v>406773290.54355985</v>
      </c>
      <c r="Q18" s="66">
        <f>D18*Table3[DPV]%</f>
        <v>586718846.87158</v>
      </c>
      <c r="R18" s="66">
        <f>D18*Table3[Buses]%</f>
        <v>3816735865.1745071</v>
      </c>
      <c r="S18" s="66">
        <f t="shared" si="5"/>
        <v>0</v>
      </c>
      <c r="W18" s="66">
        <f>E18*Table4[Cars]%</f>
        <v>5532986.220655662</v>
      </c>
      <c r="X18" s="66">
        <f>E18*Table4[DPV]%</f>
        <v>321110.80744876608</v>
      </c>
      <c r="Y18" s="66">
        <f t="shared" si="6"/>
        <v>0</v>
      </c>
      <c r="AB18" s="26">
        <f t="shared" si="34"/>
        <v>2015</v>
      </c>
      <c r="AD18" s="66">
        <f>H18*Table5[Autocycle]*0.01*$AD$7/1000</f>
        <v>11785.069206516215</v>
      </c>
      <c r="AE18" s="66">
        <f>I18*Table5[Motocycle]*0.01*$AD$7/1000</f>
        <v>9207.550764552383</v>
      </c>
      <c r="AF18" s="66">
        <f>J18*Table5[Car]*0.01*$AD$7/$AL$8/1000</f>
        <v>110904.49015105827</v>
      </c>
      <c r="AG18" s="66">
        <f>INDEX((EnergyCal!$E$43:$E$48),MATCH(AB18,EnergyCal!$A$43:$A$48,0))</f>
        <v>6607.0363499999994</v>
      </c>
      <c r="AH18" s="66">
        <f>L18*Table5[Car_Hbrid]*0.01*$AD$7/$AL$8/1000</f>
        <v>890.17115999817372</v>
      </c>
      <c r="AI18" s="66">
        <f>INDEX((EnergyCal!$I$43:$I$48),MATCH(AB18,EnergyCal!$A$43:$A$48,0))</f>
        <v>3067.8302799999947</v>
      </c>
      <c r="AJ18" s="66">
        <f>SUM(AD18:AI18)</f>
        <v>142462.14791212504</v>
      </c>
      <c r="AK18" s="66">
        <f>P18*Table5[Car_Dsl]*0.01*$AD$8/$AL$8/1000</f>
        <v>12738.426730179901</v>
      </c>
      <c r="AL18" s="66">
        <f>INDEX((EnergyCal!$C$70:$C$75),MATCH(AB18,EnergyCal!$A$70:$A$75,0))</f>
        <v>30799.921274999997</v>
      </c>
      <c r="AM18" s="66">
        <f>INDEX((EnergyCal!$D$70:$D$75),MATCH(AB18,EnergyCal!$A$70:$A$75,0))</f>
        <v>29164.962</v>
      </c>
      <c r="AN18" s="66">
        <f>INDEX((EnergyCal!$K$70:$K$75),MATCH(AB18,EnergyCal!$A$70:$A$75,0))</f>
        <v>93106.157905683358</v>
      </c>
      <c r="AO18" s="66">
        <f t="shared" si="8"/>
        <v>165809.46791086326</v>
      </c>
      <c r="AP18" s="66"/>
      <c r="AQ18" s="66">
        <f>INDEX((EnergyCal!$B$57:$B$62),MATCH(AB18,EnergyCal!$A$57:$A$62,0))</f>
        <v>134.66522160000002</v>
      </c>
      <c r="AR18" s="146">
        <f>INDEX((EnergyCal!$C$57:$C$62),MATCH(AB18,EnergyCal!$A$57:$A$62,0))</f>
        <v>13.827232575000002</v>
      </c>
      <c r="AS18" s="66">
        <f>INDEX((EnergyCal!$F$57:$F$62),MATCH(AB18,EnergyCal!$A$57:$A$62,0))</f>
        <v>3041.5075458249999</v>
      </c>
      <c r="AT18" s="66">
        <f t="shared" si="9"/>
        <v>3190</v>
      </c>
      <c r="AU18" s="31">
        <f t="shared" si="10"/>
        <v>31900</v>
      </c>
      <c r="AX18" s="148">
        <f t="shared" si="11"/>
        <v>311461.61582298833</v>
      </c>
      <c r="BB18" s="26">
        <f t="shared" si="35"/>
        <v>2015</v>
      </c>
      <c r="BC18" s="85">
        <f t="shared" si="12"/>
        <v>442.29368289389987</v>
      </c>
      <c r="BD18" s="85">
        <f t="shared" si="13"/>
        <v>0.21061603947328564</v>
      </c>
      <c r="BE18" s="85">
        <f t="shared" si="14"/>
        <v>2.0423373524682244E-2</v>
      </c>
      <c r="BF18" s="85">
        <f t="shared" si="15"/>
        <v>532.00465207604202</v>
      </c>
      <c r="BG18" s="85">
        <f t="shared" si="16"/>
        <v>2.8000244846107473E-2</v>
      </c>
      <c r="BH18" s="85">
        <f t="shared" si="17"/>
        <v>2.8000244846107473E-2</v>
      </c>
      <c r="BI18" s="85">
        <f t="shared" si="18"/>
        <v>10.5072858</v>
      </c>
      <c r="BJ18" s="85">
        <f t="shared" si="19"/>
        <v>1.0324116E-2</v>
      </c>
      <c r="BK18" s="85">
        <f t="shared" si="20"/>
        <v>3.3303600000000004E-5</v>
      </c>
      <c r="BL18">
        <f t="shared" si="21"/>
        <v>2015</v>
      </c>
      <c r="BM18" s="39">
        <f t="shared" si="22"/>
        <v>984.80562076994181</v>
      </c>
      <c r="BN18" s="39">
        <f t="shared" si="23"/>
        <v>0.2489404003193931</v>
      </c>
      <c r="BO18" s="39">
        <f t="shared" si="24"/>
        <v>4.8456921970789719E-2</v>
      </c>
      <c r="BP18" s="184">
        <f t="shared" si="25"/>
        <v>1005.4692935252219</v>
      </c>
      <c r="BR18" s="170">
        <f>Scenario1!BT18</f>
        <v>1005.4692935252219</v>
      </c>
      <c r="BS18" s="173">
        <f>Scenario2!BT18</f>
        <v>1005.4692935252219</v>
      </c>
      <c r="BT18" s="183">
        <f>Scenario3!BX18</f>
        <v>1005.4692935252219</v>
      </c>
      <c r="BU18" s="201">
        <f>'LRS4'!BP18</f>
        <v>1005.4692935252219</v>
      </c>
      <c r="BW18">
        <f t="shared" si="26"/>
        <v>2015</v>
      </c>
      <c r="BX18" s="31">
        <f t="shared" si="27"/>
        <v>0</v>
      </c>
      <c r="BZ18" s="31">
        <f t="shared" si="28"/>
        <v>0</v>
      </c>
      <c r="CB18" s="31">
        <f t="shared" si="29"/>
        <v>0</v>
      </c>
      <c r="CD18" s="202">
        <f t="shared" si="30"/>
        <v>0</v>
      </c>
      <c r="CF18" s="202">
        <f t="shared" si="31"/>
        <v>0</v>
      </c>
      <c r="CH18" s="202">
        <f t="shared" si="32"/>
        <v>1005.4692935252219</v>
      </c>
    </row>
    <row r="19" spans="1:86" x14ac:dyDescent="0.25">
      <c r="A19" s="26">
        <f t="shared" si="33"/>
        <v>2016</v>
      </c>
      <c r="B19" s="66">
        <f>INDEX((Proj_PasMob!$Q$6:$Q$46),MATCH(A19,Proj_PasMob!$M$6:M$46,0))</f>
        <v>10805486955.126375</v>
      </c>
      <c r="C19" s="119">
        <f>B19*Table1[Gasoline]%</f>
        <v>5935493115.8575516</v>
      </c>
      <c r="D19" s="123">
        <f>B19*Table1[[Diesel ]]%</f>
        <v>4864074210.8506098</v>
      </c>
      <c r="E19" s="121">
        <f>B19*Table1[LPG]%</f>
        <v>5919628.4182143128</v>
      </c>
      <c r="F19" s="66">
        <f t="shared" si="3"/>
        <v>0</v>
      </c>
      <c r="H19" s="31">
        <f>C19*Table2[Autocycle]%</f>
        <v>671379861.15014267</v>
      </c>
      <c r="I19" s="66">
        <f>C19*Table2[Motocycle]%</f>
        <v>437118360.35294837</v>
      </c>
      <c r="J19" s="66">
        <f>C19*Table2[cars]%</f>
        <v>4617060392.856185</v>
      </c>
      <c r="K19" s="66">
        <f>C19*Table2[DPV]%</f>
        <v>149714146.57711643</v>
      </c>
      <c r="L19" s="66">
        <f>C19*Table2[Hybrid]%</f>
        <v>60220354.921159104</v>
      </c>
      <c r="M19" s="66">
        <f t="shared" si="4"/>
        <v>0</v>
      </c>
      <c r="P19" s="66">
        <f>D19*Table3[Cars]%</f>
        <v>411326754.39305174</v>
      </c>
      <c r="Q19" s="66">
        <f>D19*Table3[DPV]%</f>
        <v>593286640.5816226</v>
      </c>
      <c r="R19" s="66">
        <f>D19*Table3[Buses]%</f>
        <v>3859460815.8759356</v>
      </c>
      <c r="S19" s="66">
        <f t="shared" si="5"/>
        <v>0</v>
      </c>
      <c r="W19" s="66">
        <f>E19*Table4[Cars]%</f>
        <v>5594923.0619409541</v>
      </c>
      <c r="X19" s="66">
        <f>E19*Table4[DPV]%</f>
        <v>324705.35627335892</v>
      </c>
      <c r="Y19" s="66">
        <f t="shared" si="6"/>
        <v>0</v>
      </c>
      <c r="AB19" s="26">
        <f t="shared" si="34"/>
        <v>2016</v>
      </c>
      <c r="AD19" s="66">
        <f>H19*Table5[Autocycle]*0.01*$AD$7/1000</f>
        <v>11916.992535415033</v>
      </c>
      <c r="AE19" s="66">
        <f>I19*Table5[Motocycle]*0.01*$AD$7/1000</f>
        <v>9310.6210755177999</v>
      </c>
      <c r="AF19" s="66">
        <f>J19*Table5[Car]*0.01*$AD$7/$AL$8/1000</f>
        <v>112145.96691069104</v>
      </c>
      <c r="AG19" s="66">
        <f>K19*Table5[DPV]*0.01*$AD$7/$AL$8/1000</f>
        <v>6433.7684568534514</v>
      </c>
      <c r="AH19" s="66">
        <f>L19*Table5[Car_Hbrid]*0.01*$AD$7/$AL$8/1000</f>
        <v>900.13583145311497</v>
      </c>
      <c r="AI19" s="66">
        <f>Freight!E11*$AG$8*$AI$8*$AD$7/1000</f>
        <v>3183.1175452134653</v>
      </c>
      <c r="AJ19" s="66">
        <f t="shared" ref="AJ19:AJ32" si="36">SUM(AD19:AI19)</f>
        <v>143890.6023551439</v>
      </c>
      <c r="AK19" s="66">
        <f>P19*Table5[Car_Dsl]*0.01*$AD$8/$AL$8/1000</f>
        <v>12881.022045466623</v>
      </c>
      <c r="AL19" s="66">
        <f>Q19*Table5[DPV_Dsl]*0.01*$AD$8/$AL$8/1000</f>
        <v>29992.200962034138</v>
      </c>
      <c r="AM19" s="66">
        <f>R19*Table5[Bus]*0.01*$AD$8/$AL$9/1000</f>
        <v>28400.11808939563</v>
      </c>
      <c r="AN19" s="66">
        <f>Freight!E11*$AG$9*$AI$9*$AD$8/1000</f>
        <v>96680.460183838222</v>
      </c>
      <c r="AO19" s="66">
        <f t="shared" si="8"/>
        <v>167953.80128073459</v>
      </c>
      <c r="AP19" s="66"/>
      <c r="AQ19" s="66">
        <f>W19*Table5[Car_LPG]*0.01*$AD$9/$AL$8/1000</f>
        <v>131.13365949095467</v>
      </c>
      <c r="AR19" s="66">
        <f>X19*Table5[DPV_LPG]*0.01*$AD$9/$AL$8/1000</f>
        <v>13.464616822731953</v>
      </c>
      <c r="AS19" s="31">
        <f>AS18*(1-$AT$11)</f>
        <v>2825.5605100714251</v>
      </c>
      <c r="AT19" s="66">
        <f t="shared" si="9"/>
        <v>2970.1587863851119</v>
      </c>
      <c r="AU19" s="31">
        <f t="shared" si="10"/>
        <v>29701.58786385112</v>
      </c>
      <c r="AX19" s="148">
        <f t="shared" si="11"/>
        <v>314814.56242226361</v>
      </c>
      <c r="BB19" s="26">
        <f t="shared" si="35"/>
        <v>2016</v>
      </c>
      <c r="BC19" s="85">
        <f t="shared" si="12"/>
        <v>446.72851969587396</v>
      </c>
      <c r="BD19" s="85">
        <f t="shared" si="13"/>
        <v>0.21272786652184469</v>
      </c>
      <c r="BE19" s="85">
        <f t="shared" si="14"/>
        <v>2.0628156753633428E-2</v>
      </c>
      <c r="BF19" s="85">
        <f t="shared" si="15"/>
        <v>538.88481002327535</v>
      </c>
      <c r="BG19" s="85">
        <f t="shared" si="16"/>
        <v>2.8362358422277648E-2</v>
      </c>
      <c r="BH19" s="85">
        <f t="shared" si="17"/>
        <v>2.8362358422277648E-2</v>
      </c>
      <c r="BI19" s="85">
        <f t="shared" si="18"/>
        <v>9.7831684137710084</v>
      </c>
      <c r="BJ19" s="85">
        <f t="shared" si="19"/>
        <v>9.6126218962567754E-3</v>
      </c>
      <c r="BK19" s="85">
        <f t="shared" si="20"/>
        <v>3.1008457729860564E-5</v>
      </c>
      <c r="BL19">
        <f t="shared" si="21"/>
        <v>2016</v>
      </c>
      <c r="BM19" s="39">
        <f t="shared" si="22"/>
        <v>995.39649813292033</v>
      </c>
      <c r="BN19" s="39">
        <f t="shared" si="23"/>
        <v>0.25070284684037913</v>
      </c>
      <c r="BO19" s="39">
        <f t="shared" si="24"/>
        <v>4.9021523633640936E-2</v>
      </c>
      <c r="BP19" s="184">
        <f t="shared" si="25"/>
        <v>1016.2724833467548</v>
      </c>
      <c r="BR19" s="170">
        <f>Scenario1!BT19</f>
        <v>1006.1097585132869</v>
      </c>
      <c r="BS19" s="173">
        <f>Scenario2!BT19</f>
        <v>1016.2724833467548</v>
      </c>
      <c r="BT19" s="183">
        <f>Scenario3!BX19</f>
        <v>1015.9016850454277</v>
      </c>
      <c r="BU19" s="201">
        <f>'LRS4'!BP19</f>
        <v>1016.2724833467548</v>
      </c>
      <c r="BW19">
        <f t="shared" si="26"/>
        <v>2016</v>
      </c>
      <c r="BX19" s="31">
        <f t="shared" si="27"/>
        <v>10.162724833467905</v>
      </c>
      <c r="BZ19" s="31">
        <f t="shared" si="28"/>
        <v>0</v>
      </c>
      <c r="CB19" s="31">
        <f t="shared" si="29"/>
        <v>0.37079830132711322</v>
      </c>
      <c r="CD19" s="202">
        <f t="shared" si="30"/>
        <v>0</v>
      </c>
      <c r="CF19" s="202">
        <f t="shared" si="31"/>
        <v>10.533523134795018</v>
      </c>
      <c r="CH19" s="202">
        <f t="shared" si="32"/>
        <v>1005.7389602119598</v>
      </c>
    </row>
    <row r="20" spans="1:86" x14ac:dyDescent="0.25">
      <c r="A20" s="26">
        <f t="shared" si="33"/>
        <v>2017</v>
      </c>
      <c r="B20" s="66">
        <f>INDEX((Proj_PasMob!$Q$6:$Q$46),MATCH(A20,Proj_PasMob!$M$6:M$46,0))</f>
        <v>10920457866.053516</v>
      </c>
      <c r="C20" s="119">
        <f>B20*Table1[Gasoline]%</f>
        <v>5998647053.5899153</v>
      </c>
      <c r="D20" s="123">
        <f>B20*Table1[[Diesel ]]%</f>
        <v>4915828198.9088163</v>
      </c>
      <c r="E20" s="121">
        <f>B20*Table1[LPG]%</f>
        <v>5982613.5547860069</v>
      </c>
      <c r="F20" s="66">
        <f t="shared" si="3"/>
        <v>0</v>
      </c>
      <c r="H20" s="31">
        <f>C20*Table2[Autocycle]%</f>
        <v>678523375.78628314</v>
      </c>
      <c r="I20" s="66">
        <f>C20*Table2[Motocycle]%</f>
        <v>441769321.13624877</v>
      </c>
      <c r="J20" s="66">
        <f>C20*Table2[cars]%</f>
        <v>4666186141.7814074</v>
      </c>
      <c r="K20" s="66">
        <f>C20*Table2[DPV]%</f>
        <v>151307112.43623346</v>
      </c>
      <c r="L20" s="66">
        <f>C20*Table2[Hybrid]%</f>
        <v>60861102.449742876</v>
      </c>
      <c r="M20" s="66">
        <f t="shared" si="4"/>
        <v>0</v>
      </c>
      <c r="P20" s="66">
        <f>D20*Table3[Cars]%</f>
        <v>415703291.22453982</v>
      </c>
      <c r="Q20" s="66">
        <f>D20*Table3[DPV]%</f>
        <v>599599239.52249801</v>
      </c>
      <c r="R20" s="66">
        <f>D20*Table3[Buses]%</f>
        <v>3900525668.1617785</v>
      </c>
      <c r="S20" s="66">
        <f t="shared" si="5"/>
        <v>0</v>
      </c>
      <c r="W20" s="66">
        <f>E20*Table4[Cars]%</f>
        <v>5654453.3176036524</v>
      </c>
      <c r="X20" s="66">
        <f>E20*Table4[DPV]%</f>
        <v>328160.23718235479</v>
      </c>
      <c r="Y20" s="66">
        <f t="shared" si="6"/>
        <v>0</v>
      </c>
      <c r="AB20" s="26">
        <f t="shared" si="34"/>
        <v>2017</v>
      </c>
      <c r="AD20" s="66">
        <f>H20*Table5[Autocycle]*0.01*$AD$7/1000</f>
        <v>12043.789920206525</v>
      </c>
      <c r="AE20" s="66">
        <f>I20*Table5[Motocycle]*0.01*$AD$7/1000</f>
        <v>9409.6865402020976</v>
      </c>
      <c r="AF20" s="66">
        <f>J20*Table5[Car]*0.01*$AD$7/$AL$8/1000</f>
        <v>113339.20549642734</v>
      </c>
      <c r="AG20" s="66">
        <f>K20*Table5[DPV]*0.01*$AD$7/$AL$8/1000</f>
        <v>6502.224068641297</v>
      </c>
      <c r="AH20" s="66">
        <f>L20*Table5[Car_Hbrid]*0.01*$AD$7/$AL$8/1000</f>
        <v>909.71332082773563</v>
      </c>
      <c r="AI20" s="66">
        <f>Freight!E12*$AG$8*$AI$8*$AD$7/1000</f>
        <v>3305.2707720748726</v>
      </c>
      <c r="AJ20" s="66">
        <f t="shared" si="36"/>
        <v>145509.89011837984</v>
      </c>
      <c r="AK20" s="66">
        <f>P20*Table5[Car_Dsl]*0.01*$AD$8/$AL$8/1000</f>
        <v>13018.076751505325</v>
      </c>
      <c r="AL20" s="66">
        <f>Q20*Table5[DPV_Dsl]*0.01*$AD$8/$AL$8/1000</f>
        <v>30311.319450597861</v>
      </c>
      <c r="AM20" s="66">
        <f>R20*Table5[Bus]*0.01*$AD$8/$AL$9/1000</f>
        <v>28702.296738144745</v>
      </c>
      <c r="AN20" s="66">
        <f>Freight!E12*$AG$9*$AI$9*$AD$8/1000</f>
        <v>100390.60598214857</v>
      </c>
      <c r="AO20" s="66">
        <f t="shared" si="8"/>
        <v>172422.2989223965</v>
      </c>
      <c r="AP20" s="66"/>
      <c r="AQ20" s="66">
        <f>W20*Table5[Car_LPG]*0.01*$AD$9/$AL$8/1000</f>
        <v>132.52892805659133</v>
      </c>
      <c r="AR20" s="66">
        <f>X20*Table5[DPV_LPG]*0.01*$AD$9/$AL$8/1000</f>
        <v>13.607881005810716</v>
      </c>
      <c r="AS20" s="31">
        <f t="shared" ref="AS20:AS53" si="37">AS19*(1-$AT$11)</f>
        <v>2624.9457138563539</v>
      </c>
      <c r="AT20" s="66">
        <f t="shared" si="9"/>
        <v>2771.0825229187558</v>
      </c>
      <c r="AU20" s="31">
        <f t="shared" si="10"/>
        <v>27710.825229187558</v>
      </c>
      <c r="AX20" s="148">
        <f t="shared" si="11"/>
        <v>320703.2715636951</v>
      </c>
      <c r="BB20" s="26">
        <f t="shared" si="35"/>
        <v>2017</v>
      </c>
      <c r="BC20" s="85">
        <f t="shared" si="12"/>
        <v>451.75582525712679</v>
      </c>
      <c r="BD20" s="85">
        <f t="shared" si="13"/>
        <v>0.21512182155101273</v>
      </c>
      <c r="BE20" s="85">
        <f t="shared" si="14"/>
        <v>2.0860297847370934E-2</v>
      </c>
      <c r="BF20" s="85">
        <f t="shared" si="15"/>
        <v>553.22211876147685</v>
      </c>
      <c r="BG20" s="85">
        <f t="shared" si="16"/>
        <v>2.9116953619025093E-2</v>
      </c>
      <c r="BH20" s="85">
        <f t="shared" si="17"/>
        <v>2.9116953619025093E-2</v>
      </c>
      <c r="BI20" s="85">
        <f t="shared" si="18"/>
        <v>9.1274470356402571</v>
      </c>
      <c r="BJ20" s="85">
        <f t="shared" si="19"/>
        <v>8.9683314771742614E-3</v>
      </c>
      <c r="BK20" s="85">
        <f t="shared" si="20"/>
        <v>2.8930101539271812E-5</v>
      </c>
      <c r="BL20">
        <f t="shared" si="21"/>
        <v>2017</v>
      </c>
      <c r="BM20" s="39">
        <f t="shared" si="22"/>
        <v>1014.1053910542439</v>
      </c>
      <c r="BN20" s="39">
        <f t="shared" si="23"/>
        <v>0.25320710664721208</v>
      </c>
      <c r="BO20" s="39">
        <f t="shared" si="24"/>
        <v>5.00061815679353E-2</v>
      </c>
      <c r="BP20" s="184">
        <f t="shared" si="25"/>
        <v>1035.3374108276689</v>
      </c>
      <c r="BR20" s="170">
        <f>Scenario1!BT20</f>
        <v>1024.9840367193922</v>
      </c>
      <c r="BS20" s="173">
        <f>Scenario2!BT20</f>
        <v>1035.3374108276689</v>
      </c>
      <c r="BT20" s="183">
        <f>Scenario3!BX20</f>
        <v>1034.5879236008068</v>
      </c>
      <c r="BU20" s="201">
        <f>'LRS4'!BP20</f>
        <v>1035.3374108276689</v>
      </c>
      <c r="BW20">
        <f t="shared" si="26"/>
        <v>2017</v>
      </c>
      <c r="BX20" s="31">
        <f t="shared" si="27"/>
        <v>10.353374108276739</v>
      </c>
      <c r="BZ20" s="31">
        <f t="shared" si="28"/>
        <v>0</v>
      </c>
      <c r="CB20" s="31">
        <f t="shared" si="29"/>
        <v>0.74948722686212932</v>
      </c>
      <c r="CD20" s="202">
        <f t="shared" si="30"/>
        <v>0</v>
      </c>
      <c r="CF20" s="202">
        <f t="shared" si="31"/>
        <v>11.102861335138869</v>
      </c>
      <c r="CH20" s="202">
        <f t="shared" si="32"/>
        <v>1024.23454949253</v>
      </c>
    </row>
    <row r="21" spans="1:86" x14ac:dyDescent="0.25">
      <c r="A21" s="26">
        <f t="shared" si="33"/>
        <v>2018</v>
      </c>
      <c r="B21" s="66">
        <f>INDEX((Proj_PasMob!$Q$6:$Q$46),MATCH(A21,Proj_PasMob!$M$6:M$46,0))</f>
        <v>11030662221.254807</v>
      </c>
      <c r="C21" s="119">
        <f>B21*Table1[Gasoline]%</f>
        <v>6059182705.0002804</v>
      </c>
      <c r="D21" s="123">
        <f>B21*Table1[[Diesel ]]%</f>
        <v>4965436528.8511982</v>
      </c>
      <c r="E21" s="121">
        <f>B21*Table1[LPG]%</f>
        <v>6042987.4033288565</v>
      </c>
      <c r="F21" s="66">
        <f t="shared" si="3"/>
        <v>0</v>
      </c>
      <c r="H21" s="31">
        <f>C21*Table2[Autocycle]%</f>
        <v>685370728.89498138</v>
      </c>
      <c r="I21" s="66">
        <f>C21*Table2[Motocycle]%</f>
        <v>446227458.67779541</v>
      </c>
      <c r="J21" s="66">
        <f>C21*Table2[cars]%</f>
        <v>4713275196.2250605</v>
      </c>
      <c r="K21" s="66">
        <f>C21*Table2[DPV]%</f>
        <v>152834035.8462159</v>
      </c>
      <c r="L21" s="66">
        <f>C21*Table2[Hybrid]%</f>
        <v>61475285.356227316</v>
      </c>
      <c r="M21" s="66">
        <f t="shared" si="4"/>
        <v>0</v>
      </c>
      <c r="P21" s="66">
        <f>D21*Table3[Cars]%</f>
        <v>419898382.10134846</v>
      </c>
      <c r="Q21" s="66">
        <f>D21*Table3[DPV]%</f>
        <v>605650125.70156252</v>
      </c>
      <c r="R21" s="66">
        <f>D21*Table3[Buses]%</f>
        <v>3939888021.0482869</v>
      </c>
      <c r="S21" s="66">
        <f t="shared" si="5"/>
        <v>0</v>
      </c>
      <c r="W21" s="66">
        <f>E21*Table4[Cars]%</f>
        <v>5711515.5204458386</v>
      </c>
      <c r="X21" s="66">
        <f>E21*Table4[DPV]%</f>
        <v>331471.88288301742</v>
      </c>
      <c r="Y21" s="66">
        <f t="shared" si="6"/>
        <v>0</v>
      </c>
      <c r="AB21" s="26">
        <f t="shared" si="34"/>
        <v>2018</v>
      </c>
      <c r="AD21" s="66">
        <f>H21*Table5[Autocycle]*0.01*$AD$7/1000</f>
        <v>12165.330437885919</v>
      </c>
      <c r="AE21" s="66">
        <f>I21*Table5[Motocycle]*0.01*$AD$7/1000</f>
        <v>9504.6448698370423</v>
      </c>
      <c r="AF21" s="66">
        <f>J21*Table5[Car]*0.01*$AD$7/$AL$8/1000</f>
        <v>114482.97384515083</v>
      </c>
      <c r="AG21" s="66">
        <f>K21*Table5[DPV]*0.01*$AD$7/$AL$8/1000</f>
        <v>6567.8415930755409</v>
      </c>
      <c r="AH21" s="66">
        <f>L21*Table5[Car_Hbrid]*0.01*$AD$7/$AL$8/1000</f>
        <v>918.89373900887165</v>
      </c>
      <c r="AI21" s="66">
        <f>Freight!E13*$AG$8*$AI$8*$AD$7/1000</f>
        <v>3432.0664811448746</v>
      </c>
      <c r="AJ21" s="66">
        <f t="shared" si="36"/>
        <v>147071.75096610308</v>
      </c>
      <c r="AK21" s="66">
        <f>P21*Table5[Car_Dsl]*0.01*$AD$8/$AL$8/1000</f>
        <v>13149.44933422644</v>
      </c>
      <c r="AL21" s="66">
        <f>Q21*Table5[DPV_Dsl]*0.01*$AD$8/$AL$8/1000</f>
        <v>30617.207670334257</v>
      </c>
      <c r="AM21" s="66">
        <f>R21*Table5[Bus]*0.01*$AD$8/$AL$9/1000</f>
        <v>28991.94742345675</v>
      </c>
      <c r="AN21" s="66">
        <f>Freight!E13*$AG$9*$AI$9*$AD$8/1000</f>
        <v>104241.75735438037</v>
      </c>
      <c r="AO21" s="66">
        <f t="shared" si="8"/>
        <v>177000.36178239781</v>
      </c>
      <c r="AP21" s="66"/>
      <c r="AQ21" s="66">
        <f>W21*Table5[Car_LPG]*0.01*$AD$9/$AL$8/1000</f>
        <v>133.86635046516955</v>
      </c>
      <c r="AR21" s="66">
        <f>X21*Table5[DPV_LPG]*0.01*$AD$9/$AL$8/1000</f>
        <v>13.74520562812009</v>
      </c>
      <c r="AS21" s="31">
        <f t="shared" si="37"/>
        <v>2438.574568172553</v>
      </c>
      <c r="AT21" s="66">
        <f t="shared" si="9"/>
        <v>2586.1861242658424</v>
      </c>
      <c r="AU21" s="31">
        <f t="shared" si="10"/>
        <v>25861.861242658422</v>
      </c>
      <c r="AX21" s="148">
        <f t="shared" si="11"/>
        <v>326658.29887276673</v>
      </c>
      <c r="BB21" s="26">
        <f t="shared" si="35"/>
        <v>2018</v>
      </c>
      <c r="BC21" s="85">
        <f t="shared" si="12"/>
        <v>456.60484091940225</v>
      </c>
      <c r="BD21" s="85">
        <f t="shared" si="13"/>
        <v>0.21743087662828675</v>
      </c>
      <c r="BE21" s="85">
        <f t="shared" si="14"/>
        <v>2.1084206218500535E-2</v>
      </c>
      <c r="BF21" s="85">
        <f t="shared" si="15"/>
        <v>567.91097078967675</v>
      </c>
      <c r="BG21" s="85">
        <f t="shared" si="16"/>
        <v>2.9890051094193511E-2</v>
      </c>
      <c r="BH21" s="85">
        <f t="shared" si="17"/>
        <v>2.9890051094193511E-2</v>
      </c>
      <c r="BI21" s="85">
        <f t="shared" si="18"/>
        <v>8.5184315798293149</v>
      </c>
      <c r="BJ21" s="85">
        <f t="shared" si="19"/>
        <v>8.3699327725739719E-3</v>
      </c>
      <c r="BK21" s="85">
        <f t="shared" si="20"/>
        <v>2.6999783137335397E-5</v>
      </c>
      <c r="BL21">
        <f t="shared" si="21"/>
        <v>2018</v>
      </c>
      <c r="BM21" s="39">
        <f t="shared" si="22"/>
        <v>1033.0342432889083</v>
      </c>
      <c r="BN21" s="39">
        <f t="shared" si="23"/>
        <v>0.25569086049505424</v>
      </c>
      <c r="BO21" s="39">
        <f t="shared" si="24"/>
        <v>5.1001257095831379E-2</v>
      </c>
      <c r="BP21" s="184">
        <f t="shared" si="25"/>
        <v>1054.6248894158423</v>
      </c>
      <c r="BR21" s="170">
        <f>Scenario1!BT21</f>
        <v>1044.0786405216838</v>
      </c>
      <c r="BS21" s="173">
        <f>Scenario2!BT21</f>
        <v>1028.4776603263094</v>
      </c>
      <c r="BT21" s="183">
        <f>Scenario3!BX21</f>
        <v>1053.4893133429252</v>
      </c>
      <c r="BU21" s="201">
        <f>'LRS4'!BP21</f>
        <v>1029.1465403325772</v>
      </c>
      <c r="BW21">
        <f t="shared" si="26"/>
        <v>2018</v>
      </c>
      <c r="BX21" s="31">
        <f t="shared" si="27"/>
        <v>10.546248894158452</v>
      </c>
      <c r="BZ21" s="31">
        <f t="shared" si="28"/>
        <v>26.147229089532857</v>
      </c>
      <c r="CB21" s="31">
        <f t="shared" si="29"/>
        <v>1.135576072917047</v>
      </c>
      <c r="CD21" s="202">
        <f t="shared" si="30"/>
        <v>25.47834908326513</v>
      </c>
      <c r="CF21" s="202">
        <f t="shared" si="31"/>
        <v>63.307403139873486</v>
      </c>
      <c r="CH21" s="202">
        <f t="shared" si="32"/>
        <v>991.3174862759688</v>
      </c>
    </row>
    <row r="22" spans="1:86" x14ac:dyDescent="0.25">
      <c r="A22" s="26">
        <f t="shared" si="33"/>
        <v>2019</v>
      </c>
      <c r="B22" s="66">
        <f>INDEX((Proj_PasMob!$Q$6:$Q$46),MATCH(A22,Proj_PasMob!$M$6:M$46,0))</f>
        <v>11136003379.607237</v>
      </c>
      <c r="C22" s="119">
        <f>B22*Table1[Gasoline]%</f>
        <v>6117046984.7697983</v>
      </c>
      <c r="D22" s="123">
        <f>B22*Table1[[Diesel ]]%</f>
        <v>5012855697.8170261</v>
      </c>
      <c r="E22" s="121">
        <f>B22*Table1[LPG]%</f>
        <v>6100697.0204132423</v>
      </c>
      <c r="F22" s="66">
        <f t="shared" si="3"/>
        <v>0</v>
      </c>
      <c r="H22" s="31">
        <f>C22*Table2[Autocycle]%</f>
        <v>691915915.85062313</v>
      </c>
      <c r="I22" s="66">
        <f>C22*Table2[Motocycle]%</f>
        <v>450488863.51849526</v>
      </c>
      <c r="J22" s="66">
        <f>C22*Table2[cars]%</f>
        <v>4758286262.5459404</v>
      </c>
      <c r="K22" s="66">
        <f>C22*Table2[DPV]%</f>
        <v>154293577.8074134</v>
      </c>
      <c r="L22" s="66">
        <f>C22*Table2[Hybrid]%</f>
        <v>62062365.047326267</v>
      </c>
      <c r="M22" s="66">
        <f t="shared" si="4"/>
        <v>0</v>
      </c>
      <c r="P22" s="66">
        <f>D22*Table3[Cars]%</f>
        <v>423908348.23698407</v>
      </c>
      <c r="Q22" s="66">
        <f>D22*Table3[DPV]%</f>
        <v>611433992.93618453</v>
      </c>
      <c r="R22" s="66">
        <f>D22*Table3[Buses]%</f>
        <v>3977513356.6438575</v>
      </c>
      <c r="S22" s="66">
        <f t="shared" si="5"/>
        <v>0</v>
      </c>
      <c r="W22" s="66">
        <f>E22*Table4[Cars]%</f>
        <v>5766059.6311078742</v>
      </c>
      <c r="X22" s="66">
        <f>E22*Table4[DPV]%</f>
        <v>334637.38930536772</v>
      </c>
      <c r="Y22" s="66">
        <f t="shared" si="6"/>
        <v>0</v>
      </c>
      <c r="AB22" s="26">
        <f t="shared" si="34"/>
        <v>2019</v>
      </c>
      <c r="AD22" s="66">
        <f>H22*Table5[Autocycle]*0.01*$AD$7/1000</f>
        <v>12281.50750634856</v>
      </c>
      <c r="AE22" s="66">
        <f>I22*Table5[Motocycle]*0.01*$AD$7/1000</f>
        <v>9595.4127929439492</v>
      </c>
      <c r="AF22" s="66">
        <f>J22*Table5[Car]*0.01*$AD$7/$AL$8/1000</f>
        <v>115576.26895605009</v>
      </c>
      <c r="AG22" s="66">
        <f>K22*Table5[DPV]*0.01*$AD$7/$AL$8/1000</f>
        <v>6630.5634884080555</v>
      </c>
      <c r="AH22" s="66">
        <f>L22*Table5[Car_Hbrid]*0.01*$AD$7/$AL$8/1000</f>
        <v>927.6690354442452</v>
      </c>
      <c r="AI22" s="66">
        <f>Freight!E14*$AG$8*$AI$8*$AD$7/1000</f>
        <v>3563.6810867473969</v>
      </c>
      <c r="AJ22" s="66">
        <f t="shared" si="36"/>
        <v>148575.10286594226</v>
      </c>
      <c r="AK22" s="66">
        <f>P22*Table5[Car_Dsl]*0.01*$AD$8/$AL$8/1000</f>
        <v>13275.024589526607</v>
      </c>
      <c r="AL22" s="66">
        <f>Q22*Table5[DPV_Dsl]*0.01*$AD$8/$AL$8/1000</f>
        <v>30909.597379747647</v>
      </c>
      <c r="AM22" s="66">
        <f>R22*Table5[Bus]*0.01*$AD$8/$AL$9/1000</f>
        <v>29268.816142960728</v>
      </c>
      <c r="AN22" s="66">
        <f>Freight!E14*$AG$9*$AI$9*$AD$8/1000</f>
        <v>108239.27251234255</v>
      </c>
      <c r="AO22" s="66">
        <f t="shared" si="8"/>
        <v>181692.71062457754</v>
      </c>
      <c r="AP22" s="66"/>
      <c r="AQ22" s="66">
        <f>W22*Table5[Car_LPG]*0.01*$AD$9/$AL$8/1000</f>
        <v>135.14475389549506</v>
      </c>
      <c r="AR22" s="66">
        <f>X22*Table5[DPV_LPG]*0.01*$AD$9/$AL$8/1000</f>
        <v>13.876470266055295</v>
      </c>
      <c r="AS22" s="31">
        <f t="shared" si="37"/>
        <v>2265.4357738323019</v>
      </c>
      <c r="AT22" s="66">
        <f t="shared" si="9"/>
        <v>2414.4569979938524</v>
      </c>
      <c r="AU22" s="31">
        <f t="shared" si="10"/>
        <v>24144.569979938526</v>
      </c>
      <c r="AX22" s="148">
        <f t="shared" si="11"/>
        <v>332682.27048851363</v>
      </c>
      <c r="BB22" s="26">
        <f t="shared" si="35"/>
        <v>2019</v>
      </c>
      <c r="BC22" s="85">
        <f t="shared" si="12"/>
        <v>461.27220736171893</v>
      </c>
      <c r="BD22" s="85">
        <f t="shared" si="13"/>
        <v>0.21965343207700899</v>
      </c>
      <c r="BE22" s="85">
        <f t="shared" si="14"/>
        <v>2.129972674686148E-2</v>
      </c>
      <c r="BF22" s="85">
        <f t="shared" si="15"/>
        <v>582.96651282027574</v>
      </c>
      <c r="BG22" s="85">
        <f t="shared" si="16"/>
        <v>3.0682448043172404E-2</v>
      </c>
      <c r="BH22" s="85">
        <f t="shared" si="17"/>
        <v>3.0682448043172404E-2</v>
      </c>
      <c r="BI22" s="85">
        <f t="shared" si="18"/>
        <v>7.9527867491321107</v>
      </c>
      <c r="BJ22" s="85">
        <f t="shared" si="19"/>
        <v>7.8141486283073037E-3</v>
      </c>
      <c r="BK22" s="85">
        <f t="shared" si="20"/>
        <v>2.5206931059055817E-5</v>
      </c>
      <c r="BL22">
        <f t="shared" si="21"/>
        <v>2019</v>
      </c>
      <c r="BM22" s="39">
        <f t="shared" si="22"/>
        <v>1052.1915069311269</v>
      </c>
      <c r="BN22" s="39">
        <f t="shared" si="23"/>
        <v>0.25815002874848869</v>
      </c>
      <c r="BO22" s="39">
        <f t="shared" si="24"/>
        <v>5.2007381721092941E-2</v>
      </c>
      <c r="BP22" s="184">
        <f t="shared" si="25"/>
        <v>1074.1434574027248</v>
      </c>
      <c r="BR22" s="170">
        <f>Scenario1!BT22</f>
        <v>1063.4020228286975</v>
      </c>
      <c r="BS22" s="173">
        <f>Scenario2!BT22</f>
        <v>1020.8440671391032</v>
      </c>
      <c r="BT22" s="183">
        <f>Scenario3!BX22</f>
        <v>1072.6148965321679</v>
      </c>
      <c r="BU22" s="201">
        <f>'LRS4'!BP22</f>
        <v>1048.6762521483056</v>
      </c>
      <c r="BW22">
        <f t="shared" si="26"/>
        <v>2019</v>
      </c>
      <c r="BX22" s="31">
        <f t="shared" si="27"/>
        <v>10.74143457402738</v>
      </c>
      <c r="BZ22" s="31">
        <f t="shared" si="28"/>
        <v>53.299390263621603</v>
      </c>
      <c r="CB22" s="31">
        <f t="shared" si="29"/>
        <v>1.5285608705569302</v>
      </c>
      <c r="CD22" s="202">
        <f t="shared" si="30"/>
        <v>25.467205254419241</v>
      </c>
      <c r="CF22" s="202">
        <f t="shared" si="31"/>
        <v>91.036590962625155</v>
      </c>
      <c r="CH22" s="202">
        <f t="shared" si="32"/>
        <v>983.10686644009968</v>
      </c>
    </row>
    <row r="23" spans="1:86" x14ac:dyDescent="0.25">
      <c r="A23" s="26">
        <f t="shared" si="33"/>
        <v>2020</v>
      </c>
      <c r="B23" s="66">
        <f>INDEX((Proj_PasMob!$Q$6:$Q$46),MATCH(A23,Proj_PasMob!$M$6:M$46,0))</f>
        <v>11226441524.739933</v>
      </c>
      <c r="C23" s="119">
        <f>B23*Table1[Gasoline]%</f>
        <v>6166724985.4073706</v>
      </c>
      <c r="D23" s="123">
        <f>B23*Table1[[Diesel ]]%</f>
        <v>5053566297.0934811</v>
      </c>
      <c r="E23" s="121">
        <f>B23*Table1[LPG]%</f>
        <v>6150242.2390823653</v>
      </c>
      <c r="F23" s="66">
        <f t="shared" si="3"/>
        <v>0</v>
      </c>
      <c r="H23" s="31">
        <f>C23*Table2[Autocycle]%</f>
        <v>697535130.38246429</v>
      </c>
      <c r="I23" s="66">
        <f>C23*Table2[Motocycle]%</f>
        <v>454147391.25333387</v>
      </c>
      <c r="J23" s="66">
        <f>C23*Table2[cars]%</f>
        <v>4796929442.5923014</v>
      </c>
      <c r="K23" s="66">
        <f>C23*Table2[DPV]%</f>
        <v>155546632.83147553</v>
      </c>
      <c r="L23" s="66">
        <f>C23*Table2[Hybrid]%</f>
        <v>62566388.34779571</v>
      </c>
      <c r="M23" s="66">
        <f t="shared" si="4"/>
        <v>0</v>
      </c>
      <c r="P23" s="66">
        <f>D23*Table3[Cars]%</f>
        <v>427351009.2540437</v>
      </c>
      <c r="Q23" s="66">
        <f>D23*Table3[DPV]%</f>
        <v>616399594.53554189</v>
      </c>
      <c r="R23" s="66">
        <f>D23*Table3[Buses]%</f>
        <v>4009815693.3038955</v>
      </c>
      <c r="S23" s="66">
        <f t="shared" si="5"/>
        <v>0</v>
      </c>
      <c r="W23" s="66">
        <f>E23*Table4[Cars]%</f>
        <v>5812887.1795546403</v>
      </c>
      <c r="X23" s="66">
        <f>E23*Table4[DPV]%</f>
        <v>337355.05952772463</v>
      </c>
      <c r="Y23" s="66">
        <f t="shared" si="6"/>
        <v>0</v>
      </c>
      <c r="AB23" s="26">
        <f t="shared" si="34"/>
        <v>2020</v>
      </c>
      <c r="AD23" s="66">
        <f>H23*Table5[Autocycle]*0.01*$AD$7/1000</f>
        <v>12381.248564288742</v>
      </c>
      <c r="AE23" s="66">
        <f>I23*Table5[Motocycle]*0.01*$AD$7/1000</f>
        <v>9673.3394336960118</v>
      </c>
      <c r="AF23" s="66">
        <f>J23*Table5[Car]*0.01*$AD$7/$AL$8/1000</f>
        <v>116514.89146086037</v>
      </c>
      <c r="AG23" s="66">
        <f>K23*Table5[DPV]*0.01*$AD$7/$AL$8/1000</f>
        <v>6684.4118793105135</v>
      </c>
      <c r="AH23" s="66">
        <f>L23*Table5[Car_Hbrid]*0.01*$AD$7/$AL$8/1000</f>
        <v>935.20285740915688</v>
      </c>
      <c r="AI23" s="66">
        <f>Freight!E15*$AG$8*$AI$8*$AD$7/1000</f>
        <v>3700.3341521094567</v>
      </c>
      <c r="AJ23" s="66">
        <f t="shared" si="36"/>
        <v>149889.42834767423</v>
      </c>
      <c r="AK23" s="66">
        <f>P23*Table5[Car_Dsl]*0.01*$AD$8/$AL$8/1000</f>
        <v>13382.834237166107</v>
      </c>
      <c r="AL23" s="66">
        <f>Q23*Table5[DPV_Dsl]*0.01*$AD$8/$AL$8/1000</f>
        <v>31160.621607967798</v>
      </c>
      <c r="AM23" s="66">
        <f>R23*Table5[Bus]*0.01*$AD$8/$AL$9/1000</f>
        <v>29506.515194583382</v>
      </c>
      <c r="AN23" s="66">
        <f>Freight!E15*$AG$9*$AI$9*$AD$8/1000</f>
        <v>112389.82022447552</v>
      </c>
      <c r="AO23" s="66">
        <f t="shared" si="8"/>
        <v>186439.79126419281</v>
      </c>
      <c r="AP23" s="66"/>
      <c r="AQ23" s="66">
        <f>W23*Table5[Car_LPG]*0.01*$AD$9/$AL$8/1000</f>
        <v>136.24229674368644</v>
      </c>
      <c r="AR23" s="66">
        <f>X23*Table5[DPV_LPG]*0.01*$AD$9/$AL$8/1000</f>
        <v>13.98916439778923</v>
      </c>
      <c r="AS23" s="31">
        <f t="shared" si="37"/>
        <v>2104.5898338902084</v>
      </c>
      <c r="AT23" s="66">
        <f t="shared" si="9"/>
        <v>2254.8212950316843</v>
      </c>
      <c r="AU23" s="31">
        <f t="shared" si="10"/>
        <v>22548.212950316843</v>
      </c>
      <c r="AX23" s="148">
        <f t="shared" si="11"/>
        <v>338584.04090689874</v>
      </c>
      <c r="BB23" s="26">
        <f t="shared" si="35"/>
        <v>2020</v>
      </c>
      <c r="BC23" s="85">
        <f t="shared" si="12"/>
        <v>465.35271482532329</v>
      </c>
      <c r="BD23" s="85">
        <f t="shared" si="13"/>
        <v>0.22159653086920153</v>
      </c>
      <c r="BE23" s="85">
        <f t="shared" si="14"/>
        <v>2.1488148447922576E-2</v>
      </c>
      <c r="BF23" s="85">
        <f t="shared" si="15"/>
        <v>598.19766346490042</v>
      </c>
      <c r="BG23" s="85">
        <f t="shared" si="16"/>
        <v>3.1484087550784232E-2</v>
      </c>
      <c r="BH23" s="85">
        <f t="shared" si="17"/>
        <v>3.1484087550784232E-2</v>
      </c>
      <c r="BI23" s="85">
        <f t="shared" si="18"/>
        <v>7.4269754780012613</v>
      </c>
      <c r="BJ23" s="85">
        <f t="shared" si="19"/>
        <v>7.2975036392405428E-3</v>
      </c>
      <c r="BK23" s="85">
        <f t="shared" si="20"/>
        <v>2.3540334320130782E-5</v>
      </c>
      <c r="BL23">
        <f t="shared" si="21"/>
        <v>2020</v>
      </c>
      <c r="BM23" s="39">
        <f t="shared" si="22"/>
        <v>1070.9773537682249</v>
      </c>
      <c r="BN23" s="39">
        <f t="shared" si="23"/>
        <v>0.26037812205922628</v>
      </c>
      <c r="BO23" s="39">
        <f t="shared" si="24"/>
        <v>5.2995776333026934E-2</v>
      </c>
      <c r="BP23" s="184">
        <f t="shared" si="25"/>
        <v>1093.2795481669477</v>
      </c>
      <c r="BR23" s="170">
        <f>Scenario1!BT23</f>
        <v>1082.3467526852783</v>
      </c>
      <c r="BS23" s="173">
        <f>Scenario2!BT23</f>
        <v>1038.9963921630306</v>
      </c>
      <c r="BT23" s="183">
        <f>Scenario3!BX23</f>
        <v>1084.5404460085256</v>
      </c>
      <c r="BU23" s="201">
        <f>'LRS4'!BP23</f>
        <v>1067.8234867413753</v>
      </c>
      <c r="BW23" s="141">
        <f t="shared" si="26"/>
        <v>2020</v>
      </c>
      <c r="BX23" s="60">
        <f t="shared" si="27"/>
        <v>10.932795481669473</v>
      </c>
      <c r="BY23" s="141"/>
      <c r="BZ23" s="60">
        <f t="shared" si="28"/>
        <v>54.283156003917156</v>
      </c>
      <c r="CA23" s="141"/>
      <c r="CB23" s="60">
        <f t="shared" si="29"/>
        <v>8.7391021584221562</v>
      </c>
      <c r="CC23" s="141"/>
      <c r="CD23" s="203">
        <f t="shared" si="30"/>
        <v>25.456061425572443</v>
      </c>
      <c r="CE23" s="141"/>
      <c r="CF23" s="203">
        <f t="shared" si="31"/>
        <v>99.411115069581228</v>
      </c>
      <c r="CG23" s="141"/>
      <c r="CH23" s="203">
        <f t="shared" si="32"/>
        <v>993.86843309736651</v>
      </c>
    </row>
    <row r="24" spans="1:86" x14ac:dyDescent="0.25">
      <c r="A24" s="26">
        <f t="shared" si="33"/>
        <v>2021</v>
      </c>
      <c r="B24" s="66">
        <f>INDEX((Proj_PasMob!$Q$6:$Q$46),MATCH(A24,Proj_PasMob!$M$6:M$46,0))</f>
        <v>11311365658.45142</v>
      </c>
      <c r="C24" s="119">
        <f>B24*Table1[Gasoline]%</f>
        <v>6213374119.6026182</v>
      </c>
      <c r="D24" s="123">
        <f>B24*Table1[[Diesel ]]%</f>
        <v>5091794772.1617794</v>
      </c>
      <c r="E24" s="121">
        <f>B24*Table1[LPG]%</f>
        <v>6196766.6870224234</v>
      </c>
      <c r="F24" s="66">
        <f t="shared" si="3"/>
        <v>0</v>
      </c>
      <c r="H24" s="31">
        <f>C24*Table2[Autocycle]%</f>
        <v>702811741.54643071</v>
      </c>
      <c r="I24" s="66">
        <f>C24*Table2[Motocycle]%</f>
        <v>457582858.64471757</v>
      </c>
      <c r="J24" s="66">
        <f>C24*Table2[cars]%</f>
        <v>4833216548.9286709</v>
      </c>
      <c r="K24" s="66">
        <f>C24*Table2[DPV]%</f>
        <v>156723289.12241521</v>
      </c>
      <c r="L24" s="66">
        <f>C24*Table2[Hybrid]%</f>
        <v>63039681.360384218</v>
      </c>
      <c r="M24" s="66">
        <f t="shared" si="4"/>
        <v>0</v>
      </c>
      <c r="P24" s="66">
        <f>D24*Table3[Cars]%</f>
        <v>430583771.31597143</v>
      </c>
      <c r="Q24" s="66">
        <f>D24*Table3[DPV]%</f>
        <v>621062443.53098571</v>
      </c>
      <c r="R24" s="66">
        <f>D24*Table3[Buses]%</f>
        <v>4040148557.3148222</v>
      </c>
      <c r="S24" s="66">
        <f t="shared" si="5"/>
        <v>0</v>
      </c>
      <c r="W24" s="66">
        <f>E24*Table4[Cars]%</f>
        <v>5856859.6535570584</v>
      </c>
      <c r="X24" s="66">
        <f>E24*Table4[DPV]%</f>
        <v>339907.03346536495</v>
      </c>
      <c r="Y24" s="66">
        <f t="shared" si="6"/>
        <v>0</v>
      </c>
      <c r="AB24" s="26">
        <f t="shared" si="34"/>
        <v>2021</v>
      </c>
      <c r="AD24" s="66">
        <f>H24*Table5[Autocycle]*0.01*$AD$7/1000</f>
        <v>12474.908412449146</v>
      </c>
      <c r="AE24" s="66">
        <f>I24*Table5[Motocycle]*0.01*$AD$7/1000</f>
        <v>9746.5148891324825</v>
      </c>
      <c r="AF24" s="66">
        <f>J24*Table5[Car]*0.01*$AD$7/$AL$8/1000</f>
        <v>117396.28617529378</v>
      </c>
      <c r="AG24" s="66">
        <f>K24*Table5[DPV]*0.01*$AD$7/$AL$8/1000</f>
        <v>6734.9771351816853</v>
      </c>
      <c r="AH24" s="66">
        <f>L24*Table5[Car_Hbrid]*0.01*$AD$7/$AL$8/1000</f>
        <v>942.27734243942723</v>
      </c>
      <c r="AI24" s="66">
        <f>Freight!E16*$AG$8*$AI$8*$AD$7/1000</f>
        <v>3842.1793086271005</v>
      </c>
      <c r="AJ24" s="66">
        <f t="shared" si="36"/>
        <v>151137.14326312361</v>
      </c>
      <c r="AK24" s="66">
        <f>P24*Table5[Car_Dsl]*0.01*$AD$8/$AL$8/1000</f>
        <v>13484.070733315946</v>
      </c>
      <c r="AL24" s="66">
        <f>Q24*Table5[DPV_Dsl]*0.01*$AD$8/$AL$8/1000</f>
        <v>31396.340895342728</v>
      </c>
      <c r="AM24" s="66">
        <f>R24*Table5[Bus]*0.01*$AD$8/$AL$9/1000</f>
        <v>29729.721741040925</v>
      </c>
      <c r="AN24" s="66">
        <f>Freight!E16*$AG$9*$AI$9*$AD$8/1000</f>
        <v>116698.066719361</v>
      </c>
      <c r="AO24" s="66">
        <f t="shared" si="8"/>
        <v>191308.20008906059</v>
      </c>
      <c r="AP24" s="66"/>
      <c r="AQ24" s="66">
        <f>W24*Table5[Car_LPG]*0.01*$AD$9/$AL$8/1000</f>
        <v>137.27292243218474</v>
      </c>
      <c r="AR24" s="66">
        <f>X24*Table5[DPV_LPG]*0.01*$AD$9/$AL$8/1000</f>
        <v>14.094987571161825</v>
      </c>
      <c r="AS24" s="31">
        <f t="shared" si="37"/>
        <v>1955.1639556840037</v>
      </c>
      <c r="AT24" s="66">
        <f t="shared" si="9"/>
        <v>2106.5318656873501</v>
      </c>
      <c r="AU24" s="31">
        <f t="shared" si="10"/>
        <v>21065.3186568735</v>
      </c>
      <c r="AX24" s="148">
        <f t="shared" si="11"/>
        <v>344551.87521787151</v>
      </c>
      <c r="BB24" s="26">
        <f t="shared" si="35"/>
        <v>2021</v>
      </c>
      <c r="BC24" s="85">
        <f t="shared" si="12"/>
        <v>469.22642046042404</v>
      </c>
      <c r="BD24" s="85">
        <f t="shared" si="13"/>
        <v>0.22344115260020189</v>
      </c>
      <c r="BE24" s="85">
        <f t="shared" si="14"/>
        <v>2.1667020858201397E-2</v>
      </c>
      <c r="BF24" s="85">
        <f t="shared" si="15"/>
        <v>613.81809923175354</v>
      </c>
      <c r="BG24" s="85">
        <f t="shared" si="16"/>
        <v>3.2306215749039656E-2</v>
      </c>
      <c r="BH24" s="85">
        <f t="shared" si="17"/>
        <v>3.2306215749039656E-2</v>
      </c>
      <c r="BI24" s="85">
        <f t="shared" si="18"/>
        <v>6.9385367898383068</v>
      </c>
      <c r="BJ24" s="85">
        <f t="shared" si="19"/>
        <v>6.8175797301105396E-3</v>
      </c>
      <c r="BK24" s="85">
        <f t="shared" si="20"/>
        <v>2.1992192677775934E-5</v>
      </c>
      <c r="BL24">
        <f t="shared" si="21"/>
        <v>2021</v>
      </c>
      <c r="BM24" s="39">
        <f t="shared" si="22"/>
        <v>1089.9830564820159</v>
      </c>
      <c r="BN24" s="39">
        <f t="shared" si="23"/>
        <v>0.2625649480793521</v>
      </c>
      <c r="BO24" s="39">
        <f t="shared" si="24"/>
        <v>5.3995228799918832E-2</v>
      </c>
      <c r="BP24" s="184">
        <f t="shared" si="25"/>
        <v>1112.6377583663755</v>
      </c>
      <c r="BR24" s="170">
        <f>Scenario1!BT24</f>
        <v>1095.9481919908796</v>
      </c>
      <c r="BS24" s="173">
        <f>Scenario2!BT24</f>
        <v>1057.3616469458818</v>
      </c>
      <c r="BT24" s="183">
        <f>Scenario3!BX24</f>
        <v>1101.1167463331853</v>
      </c>
      <c r="BU24" s="201">
        <f>'LRS4'!BP24</f>
        <v>1087.1928407696496</v>
      </c>
      <c r="BW24">
        <f t="shared" si="26"/>
        <v>2021</v>
      </c>
      <c r="BX24" s="31">
        <f t="shared" si="27"/>
        <v>16.689566375495815</v>
      </c>
      <c r="BZ24" s="31">
        <f t="shared" si="28"/>
        <v>55.276111420493635</v>
      </c>
      <c r="CB24" s="31">
        <f t="shared" si="29"/>
        <v>11.521012033190118</v>
      </c>
      <c r="CD24" s="202">
        <f t="shared" si="30"/>
        <v>25.444917596725872</v>
      </c>
      <c r="CF24" s="202">
        <f t="shared" si="31"/>
        <v>108.93160742590544</v>
      </c>
      <c r="CH24" s="202">
        <f t="shared" si="32"/>
        <v>1003.70615094047</v>
      </c>
    </row>
    <row r="25" spans="1:86" x14ac:dyDescent="0.25">
      <c r="A25" s="26">
        <f t="shared" si="33"/>
        <v>2022</v>
      </c>
      <c r="B25" s="66">
        <f>INDEX((Proj_PasMob!$Q$6:$Q$46),MATCH(A25,Proj_PasMob!$M$6:M$46,0))</f>
        <v>11390768424.65041</v>
      </c>
      <c r="C25" s="119">
        <f>B25*Table1[Gasoline]%</f>
        <v>6256990346.6279593</v>
      </c>
      <c r="D25" s="123">
        <f>B25*Table1[[Diesel ]]%</f>
        <v>5127537811.6881447</v>
      </c>
      <c r="E25" s="121">
        <f>B25*Table1[LPG]%</f>
        <v>6240266.3343061004</v>
      </c>
      <c r="F25" s="66">
        <f t="shared" si="3"/>
        <v>0</v>
      </c>
      <c r="H25" s="31">
        <f>C25*Table2[Autocycle]%</f>
        <v>707745292.28477323</v>
      </c>
      <c r="I25" s="66">
        <f>C25*Table2[Motocycle]%</f>
        <v>460794968.11396503</v>
      </c>
      <c r="J25" s="66">
        <f>C25*Table2[cars]%</f>
        <v>4867144438.3817835</v>
      </c>
      <c r="K25" s="66">
        <f>C25*Table2[DPV]%</f>
        <v>157823444.75877959</v>
      </c>
      <c r="L25" s="66">
        <f>C25*Table2[Hybrid]%</f>
        <v>63482203.088658251</v>
      </c>
      <c r="M25" s="66">
        <f t="shared" si="4"/>
        <v>0</v>
      </c>
      <c r="P25" s="66">
        <f>D25*Table3[Cars]%</f>
        <v>433606354.40233254</v>
      </c>
      <c r="Q25" s="66">
        <f>D25*Table3[DPV]%</f>
        <v>625422136.02857709</v>
      </c>
      <c r="R25" s="66">
        <f>D25*Table3[Buses]%</f>
        <v>4068509321.2572351</v>
      </c>
      <c r="S25" s="66">
        <f t="shared" si="5"/>
        <v>0</v>
      </c>
      <c r="W25" s="66">
        <f>E25*Table4[Cars]%</f>
        <v>5897973.2442386774</v>
      </c>
      <c r="X25" s="66">
        <f>E25*Table4[DPV]%</f>
        <v>342293.09006742318</v>
      </c>
      <c r="Y25" s="66">
        <f t="shared" si="6"/>
        <v>0</v>
      </c>
      <c r="AB25" s="26">
        <f t="shared" si="34"/>
        <v>2022</v>
      </c>
      <c r="AD25" s="66">
        <f>H25*Table5[Autocycle]*0.01*$AD$7/1000</f>
        <v>12562.478938054726</v>
      </c>
      <c r="AE25" s="66">
        <f>I25*Table5[Motocycle]*0.01*$AD$7/1000</f>
        <v>9814.9328208274546</v>
      </c>
      <c r="AF25" s="66">
        <f>J25*Table5[Car]*0.01*$AD$7/$AL$8/1000</f>
        <v>118220.37675332595</v>
      </c>
      <c r="AG25" s="66">
        <f>K25*Table5[DPV]*0.01*$AD$7/$AL$8/1000</f>
        <v>6782.2548760812388</v>
      </c>
      <c r="AH25" s="66">
        <f>L25*Table5[Car_Hbrid]*0.01*$AD$7/$AL$8/1000</f>
        <v>948.89187774626021</v>
      </c>
      <c r="AI25" s="66">
        <f>Freight!E17*$AG$8*$AI$8*$AD$7/1000</f>
        <v>3989.4138557642418</v>
      </c>
      <c r="AJ25" s="66">
        <f t="shared" si="36"/>
        <v>152318.3491217999</v>
      </c>
      <c r="AK25" s="66">
        <f>P25*Table5[Car_Dsl]*0.01*$AD$8/$AL$8/1000</f>
        <v>13578.725308915151</v>
      </c>
      <c r="AL25" s="66">
        <f>Q25*Table5[DPV_Dsl]*0.01*$AD$8/$AL$8/1000</f>
        <v>31616.734823970964</v>
      </c>
      <c r="AM25" s="66">
        <f>R25*Table5[Bus]*0.01*$AD$8/$AL$9/1000</f>
        <v>29938.416448280022</v>
      </c>
      <c r="AN25" s="66">
        <f>Freight!E17*$AG$9*$AI$9*$AD$8/1000</f>
        <v>121170.0045507436</v>
      </c>
      <c r="AO25" s="66">
        <f t="shared" si="8"/>
        <v>196303.88113190973</v>
      </c>
      <c r="AP25" s="66"/>
      <c r="AQ25" s="66">
        <f>W25*Table5[Car_LPG]*0.01*$AD$9/$AL$8/1000</f>
        <v>138.23654168864394</v>
      </c>
      <c r="AR25" s="66">
        <f>X25*Table5[DPV_LPG]*0.01*$AD$9/$AL$8/1000</f>
        <v>14.193930619816113</v>
      </c>
      <c r="AS25" s="31">
        <f t="shared" si="37"/>
        <v>1816.3473148304395</v>
      </c>
      <c r="AT25" s="66">
        <f t="shared" si="9"/>
        <v>1968.7777871388996</v>
      </c>
      <c r="AU25" s="31">
        <f t="shared" si="10"/>
        <v>19687.777871388997</v>
      </c>
      <c r="AX25" s="148">
        <f t="shared" si="11"/>
        <v>350591.00804084854</v>
      </c>
      <c r="BB25" s="26">
        <f t="shared" si="35"/>
        <v>2022</v>
      </c>
      <c r="BC25" s="85">
        <f t="shared" si="12"/>
        <v>472.89363941750486</v>
      </c>
      <c r="BD25" s="85">
        <f t="shared" si="13"/>
        <v>0.22518744734166893</v>
      </c>
      <c r="BE25" s="85">
        <f t="shared" si="14"/>
        <v>2.183635853010123E-2</v>
      </c>
      <c r="BF25" s="85">
        <f t="shared" si="15"/>
        <v>629.84689172816627</v>
      </c>
      <c r="BG25" s="85">
        <f t="shared" si="16"/>
        <v>3.3149836406745591E-2</v>
      </c>
      <c r="BH25" s="85">
        <f t="shared" si="17"/>
        <v>3.3149836406745591E-2</v>
      </c>
      <c r="BI25" s="85">
        <f t="shared" si="18"/>
        <v>6.4847996508338506</v>
      </c>
      <c r="BJ25" s="85">
        <f t="shared" si="19"/>
        <v>6.3717524302963346E-3</v>
      </c>
      <c r="BK25" s="85">
        <f t="shared" si="20"/>
        <v>2.0554040097730112E-5</v>
      </c>
      <c r="BL25">
        <f t="shared" si="21"/>
        <v>2022</v>
      </c>
      <c r="BM25" s="39">
        <f t="shared" si="22"/>
        <v>1109.225330796505</v>
      </c>
      <c r="BN25" s="39">
        <f t="shared" si="23"/>
        <v>0.26470903617871089</v>
      </c>
      <c r="BO25" s="39">
        <f t="shared" si="24"/>
        <v>5.5006748976944554E-2</v>
      </c>
      <c r="BP25" s="184">
        <f t="shared" si="25"/>
        <v>1132.2350678961022</v>
      </c>
      <c r="BR25" s="170">
        <f>Scenario1!BT25</f>
        <v>1115.2515418776607</v>
      </c>
      <c r="BS25" s="173">
        <f>Scenario2!BT25</f>
        <v>1075.9558254295741</v>
      </c>
      <c r="BT25" s="183">
        <f>Scenario3!BX25</f>
        <v>1117.9133712299149</v>
      </c>
      <c r="BU25" s="201">
        <f>'LRS4'!BP25</f>
        <v>1106.8012941282225</v>
      </c>
      <c r="BW25">
        <f t="shared" si="26"/>
        <v>2022</v>
      </c>
      <c r="BX25" s="31">
        <f t="shared" si="27"/>
        <v>16.98352601844158</v>
      </c>
      <c r="BZ25" s="31">
        <f t="shared" si="28"/>
        <v>56.279242466528103</v>
      </c>
      <c r="CB25" s="31">
        <f t="shared" si="29"/>
        <v>14.321696666187336</v>
      </c>
      <c r="CD25" s="202">
        <f t="shared" si="30"/>
        <v>25.433773767879757</v>
      </c>
      <c r="CF25" s="202">
        <f t="shared" si="31"/>
        <v>113.01823891903678</v>
      </c>
      <c r="CH25" s="202">
        <f t="shared" si="32"/>
        <v>1019.2168289770655</v>
      </c>
    </row>
    <row r="26" spans="1:86" x14ac:dyDescent="0.25">
      <c r="A26" s="26">
        <f t="shared" si="33"/>
        <v>2023</v>
      </c>
      <c r="B26" s="66">
        <f>INDEX((Proj_PasMob!$Q$6:$Q$46),MATCH(A26,Proj_PasMob!$M$6:M$46,0))</f>
        <v>11464670555.718056</v>
      </c>
      <c r="C26" s="119">
        <f>B26*Table1[Gasoline]%</f>
        <v>6297585054.8554411</v>
      </c>
      <c r="D26" s="123">
        <f>B26*Table1[[Diesel ]]%</f>
        <v>5160804748.3237495</v>
      </c>
      <c r="E26" s="121">
        <f>B26*Table1[LPG]%</f>
        <v>6280752.5388660058</v>
      </c>
      <c r="F26" s="66">
        <f t="shared" si="3"/>
        <v>0</v>
      </c>
      <c r="H26" s="31">
        <f>C26*Table2[Autocycle]%</f>
        <v>712337070.76740396</v>
      </c>
      <c r="I26" s="66">
        <f>C26*Table2[Motocycle]%</f>
        <v>463784558.35575902</v>
      </c>
      <c r="J26" s="66">
        <f>C26*Table2[cars]%</f>
        <v>4898721969.6598358</v>
      </c>
      <c r="K26" s="66">
        <f>C26*Table2[DPV]%</f>
        <v>158847386.99562377</v>
      </c>
      <c r="L26" s="66">
        <f>C26*Table2[Hybrid]%</f>
        <v>63894069.076818302</v>
      </c>
      <c r="M26" s="66">
        <f t="shared" si="4"/>
        <v>0</v>
      </c>
      <c r="P26" s="66">
        <f>D26*Table3[Cars]%</f>
        <v>436419547.72171032</v>
      </c>
      <c r="Q26" s="66">
        <f>D26*Table3[DPV]%</f>
        <v>629479810.36153686</v>
      </c>
      <c r="R26" s="66">
        <f>D26*Table3[Buses]%</f>
        <v>4094905390.2405024</v>
      </c>
      <c r="S26" s="66">
        <f t="shared" si="5"/>
        <v>0</v>
      </c>
      <c r="W26" s="66">
        <f>E26*Table4[Cars]%</f>
        <v>5936238.6865231451</v>
      </c>
      <c r="X26" s="66">
        <f>E26*Table4[DPV]%</f>
        <v>344513.85234286106</v>
      </c>
      <c r="Y26" s="66">
        <f t="shared" si="6"/>
        <v>0</v>
      </c>
      <c r="AB26" s="26">
        <f t="shared" si="34"/>
        <v>2023</v>
      </c>
      <c r="AD26" s="66">
        <f>H26*Table5[Autocycle]*0.01*$AD$7/1000</f>
        <v>12643.98300612142</v>
      </c>
      <c r="AE26" s="66">
        <f>I26*Table5[Motocycle]*0.01*$AD$7/1000</f>
        <v>9878.6110929776678</v>
      </c>
      <c r="AF26" s="66">
        <f>J26*Table5[Car]*0.01*$AD$7/$AL$8/1000</f>
        <v>118987.37836831654</v>
      </c>
      <c r="AG26" s="66">
        <f>K26*Table5[DPV]*0.01*$AD$7/$AL$8/1000</f>
        <v>6826.2574464172012</v>
      </c>
      <c r="AH26" s="66">
        <f>L26*Table5[Car_Hbrid]*0.01*$AD$7/$AL$8/1000</f>
        <v>955.04819041138944</v>
      </c>
      <c r="AI26" s="66">
        <f>Freight!E18*$AG$8*$AI$8*$AD$7/1000</f>
        <v>4142.2425903644207</v>
      </c>
      <c r="AJ26" s="66">
        <f t="shared" si="36"/>
        <v>153433.52069460863</v>
      </c>
      <c r="AK26" s="66">
        <f>P26*Table5[Car_Dsl]*0.01*$AD$8/$AL$8/1000</f>
        <v>13666.82267865356</v>
      </c>
      <c r="AL26" s="66">
        <f>Q26*Table5[DPV_Dsl]*0.01*$AD$8/$AL$8/1000</f>
        <v>31821.86093959244</v>
      </c>
      <c r="AM26" s="66">
        <f>R26*Table5[Bus]*0.01*$AD$8/$AL$9/1000</f>
        <v>30132.653807326893</v>
      </c>
      <c r="AN26" s="66">
        <f>Freight!E18*$AG$9*$AI$9*$AD$8/1000</f>
        <v>125811.85398941019</v>
      </c>
      <c r="AO26" s="66">
        <f t="shared" si="8"/>
        <v>201433.19141498307</v>
      </c>
      <c r="AP26" s="66"/>
      <c r="AQ26" s="66">
        <f>W26*Table5[Car_LPG]*0.01*$AD$9/$AL$8/1000</f>
        <v>139.13340611792196</v>
      </c>
      <c r="AR26" s="66">
        <f>X26*Table5[DPV_LPG]*0.01*$AD$9/$AL$8/1000</f>
        <v>14.286019378179482</v>
      </c>
      <c r="AS26" s="31">
        <f t="shared" si="37"/>
        <v>1687.3866554774784</v>
      </c>
      <c r="AT26" s="66">
        <f t="shared" si="9"/>
        <v>1840.8060809735798</v>
      </c>
      <c r="AU26" s="31">
        <f t="shared" si="10"/>
        <v>18408.060809735798</v>
      </c>
      <c r="AX26" s="148">
        <f t="shared" si="11"/>
        <v>356707.51819056529</v>
      </c>
      <c r="BB26" s="26">
        <f t="shared" si="35"/>
        <v>2023</v>
      </c>
      <c r="BC26" s="85">
        <f t="shared" si="12"/>
        <v>476.35584568930972</v>
      </c>
      <c r="BD26" s="85">
        <f t="shared" si="13"/>
        <v>0.22683611699490935</v>
      </c>
      <c r="BE26" s="85">
        <f t="shared" si="14"/>
        <v>2.1996229526779088E-2</v>
      </c>
      <c r="BF26" s="85">
        <f t="shared" si="15"/>
        <v>646.30443765071561</v>
      </c>
      <c r="BG26" s="85">
        <f t="shared" si="16"/>
        <v>3.4016023034248187E-2</v>
      </c>
      <c r="BH26" s="85">
        <f t="shared" si="17"/>
        <v>3.4016023034248187E-2</v>
      </c>
      <c r="BI26" s="85">
        <f t="shared" si="18"/>
        <v>6.0632838856323961</v>
      </c>
      <c r="BJ26" s="85">
        <f t="shared" si="19"/>
        <v>5.957584800462894E-3</v>
      </c>
      <c r="BK26" s="85">
        <f t="shared" si="20"/>
        <v>1.9218015485364172E-5</v>
      </c>
      <c r="BL26">
        <f t="shared" si="21"/>
        <v>2023</v>
      </c>
      <c r="BM26" s="39">
        <f t="shared" si="22"/>
        <v>1128.7235672256577</v>
      </c>
      <c r="BN26" s="39">
        <f t="shared" si="23"/>
        <v>0.2668097248296204</v>
      </c>
      <c r="BO26" s="39">
        <f t="shared" si="24"/>
        <v>5.6031470576512643E-2</v>
      </c>
      <c r="BP26" s="184">
        <f t="shared" si="25"/>
        <v>1152.0911885781989</v>
      </c>
      <c r="BR26" s="170">
        <f>Scenario1!BT26</f>
        <v>1134.8098207495259</v>
      </c>
      <c r="BS26" s="173">
        <f>Scenario2!BT26</f>
        <v>1094.7975266730018</v>
      </c>
      <c r="BT26" s="183">
        <f>Scenario3!BX26</f>
        <v>1134.9520783401972</v>
      </c>
      <c r="BU26" s="201">
        <f>'LRS4'!BP26</f>
        <v>1126.6685586391659</v>
      </c>
      <c r="BW26">
        <f t="shared" si="26"/>
        <v>2023</v>
      </c>
      <c r="BX26" s="31">
        <f t="shared" si="27"/>
        <v>17.281367828672956</v>
      </c>
      <c r="BZ26" s="31">
        <f t="shared" si="28"/>
        <v>57.293661905197041</v>
      </c>
      <c r="CB26" s="31">
        <f t="shared" si="29"/>
        <v>17.139110238001649</v>
      </c>
      <c r="CD26" s="202">
        <f t="shared" si="30"/>
        <v>25.422629939032959</v>
      </c>
      <c r="CF26" s="202">
        <f t="shared" si="31"/>
        <v>117.1367699109046</v>
      </c>
      <c r="CH26" s="202">
        <f t="shared" si="32"/>
        <v>1034.9544186672942</v>
      </c>
    </row>
    <row r="27" spans="1:86" x14ac:dyDescent="0.25">
      <c r="A27" s="26">
        <f t="shared" si="33"/>
        <v>2024</v>
      </c>
      <c r="B27" s="66">
        <f>INDEX((Proj_PasMob!$Q$6:$Q$46),MATCH(A27,Proj_PasMob!$M$6:M$46,0))</f>
        <v>11533120767.919504</v>
      </c>
      <c r="C27" s="119">
        <f>B27*Table1[Gasoline]%</f>
        <v>6335185004.305932</v>
      </c>
      <c r="D27" s="123">
        <f>B27*Table1[[Diesel ]]%</f>
        <v>5191617511.6243763</v>
      </c>
      <c r="E27" s="121">
        <f>B27*Table1[LPG]%</f>
        <v>6318251.9891974181</v>
      </c>
      <c r="F27" s="66">
        <f t="shared" si="3"/>
        <v>0</v>
      </c>
      <c r="H27" s="31">
        <f>C27*Table2[Autocycle]%</f>
        <v>716590103.89347744</v>
      </c>
      <c r="I27" s="66">
        <f>C27*Table2[Motocycle]%</f>
        <v>466553600.10719198</v>
      </c>
      <c r="J27" s="66">
        <f>C27*Table2[cars]%</f>
        <v>4927969958.6630507</v>
      </c>
      <c r="K27" s="66">
        <f>C27*Table2[DPV]%</f>
        <v>159795790.81539801</v>
      </c>
      <c r="L27" s="66">
        <f>C27*Table2[Hybrid]%</f>
        <v>64275550.826814242</v>
      </c>
      <c r="M27" s="66">
        <f t="shared" si="4"/>
        <v>0</v>
      </c>
      <c r="P27" s="66">
        <f>D27*Table3[Cars]%</f>
        <v>439025205.73039263</v>
      </c>
      <c r="Q27" s="66">
        <f>D27*Table3[DPV]%</f>
        <v>633238141.34770584</v>
      </c>
      <c r="R27" s="66">
        <f>D27*Table3[Buses]%</f>
        <v>4119354164.5462775</v>
      </c>
      <c r="S27" s="66">
        <f t="shared" si="5"/>
        <v>0</v>
      </c>
      <c r="W27" s="66">
        <f>E27*Table4[Cars]%</f>
        <v>5971681.2049798379</v>
      </c>
      <c r="X27" s="66">
        <f>E27*Table4[DPV]%</f>
        <v>346570.78421757987</v>
      </c>
      <c r="Y27" s="66">
        <f t="shared" si="6"/>
        <v>0</v>
      </c>
      <c r="AB27" s="26">
        <f t="shared" si="34"/>
        <v>2024</v>
      </c>
      <c r="AD27" s="66">
        <f>H27*Table5[Autocycle]*0.01*$AD$7/1000</f>
        <v>12719.474344109225</v>
      </c>
      <c r="AE27" s="66">
        <f>I27*Table5[Motocycle]*0.01*$AD$7/1000</f>
        <v>9937.5916822831896</v>
      </c>
      <c r="AF27" s="66">
        <f>J27*Table5[Car]*0.01*$AD$7/$AL$8/1000</f>
        <v>119697.79662752622</v>
      </c>
      <c r="AG27" s="66">
        <f>K27*Table5[DPV]*0.01*$AD$7/$AL$8/1000</f>
        <v>6867.0138526722349</v>
      </c>
      <c r="AH27" s="66">
        <f>L27*Table5[Car_Hbrid]*0.01*$AD$7/$AL$8/1000</f>
        <v>960.75033867448667</v>
      </c>
      <c r="AI27" s="66">
        <f>Freight!E19*$AG$8*$AI$8*$AD$7/1000</f>
        <v>4300.8780915512325</v>
      </c>
      <c r="AJ27" s="66">
        <f t="shared" si="36"/>
        <v>154483.50493681658</v>
      </c>
      <c r="AK27" s="66">
        <f>P27*Table5[Car_Dsl]*0.01*$AD$8/$AL$8/1000</f>
        <v>13748.420916293877</v>
      </c>
      <c r="AL27" s="66">
        <f>Q27*Table5[DPV_Dsl]*0.01*$AD$8/$AL$8/1000</f>
        <v>32011.854461287974</v>
      </c>
      <c r="AM27" s="66">
        <f>R27*Table5[Bus]*0.01*$AD$8/$AL$9/1000</f>
        <v>30312.561859396967</v>
      </c>
      <c r="AN27" s="66">
        <f>Freight!E19*$AG$9*$AI$9*$AD$8/1000</f>
        <v>130630.07167643761</v>
      </c>
      <c r="AO27" s="66">
        <f t="shared" si="8"/>
        <v>206702.90891341644</v>
      </c>
      <c r="AP27" s="66"/>
      <c r="AQ27" s="66">
        <f>W27*Table5[Car_LPG]*0.01*$AD$9/$AL$8/1000</f>
        <v>139.96410693281209</v>
      </c>
      <c r="AR27" s="66">
        <f>X27*Table5[DPV_LPG]*0.01*$AD$9/$AL$8/1000</f>
        <v>14.371314551136951</v>
      </c>
      <c r="AS27" s="31">
        <f t="shared" si="37"/>
        <v>1567.5822029385774</v>
      </c>
      <c r="AT27" s="66">
        <f t="shared" si="9"/>
        <v>1721.9176244225264</v>
      </c>
      <c r="AU27" s="31">
        <f t="shared" si="10"/>
        <v>17219.176244225266</v>
      </c>
      <c r="AX27" s="148">
        <f t="shared" si="11"/>
        <v>362908.33147465554</v>
      </c>
      <c r="BB27" s="26">
        <f t="shared" si="35"/>
        <v>2024</v>
      </c>
      <c r="BC27" s="85">
        <f t="shared" si="12"/>
        <v>479.61566876703819</v>
      </c>
      <c r="BD27" s="85">
        <f t="shared" si="13"/>
        <v>0.22838841369858959</v>
      </c>
      <c r="BE27" s="85">
        <f t="shared" si="14"/>
        <v>2.2146755267742024E-2</v>
      </c>
      <c r="BF27" s="85">
        <f t="shared" si="15"/>
        <v>663.21248433596395</v>
      </c>
      <c r="BG27" s="85">
        <f t="shared" si="16"/>
        <v>3.4905920228208626E-2</v>
      </c>
      <c r="BH27" s="85">
        <f t="shared" si="17"/>
        <v>3.4905920228208626E-2</v>
      </c>
      <c r="BI27" s="85">
        <f t="shared" si="18"/>
        <v>5.6716867096754058</v>
      </c>
      <c r="BJ27" s="85">
        <f t="shared" si="19"/>
        <v>5.5728141996810648E-3</v>
      </c>
      <c r="BK27" s="85">
        <f t="shared" si="20"/>
        <v>1.7976819998971175E-5</v>
      </c>
      <c r="BL27">
        <f t="shared" si="21"/>
        <v>2024</v>
      </c>
      <c r="BM27" s="39">
        <f t="shared" si="22"/>
        <v>1148.4998398126775</v>
      </c>
      <c r="BN27" s="39">
        <f t="shared" si="23"/>
        <v>0.26886714812647933</v>
      </c>
      <c r="BO27" s="39">
        <f t="shared" si="24"/>
        <v>5.7070652315949627E-2</v>
      </c>
      <c r="BP27" s="184">
        <f t="shared" si="25"/>
        <v>1172.2285729059925</v>
      </c>
      <c r="BR27" s="170">
        <f>Scenario1!BT27</f>
        <v>1154.6451443124026</v>
      </c>
      <c r="BS27" s="173">
        <f>Scenario2!BT27</f>
        <v>1113.9079624685442</v>
      </c>
      <c r="BT27" s="183">
        <f>Scenario3!BX27</f>
        <v>1152.2573369749803</v>
      </c>
      <c r="BU27" s="201">
        <f>'LRS4'!BP27</f>
        <v>1146.8170867958058</v>
      </c>
      <c r="BW27">
        <f t="shared" si="26"/>
        <v>2024</v>
      </c>
      <c r="BX27" s="31">
        <f t="shared" si="27"/>
        <v>17.583428593589815</v>
      </c>
      <c r="BZ27" s="31">
        <f t="shared" si="28"/>
        <v>58.320610437448295</v>
      </c>
      <c r="CB27" s="31">
        <f t="shared" si="29"/>
        <v>19.971235931012188</v>
      </c>
      <c r="CD27" s="202">
        <f t="shared" si="30"/>
        <v>25.411486110186615</v>
      </c>
      <c r="CF27" s="202">
        <f t="shared" si="31"/>
        <v>121.28676107223691</v>
      </c>
      <c r="CH27" s="202">
        <f t="shared" si="32"/>
        <v>1050.9418118337555</v>
      </c>
    </row>
    <row r="28" spans="1:86" x14ac:dyDescent="0.25">
      <c r="A28" s="26">
        <f t="shared" si="33"/>
        <v>2025</v>
      </c>
      <c r="B28" s="66">
        <f>INDEX((Proj_PasMob!$Q$6:$Q$46),MATCH(A28,Proj_PasMob!$M$6:M$46,0))</f>
        <v>11579968602.290739</v>
      </c>
      <c r="C28" s="119">
        <f>B28*Table1[Gasoline]%</f>
        <v>6360918689.3826027</v>
      </c>
      <c r="D28" s="123">
        <f>B28*Table1[[Diesel ]]%</f>
        <v>5212705996.0162077</v>
      </c>
      <c r="E28" s="121">
        <f>B28*Table1[LPG]%</f>
        <v>6343916.8919294691</v>
      </c>
      <c r="F28" s="66">
        <f t="shared" si="3"/>
        <v>0</v>
      </c>
      <c r="H28" s="31">
        <f>C28*Table2[Autocycle]%</f>
        <v>719500911.39951229</v>
      </c>
      <c r="I28" s="66">
        <f>C28*Table2[Motocycle]%</f>
        <v>468448752.87832415</v>
      </c>
      <c r="J28" s="66">
        <f>C28*Table2[cars]%</f>
        <v>4947987499.8867617</v>
      </c>
      <c r="K28" s="66">
        <f>C28*Table2[DPV]%</f>
        <v>160444885.44398835</v>
      </c>
      <c r="L28" s="66">
        <f>C28*Table2[Hybrid]%</f>
        <v>64536639.774016663</v>
      </c>
      <c r="M28" s="66">
        <f t="shared" si="4"/>
        <v>0</v>
      </c>
      <c r="P28" s="66">
        <f>D28*Table3[Cars]%</f>
        <v>440808537.45271927</v>
      </c>
      <c r="Q28" s="66">
        <f>D28*Table3[DPV]%</f>
        <v>635810371.02953875</v>
      </c>
      <c r="R28" s="66">
        <f>D28*Table3[Buses]%</f>
        <v>4136087087.5339499</v>
      </c>
      <c r="S28" s="66">
        <f t="shared" si="5"/>
        <v>0</v>
      </c>
      <c r="W28" s="66">
        <f>E28*Table4[Cars]%</f>
        <v>5995938.328237135</v>
      </c>
      <c r="X28" s="66">
        <f>E28*Table4[DPV]%</f>
        <v>347978.5636923337</v>
      </c>
      <c r="Y28" s="66">
        <f t="shared" si="6"/>
        <v>0</v>
      </c>
      <c r="AB28" s="26">
        <f t="shared" si="34"/>
        <v>2025</v>
      </c>
      <c r="AD28" s="66">
        <f>H28*Table5[Autocycle]*0.01*$AD$7/1000</f>
        <v>12771.141177341342</v>
      </c>
      <c r="AE28" s="66">
        <f>I28*Table5[Motocycle]*0.01*$AD$7/1000</f>
        <v>9977.9584363083031</v>
      </c>
      <c r="AF28" s="66">
        <f>J28*Table5[Car]*0.01*$AD$7/$AL$8/1000</f>
        <v>120184.01216830211</v>
      </c>
      <c r="AG28" s="66">
        <f>K28*Table5[DPV]*0.01*$AD$7/$AL$8/1000</f>
        <v>6894.9078402640253</v>
      </c>
      <c r="AH28" s="66">
        <f>L28*Table5[Car_Hbrid]*0.01*$AD$7/$AL$8/1000</f>
        <v>964.65293135898594</v>
      </c>
      <c r="AI28" s="66">
        <f>Freight!E20*$AG$8*$AI$8*$AD$7/1000</f>
        <v>4465.5936066152526</v>
      </c>
      <c r="AJ28" s="66">
        <f t="shared" si="36"/>
        <v>155258.26616019005</v>
      </c>
      <c r="AK28" s="66">
        <f>P28*Table5[Car_Dsl]*0.01*$AD$8/$AL$8/1000</f>
        <v>13804.267357072</v>
      </c>
      <c r="AL28" s="66">
        <f>Q28*Table5[DPV_Dsl]*0.01*$AD$8/$AL$8/1000</f>
        <v>32141.887440730105</v>
      </c>
      <c r="AM28" s="66">
        <f>R28*Table5[Bus]*0.01*$AD$8/$AL$9/1000</f>
        <v>30435.692268410538</v>
      </c>
      <c r="AN28" s="66">
        <f>Freight!E20*$AG$9*$AI$9*$AD$8/1000</f>
        <v>135632.95692010506</v>
      </c>
      <c r="AO28" s="66">
        <f t="shared" si="8"/>
        <v>212014.80398631771</v>
      </c>
      <c r="AP28" s="66"/>
      <c r="AQ28" s="66">
        <f>W28*Table5[Car_LPG]*0.01*$AD$9/$AL$8/1000</f>
        <v>140.53264474937126</v>
      </c>
      <c r="AR28" s="66">
        <f>X28*Table5[DPV_LPG]*0.01*$AD$9/$AL$8/1000</f>
        <v>14.429691201944367</v>
      </c>
      <c r="AS28" s="31">
        <f t="shared" si="37"/>
        <v>1456.2838665299385</v>
      </c>
      <c r="AT28" s="66">
        <f t="shared" si="9"/>
        <v>1611.2462024812542</v>
      </c>
      <c r="AU28" s="31">
        <f t="shared" si="10"/>
        <v>16112.462024812541</v>
      </c>
      <c r="AX28" s="148">
        <f t="shared" si="11"/>
        <v>368884.31634898903</v>
      </c>
      <c r="BB28" s="26">
        <f t="shared" si="35"/>
        <v>2025</v>
      </c>
      <c r="BC28" s="85">
        <f t="shared" si="12"/>
        <v>482.02102345157238</v>
      </c>
      <c r="BD28" s="85">
        <f t="shared" si="13"/>
        <v>0.22953382069122491</v>
      </c>
      <c r="BE28" s="85">
        <f t="shared" si="14"/>
        <v>2.2257825036724844E-2</v>
      </c>
      <c r="BF28" s="85">
        <f t="shared" si="15"/>
        <v>680.25585903421984</v>
      </c>
      <c r="BG28" s="85">
        <f t="shared" si="16"/>
        <v>3.5802939949169464E-2</v>
      </c>
      <c r="BH28" s="85">
        <f t="shared" si="17"/>
        <v>3.5802939949169464E-2</v>
      </c>
      <c r="BI28" s="85">
        <f t="shared" si="18"/>
        <v>5.3071549666568041</v>
      </c>
      <c r="BJ28" s="85">
        <f t="shared" si="19"/>
        <v>5.214637209710331E-3</v>
      </c>
      <c r="BK28" s="85">
        <f t="shared" si="20"/>
        <v>1.6821410353904293E-5</v>
      </c>
      <c r="BL28">
        <f t="shared" si="21"/>
        <v>2025</v>
      </c>
      <c r="BM28" s="39">
        <f t="shared" si="22"/>
        <v>1167.5840374524489</v>
      </c>
      <c r="BN28" s="39">
        <f t="shared" si="23"/>
        <v>0.27055139785010468</v>
      </c>
      <c r="BO28" s="39">
        <f t="shared" si="24"/>
        <v>5.8077586396248215E-2</v>
      </c>
      <c r="BP28" s="184">
        <f t="shared" si="25"/>
        <v>1191.6549431447834</v>
      </c>
      <c r="BR28" s="170">
        <f>Scenario1!BT28</f>
        <v>1173.7801189976119</v>
      </c>
      <c r="BS28" s="173">
        <f>Scenario2!BT28</f>
        <v>1132.3443226714037</v>
      </c>
      <c r="BT28" s="183">
        <f>Scenario3!BX28</f>
        <v>1168.8517003528955</v>
      </c>
      <c r="BU28" s="201">
        <f>'LRS4'!BP28</f>
        <v>1166.2546008634436</v>
      </c>
      <c r="BW28">
        <f t="shared" si="26"/>
        <v>2025</v>
      </c>
      <c r="BX28" s="31">
        <f t="shared" si="27"/>
        <v>17.874824147171466</v>
      </c>
      <c r="BZ28" s="31">
        <f t="shared" si="28"/>
        <v>59.310620473379686</v>
      </c>
      <c r="CB28" s="31">
        <f t="shared" si="29"/>
        <v>22.803242791887897</v>
      </c>
      <c r="CD28" s="202">
        <f t="shared" si="30"/>
        <v>25.400342281339817</v>
      </c>
      <c r="CF28" s="202">
        <f t="shared" si="31"/>
        <v>125.38902969377887</v>
      </c>
      <c r="CH28" s="202">
        <f t="shared" si="32"/>
        <v>1066.2659134510045</v>
      </c>
    </row>
    <row r="29" spans="1:86" x14ac:dyDescent="0.25">
      <c r="A29" s="26">
        <f t="shared" si="33"/>
        <v>2026</v>
      </c>
      <c r="B29" s="66">
        <f>INDEX((Proj_PasMob!$Q$6:$Q$46),MATCH(A29,Proj_PasMob!$M$6:M$46,0))</f>
        <v>11620868294.841003</v>
      </c>
      <c r="C29" s="119">
        <f>B29*Table1[Gasoline]%</f>
        <v>6383385038.6161852</v>
      </c>
      <c r="D29" s="123">
        <f>B29*Table1[[Diesel ]]%</f>
        <v>5231116933.0328941</v>
      </c>
      <c r="E29" s="121">
        <f>B29*Table1[LPG]%</f>
        <v>6366323.1919252239</v>
      </c>
      <c r="F29" s="66">
        <f t="shared" si="3"/>
        <v>0</v>
      </c>
      <c r="H29" s="31">
        <f>C29*Table2[Autocycle]%</f>
        <v>722042141.61148834</v>
      </c>
      <c r="I29" s="66">
        <f>C29*Table2[Motocycle]%</f>
        <v>470103283.26837105</v>
      </c>
      <c r="J29" s="66">
        <f>C29*Table2[cars]%</f>
        <v>4965463468.4699488</v>
      </c>
      <c r="K29" s="66">
        <f>C29*Table2[DPV]%</f>
        <v>161011566.29704553</v>
      </c>
      <c r="L29" s="66">
        <f>C29*Table2[Hybrid]%</f>
        <v>64764578.969332129</v>
      </c>
      <c r="M29" s="66">
        <f t="shared" si="4"/>
        <v>0</v>
      </c>
      <c r="P29" s="66">
        <f>D29*Table3[Cars]%</f>
        <v>442365444.40769851</v>
      </c>
      <c r="Q29" s="66">
        <f>D29*Table3[DPV]%</f>
        <v>638056011.7206744</v>
      </c>
      <c r="R29" s="66">
        <f>D29*Table3[Buses]%</f>
        <v>4150695476.904521</v>
      </c>
      <c r="S29" s="66">
        <f t="shared" si="5"/>
        <v>0</v>
      </c>
      <c r="W29" s="66">
        <f>E29*Table4[Cars]%</f>
        <v>6017115.5906803804</v>
      </c>
      <c r="X29" s="66">
        <f>E29*Table4[DPV]%</f>
        <v>349207.60124484351</v>
      </c>
      <c r="Y29" s="66">
        <f t="shared" si="6"/>
        <v>0</v>
      </c>
      <c r="AB29" s="26">
        <f t="shared" si="34"/>
        <v>2026</v>
      </c>
      <c r="AD29" s="66">
        <f>H29*Table5[Autocycle]*0.01*$AD$7/1000</f>
        <v>12816.248013603916</v>
      </c>
      <c r="AE29" s="66">
        <f>I29*Table5[Motocycle]*0.01*$AD$7/1000</f>
        <v>10013.199933616303</v>
      </c>
      <c r="AF29" s="66">
        <f>J29*Table5[Car]*0.01*$AD$7/$AL$8/1000</f>
        <v>120608.49424730954</v>
      </c>
      <c r="AG29" s="66">
        <f>K29*Table5[DPV]*0.01*$AD$7/$AL$8/1000</f>
        <v>6919.260204291455</v>
      </c>
      <c r="AH29" s="66">
        <f>L29*Table5[Car_Hbrid]*0.01*$AD$7/$AL$8/1000</f>
        <v>968.06002248896448</v>
      </c>
      <c r="AI29" s="66">
        <f>Freight!E21*$AG$8*$AI$8*$AD$7/1000</f>
        <v>4636.5655874974436</v>
      </c>
      <c r="AJ29" s="66">
        <f t="shared" si="36"/>
        <v>155961.82800880761</v>
      </c>
      <c r="AK29" s="66">
        <f>P29*Table5[Car_Dsl]*0.01*$AD$8/$AL$8/1000</f>
        <v>13853.023127504242</v>
      </c>
      <c r="AL29" s="66">
        <f>Q29*Table5[DPV_Dsl]*0.01*$AD$8/$AL$8/1000</f>
        <v>32255.410487247773</v>
      </c>
      <c r="AM29" s="66">
        <f>R29*Table5[Bus]*0.01*$AD$8/$AL$9/1000</f>
        <v>30543.18914505027</v>
      </c>
      <c r="AN29" s="66">
        <f>Freight!E21*$AG$9*$AI$9*$AD$8/1000</f>
        <v>140825.86907475945</v>
      </c>
      <c r="AO29" s="66">
        <f t="shared" si="8"/>
        <v>217477.49183456175</v>
      </c>
      <c r="AP29" s="66"/>
      <c r="AQ29" s="66">
        <f>W29*Table5[Car_LPG]*0.01*$AD$9/$AL$8/1000</f>
        <v>141.02899686921967</v>
      </c>
      <c r="AR29" s="66">
        <f>X29*Table5[DPV_LPG]*0.01*$AD$9/$AL$8/1000</f>
        <v>14.480655928535947</v>
      </c>
      <c r="AS29" s="31">
        <f t="shared" si="37"/>
        <v>1352.887712006313</v>
      </c>
      <c r="AT29" s="66">
        <f t="shared" si="9"/>
        <v>1508.3973648040687</v>
      </c>
      <c r="AU29" s="31">
        <f t="shared" si="10"/>
        <v>15083.973648040686</v>
      </c>
      <c r="AX29" s="148">
        <f t="shared" si="11"/>
        <v>374947.71720817342</v>
      </c>
      <c r="BB29" s="26">
        <f t="shared" si="35"/>
        <v>2026</v>
      </c>
      <c r="BC29" s="85">
        <f t="shared" si="12"/>
        <v>484.20532970926445</v>
      </c>
      <c r="BD29" s="85">
        <f t="shared" si="13"/>
        <v>0.23057396652822112</v>
      </c>
      <c r="BE29" s="85">
        <f t="shared" si="14"/>
        <v>2.2358687663342657E-2</v>
      </c>
      <c r="BF29" s="85">
        <f t="shared" si="15"/>
        <v>697.78305687594639</v>
      </c>
      <c r="BG29" s="85">
        <f t="shared" si="16"/>
        <v>3.6725424046102441E-2</v>
      </c>
      <c r="BH29" s="85">
        <f t="shared" si="17"/>
        <v>3.6725424046102441E-2</v>
      </c>
      <c r="BI29" s="85">
        <f t="shared" si="18"/>
        <v>4.968389408138937</v>
      </c>
      <c r="BJ29" s="85">
        <f t="shared" si="19"/>
        <v>4.8817772314518884E-3</v>
      </c>
      <c r="BK29" s="85">
        <f t="shared" si="20"/>
        <v>1.5747668488554476E-5</v>
      </c>
      <c r="BL29">
        <f t="shared" si="21"/>
        <v>2026</v>
      </c>
      <c r="BM29" s="39">
        <f t="shared" si="22"/>
        <v>1186.9567759933498</v>
      </c>
      <c r="BN29" s="39">
        <f t="shared" si="23"/>
        <v>0.27218116780577545</v>
      </c>
      <c r="BO29" s="39">
        <f t="shared" si="24"/>
        <v>5.9099859377933647E-2</v>
      </c>
      <c r="BP29" s="184">
        <f t="shared" si="25"/>
        <v>1211.3730632831184</v>
      </c>
      <c r="BR29" s="170">
        <f>Scenario1!BT29</f>
        <v>1193.2024673338715</v>
      </c>
      <c r="BS29" s="173">
        <f>Scenario2!BT29</f>
        <v>1151.0591664511694</v>
      </c>
      <c r="BT29" s="183">
        <f>Scenario3!BX29</f>
        <v>1184.763167722278</v>
      </c>
      <c r="BU29" s="201">
        <f>'LRS4'!BP29</f>
        <v>1185.9838648306247</v>
      </c>
      <c r="BW29">
        <f t="shared" si="26"/>
        <v>2026</v>
      </c>
      <c r="BX29" s="31">
        <f t="shared" si="27"/>
        <v>18.170595949246945</v>
      </c>
      <c r="BZ29" s="31">
        <f t="shared" si="28"/>
        <v>60.313896831949023</v>
      </c>
      <c r="CB29" s="31">
        <f t="shared" si="29"/>
        <v>26.609895560840414</v>
      </c>
      <c r="CD29" s="202">
        <f t="shared" si="30"/>
        <v>25.389198452493702</v>
      </c>
      <c r="CF29" s="202">
        <f t="shared" si="31"/>
        <v>130.48358679453008</v>
      </c>
      <c r="CH29" s="202">
        <f t="shared" si="32"/>
        <v>1080.8894764885883</v>
      </c>
    </row>
    <row r="30" spans="1:86" x14ac:dyDescent="0.25">
      <c r="A30" s="26">
        <f t="shared" si="33"/>
        <v>2027</v>
      </c>
      <c r="B30" s="66">
        <f>INDEX((Proj_PasMob!$Q$6:$Q$46),MATCH(A30,Proj_PasMob!$M$6:M$46,0))</f>
        <v>11655992787.406569</v>
      </c>
      <c r="C30" s="119">
        <f>B30*Table1[Gasoline]%</f>
        <v>6402679049.5836401</v>
      </c>
      <c r="D30" s="123">
        <f>B30*Table1[[Diesel ]]%</f>
        <v>5246928172.1900826</v>
      </c>
      <c r="E30" s="121">
        <f>B30*Table1[LPG]%</f>
        <v>6385565.6328471322</v>
      </c>
      <c r="F30" s="66">
        <f t="shared" si="3"/>
        <v>0</v>
      </c>
      <c r="H30" s="31">
        <f>C30*Table2[Autocycle]%</f>
        <v>724224539.96517396</v>
      </c>
      <c r="I30" s="66">
        <f>C30*Table2[Motocycle]%</f>
        <v>471524187.35740006</v>
      </c>
      <c r="J30" s="66">
        <f>C30*Table2[cars]%</f>
        <v>4980471760.4716988</v>
      </c>
      <c r="K30" s="66">
        <f>C30*Table2[DPV]%</f>
        <v>161498229.54972875</v>
      </c>
      <c r="L30" s="66">
        <f>C30*Table2[Hybrid]%</f>
        <v>64960332.239638969</v>
      </c>
      <c r="M30" s="66">
        <f t="shared" si="4"/>
        <v>0</v>
      </c>
      <c r="P30" s="66">
        <f>D30*Table3[Cars]%</f>
        <v>443702509.88070273</v>
      </c>
      <c r="Q30" s="66">
        <f>D30*Table3[DPV]%</f>
        <v>639984558.97475922</v>
      </c>
      <c r="R30" s="66">
        <f>D30*Table3[Buses]%</f>
        <v>4163241103.3346205</v>
      </c>
      <c r="S30" s="66">
        <f t="shared" si="5"/>
        <v>0</v>
      </c>
      <c r="W30" s="66">
        <f>E30*Table4[Cars]%</f>
        <v>6035302.5390622681</v>
      </c>
      <c r="X30" s="66">
        <f>E30*Table4[DPV]%</f>
        <v>350263.09378486377</v>
      </c>
      <c r="Y30" s="66">
        <f t="shared" si="6"/>
        <v>0</v>
      </c>
      <c r="AB30" s="26">
        <f t="shared" si="34"/>
        <v>2027</v>
      </c>
      <c r="AD30" s="66">
        <f>H30*Table5[Autocycle]*0.01*$AD$7/1000</f>
        <v>12854.985584381835</v>
      </c>
      <c r="AE30" s="66">
        <f>I30*Table5[Motocycle]*0.01*$AD$7/1000</f>
        <v>10043.465190712621</v>
      </c>
      <c r="AF30" s="66">
        <f>J30*Table5[Car]*0.01*$AD$7/$AL$8/1000</f>
        <v>120973.03776093101</v>
      </c>
      <c r="AG30" s="66">
        <f>K30*Table5[DPV]*0.01*$AD$7/$AL$8/1000</f>
        <v>6940.1739172291327</v>
      </c>
      <c r="AH30" s="66">
        <f>L30*Table5[Car_Hbrid]*0.01*$AD$7/$AL$8/1000</f>
        <v>970.98601873986672</v>
      </c>
      <c r="AI30" s="66">
        <f>Freight!E22*$AG$8*$AI$8*$AD$7/1000</f>
        <v>4814.0317798988908</v>
      </c>
      <c r="AJ30" s="66">
        <f t="shared" si="36"/>
        <v>156596.68025189335</v>
      </c>
      <c r="AK30" s="66">
        <f>P30*Table5[Car_Dsl]*0.01*$AD$8/$AL$8/1000</f>
        <v>13894.894388369376</v>
      </c>
      <c r="AL30" s="66">
        <f>Q30*Table5[DPV_Dsl]*0.01*$AD$8/$AL$8/1000</f>
        <v>32352.90362606612</v>
      </c>
      <c r="AM30" s="66">
        <f>R30*Table5[Bus]*0.01*$AD$8/$AL$9/1000</f>
        <v>30635.507033252328</v>
      </c>
      <c r="AN30" s="66">
        <f>Freight!E22*$AG$9*$AI$9*$AD$8/1000</f>
        <v>146216.02916301816</v>
      </c>
      <c r="AO30" s="66">
        <f t="shared" si="8"/>
        <v>223099.334210706</v>
      </c>
      <c r="AP30" s="66"/>
      <c r="AQ30" s="66">
        <f>W30*Table5[Car_LPG]*0.01*$AD$9/$AL$8/1000</f>
        <v>141.45526208679044</v>
      </c>
      <c r="AR30" s="66">
        <f>X30*Table5[DPV_LPG]*0.01*$AD$9/$AL$8/1000</f>
        <v>14.524424232125805</v>
      </c>
      <c r="AS30" s="31">
        <f t="shared" si="37"/>
        <v>1256.8326844538649</v>
      </c>
      <c r="AT30" s="66">
        <f t="shared" si="9"/>
        <v>1412.8123707727812</v>
      </c>
      <c r="AU30" s="31">
        <f t="shared" si="10"/>
        <v>14128.123707727811</v>
      </c>
      <c r="AX30" s="148">
        <f t="shared" si="11"/>
        <v>381108.82683337212</v>
      </c>
      <c r="BB30" s="26">
        <f t="shared" si="35"/>
        <v>2027</v>
      </c>
      <c r="BC30" s="85">
        <f t="shared" si="12"/>
        <v>486.17631737723821</v>
      </c>
      <c r="BD30" s="85">
        <f t="shared" si="13"/>
        <v>0.23151253208439909</v>
      </c>
      <c r="BE30" s="85">
        <f t="shared" si="14"/>
        <v>2.2449700080911426E-2</v>
      </c>
      <c r="BF30" s="85">
        <f t="shared" si="15"/>
        <v>715.82090679507644</v>
      </c>
      <c r="BG30" s="85">
        <f t="shared" si="16"/>
        <v>3.7674784568161916E-2</v>
      </c>
      <c r="BH30" s="85">
        <f t="shared" si="17"/>
        <v>3.7674784568161916E-2</v>
      </c>
      <c r="BI30" s="85">
        <f t="shared" si="18"/>
        <v>4.6535496430988017</v>
      </c>
      <c r="BJ30" s="85">
        <f t="shared" si="19"/>
        <v>4.5724259567690283E-3</v>
      </c>
      <c r="BK30" s="85">
        <f t="shared" si="20"/>
        <v>1.4749761150867836E-5</v>
      </c>
      <c r="BL30">
        <f t="shared" si="21"/>
        <v>2027</v>
      </c>
      <c r="BM30" s="39">
        <f t="shared" si="22"/>
        <v>1206.6507738154135</v>
      </c>
      <c r="BN30" s="39">
        <f t="shared" si="23"/>
        <v>0.27375974260933006</v>
      </c>
      <c r="BO30" s="39">
        <f t="shared" si="24"/>
        <v>6.0139234410224209E-2</v>
      </c>
      <c r="BP30" s="184">
        <f t="shared" si="25"/>
        <v>1231.4162592348935</v>
      </c>
      <c r="BR30" s="170">
        <f>Scenario1!BT30</f>
        <v>1212.9450153463699</v>
      </c>
      <c r="BS30" s="173">
        <f>Scenario2!BT30</f>
        <v>1170.0840590591908</v>
      </c>
      <c r="BT30" s="183">
        <f>Scenario3!BX30</f>
        <v>1200.9897092567501</v>
      </c>
      <c r="BU30" s="201">
        <f>'LRS4'!BP30</f>
        <v>1206.0382046112463</v>
      </c>
      <c r="BW30">
        <f t="shared" si="26"/>
        <v>2027</v>
      </c>
      <c r="BX30" s="31">
        <f t="shared" si="27"/>
        <v>18.471243888523531</v>
      </c>
      <c r="BZ30" s="31">
        <f t="shared" si="28"/>
        <v>61.33220017570261</v>
      </c>
      <c r="CB30" s="31">
        <f t="shared" si="29"/>
        <v>30.426549978143385</v>
      </c>
      <c r="CD30" s="202">
        <f t="shared" si="30"/>
        <v>25.378054623647131</v>
      </c>
      <c r="CF30" s="202">
        <f t="shared" si="31"/>
        <v>135.60804866601666</v>
      </c>
      <c r="CH30" s="202">
        <f t="shared" si="32"/>
        <v>1095.8082105688768</v>
      </c>
    </row>
    <row r="31" spans="1:86" x14ac:dyDescent="0.25">
      <c r="A31" s="26">
        <f t="shared" si="33"/>
        <v>2028</v>
      </c>
      <c r="B31" s="66">
        <f>INDEX((Proj_PasMob!$Q$6:$Q$46),MATCH(A31,Proj_PasMob!$M$6:M$46,0))</f>
        <v>11685542498.092731</v>
      </c>
      <c r="C31" s="119">
        <f>B31*Table1[Gasoline]%</f>
        <v>6418910812.6760092</v>
      </c>
      <c r="D31" s="123">
        <f>B31*Table1[[Diesel ]]%</f>
        <v>5260229931.4058914</v>
      </c>
      <c r="E31" s="121">
        <f>B31*Table1[LPG]%</f>
        <v>6401754.0108308597</v>
      </c>
      <c r="F31" s="66">
        <f t="shared" si="3"/>
        <v>0</v>
      </c>
      <c r="H31" s="31">
        <f>C31*Table2[Autocycle]%</f>
        <v>726060559.08581984</v>
      </c>
      <c r="I31" s="66">
        <f>C31*Table2[Motocycle]%</f>
        <v>472719572.73315227</v>
      </c>
      <c r="J31" s="66">
        <f>C31*Table2[cars]%</f>
        <v>4993098012.2450819</v>
      </c>
      <c r="K31" s="66">
        <f>C31*Table2[DPV]%</f>
        <v>161907652.07139313</v>
      </c>
      <c r="L31" s="66">
        <f>C31*Table2[Hybrid]%</f>
        <v>65125016.540562026</v>
      </c>
      <c r="M31" s="66">
        <f t="shared" si="4"/>
        <v>0</v>
      </c>
      <c r="P31" s="66">
        <f>D31*Table3[Cars]%</f>
        <v>444827363.08169854</v>
      </c>
      <c r="Q31" s="66">
        <f>D31*Table3[DPV]%</f>
        <v>641607016.95892572</v>
      </c>
      <c r="R31" s="66">
        <f>D31*Table3[Buses]%</f>
        <v>4173795551.3652673</v>
      </c>
      <c r="S31" s="66">
        <f t="shared" si="5"/>
        <v>0</v>
      </c>
      <c r="W31" s="66">
        <f>E31*Table4[Cars]%</f>
        <v>6050602.9469456226</v>
      </c>
      <c r="X31" s="66">
        <f>E31*Table4[DPV]%</f>
        <v>351151.06388523703</v>
      </c>
      <c r="Y31" s="66">
        <f t="shared" si="6"/>
        <v>0</v>
      </c>
      <c r="AB31" s="26">
        <f t="shared" si="34"/>
        <v>2028</v>
      </c>
      <c r="AD31" s="66">
        <f>H31*Table5[Autocycle]*0.01*$AD$7/1000</f>
        <v>12887.574923773302</v>
      </c>
      <c r="AE31" s="66">
        <f>I31*Table5[Motocycle]*0.01*$AD$7/1000</f>
        <v>10068.926899216141</v>
      </c>
      <c r="AF31" s="66">
        <f>J31*Table5[Car]*0.01*$AD$7/$AL$8/1000</f>
        <v>121279.7227711108</v>
      </c>
      <c r="AG31" s="66">
        <f>K31*Table5[DPV]*0.01*$AD$7/$AL$8/1000</f>
        <v>6957.7683113838166</v>
      </c>
      <c r="AH31" s="66">
        <f>L31*Table5[Car_Hbrid]*0.01*$AD$7/$AL$8/1000</f>
        <v>973.44761565892702</v>
      </c>
      <c r="AI31" s="66">
        <f>Freight!E23*$AG$8*$AI$8*$AD$7/1000</f>
        <v>4998.2389638573313</v>
      </c>
      <c r="AJ31" s="66">
        <f t="shared" si="36"/>
        <v>157165.67948500029</v>
      </c>
      <c r="AK31" s="66">
        <f>P31*Table5[Car_Dsl]*0.01*$AD$8/$AL$8/1000</f>
        <v>13930.120054400559</v>
      </c>
      <c r="AL31" s="66">
        <f>Q31*Table5[DPV_Dsl]*0.01*$AD$8/$AL$8/1000</f>
        <v>32434.923146792018</v>
      </c>
      <c r="AM31" s="66">
        <f>R31*Table5[Bus]*0.01*$AD$8/$AL$9/1000</f>
        <v>30713.172692974989</v>
      </c>
      <c r="AN31" s="66">
        <f>Freight!E23*$AG$9*$AI$9*$AD$8/1000</f>
        <v>151810.93260635817</v>
      </c>
      <c r="AO31" s="66">
        <f t="shared" si="8"/>
        <v>228889.14850052574</v>
      </c>
      <c r="AP31" s="66"/>
      <c r="AQ31" s="66">
        <f>W31*Table5[Car_LPG]*0.01*$AD$9/$AL$8/1000</f>
        <v>141.81387264411819</v>
      </c>
      <c r="AR31" s="66">
        <f>X31*Table5[DPV_LPG]*0.01*$AD$9/$AL$8/1000</f>
        <v>14.561245851851419</v>
      </c>
      <c r="AS31" s="31">
        <f t="shared" si="37"/>
        <v>1167.5975638576406</v>
      </c>
      <c r="AT31" s="66">
        <f t="shared" si="9"/>
        <v>1323.9726823536103</v>
      </c>
      <c r="AU31" s="31">
        <f t="shared" si="10"/>
        <v>13239.726823536103</v>
      </c>
      <c r="AX31" s="148">
        <f t="shared" si="11"/>
        <v>387378.80066787964</v>
      </c>
      <c r="BB31" s="26">
        <f t="shared" si="35"/>
        <v>2028</v>
      </c>
      <c r="BC31" s="85">
        <f t="shared" si="12"/>
        <v>487.94285515631128</v>
      </c>
      <c r="BD31" s="85">
        <f t="shared" si="13"/>
        <v>0.23235374055062438</v>
      </c>
      <c r="BE31" s="85">
        <f t="shared" si="14"/>
        <v>2.2531271810969637E-2</v>
      </c>
      <c r="BF31" s="85">
        <f t="shared" si="15"/>
        <v>734.39769963839171</v>
      </c>
      <c r="BG31" s="85">
        <f t="shared" si="16"/>
        <v>3.8652510507283779E-2</v>
      </c>
      <c r="BH31" s="85">
        <f t="shared" si="17"/>
        <v>3.8652510507283779E-2</v>
      </c>
      <c r="BI31" s="85">
        <f t="shared" si="18"/>
        <v>4.3609277005899685</v>
      </c>
      <c r="BJ31" s="85">
        <f t="shared" si="19"/>
        <v>4.2849051891692249E-3</v>
      </c>
      <c r="BK31" s="85">
        <f t="shared" si="20"/>
        <v>1.382227480377169E-5</v>
      </c>
      <c r="BL31">
        <f t="shared" si="21"/>
        <v>2028</v>
      </c>
      <c r="BM31" s="39">
        <f t="shared" si="22"/>
        <v>1226.701482495293</v>
      </c>
      <c r="BN31" s="39">
        <f t="shared" si="23"/>
        <v>0.2752911562470774</v>
      </c>
      <c r="BO31" s="39">
        <f t="shared" si="24"/>
        <v>6.1197604593057189E-2</v>
      </c>
      <c r="BP31" s="184">
        <f t="shared" si="25"/>
        <v>1251.8206475702009</v>
      </c>
      <c r="BR31" s="170">
        <f>Scenario1!BT31</f>
        <v>1233.0433378566481</v>
      </c>
      <c r="BS31" s="173">
        <f>Scenario2!BT31</f>
        <v>1189.453223660101</v>
      </c>
      <c r="BT31" s="183">
        <f>Scenario3!BX31</f>
        <v>1217.5707534679345</v>
      </c>
      <c r="BU31" s="201">
        <f>'LRS4'!BP31</f>
        <v>1226.4537367754003</v>
      </c>
      <c r="BW31">
        <f t="shared" si="26"/>
        <v>2028</v>
      </c>
      <c r="BX31" s="31">
        <f t="shared" si="27"/>
        <v>18.777309713552768</v>
      </c>
      <c r="BZ31" s="31">
        <f t="shared" si="28"/>
        <v>62.367423910099888</v>
      </c>
      <c r="CB31" s="31">
        <f t="shared" si="29"/>
        <v>34.249894102266353</v>
      </c>
      <c r="CD31" s="202">
        <f t="shared" si="30"/>
        <v>25.36691079480056</v>
      </c>
      <c r="CF31" s="202">
        <f t="shared" si="31"/>
        <v>140.76153852071957</v>
      </c>
      <c r="CH31" s="202">
        <f t="shared" si="32"/>
        <v>1111.0591090494813</v>
      </c>
    </row>
    <row r="32" spans="1:86" x14ac:dyDescent="0.25">
      <c r="A32" s="26">
        <f t="shared" si="33"/>
        <v>2029</v>
      </c>
      <c r="B32" s="66">
        <f>INDEX((Proj_PasMob!$Q$6:$Q$46),MATCH(A32,Proj_PasMob!$M$6:M$46,0))</f>
        <v>11709742850.126944</v>
      </c>
      <c r="C32" s="119">
        <f>B32*Table1[Gasoline]%</f>
        <v>6432204153.688489</v>
      </c>
      <c r="D32" s="123">
        <f>B32*Table1[[Diesel ]]%</f>
        <v>5271123684.6177521</v>
      </c>
      <c r="E32" s="121">
        <f>B32*Table1[LPG]%</f>
        <v>6415011.8207035139</v>
      </c>
      <c r="F32" s="66">
        <f t="shared" si="3"/>
        <v>0</v>
      </c>
      <c r="H32" s="31">
        <f>C32*Table2[Autocycle]%</f>
        <v>727564205.24781036</v>
      </c>
      <c r="I32" s="66">
        <f>C32*Table2[Motocycle]%</f>
        <v>473698558.52482361</v>
      </c>
      <c r="J32" s="66">
        <f>C32*Table2[cars]%</f>
        <v>5003438544.5444918</v>
      </c>
      <c r="K32" s="66">
        <f>C32*Table2[DPV]%</f>
        <v>162242957.18690661</v>
      </c>
      <c r="L32" s="66">
        <f>C32*Table2[Hybrid]%</f>
        <v>65259888.184456415</v>
      </c>
      <c r="M32" s="66">
        <f t="shared" si="4"/>
        <v>0</v>
      </c>
      <c r="P32" s="66">
        <f>D32*Table3[Cars]%</f>
        <v>445748585.07740694</v>
      </c>
      <c r="Q32" s="66">
        <f>D32*Table3[DPV]%</f>
        <v>642935762.77287161</v>
      </c>
      <c r="R32" s="66">
        <f>D32*Table3[Buses]%</f>
        <v>4182439336.7674732</v>
      </c>
      <c r="S32" s="66">
        <f t="shared" si="5"/>
        <v>0</v>
      </c>
      <c r="W32" s="66">
        <f>E32*Table4[Cars]%</f>
        <v>6063133.5351796923</v>
      </c>
      <c r="X32" s="66">
        <f>E32*Table4[DPV]%</f>
        <v>351878.28552382143</v>
      </c>
      <c r="Y32" s="66">
        <f t="shared" si="6"/>
        <v>0</v>
      </c>
      <c r="AB32" s="26">
        <f t="shared" si="34"/>
        <v>2029</v>
      </c>
      <c r="AD32" s="66">
        <f>H32*Table5[Autocycle]*0.01*$AD$7/1000</f>
        <v>12914.264643148632</v>
      </c>
      <c r="AE32" s="66">
        <f>I32*Table5[Motocycle]*0.01*$AD$7/1000</f>
        <v>10089.779296578743</v>
      </c>
      <c r="AF32" s="66">
        <f>J32*Table5[Car]*0.01*$AD$7/$AL$8/1000</f>
        <v>121530.88885827803</v>
      </c>
      <c r="AG32" s="66">
        <f>K32*Table5[DPV]*0.01*$AD$7/$AL$8/1000</f>
        <v>6972.1776075320658</v>
      </c>
      <c r="AH32" s="66">
        <f>L32*Table5[Car_Hbrid]*0.01*$AD$7/$AL$8/1000</f>
        <v>975.4635918097697</v>
      </c>
      <c r="AI32" s="66">
        <f>Freight!E24*$AG$8*$AI$8*$AD$7/1000</f>
        <v>5189.4432970519274</v>
      </c>
      <c r="AJ32" s="66">
        <f t="shared" si="36"/>
        <v>157672.01729439918</v>
      </c>
      <c r="AK32" s="66">
        <f>P32*Table5[Car_Dsl]*0.01*$AD$8/$AL$8/1000</f>
        <v>13958.968848476692</v>
      </c>
      <c r="AL32" s="66">
        <f>Q32*Table5[DPV_Dsl]*0.01*$AD$8/$AL$8/1000</f>
        <v>32502.094744386482</v>
      </c>
      <c r="AM32" s="66">
        <f>R32*Table5[Bus]*0.01*$AD$8/$AL$9/1000</f>
        <v>30776.778605270367</v>
      </c>
      <c r="AN32" s="66">
        <f>Freight!E24*$AG$9*$AI$9*$AD$8/1000</f>
        <v>157618.35965227257</v>
      </c>
      <c r="AO32" s="66">
        <f t="shared" si="8"/>
        <v>234856.20185040613</v>
      </c>
      <c r="AP32" s="66"/>
      <c r="AQ32" s="66">
        <f>W32*Table5[Car_LPG]*0.01*$AD$9/$AL$8/1000</f>
        <v>142.10756424139601</v>
      </c>
      <c r="AR32" s="66">
        <f>X32*Table5[DPV_LPG]*0.01*$AD$9/$AL$8/1000</f>
        <v>14.591401685500481</v>
      </c>
      <c r="AS32" s="31">
        <f t="shared" si="37"/>
        <v>1084.6981368237482</v>
      </c>
      <c r="AT32" s="66">
        <f t="shared" si="9"/>
        <v>1241.3971027506448</v>
      </c>
      <c r="AU32" s="31">
        <f t="shared" si="10"/>
        <v>12413.971027506448</v>
      </c>
      <c r="AX32" s="148">
        <f t="shared" si="11"/>
        <v>393769.61624755594</v>
      </c>
      <c r="BB32" s="26">
        <f t="shared" si="35"/>
        <v>2029</v>
      </c>
      <c r="BC32" s="85">
        <f t="shared" si="12"/>
        <v>489.51485177288345</v>
      </c>
      <c r="BD32" s="85">
        <f t="shared" si="13"/>
        <v>0.23310231036803969</v>
      </c>
      <c r="BE32" s="85">
        <f t="shared" si="14"/>
        <v>2.2603860399325066E-2</v>
      </c>
      <c r="BF32" s="85">
        <f t="shared" si="15"/>
        <v>753.54316932308348</v>
      </c>
      <c r="BG32" s="85">
        <f t="shared" si="16"/>
        <v>3.9660166806478075E-2</v>
      </c>
      <c r="BH32" s="85">
        <f t="shared" si="17"/>
        <v>3.9660166806478075E-2</v>
      </c>
      <c r="BI32" s="85">
        <f t="shared" si="18"/>
        <v>4.0889386049821281</v>
      </c>
      <c r="BJ32" s="85">
        <f t="shared" si="19"/>
        <v>4.0176575833421871E-3</v>
      </c>
      <c r="BK32" s="85">
        <f t="shared" si="20"/>
        <v>1.2960185752716732E-5</v>
      </c>
      <c r="BL32">
        <f t="shared" si="21"/>
        <v>2029</v>
      </c>
      <c r="BM32" s="39">
        <f t="shared" si="22"/>
        <v>1247.1469597009491</v>
      </c>
      <c r="BN32" s="39">
        <f t="shared" si="23"/>
        <v>0.2767801347578599</v>
      </c>
      <c r="BO32" s="39">
        <f t="shared" si="24"/>
        <v>6.2276987391555856E-2</v>
      </c>
      <c r="BP32" s="184">
        <f t="shared" si="25"/>
        <v>1272.6250053125793</v>
      </c>
      <c r="BR32" s="170">
        <f>Scenario1!BT32</f>
        <v>1253.5356302328908</v>
      </c>
      <c r="BS32" s="173">
        <f>Scenario2!BT32</f>
        <v>1209.2034171559462</v>
      </c>
      <c r="BT32" s="183">
        <f>Scenario3!BX32</f>
        <v>1234.5481823765761</v>
      </c>
      <c r="BU32" s="201">
        <f>'LRS4'!BP32</f>
        <v>1247.0937815574046</v>
      </c>
      <c r="BW32">
        <f t="shared" si="26"/>
        <v>2029</v>
      </c>
      <c r="BX32" s="31">
        <f t="shared" si="27"/>
        <v>19.08937507968858</v>
      </c>
      <c r="BZ32" s="31">
        <f t="shared" si="28"/>
        <v>63.421588156633106</v>
      </c>
      <c r="CB32" s="31">
        <f t="shared" si="29"/>
        <v>38.076822936003282</v>
      </c>
      <c r="CD32" s="202">
        <f t="shared" si="30"/>
        <v>25.531223755174778</v>
      </c>
      <c r="CF32" s="202">
        <f t="shared" si="31"/>
        <v>146.11900992749975</v>
      </c>
      <c r="CH32" s="202">
        <f t="shared" si="32"/>
        <v>1126.5059953850796</v>
      </c>
    </row>
    <row r="33" spans="1:86" x14ac:dyDescent="0.25">
      <c r="A33" s="26">
        <f>A32+1</f>
        <v>2030</v>
      </c>
      <c r="B33" s="66">
        <f>INDEX((Proj_PasMob!$Q$6:$Q$46),MATCH(A33,Proj_PasMob!$M$6:M$46,0))</f>
        <v>11728841435.309381</v>
      </c>
      <c r="C33" s="119">
        <f>B33*Table1[Gasoline]%</f>
        <v>6442695075.6935539</v>
      </c>
      <c r="D33" s="123">
        <f>B33*Table1[[Diesel ]]%</f>
        <v>5279720884.9138069</v>
      </c>
      <c r="E33" s="121">
        <f>B33*Table1[LPG]%</f>
        <v>6425474.7020214181</v>
      </c>
      <c r="F33" s="66">
        <f t="shared" si="3"/>
        <v>0</v>
      </c>
      <c r="H33" s="31">
        <f>C33*Table2[Autocycle]%</f>
        <v>728750862.13066983</v>
      </c>
      <c r="I33" s="66">
        <f>C33*Table2[Motocycle]%</f>
        <v>474471160.65508187</v>
      </c>
      <c r="J33" s="66">
        <f>C33*Table2[cars]%</f>
        <v>5011599150.5006714</v>
      </c>
      <c r="K33" s="66">
        <f>C33*Table2[DPV]%</f>
        <v>162507575.37517458</v>
      </c>
      <c r="L33" s="66">
        <f>C33*Table2[Hybrid]%</f>
        <v>65366327.03195627</v>
      </c>
      <c r="M33" s="66">
        <f t="shared" si="4"/>
        <v>0</v>
      </c>
      <c r="P33" s="66">
        <f>D33*Table3[Cars]%</f>
        <v>446475600.81387633</v>
      </c>
      <c r="Q33" s="66">
        <f>D33*Table3[DPV]%</f>
        <v>643984390.70512557</v>
      </c>
      <c r="R33" s="66">
        <f>D33*Table3[Buses]%</f>
        <v>4189260893.394805</v>
      </c>
      <c r="S33" s="66">
        <f t="shared" si="5"/>
        <v>0</v>
      </c>
      <c r="W33" s="66">
        <f>E33*Table4[Cars]%</f>
        <v>6073022.5031763613</v>
      </c>
      <c r="X33" s="66">
        <f>E33*Table4[DPV]%</f>
        <v>352452.19884505664</v>
      </c>
      <c r="Y33" s="66">
        <f t="shared" si="6"/>
        <v>0</v>
      </c>
      <c r="AB33" s="26">
        <f>AB32+1</f>
        <v>2030</v>
      </c>
      <c r="AD33" s="66">
        <f>H33*Table5[Autocycle]*0.01*$AD$7/1000</f>
        <v>12935.327802819387</v>
      </c>
      <c r="AE33" s="66">
        <f>I33*Table5[Motocycle]*0.01*$AD$7/1000</f>
        <v>10106.235721953242</v>
      </c>
      <c r="AF33" s="66">
        <f>J33*Table5[Car]*0.01*$AD$7/$AL$8/1000</f>
        <v>121729.1056818979</v>
      </c>
      <c r="AG33" s="66">
        <f>K33*Table5[DPV]*0.01*$AD$7/$AL$8/1000</f>
        <v>6983.5492259910561</v>
      </c>
      <c r="AH33" s="66">
        <f>L33*Table5[Car_Hbrid]*0.01*$AD$7/$AL$8/1000</f>
        <v>977.05457247766208</v>
      </c>
      <c r="AI33" s="66">
        <f>Freight!E25*$AG$8*$AI$8*$AD$7/1000</f>
        <v>5387.9106711536515</v>
      </c>
      <c r="AJ33" s="66">
        <f>SUM(AD33:AI33)</f>
        <v>158119.18367629295</v>
      </c>
      <c r="AK33" s="66">
        <f>P33*Table5[Car_Dsl]*0.01*$AD$8/$AL$8/1000</f>
        <v>13981.735920224024</v>
      </c>
      <c r="AL33" s="66">
        <f>Q33*Table5[DPV_Dsl]*0.01*$AD$8/$AL$8/1000</f>
        <v>32555.105645909116</v>
      </c>
      <c r="AM33" s="66">
        <f>R33*Table5[Bus]*0.01*$AD$8/$AL$9/1000</f>
        <v>30826.975516966631</v>
      </c>
      <c r="AN33" s="66">
        <f>Freight!E25*$AG$9*$AI$9*$AD$8/1000</f>
        <v>163646.38619765919</v>
      </c>
      <c r="AO33" s="66">
        <f t="shared" si="8"/>
        <v>241010.20328075896</v>
      </c>
      <c r="AP33" s="66"/>
      <c r="AQ33" s="66">
        <f>W33*Table5[Car_LPG]*0.01*$AD$9/$AL$8/1000</f>
        <v>142.33934161306593</v>
      </c>
      <c r="AR33" s="66">
        <f>X33*Table5[DPV_LPG]*0.01*$AD$9/$AL$8/1000</f>
        <v>14.615200254913017</v>
      </c>
      <c r="AS33" s="31">
        <f t="shared" si="37"/>
        <v>1007.6845691092622</v>
      </c>
      <c r="AT33" s="66">
        <f t="shared" si="9"/>
        <v>1164.6391109772412</v>
      </c>
      <c r="AU33" s="31">
        <f t="shared" si="10"/>
        <v>11646.391109772412</v>
      </c>
      <c r="AX33" s="148">
        <f t="shared" si="11"/>
        <v>400294.02606802911</v>
      </c>
      <c r="BB33" s="26">
        <f>BB32+1</f>
        <v>2030</v>
      </c>
      <c r="BC33" s="85">
        <f t="shared" si="12"/>
        <v>490.90314240876609</v>
      </c>
      <c r="BD33" s="85">
        <f t="shared" si="13"/>
        <v>0.23376340114703145</v>
      </c>
      <c r="BE33" s="85">
        <f t="shared" si="14"/>
        <v>2.2667966171833354E-2</v>
      </c>
      <c r="BF33" s="85">
        <f t="shared" si="15"/>
        <v>773.28846753241339</v>
      </c>
      <c r="BG33" s="85">
        <f t="shared" si="16"/>
        <v>4.0699393028021759E-2</v>
      </c>
      <c r="BH33" s="85">
        <f t="shared" si="17"/>
        <v>4.0699393028021759E-2</v>
      </c>
      <c r="BI33" s="85">
        <f t="shared" si="18"/>
        <v>3.8361115965190566</v>
      </c>
      <c r="BJ33" s="85">
        <f t="shared" si="19"/>
        <v>3.7692380187667432E-3</v>
      </c>
      <c r="BK33" s="85">
        <f t="shared" si="20"/>
        <v>1.2158832318602397E-5</v>
      </c>
      <c r="BL33">
        <f t="shared" si="21"/>
        <v>2030</v>
      </c>
      <c r="BM33" s="39">
        <f t="shared" si="22"/>
        <v>1268.0277215376984</v>
      </c>
      <c r="BN33" s="39">
        <f t="shared" si="23"/>
        <v>0.27823203219381992</v>
      </c>
      <c r="BO33" s="39">
        <f t="shared" si="24"/>
        <v>6.3379518032173718E-2</v>
      </c>
      <c r="BP33" s="184">
        <f t="shared" si="25"/>
        <v>1293.8706187161317</v>
      </c>
      <c r="BR33" s="170">
        <f>Scenario1!BT33</f>
        <v>1274.4625594353899</v>
      </c>
      <c r="BS33" s="173">
        <f>Scenario2!BT33</f>
        <v>1229.373786074276</v>
      </c>
      <c r="BT33" s="183">
        <f>Scenario3!BX33</f>
        <v>1251.9661595346565</v>
      </c>
      <c r="BU33" s="201">
        <f>'LRS4'!BP33</f>
        <v>1268.1750820005832</v>
      </c>
      <c r="BW33" s="141">
        <f t="shared" si="26"/>
        <v>2030</v>
      </c>
      <c r="BX33" s="60">
        <f t="shared" si="27"/>
        <v>19.408059280741782</v>
      </c>
      <c r="BY33" s="141"/>
      <c r="BZ33" s="60">
        <f t="shared" si="28"/>
        <v>64.49683264185569</v>
      </c>
      <c r="CA33" s="141"/>
      <c r="CB33" s="60">
        <f t="shared" si="29"/>
        <v>41.904459181475204</v>
      </c>
      <c r="CC33" s="141"/>
      <c r="CD33" s="203">
        <f t="shared" si="30"/>
        <v>25.695536715548542</v>
      </c>
      <c r="CE33" s="141"/>
      <c r="CF33" s="203">
        <f t="shared" si="31"/>
        <v>151.50488781962122</v>
      </c>
      <c r="CG33" s="141"/>
      <c r="CH33" s="203">
        <f t="shared" si="32"/>
        <v>1142.3657308965105</v>
      </c>
    </row>
    <row r="34" spans="1:86" x14ac:dyDescent="0.25">
      <c r="A34" s="117">
        <f t="shared" ref="A34:A53" si="38">A33+1</f>
        <v>2031</v>
      </c>
      <c r="B34" s="66">
        <f>INDEX((Proj_PasMob!$Q$6:$Q$46),MATCH(A34,Proj_PasMob!$M$6:M$46,0))</f>
        <v>11735439516.144716</v>
      </c>
      <c r="C34" s="119">
        <f>B34*Table1[Gasoline]%</f>
        <v>6446319425.3909473</v>
      </c>
      <c r="D34" s="123">
        <f>B34*Table1[[Diesel ]]%</f>
        <v>5282691001.3894024</v>
      </c>
      <c r="E34" s="121">
        <f>B34*Table1[LPG]%</f>
        <v>6429089.3643666441</v>
      </c>
      <c r="F34" s="66">
        <f t="shared" si="3"/>
        <v>0</v>
      </c>
      <c r="H34" s="31">
        <f>C34*Table2[Autocycle]%</f>
        <v>729160822.23829675</v>
      </c>
      <c r="I34" s="66">
        <f>C34*Table2[Motocycle]%</f>
        <v>474738075.25950414</v>
      </c>
      <c r="J34" s="66">
        <f>C34*Table2[cars]%</f>
        <v>5014418434.6125488</v>
      </c>
      <c r="K34" s="66">
        <f>C34*Table2[DPV]%</f>
        <v>162598994.30385512</v>
      </c>
      <c r="L34" s="66">
        <f>C34*Table2[Hybrid]%</f>
        <v>65403098.976742513</v>
      </c>
      <c r="M34" s="66">
        <f t="shared" si="4"/>
        <v>0</v>
      </c>
      <c r="P34" s="66">
        <f>D34*Table3[Cars]%</f>
        <v>446726766.46577996</v>
      </c>
      <c r="Q34" s="66">
        <f>D34*Table3[DPV]%</f>
        <v>644346665.28186023</v>
      </c>
      <c r="R34" s="66">
        <f>D34*Table3[Buses]%</f>
        <v>4191617569.6417623</v>
      </c>
      <c r="S34" s="66">
        <f t="shared" si="5"/>
        <v>0</v>
      </c>
      <c r="W34" s="66">
        <f>E34*Table4[Cars]%</f>
        <v>6076438.8929034946</v>
      </c>
      <c r="X34" s="66">
        <f>E34*Table4[DPV]%</f>
        <v>352650.47146314924</v>
      </c>
      <c r="Y34" s="66">
        <f t="shared" si="6"/>
        <v>0</v>
      </c>
      <c r="AB34" s="117">
        <f t="shared" ref="AB34:AB53" si="39">AB33+1</f>
        <v>2031</v>
      </c>
      <c r="AD34" s="66">
        <f>H34*Table5[Autocycle]*0.01*$AD$7/1000</f>
        <v>12942.604594729766</v>
      </c>
      <c r="AE34" s="66">
        <f>I34*Table5[Motocycle]*0.01*$AD$7/1000</f>
        <v>10111.921003027437</v>
      </c>
      <c r="AF34" s="66">
        <f>J34*Table5[Car]*0.01*$AD$7/$AL$8/1000</f>
        <v>121797.58460914165</v>
      </c>
      <c r="AG34" s="66">
        <f>K34*Table5[DPV]*0.01*$AD$7/$AL$8/1000</f>
        <v>6987.4778341630381</v>
      </c>
      <c r="AH34" s="66">
        <f>L34*Table5[Car_Hbrid]*0.01*$AD$7/$AL$8/1000</f>
        <v>977.60421628394067</v>
      </c>
      <c r="AI34" s="66">
        <f>Freight!E26*$AG$8*$AI$8*$AD$7/1000</f>
        <v>5550.5624011233949</v>
      </c>
      <c r="AJ34" s="66">
        <f t="shared" ref="AJ34:AJ53" si="40">SUM(AD34:AI34)</f>
        <v>158367.75465846923</v>
      </c>
      <c r="AK34" s="66">
        <f>P34*Table5[Car_Dsl]*0.01*$AD$8/$AL$8/1000</f>
        <v>13989.601370902057</v>
      </c>
      <c r="AL34" s="66">
        <f>Q34*Table5[DPV_Dsl]*0.01*$AD$8/$AL$8/1000</f>
        <v>32573.419579117202</v>
      </c>
      <c r="AM34" s="66">
        <f>R34*Table5[Bus]*0.01*$AD$8/$AL$9/1000</f>
        <v>30844.317287463884</v>
      </c>
      <c r="AN34" s="66">
        <f>Freight!E26*$AG$9*$AI$9*$AD$8/1000</f>
        <v>168586.5883359116</v>
      </c>
      <c r="AO34" s="66">
        <f t="shared" si="8"/>
        <v>245993.92657339474</v>
      </c>
      <c r="AQ34" s="66">
        <f>W34*Table5[Car_LPG]*0.01*$AD$9/$AL$8/1000</f>
        <v>142.41941486558548</v>
      </c>
      <c r="AR34" s="66">
        <f>X34*Table5[DPV_LPG]*0.01*$AD$9/$AL$8/1000</f>
        <v>14.623422062091365</v>
      </c>
      <c r="AS34" s="31">
        <f t="shared" si="37"/>
        <v>936.13896470250461</v>
      </c>
      <c r="AT34" s="66">
        <f t="shared" si="9"/>
        <v>1093.1818016301813</v>
      </c>
      <c r="AU34" s="31">
        <f t="shared" si="10"/>
        <v>10931.818016301813</v>
      </c>
      <c r="AX34" s="148">
        <f t="shared" si="11"/>
        <v>405454.86303349416</v>
      </c>
      <c r="BB34" s="117">
        <f t="shared" ref="BB34:BB53" si="41">BB33+1</f>
        <v>2031</v>
      </c>
      <c r="BC34" s="85">
        <f t="shared" si="12"/>
        <v>491.67486582286989</v>
      </c>
      <c r="BD34" s="85">
        <f t="shared" si="13"/>
        <v>0.23413088848708088</v>
      </c>
      <c r="BE34" s="85">
        <f t="shared" si="14"/>
        <v>2.2703601307838144E-2</v>
      </c>
      <c r="BF34" s="85">
        <f t="shared" si="15"/>
        <v>789.27889322853412</v>
      </c>
      <c r="BG34" s="85">
        <f t="shared" si="16"/>
        <v>4.1540994380449163E-2</v>
      </c>
      <c r="BH34" s="85">
        <f t="shared" si="17"/>
        <v>4.1540994380449163E-2</v>
      </c>
      <c r="BI34" s="85">
        <f t="shared" si="18"/>
        <v>3.6007440818455234</v>
      </c>
      <c r="BJ34" s="85">
        <f t="shared" si="19"/>
        <v>3.5379735827959185E-3</v>
      </c>
      <c r="BK34" s="85">
        <f t="shared" si="20"/>
        <v>1.1412818009019093E-5</v>
      </c>
      <c r="BL34">
        <f t="shared" si="21"/>
        <v>2031</v>
      </c>
      <c r="BM34" s="39">
        <f t="shared" si="22"/>
        <v>1284.5545031332495</v>
      </c>
      <c r="BN34" s="39">
        <f t="shared" si="23"/>
        <v>0.27920985645032592</v>
      </c>
      <c r="BO34" s="39">
        <f t="shared" si="24"/>
        <v>6.4256008506296328E-2</v>
      </c>
      <c r="BP34" s="184">
        <f t="shared" si="25"/>
        <v>1310.6830400793838</v>
      </c>
      <c r="BR34" s="170">
        <f>Scenario1!BT34</f>
        <v>1291.0227944781934</v>
      </c>
      <c r="BS34" s="173">
        <f>Scenario2!BT34</f>
        <v>1245.3335177974736</v>
      </c>
      <c r="BT34" s="183">
        <f>Scenario3!BX34</f>
        <v>1263.4918854629136</v>
      </c>
      <c r="BU34" s="201">
        <f>'LRS4'!BP34</f>
        <v>1284.8231904034615</v>
      </c>
      <c r="BW34">
        <f t="shared" si="26"/>
        <v>2031</v>
      </c>
      <c r="BX34" s="31">
        <f t="shared" si="27"/>
        <v>19.660245601190354</v>
      </c>
      <c r="BZ34" s="31">
        <f t="shared" si="28"/>
        <v>65.34952228191014</v>
      </c>
      <c r="CB34" s="31">
        <f t="shared" si="29"/>
        <v>47.191154616470158</v>
      </c>
      <c r="CD34" s="202">
        <f t="shared" si="30"/>
        <v>25.859849675922305</v>
      </c>
      <c r="CF34" s="202">
        <f t="shared" si="31"/>
        <v>158.06077217549296</v>
      </c>
      <c r="CH34" s="202">
        <f t="shared" si="32"/>
        <v>1152.6222679038908</v>
      </c>
    </row>
    <row r="35" spans="1:86" x14ac:dyDescent="0.25">
      <c r="A35" s="117">
        <f t="shared" si="38"/>
        <v>2032</v>
      </c>
      <c r="B35" s="66">
        <f>INDEX((Proj_PasMob!$Q$6:$Q$46),MATCH(A35,Proj_PasMob!$M$6:M$46,0))</f>
        <v>11739028415.162449</v>
      </c>
      <c r="C35" s="119">
        <f>B35*Table1[Gasoline]%</f>
        <v>6448290820.6183653</v>
      </c>
      <c r="D35" s="123">
        <f>B35*Table1[[Diesel ]]%</f>
        <v>5284306539.0537386</v>
      </c>
      <c r="E35" s="121">
        <f>B35*Table1[LPG]%</f>
        <v>6431055.4903453896</v>
      </c>
      <c r="F35" s="66">
        <f t="shared" si="3"/>
        <v>0</v>
      </c>
      <c r="H35" s="31">
        <f>C35*Table2[Autocycle]%</f>
        <v>729383812.14464831</v>
      </c>
      <c r="I35" s="66">
        <f>C35*Table2[Motocycle]%</f>
        <v>474883258.31887192</v>
      </c>
      <c r="J35" s="66">
        <f>C35*Table2[cars]%</f>
        <v>5015951929.9170685</v>
      </c>
      <c r="K35" s="66">
        <f>C35*Table2[DPV]%</f>
        <v>162648719.86974794</v>
      </c>
      <c r="L35" s="66">
        <f>C35*Table2[Hybrid]%</f>
        <v>65423100.36802841</v>
      </c>
      <c r="M35" s="66">
        <f t="shared" si="4"/>
        <v>0</v>
      </c>
      <c r="P35" s="66">
        <f>D35*Table3[Cars]%</f>
        <v>446863383.18568707</v>
      </c>
      <c r="Q35" s="66">
        <f>D35*Table3[DPV]%</f>
        <v>644543717.56191576</v>
      </c>
      <c r="R35" s="66">
        <f>D35*Table3[Buses]%</f>
        <v>4192899438.3061357</v>
      </c>
      <c r="S35" s="66">
        <f t="shared" si="5"/>
        <v>0</v>
      </c>
      <c r="W35" s="66">
        <f>E35*Table4[Cars]%</f>
        <v>6078297.1723095663</v>
      </c>
      <c r="X35" s="66">
        <f>E35*Table4[DPV]%</f>
        <v>352758.31803582306</v>
      </c>
      <c r="Y35" s="66">
        <f t="shared" si="6"/>
        <v>0</v>
      </c>
      <c r="AB35" s="117">
        <f t="shared" si="39"/>
        <v>2032</v>
      </c>
      <c r="AD35" s="66">
        <f>H35*Table5[Autocycle]*0.01*$AD$7/1000</f>
        <v>12946.56266556751</v>
      </c>
      <c r="AE35" s="66">
        <f>I35*Table5[Motocycle]*0.01*$AD$7/1000</f>
        <v>10115.013402191971</v>
      </c>
      <c r="AF35" s="66">
        <f>J35*Table5[Car]*0.01*$AD$7/$AL$8/1000</f>
        <v>121834.83240298563</v>
      </c>
      <c r="AG35" s="66">
        <f>K35*Table5[DPV]*0.01*$AD$7/$AL$8/1000</f>
        <v>6989.6147249289033</v>
      </c>
      <c r="AH35" s="66">
        <f>L35*Table5[Car_Hbrid]*0.01*$AD$7/$AL$8/1000</f>
        <v>977.90318444842455</v>
      </c>
      <c r="AI35" s="66">
        <f>Freight!E27*$AG$8*$AI$8*$AD$7/1000</f>
        <v>5718.0915326599152</v>
      </c>
      <c r="AJ35" s="66">
        <f t="shared" si="40"/>
        <v>158582.01791278235</v>
      </c>
      <c r="AK35" s="66">
        <f>P35*Table5[Car_Dsl]*0.01*$AD$8/$AL$8/1000</f>
        <v>13993.879631341253</v>
      </c>
      <c r="AL35" s="66">
        <f>Q35*Table5[DPV_Dsl]*0.01*$AD$8/$AL$8/1000</f>
        <v>32583.381090432642</v>
      </c>
      <c r="AM35" s="66">
        <f>R35*Table5[Bus]*0.01*$AD$8/$AL$9/1000</f>
        <v>30853.750009592724</v>
      </c>
      <c r="AN35" s="66">
        <f>Freight!E27*$AG$9*$AI$9*$AD$8/1000</f>
        <v>173674.93122651742</v>
      </c>
      <c r="AO35" s="66">
        <f t="shared" si="8"/>
        <v>251105.94195788406</v>
      </c>
      <c r="AQ35" s="66">
        <f>W35*Table5[Car_LPG]*0.01*$AD$9/$AL$8/1000</f>
        <v>142.4629691694029</v>
      </c>
      <c r="AR35" s="66">
        <f>X35*Table5[DPV_LPG]*0.01*$AD$9/$AL$8/1000</f>
        <v>14.627894155786905</v>
      </c>
      <c r="AS35" s="31">
        <f t="shared" si="37"/>
        <v>869.67309820862681</v>
      </c>
      <c r="AT35" s="66">
        <f t="shared" si="9"/>
        <v>1026.7639615338167</v>
      </c>
      <c r="AU35" s="31">
        <f t="shared" si="10"/>
        <v>10267.639615338167</v>
      </c>
      <c r="AX35" s="148">
        <f t="shared" si="11"/>
        <v>410714.72383220022</v>
      </c>
      <c r="BB35" s="117">
        <f t="shared" si="41"/>
        <v>2032</v>
      </c>
      <c r="BC35" s="85">
        <f t="shared" si="12"/>
        <v>492.34007609274056</v>
      </c>
      <c r="BD35" s="85">
        <f t="shared" si="13"/>
        <v>0.23444765528225739</v>
      </c>
      <c r="BE35" s="85">
        <f t="shared" si="14"/>
        <v>2.2734318087976477E-2</v>
      </c>
      <c r="BF35" s="85">
        <f t="shared" si="15"/>
        <v>805.68094795012962</v>
      </c>
      <c r="BG35" s="85">
        <f t="shared" si="16"/>
        <v>4.2404260418427875E-2</v>
      </c>
      <c r="BH35" s="85">
        <f t="shared" si="17"/>
        <v>4.2404260418427875E-2</v>
      </c>
      <c r="BI35" s="85">
        <f t="shared" si="18"/>
        <v>3.3819756717793159</v>
      </c>
      <c r="BJ35" s="85">
        <f t="shared" si="19"/>
        <v>3.3230188851080438E-3</v>
      </c>
      <c r="BK35" s="85">
        <f t="shared" si="20"/>
        <v>1.0719415758413045E-5</v>
      </c>
      <c r="BL35">
        <f t="shared" si="21"/>
        <v>2032</v>
      </c>
      <c r="BM35" s="39">
        <f t="shared" si="22"/>
        <v>1301.4029997146495</v>
      </c>
      <c r="BN35" s="39">
        <f t="shared" si="23"/>
        <v>0.28017493458579329</v>
      </c>
      <c r="BO35" s="39">
        <f t="shared" si="24"/>
        <v>6.5149297922162758E-2</v>
      </c>
      <c r="BP35" s="184">
        <f t="shared" si="25"/>
        <v>1327.8218638600988</v>
      </c>
      <c r="BR35" s="170">
        <f>Scenario1!BT35</f>
        <v>1307.9045359021973</v>
      </c>
      <c r="BS35" s="173">
        <f>Scenario2!BT35</f>
        <v>1261.604182943584</v>
      </c>
      <c r="BT35" s="183">
        <f>Scenario3!BX35</f>
        <v>1275.3471283917061</v>
      </c>
      <c r="BU35" s="201">
        <f>'LRS4'!BP35</f>
        <v>1301.7977012238025</v>
      </c>
      <c r="BW35">
        <f t="shared" si="26"/>
        <v>2032</v>
      </c>
      <c r="BX35" s="31">
        <f t="shared" si="27"/>
        <v>19.917327957901534</v>
      </c>
      <c r="BZ35" s="31">
        <f t="shared" si="28"/>
        <v>66.217680916514837</v>
      </c>
      <c r="CB35" s="31">
        <f t="shared" si="29"/>
        <v>52.474735468392737</v>
      </c>
      <c r="CD35" s="202">
        <f t="shared" si="30"/>
        <v>26.024162636296296</v>
      </c>
      <c r="CF35" s="202">
        <f t="shared" si="31"/>
        <v>164.6339069791054</v>
      </c>
      <c r="CH35" s="202">
        <f t="shared" si="32"/>
        <v>1163.1879568809934</v>
      </c>
    </row>
    <row r="36" spans="1:86" x14ac:dyDescent="0.25">
      <c r="A36" s="117">
        <f t="shared" si="38"/>
        <v>2033</v>
      </c>
      <c r="B36" s="66">
        <f>INDEX((Proj_PasMob!$Q$6:$Q$46),MATCH(A36,Proj_PasMob!$M$6:M$46,0))</f>
        <v>11739762981.532864</v>
      </c>
      <c r="C36" s="119">
        <f>B36*Table1[Gasoline]%</f>
        <v>6448694320.5858212</v>
      </c>
      <c r="D36" s="123">
        <f>B36*Table1[[Diesel ]]%</f>
        <v>5284637203.0352259</v>
      </c>
      <c r="E36" s="121">
        <f>B36*Table1[LPG]%</f>
        <v>6431457.9118169462</v>
      </c>
      <c r="F36" s="66">
        <f t="shared" si="3"/>
        <v>0</v>
      </c>
      <c r="H36" s="31">
        <f>C36*Table2[Autocycle]%</f>
        <v>729429453.12962413</v>
      </c>
      <c r="I36" s="66">
        <f>C36*Table2[Motocycle]%</f>
        <v>474912974.00394374</v>
      </c>
      <c r="J36" s="66">
        <f>C36*Table2[cars]%</f>
        <v>5016265801.6850748</v>
      </c>
      <c r="K36" s="66">
        <f>C36*Table2[DPV]%</f>
        <v>162658897.56721848</v>
      </c>
      <c r="L36" s="66">
        <f>C36*Table2[Hybrid]%</f>
        <v>65427194.199960575</v>
      </c>
      <c r="M36" s="66">
        <f t="shared" si="4"/>
        <v>0</v>
      </c>
      <c r="P36" s="66">
        <f>D36*Table3[Cars]%</f>
        <v>446891345.53502715</v>
      </c>
      <c r="Q36" s="66">
        <f>D36*Table3[DPV]%</f>
        <v>644584049.70205867</v>
      </c>
      <c r="R36" s="66">
        <f>D36*Table3[Buses]%</f>
        <v>4193161807.79814</v>
      </c>
      <c r="S36" s="66">
        <f t="shared" si="5"/>
        <v>0</v>
      </c>
      <c r="W36" s="66">
        <f>E36*Table4[Cars]%</f>
        <v>6078677.5200295188</v>
      </c>
      <c r="X36" s="66">
        <f>E36*Table4[DPV]%</f>
        <v>352780.39178742742</v>
      </c>
      <c r="Y36" s="66">
        <f t="shared" si="6"/>
        <v>0</v>
      </c>
      <c r="AB36" s="117">
        <f t="shared" si="39"/>
        <v>2033</v>
      </c>
      <c r="AD36" s="66">
        <f>H36*Table5[Autocycle]*0.01*$AD$7/1000</f>
        <v>12947.372793050827</v>
      </c>
      <c r="AE36" s="66">
        <f>I36*Table5[Motocycle]*0.01*$AD$7/1000</f>
        <v>10115.646346284002</v>
      </c>
      <c r="AF36" s="66">
        <f>J36*Table5[Car]*0.01*$AD$7/$AL$8/1000</f>
        <v>121842.45618303487</v>
      </c>
      <c r="AG36" s="66">
        <f>K36*Table5[DPV]*0.01*$AD$7/$AL$8/1000</f>
        <v>6990.0520980859956</v>
      </c>
      <c r="AH36" s="66">
        <f>L36*Table5[Car_Hbrid]*0.01*$AD$7/$AL$8/1000</f>
        <v>977.96437646256868</v>
      </c>
      <c r="AI36" s="66">
        <f>Freight!E28*$AG$8*$AI$8*$AD$7/1000</f>
        <v>5890.6443878102173</v>
      </c>
      <c r="AJ36" s="66">
        <f t="shared" si="40"/>
        <v>158764.13618472847</v>
      </c>
      <c r="AK36" s="66">
        <f>P36*Table5[Car_Dsl]*0.01*$AD$8/$AL$8/1000</f>
        <v>13994.755294386379</v>
      </c>
      <c r="AL36" s="66">
        <f>Q36*Table5[DPV_Dsl]*0.01*$AD$8/$AL$8/1000</f>
        <v>32585.419986254074</v>
      </c>
      <c r="AM36" s="66">
        <f>R36*Table5[Bus]*0.01*$AD$8/$AL$9/1000</f>
        <v>30855.68067424031</v>
      </c>
      <c r="AN36" s="66">
        <f>Freight!E28*$AG$9*$AI$9*$AD$8/1000</f>
        <v>178915.85909204735</v>
      </c>
      <c r="AO36" s="66">
        <f t="shared" si="8"/>
        <v>256351.71504692812</v>
      </c>
      <c r="AQ36" s="66">
        <f>W36*Table5[Car_LPG]*0.01*$AD$9/$AL$8/1000</f>
        <v>142.47188374925398</v>
      </c>
      <c r="AR36" s="66">
        <f>X36*Table5[DPV_LPG]*0.01*$AD$9/$AL$8/1000</f>
        <v>14.628809492110902</v>
      </c>
      <c r="AS36" s="31">
        <f t="shared" si="37"/>
        <v>807.9263082358143</v>
      </c>
      <c r="AT36" s="66">
        <f t="shared" si="9"/>
        <v>965.02700147717917</v>
      </c>
      <c r="AU36" s="31">
        <f t="shared" si="10"/>
        <v>9650.2700147717915</v>
      </c>
      <c r="AX36" s="148">
        <f t="shared" si="11"/>
        <v>416080.87823313376</v>
      </c>
      <c r="BB36" s="117">
        <f t="shared" si="41"/>
        <v>2033</v>
      </c>
      <c r="BC36" s="85">
        <f t="shared" si="12"/>
        <v>492.9054877645554</v>
      </c>
      <c r="BD36" s="85">
        <f t="shared" si="13"/>
        <v>0.23471689893550254</v>
      </c>
      <c r="BE36" s="85">
        <f t="shared" si="14"/>
        <v>2.2760426563442671E-2</v>
      </c>
      <c r="BF36" s="85">
        <f t="shared" si="15"/>
        <v>822.51216827952021</v>
      </c>
      <c r="BG36" s="85">
        <f t="shared" si="16"/>
        <v>4.3290114119974743E-2</v>
      </c>
      <c r="BH36" s="85">
        <f t="shared" si="17"/>
        <v>4.3290114119974743E-2</v>
      </c>
      <c r="BI36" s="85">
        <f t="shared" si="18"/>
        <v>3.1786252380055622</v>
      </c>
      <c r="BJ36" s="85">
        <f t="shared" si="19"/>
        <v>3.1232133875807424E-3</v>
      </c>
      <c r="BK36" s="85">
        <f t="shared" si="20"/>
        <v>1.007488189542175E-5</v>
      </c>
      <c r="BL36">
        <f t="shared" si="21"/>
        <v>2033</v>
      </c>
      <c r="BM36" s="39">
        <f t="shared" si="22"/>
        <v>1318.596281282081</v>
      </c>
      <c r="BN36" s="39">
        <f t="shared" si="23"/>
        <v>0.28113022644305802</v>
      </c>
      <c r="BO36" s="39">
        <f t="shared" si="24"/>
        <v>6.6060615565312827E-2</v>
      </c>
      <c r="BP36" s="184">
        <f t="shared" si="25"/>
        <v>1345.3106003816206</v>
      </c>
      <c r="BR36" s="170">
        <f>Scenario1!BT36</f>
        <v>1325.1309413758966</v>
      </c>
      <c r="BS36" s="173">
        <f>Scenario2!BT36</f>
        <v>1278.2080557569147</v>
      </c>
      <c r="BT36" s="183">
        <f>Scenario3!BX36</f>
        <v>1287.5579697440016</v>
      </c>
      <c r="BU36" s="201">
        <f>'LRS4'!BP36</f>
        <v>1319.1221247849505</v>
      </c>
      <c r="BW36">
        <f t="shared" si="26"/>
        <v>2033</v>
      </c>
      <c r="BX36" s="31">
        <f t="shared" si="27"/>
        <v>20.179659005724034</v>
      </c>
      <c r="BZ36" s="31">
        <f t="shared" si="28"/>
        <v>67.102544624705843</v>
      </c>
      <c r="CB36" s="31">
        <f t="shared" si="29"/>
        <v>57.75263063761895</v>
      </c>
      <c r="CD36" s="202">
        <f t="shared" si="30"/>
        <v>26.18847559667006</v>
      </c>
      <c r="CF36" s="202">
        <f t="shared" si="31"/>
        <v>171.22330986471889</v>
      </c>
      <c r="CH36" s="202">
        <f t="shared" si="32"/>
        <v>1174.0872905169017</v>
      </c>
    </row>
    <row r="37" spans="1:86" x14ac:dyDescent="0.25">
      <c r="A37" s="117">
        <f t="shared" si="38"/>
        <v>2034</v>
      </c>
      <c r="B37" s="66">
        <f>INDEX((Proj_PasMob!$Q$6:$Q$46),MATCH(A37,Proj_PasMob!$M$6:M$46,0))</f>
        <v>11624757297.551462</v>
      </c>
      <c r="C37" s="119">
        <f>B37*Table1[Gasoline]%</f>
        <v>6385521281.8888235</v>
      </c>
      <c r="D37" s="123">
        <f>B37*Table1[[Diesel ]]%</f>
        <v>5232867561.9373045</v>
      </c>
      <c r="E37" s="121">
        <f>B37*Table1[LPG]%</f>
        <v>6368453.7253346797</v>
      </c>
      <c r="F37" s="66">
        <f t="shared" si="3"/>
        <v>0</v>
      </c>
      <c r="H37" s="31">
        <f>C37*Table2[Autocycle]%</f>
        <v>722283777.93112886</v>
      </c>
      <c r="I37" s="66">
        <f>C37*Table2[Motocycle]%</f>
        <v>470260606.533418</v>
      </c>
      <c r="J37" s="66">
        <f>C37*Table2[cars]%</f>
        <v>4967125194.633399</v>
      </c>
      <c r="K37" s="66">
        <f>C37*Table2[DPV]%</f>
        <v>161065449.91416064</v>
      </c>
      <c r="L37" s="66">
        <f>C37*Table2[Hybrid]%</f>
        <v>64786252.876716927</v>
      </c>
      <c r="M37" s="66">
        <f t="shared" si="4"/>
        <v>0</v>
      </c>
      <c r="P37" s="66">
        <f>D37*Table3[Cars]%</f>
        <v>442513485.01608217</v>
      </c>
      <c r="Q37" s="66">
        <f>D37*Table3[DPV]%</f>
        <v>638269541.51001966</v>
      </c>
      <c r="R37" s="66">
        <f>D37*Table3[Buses]%</f>
        <v>4152084535.4112024</v>
      </c>
      <c r="S37" s="66">
        <f t="shared" si="5"/>
        <v>0</v>
      </c>
      <c r="W37" s="66">
        <f>E37*Table4[Cars]%</f>
        <v>6019129.2593880519</v>
      </c>
      <c r="X37" s="66">
        <f>E37*Table4[DPV]%</f>
        <v>349324.46594662796</v>
      </c>
      <c r="Y37" s="66">
        <f t="shared" si="6"/>
        <v>0</v>
      </c>
      <c r="AB37" s="117">
        <f t="shared" si="39"/>
        <v>2034</v>
      </c>
      <c r="AD37" s="66">
        <f>H37*Table5[Autocycle]*0.01*$AD$7/1000</f>
        <v>12820.537058277538</v>
      </c>
      <c r="AE37" s="66">
        <f>I37*Table5[Motocycle]*0.01*$AD$7/1000</f>
        <v>10016.550919161804</v>
      </c>
      <c r="AF37" s="66">
        <f>J37*Table5[Car]*0.01*$AD$7/$AL$8/1000</f>
        <v>120648.85670122702</v>
      </c>
      <c r="AG37" s="66">
        <f>K37*Table5[DPV]*0.01*$AD$7/$AL$8/1000</f>
        <v>6921.5757818374841</v>
      </c>
      <c r="AH37" s="66">
        <f>L37*Table5[Car_Hbrid]*0.01*$AD$7/$AL$8/1000</f>
        <v>968.38399036776889</v>
      </c>
      <c r="AI37" s="66">
        <f>Freight!E29*$AG$8*$AI$8*$AD$7/1000</f>
        <v>6068.6914423461449</v>
      </c>
      <c r="AJ37" s="66">
        <f t="shared" si="40"/>
        <v>157444.59589321775</v>
      </c>
      <c r="AK37" s="66">
        <f>P37*Table5[Car_Dsl]*0.01*$AD$8/$AL$8/1000</f>
        <v>13857.659136029943</v>
      </c>
      <c r="AL37" s="66">
        <f>Q37*Table5[DPV_Dsl]*0.01*$AD$8/$AL$8/1000</f>
        <v>32266.20498001968</v>
      </c>
      <c r="AM37" s="66">
        <f>R37*Table5[Bus]*0.01*$AD$8/$AL$9/1000</f>
        <v>30553.410631290149</v>
      </c>
      <c r="AN37" s="66">
        <f>Freight!E29*$AG$9*$AI$9*$AD$8/1000</f>
        <v>184323.66163857753</v>
      </c>
      <c r="AO37" s="66">
        <f t="shared" si="8"/>
        <v>261000.9363859173</v>
      </c>
      <c r="AQ37" s="66">
        <f>W37*Table5[Car_LPG]*0.01*$AD$9/$AL$8/1000</f>
        <v>141.07619318339877</v>
      </c>
      <c r="AR37" s="66">
        <f>X37*Table5[DPV_LPG]*0.01*$AD$9/$AL$8/1000</f>
        <v>14.485501978652549</v>
      </c>
      <c r="AS37" s="31">
        <f t="shared" si="37"/>
        <v>750.56354035107154</v>
      </c>
      <c r="AT37" s="66">
        <f t="shared" si="9"/>
        <v>906.12523551312279</v>
      </c>
      <c r="AU37" s="31">
        <f t="shared" si="10"/>
        <v>9061.2523551312279</v>
      </c>
      <c r="AX37" s="148">
        <f t="shared" si="11"/>
        <v>419351.65751464816</v>
      </c>
      <c r="BB37" s="117">
        <f t="shared" si="41"/>
        <v>2034</v>
      </c>
      <c r="BC37" s="85">
        <f t="shared" si="12"/>
        <v>488.80879019391949</v>
      </c>
      <c r="BD37" s="85">
        <f t="shared" si="13"/>
        <v>0.23276609056853306</v>
      </c>
      <c r="BE37" s="85">
        <f t="shared" si="14"/>
        <v>2.257125726725169E-2</v>
      </c>
      <c r="BF37" s="85">
        <f t="shared" si="15"/>
        <v>837.42933442230719</v>
      </c>
      <c r="BG37" s="85">
        <f t="shared" si="16"/>
        <v>4.4075228127489853E-2</v>
      </c>
      <c r="BH37" s="85">
        <f t="shared" si="17"/>
        <v>4.4075228127489853E-2</v>
      </c>
      <c r="BI37" s="85">
        <f t="shared" si="18"/>
        <v>2.9846134232378341</v>
      </c>
      <c r="BJ37" s="85">
        <f t="shared" si="19"/>
        <v>2.9325837122146704E-3</v>
      </c>
      <c r="BK37" s="85">
        <f t="shared" si="20"/>
        <v>9.4599474587570025E-6</v>
      </c>
      <c r="BL37">
        <f t="shared" si="21"/>
        <v>2034</v>
      </c>
      <c r="BM37" s="39">
        <f t="shared" si="22"/>
        <v>1329.2227380394645</v>
      </c>
      <c r="BN37" s="39">
        <f t="shared" si="23"/>
        <v>0.27977390240823757</v>
      </c>
      <c r="BO37" s="39">
        <f t="shared" si="24"/>
        <v>6.6655945342200304E-2</v>
      </c>
      <c r="BP37" s="184">
        <f t="shared" si="25"/>
        <v>1356.0805573116463</v>
      </c>
      <c r="BR37" s="170">
        <f>Scenario1!BT37</f>
        <v>1335.7393489519714</v>
      </c>
      <c r="BS37" s="173">
        <f>Scenario2!BT37</f>
        <v>1288.429566800083</v>
      </c>
      <c r="BT37" s="183">
        <f>Scenario3!BX37</f>
        <v>1293.4156958370438</v>
      </c>
      <c r="BU37" s="201">
        <f>'LRS4'!BP37</f>
        <v>1329.727768754602</v>
      </c>
      <c r="BW37">
        <f t="shared" si="26"/>
        <v>2034</v>
      </c>
      <c r="BX37" s="31">
        <f t="shared" si="27"/>
        <v>20.341208359674965</v>
      </c>
      <c r="BZ37" s="31">
        <f t="shared" si="28"/>
        <v>67.65099051156335</v>
      </c>
      <c r="CB37" s="31">
        <f t="shared" si="29"/>
        <v>62.664861474602503</v>
      </c>
      <c r="CD37" s="202">
        <f t="shared" si="30"/>
        <v>26.352788557044278</v>
      </c>
      <c r="CF37" s="202">
        <f t="shared" si="31"/>
        <v>177.0098489028851</v>
      </c>
      <c r="CH37" s="202">
        <f t="shared" si="32"/>
        <v>1179.0707084087612</v>
      </c>
    </row>
    <row r="38" spans="1:86" x14ac:dyDescent="0.25">
      <c r="A38" s="117">
        <f t="shared" si="38"/>
        <v>2035</v>
      </c>
      <c r="B38" s="66">
        <f>INDEX((Proj_PasMob!$Q$6:$Q$46),MATCH(A38,Proj_PasMob!$M$6:M$46,0))</f>
        <v>11596440643.258757</v>
      </c>
      <c r="C38" s="119">
        <f>B38*Table1[Gasoline]%</f>
        <v>6369966841.1388187</v>
      </c>
      <c r="D38" s="123">
        <f>B38*Table1[[Diesel ]]%</f>
        <v>5220120861.2606287</v>
      </c>
      <c r="E38" s="121">
        <f>B38*Table1[LPG]%</f>
        <v>6352940.8593105972</v>
      </c>
      <c r="F38" s="66">
        <f t="shared" si="3"/>
        <v>0</v>
      </c>
      <c r="H38" s="31">
        <f>C38*Table2[Autocycle]%</f>
        <v>720524372.59324598</v>
      </c>
      <c r="I38" s="66">
        <f>C38*Table2[Motocycle]%</f>
        <v>469115102.44401318</v>
      </c>
      <c r="J38" s="66">
        <f>C38*Table2[cars]%</f>
        <v>4955025813.6859245</v>
      </c>
      <c r="K38" s="66">
        <f>C38*Table2[DPV]%</f>
        <v>160673111.85952625</v>
      </c>
      <c r="L38" s="66">
        <f>C38*Table2[Hybrid]%</f>
        <v>64628440.556109071</v>
      </c>
      <c r="M38" s="66">
        <f t="shared" si="4"/>
        <v>0</v>
      </c>
      <c r="P38" s="66">
        <f>D38*Table3[Cars]%</f>
        <v>441435569.92036659</v>
      </c>
      <c r="Q38" s="66">
        <f>D38*Table3[DPV]%</f>
        <v>636714785.7856735</v>
      </c>
      <c r="R38" s="66">
        <f>D38*Table3[Buses]%</f>
        <v>4141970505.5545883</v>
      </c>
      <c r="S38" s="66">
        <f t="shared" si="5"/>
        <v>0</v>
      </c>
      <c r="W38" s="66">
        <f>E38*Table4[Cars]%</f>
        <v>6004467.3100657118</v>
      </c>
      <c r="X38" s="66">
        <f>E38*Table4[DPV]%</f>
        <v>348473.54924488504</v>
      </c>
      <c r="Y38" s="66">
        <f t="shared" si="6"/>
        <v>0</v>
      </c>
      <c r="AB38" s="117">
        <f t="shared" si="39"/>
        <v>2035</v>
      </c>
      <c r="AD38" s="66">
        <f>H38*Table5[Autocycle]*0.01*$AD$7/1000</f>
        <v>12789.307613530114</v>
      </c>
      <c r="AE38" s="66">
        <f>I38*Table5[Motocycle]*0.01*$AD$7/1000</f>
        <v>9992.1516820574816</v>
      </c>
      <c r="AF38" s="66">
        <f>J38*Table5[Car]*0.01*$AD$7/$AL$8/1000</f>
        <v>120354.96910610812</v>
      </c>
      <c r="AG38" s="66">
        <f>K38*Table5[DPV]*0.01*$AD$7/$AL$8/1000</f>
        <v>6904.715570173852</v>
      </c>
      <c r="AH38" s="66">
        <f>L38*Table5[Car_Hbrid]*0.01*$AD$7/$AL$8/1000</f>
        <v>966.02511147026178</v>
      </c>
      <c r="AI38" s="66">
        <f>Freight!E30*$AG$8*$AI$8*$AD$7/1000</f>
        <v>6251.8123540131874</v>
      </c>
      <c r="AJ38" s="66">
        <f t="shared" si="40"/>
        <v>157258.98143735298</v>
      </c>
      <c r="AK38" s="66">
        <f>P38*Table5[Car_Dsl]*0.01*$AD$8/$AL$8/1000</f>
        <v>13823.903373822006</v>
      </c>
      <c r="AL38" s="66">
        <f>Q38*Table5[DPV_Dsl]*0.01*$AD$8/$AL$8/1000</f>
        <v>32187.607986691553</v>
      </c>
      <c r="AM38" s="66">
        <f>R38*Table5[Bus]*0.01*$AD$8/$AL$9/1000</f>
        <v>30478.985820159553</v>
      </c>
      <c r="AN38" s="66">
        <f>Freight!E30*$AG$9*$AI$9*$AD$8/1000</f>
        <v>189885.57185954187</v>
      </c>
      <c r="AO38" s="66">
        <f t="shared" si="8"/>
        <v>266376.06904021499</v>
      </c>
      <c r="AQ38" s="66">
        <f>W38*Table5[Car_LPG]*0.01*$AD$9/$AL$8/1000</f>
        <v>140.73254680102258</v>
      </c>
      <c r="AR38" s="66">
        <f>X38*Table5[DPV_LPG]*0.01*$AD$9/$AL$8/1000</f>
        <v>14.450216859033564</v>
      </c>
      <c r="AS38" s="31">
        <f t="shared" si="37"/>
        <v>697.27352898614549</v>
      </c>
      <c r="AT38" s="66">
        <f t="shared" si="9"/>
        <v>852.45629264620163</v>
      </c>
      <c r="AU38" s="31">
        <f t="shared" si="10"/>
        <v>8524.5629264620165</v>
      </c>
      <c r="AX38" s="148">
        <f t="shared" si="11"/>
        <v>424487.50677021418</v>
      </c>
      <c r="BB38" s="117">
        <f t="shared" si="41"/>
        <v>2035</v>
      </c>
      <c r="BC38" s="85">
        <f t="shared" si="12"/>
        <v>488.23252412966355</v>
      </c>
      <c r="BD38" s="85">
        <f t="shared" si="13"/>
        <v>0.2324916781569826</v>
      </c>
      <c r="BE38" s="85">
        <f t="shared" si="14"/>
        <v>2.254464757885892E-2</v>
      </c>
      <c r="BF38" s="85">
        <f t="shared" si="15"/>
        <v>854.67560879760094</v>
      </c>
      <c r="BG38" s="85">
        <f t="shared" si="16"/>
        <v>4.4982926778821097E-2</v>
      </c>
      <c r="BH38" s="85">
        <f t="shared" si="17"/>
        <v>4.4982926778821097E-2</v>
      </c>
      <c r="BI38" s="85">
        <f t="shared" si="18"/>
        <v>2.8078375858439117</v>
      </c>
      <c r="BJ38" s="85">
        <f t="shared" si="19"/>
        <v>2.7588895455201668E-3</v>
      </c>
      <c r="BK38" s="85">
        <f t="shared" si="20"/>
        <v>8.8996436952263451E-6</v>
      </c>
      <c r="BL38">
        <f t="shared" si="21"/>
        <v>2035</v>
      </c>
      <c r="BM38" s="39">
        <f t="shared" si="22"/>
        <v>1345.7159705131082</v>
      </c>
      <c r="BN38" s="39">
        <f t="shared" si="23"/>
        <v>0.28023349448132384</v>
      </c>
      <c r="BO38" s="39">
        <f t="shared" si="24"/>
        <v>6.7536474001375246E-2</v>
      </c>
      <c r="BP38" s="184">
        <f t="shared" si="25"/>
        <v>1372.8476771275512</v>
      </c>
      <c r="BR38" s="170">
        <f>Scenario1!BT38</f>
        <v>1352.2549619706381</v>
      </c>
      <c r="BS38" s="173">
        <f>Scenario2!BT38</f>
        <v>1304.3492663670886</v>
      </c>
      <c r="BT38" s="183">
        <f>Scenario3!BX38</f>
        <v>1305.044113658048</v>
      </c>
      <c r="BU38" s="201">
        <f>'LRS4'!BP38</f>
        <v>1346.3305756101331</v>
      </c>
      <c r="BW38">
        <f t="shared" si="26"/>
        <v>2035</v>
      </c>
      <c r="BX38" s="31">
        <f t="shared" si="27"/>
        <v>20.592715156913073</v>
      </c>
      <c r="BZ38" s="31">
        <f t="shared" si="28"/>
        <v>68.498410760462548</v>
      </c>
      <c r="CB38" s="31">
        <f t="shared" si="29"/>
        <v>67.80356346950316</v>
      </c>
      <c r="CD38" s="202">
        <f t="shared" si="30"/>
        <v>26.517101517418041</v>
      </c>
      <c r="CF38" s="202">
        <f t="shared" si="31"/>
        <v>183.41179090429682</v>
      </c>
      <c r="CH38" s="202">
        <f t="shared" si="32"/>
        <v>1189.4358862232543</v>
      </c>
    </row>
    <row r="39" spans="1:86" x14ac:dyDescent="0.25">
      <c r="A39" s="117">
        <f t="shared" si="38"/>
        <v>2036</v>
      </c>
      <c r="B39" s="66">
        <f>INDEX((Proj_PasMob!$Q$6:$Q$46),MATCH(A39,Proj_PasMob!$M$6:M$46,0))</f>
        <v>11565453970.828867</v>
      </c>
      <c r="C39" s="119">
        <f>B39*Table1[Gasoline]%</f>
        <v>6352945749.7567511</v>
      </c>
      <c r="D39" s="123">
        <f>B39*Table1[[Diesel ]]%</f>
        <v>5206172255.8093214</v>
      </c>
      <c r="E39" s="121">
        <f>B39*Table1[LPG]%</f>
        <v>6335965.2627952686</v>
      </c>
      <c r="F39" s="66">
        <f t="shared" si="3"/>
        <v>0</v>
      </c>
      <c r="H39" s="31">
        <f>C39*Table2[Autocycle]%</f>
        <v>718599070.39077425</v>
      </c>
      <c r="I39" s="66">
        <f>C39*Table2[Motocycle]%</f>
        <v>467861587.123362</v>
      </c>
      <c r="J39" s="66">
        <f>C39*Table2[cars]%</f>
        <v>4941785564.6738634</v>
      </c>
      <c r="K39" s="66">
        <f>C39*Table2[DPV]%</f>
        <v>160243779.68436641</v>
      </c>
      <c r="L39" s="66">
        <f>C39*Table2[Hybrid]%</f>
        <v>64455747.884385616</v>
      </c>
      <c r="M39" s="66">
        <f t="shared" si="4"/>
        <v>0</v>
      </c>
      <c r="P39" s="66">
        <f>D39*Table3[Cars]%</f>
        <v>440256016.65701455</v>
      </c>
      <c r="Q39" s="66">
        <f>D39*Table3[DPV]%</f>
        <v>635013429.90369618</v>
      </c>
      <c r="R39" s="66">
        <f>D39*Table3[Buses]%</f>
        <v>4130902809.2486105</v>
      </c>
      <c r="S39" s="66">
        <f t="shared" si="5"/>
        <v>0</v>
      </c>
      <c r="W39" s="66">
        <f>E39*Table4[Cars]%</f>
        <v>5988422.8644140931</v>
      </c>
      <c r="X39" s="66">
        <f>E39*Table4[DPV]%</f>
        <v>347542.39838117507</v>
      </c>
      <c r="Y39" s="66">
        <f t="shared" si="6"/>
        <v>0</v>
      </c>
      <c r="AB39" s="117">
        <f t="shared" si="39"/>
        <v>2036</v>
      </c>
      <c r="AD39" s="66">
        <f>H39*Table5[Autocycle]*0.01*$AD$7/1000</f>
        <v>12755.133499436242</v>
      </c>
      <c r="AE39" s="66">
        <f>I39*Table5[Motocycle]*0.01*$AD$7/1000</f>
        <v>9965.4518057276109</v>
      </c>
      <c r="AF39" s="66">
        <f>J39*Table5[Car]*0.01*$AD$7/$AL$8/1000</f>
        <v>120033.37042615726</v>
      </c>
      <c r="AG39" s="66">
        <f>K39*Table5[DPV]*0.01*$AD$7/$AL$8/1000</f>
        <v>6886.2655848571148</v>
      </c>
      <c r="AH39" s="66">
        <f>L39*Table5[Car_Hbrid]*0.01*$AD$7/$AL$8/1000</f>
        <v>963.44381048239552</v>
      </c>
      <c r="AI39" s="66">
        <f>Freight!E31*$AG$8*$AI$8*$AD$7/1000</f>
        <v>6440.4228241135461</v>
      </c>
      <c r="AJ39" s="66">
        <f t="shared" si="40"/>
        <v>157044.08795077418</v>
      </c>
      <c r="AK39" s="66">
        <f>P39*Table5[Car_Dsl]*0.01*$AD$8/$AL$8/1000</f>
        <v>13786.964732153878</v>
      </c>
      <c r="AL39" s="66">
        <f>Q39*Table5[DPV_Dsl]*0.01*$AD$8/$AL$8/1000</f>
        <v>32101.599969605275</v>
      </c>
      <c r="AM39" s="66">
        <f>R39*Table5[Bus]*0.01*$AD$8/$AL$9/1000</f>
        <v>30397.543386342273</v>
      </c>
      <c r="AN39" s="66">
        <f>Freight!E31*$AG$9*$AI$9*$AD$8/1000</f>
        <v>195614.21580240008</v>
      </c>
      <c r="AO39" s="66">
        <f t="shared" si="8"/>
        <v>271900.32389050152</v>
      </c>
      <c r="AQ39" s="66">
        <f>W39*Table5[Car_LPG]*0.01*$AD$9/$AL$8/1000</f>
        <v>140.35649750606214</v>
      </c>
      <c r="AR39" s="66">
        <f>X39*Table5[DPV_LPG]*0.01*$AD$9/$AL$8/1000</f>
        <v>14.411604654640312</v>
      </c>
      <c r="AS39" s="31">
        <f t="shared" si="37"/>
        <v>647.76710842812918</v>
      </c>
      <c r="AT39" s="66">
        <f t="shared" si="9"/>
        <v>802.53521058883166</v>
      </c>
      <c r="AU39" s="31">
        <f t="shared" si="10"/>
        <v>8025.3521058883161</v>
      </c>
      <c r="AX39" s="148">
        <f t="shared" si="11"/>
        <v>429746.94705186452</v>
      </c>
      <c r="BB39" s="117">
        <f t="shared" si="41"/>
        <v>2036</v>
      </c>
      <c r="BC39" s="85">
        <f t="shared" si="12"/>
        <v>487.56535721549153</v>
      </c>
      <c r="BD39" s="85">
        <f t="shared" si="13"/>
        <v>0.2321739796264245</v>
      </c>
      <c r="BE39" s="85">
        <f t="shared" si="14"/>
        <v>2.2513840448622983E-2</v>
      </c>
      <c r="BF39" s="85">
        <f t="shared" si="15"/>
        <v>872.40034621239067</v>
      </c>
      <c r="BG39" s="85">
        <f t="shared" si="16"/>
        <v>4.5915807695388985E-2</v>
      </c>
      <c r="BH39" s="85">
        <f t="shared" si="17"/>
        <v>4.5915807695388985E-2</v>
      </c>
      <c r="BI39" s="85">
        <f t="shared" si="18"/>
        <v>2.6434065273417056</v>
      </c>
      <c r="BJ39" s="85">
        <f t="shared" si="19"/>
        <v>2.5973249555496947E-3</v>
      </c>
      <c r="BK39" s="85">
        <f t="shared" si="20"/>
        <v>8.3784675985474034E-6</v>
      </c>
      <c r="BL39">
        <f t="shared" si="21"/>
        <v>2036</v>
      </c>
      <c r="BM39" s="39">
        <f t="shared" si="22"/>
        <v>1362.6091099552239</v>
      </c>
      <c r="BN39" s="39">
        <f t="shared" si="23"/>
        <v>0.2806871122773632</v>
      </c>
      <c r="BO39" s="39">
        <f t="shared" si="24"/>
        <v>6.8438026611610511E-2</v>
      </c>
      <c r="BP39" s="184">
        <f t="shared" si="25"/>
        <v>1390.0208196924179</v>
      </c>
      <c r="BR39" s="170">
        <f>Scenario1!BT39</f>
        <v>1369.1705073970318</v>
      </c>
      <c r="BS39" s="173">
        <f>Scenario2!BT39</f>
        <v>1320.6553205295259</v>
      </c>
      <c r="BT39" s="183">
        <f>Scenario3!BX39</f>
        <v>1315.5598045030515</v>
      </c>
      <c r="BU39" s="201">
        <f>'LRS4'!BP39</f>
        <v>1363.3394052146261</v>
      </c>
      <c r="BW39">
        <f t="shared" si="26"/>
        <v>2036</v>
      </c>
      <c r="BX39" s="31">
        <f t="shared" si="27"/>
        <v>20.850312295386175</v>
      </c>
      <c r="BZ39" s="31">
        <f t="shared" si="28"/>
        <v>69.365499162892092</v>
      </c>
      <c r="CB39" s="31">
        <f t="shared" si="29"/>
        <v>74.461015189366435</v>
      </c>
      <c r="CD39" s="202">
        <f t="shared" si="30"/>
        <v>26.681414477791805</v>
      </c>
      <c r="CF39" s="202">
        <f t="shared" si="31"/>
        <v>191.35824112543651</v>
      </c>
      <c r="CH39" s="202">
        <f t="shared" si="32"/>
        <v>1198.6625785669814</v>
      </c>
    </row>
    <row r="40" spans="1:86" x14ac:dyDescent="0.25">
      <c r="A40" s="117">
        <f t="shared" si="38"/>
        <v>2037</v>
      </c>
      <c r="B40" s="66">
        <f>INDEX((Proj_PasMob!$Q$6:$Q$46),MATCH(A40,Proj_PasMob!$M$6:M$46,0))</f>
        <v>11532002952.297762</v>
      </c>
      <c r="C40" s="119">
        <f>B40*Table1[Gasoline]%</f>
        <v>6334570984.1368084</v>
      </c>
      <c r="D40" s="123">
        <f>B40*Table1[[Diesel ]]%</f>
        <v>5191114328.5507412</v>
      </c>
      <c r="E40" s="121">
        <f>B40*Table1[LPG]%</f>
        <v>6317639.610213642</v>
      </c>
      <c r="F40" s="66">
        <f t="shared" si="3"/>
        <v>0</v>
      </c>
      <c r="H40" s="31">
        <f>C40*Table2[Autocycle]%</f>
        <v>716520650.39267421</v>
      </c>
      <c r="I40" s="66">
        <f>C40*Table2[Motocycle]%</f>
        <v>466508380.69840622</v>
      </c>
      <c r="J40" s="66">
        <f>C40*Table2[cars]%</f>
        <v>4927492328.8944807</v>
      </c>
      <c r="K40" s="66">
        <f>C40*Table2[DPV]%</f>
        <v>159780303.05325136</v>
      </c>
      <c r="L40" s="66">
        <f>C40*Table2[Hybrid]%</f>
        <v>64269321.09799616</v>
      </c>
      <c r="M40" s="66">
        <f t="shared" si="4"/>
        <v>0</v>
      </c>
      <c r="P40" s="66">
        <f>D40*Table3[Cars]%</f>
        <v>438982654.43459165</v>
      </c>
      <c r="Q40" s="66">
        <f>D40*Table3[DPV]%</f>
        <v>633176766.50381708</v>
      </c>
      <c r="R40" s="66">
        <f>D40*Table3[Buses]%</f>
        <v>4118954907.6123323</v>
      </c>
      <c r="S40" s="66">
        <f t="shared" si="5"/>
        <v>0</v>
      </c>
      <c r="W40" s="66">
        <f>E40*Table4[Cars]%</f>
        <v>5971102.416404455</v>
      </c>
      <c r="X40" s="66">
        <f>E40*Table4[DPV]%</f>
        <v>346537.1938091871</v>
      </c>
      <c r="Y40" s="66">
        <f t="shared" si="6"/>
        <v>0</v>
      </c>
      <c r="AB40" s="117">
        <f t="shared" si="39"/>
        <v>2037</v>
      </c>
      <c r="AD40" s="66">
        <f>H40*Table5[Autocycle]*0.01*$AD$7/1000</f>
        <v>12718.241544469965</v>
      </c>
      <c r="AE40" s="66">
        <f>I40*Table5[Motocycle]*0.01*$AD$7/1000</f>
        <v>9936.6285088760524</v>
      </c>
      <c r="AF40" s="66">
        <f>J40*Table5[Car]*0.01*$AD$7/$AL$8/1000</f>
        <v>119686.19525183174</v>
      </c>
      <c r="AG40" s="66">
        <f>K40*Table5[DPV]*0.01*$AD$7/$AL$8/1000</f>
        <v>6866.3482864726184</v>
      </c>
      <c r="AH40" s="66">
        <f>L40*Table5[Car_Hbrid]*0.01*$AD$7/$AL$8/1000</f>
        <v>960.65722062267957</v>
      </c>
      <c r="AI40" s="66">
        <f>Freight!E32*$AG$8*$AI$8*$AD$7/1000</f>
        <v>6634.6875394002236</v>
      </c>
      <c r="AJ40" s="66">
        <f t="shared" si="40"/>
        <v>156802.75835167326</v>
      </c>
      <c r="AK40" s="66">
        <f>P40*Table5[Car_Dsl]*0.01*$AD$8/$AL$8/1000</f>
        <v>13747.088388872739</v>
      </c>
      <c r="AL40" s="66">
        <f>Q40*Table5[DPV_Dsl]*0.01*$AD$8/$AL$8/1000</f>
        <v>32008.751801416645</v>
      </c>
      <c r="AM40" s="66">
        <f>R40*Table5[Bus]*0.01*$AD$8/$AL$9/1000</f>
        <v>30309.623898730177</v>
      </c>
      <c r="AN40" s="66">
        <f>Freight!E32*$AG$9*$AI$9*$AD$8/1000</f>
        <v>201514.595478809</v>
      </c>
      <c r="AO40" s="66">
        <f t="shared" si="8"/>
        <v>277580.05956782855</v>
      </c>
      <c r="AQ40" s="66">
        <f>W40*Table5[Car_LPG]*0.01*$AD$9/$AL$8/1000</f>
        <v>139.95054130141355</v>
      </c>
      <c r="AR40" s="66">
        <f>X40*Table5[DPV_LPG]*0.01*$AD$9/$AL$8/1000</f>
        <v>14.369921651484423</v>
      </c>
      <c r="AS40" s="31">
        <f t="shared" si="37"/>
        <v>601.775643729732</v>
      </c>
      <c r="AT40" s="66">
        <f t="shared" si="9"/>
        <v>756.09610668262997</v>
      </c>
      <c r="AU40" s="31">
        <f t="shared" si="10"/>
        <v>7560.9610668262994</v>
      </c>
      <c r="AX40" s="148">
        <f t="shared" si="11"/>
        <v>435138.91402618441</v>
      </c>
      <c r="BB40" s="117">
        <f t="shared" si="41"/>
        <v>2037</v>
      </c>
      <c r="BC40" s="85">
        <f t="shared" si="12"/>
        <v>486.81611568893879</v>
      </c>
      <c r="BD40" s="85">
        <f t="shared" si="13"/>
        <v>0.2318171979471137</v>
      </c>
      <c r="BE40" s="85">
        <f t="shared" si="14"/>
        <v>2.2479243437295876E-2</v>
      </c>
      <c r="BF40" s="85">
        <f t="shared" si="15"/>
        <v>890.62394852516491</v>
      </c>
      <c r="BG40" s="85">
        <f t="shared" si="16"/>
        <v>4.6874944659219195E-2</v>
      </c>
      <c r="BH40" s="85">
        <f t="shared" si="17"/>
        <v>4.6874944659219195E-2</v>
      </c>
      <c r="BI40" s="85">
        <f t="shared" si="18"/>
        <v>2.4904444781133801</v>
      </c>
      <c r="BJ40" s="85">
        <f t="shared" si="19"/>
        <v>2.4470294396676637E-3</v>
      </c>
      <c r="BK40" s="85">
        <f t="shared" si="20"/>
        <v>7.8936433537666573E-6</v>
      </c>
      <c r="BL40">
        <f t="shared" si="21"/>
        <v>2037</v>
      </c>
      <c r="BM40" s="39">
        <f t="shared" si="22"/>
        <v>1379.930508692217</v>
      </c>
      <c r="BN40" s="39">
        <f t="shared" si="23"/>
        <v>0.28113917204600058</v>
      </c>
      <c r="BO40" s="39">
        <f t="shared" si="24"/>
        <v>6.9362081739868839E-2</v>
      </c>
      <c r="BP40" s="184">
        <f t="shared" si="25"/>
        <v>1407.6288883518478</v>
      </c>
      <c r="BR40" s="170">
        <f>Scenario1!BT40</f>
        <v>1386.5144550265704</v>
      </c>
      <c r="BS40" s="173">
        <f>Scenario2!BT40</f>
        <v>1337.3751425602468</v>
      </c>
      <c r="BT40" s="183">
        <f>Scenario3!BX40</f>
        <v>1326.5581769120124</v>
      </c>
      <c r="BU40" s="201">
        <f>'LRS4'!BP40</f>
        <v>1380.783160913682</v>
      </c>
      <c r="BW40">
        <f t="shared" si="26"/>
        <v>2037</v>
      </c>
      <c r="BX40" s="31">
        <f t="shared" si="27"/>
        <v>21.114433325277332</v>
      </c>
      <c r="BZ40" s="31">
        <f t="shared" si="28"/>
        <v>70.253745791600977</v>
      </c>
      <c r="CB40" s="31">
        <f t="shared" si="29"/>
        <v>81.07071143983535</v>
      </c>
      <c r="CD40" s="202">
        <f t="shared" si="30"/>
        <v>26.845727438165795</v>
      </c>
      <c r="CF40" s="202">
        <f t="shared" si="31"/>
        <v>199.28461799487945</v>
      </c>
      <c r="CH40" s="202">
        <f t="shared" si="32"/>
        <v>1208.3442703569683</v>
      </c>
    </row>
    <row r="41" spans="1:86" x14ac:dyDescent="0.25">
      <c r="A41" s="117">
        <f t="shared" si="38"/>
        <v>2038</v>
      </c>
      <c r="B41" s="66">
        <f>INDEX((Proj_PasMob!$Q$6:$Q$46),MATCH(A41,Proj_PasMob!$M$6:M$46,0))</f>
        <v>11496290126.490973</v>
      </c>
      <c r="C41" s="119">
        <f>B41*Table1[Gasoline]%</f>
        <v>6314953799.5893354</v>
      </c>
      <c r="D41" s="123">
        <f>B41*Table1[[Diesel ]]%</f>
        <v>5175038252.0421305</v>
      </c>
      <c r="E41" s="121">
        <f>B41*Table1[LPG]%</f>
        <v>6298074.8595070289</v>
      </c>
      <c r="F41" s="66">
        <f t="shared" si="3"/>
        <v>0</v>
      </c>
      <c r="H41" s="31">
        <f>C41*Table2[Autocycle]%</f>
        <v>714301696.99140549</v>
      </c>
      <c r="I41" s="66">
        <f>C41*Table2[Motocycle]%</f>
        <v>465063676.54716676</v>
      </c>
      <c r="J41" s="66">
        <f>C41*Table2[cars]%</f>
        <v>4912232648.8602295</v>
      </c>
      <c r="K41" s="66">
        <f>C41*Table2[DPV]%</f>
        <v>159285488.21892461</v>
      </c>
      <c r="L41" s="66">
        <f>C41*Table2[Hybrid]%</f>
        <v>64070288.971609473</v>
      </c>
      <c r="M41" s="66">
        <f t="shared" si="4"/>
        <v>0</v>
      </c>
      <c r="P41" s="66">
        <f>D41*Table3[Cars]%</f>
        <v>437623193.19139963</v>
      </c>
      <c r="Q41" s="66">
        <f>D41*Table3[DPV]%</f>
        <v>631215916.19354618</v>
      </c>
      <c r="R41" s="66">
        <f>D41*Table3[Buses]%</f>
        <v>4106199142.6571846</v>
      </c>
      <c r="S41" s="66">
        <f t="shared" si="5"/>
        <v>0</v>
      </c>
      <c r="W41" s="66">
        <f>E41*Table4[Cars]%</f>
        <v>5952610.8376775291</v>
      </c>
      <c r="X41" s="66">
        <f>E41*Table4[DPV]%</f>
        <v>345464.02182949946</v>
      </c>
      <c r="Y41" s="66">
        <f t="shared" si="6"/>
        <v>0</v>
      </c>
      <c r="AB41" s="117">
        <f t="shared" si="39"/>
        <v>2038</v>
      </c>
      <c r="AD41" s="66">
        <f>H41*Table5[Autocycle]*0.01*$AD$7/1000</f>
        <v>12678.855121597446</v>
      </c>
      <c r="AE41" s="66">
        <f>I41*Table5[Motocycle]*0.01*$AD$7/1000</f>
        <v>9905.856310454652</v>
      </c>
      <c r="AF41" s="66">
        <f>J41*Table5[Car]*0.01*$AD$7/$AL$8/1000</f>
        <v>119315.54565521031</v>
      </c>
      <c r="AG41" s="66">
        <f>K41*Table5[DPV]*0.01*$AD$7/$AL$8/1000</f>
        <v>6845.0842700395751</v>
      </c>
      <c r="AH41" s="66">
        <f>L41*Table5[Car_Hbrid]*0.01*$AD$7/$AL$8/1000</f>
        <v>957.68221410195213</v>
      </c>
      <c r="AI41" s="66">
        <f>Freight!E33*$AG$8*$AI$8*$AD$7/1000</f>
        <v>6834.7761272288035</v>
      </c>
      <c r="AJ41" s="66">
        <f t="shared" si="40"/>
        <v>156537.79969863273</v>
      </c>
      <c r="AK41" s="66">
        <f>P41*Table5[Car_Dsl]*0.01*$AD$8/$AL$8/1000</f>
        <v>13704.515786783306</v>
      </c>
      <c r="AL41" s="66">
        <f>Q41*Table5[DPV_Dsl]*0.01*$AD$8/$AL$8/1000</f>
        <v>31909.62565810006</v>
      </c>
      <c r="AM41" s="66">
        <f>R41*Table5[Bus]*0.01*$AD$8/$AL$9/1000</f>
        <v>30215.759691181651</v>
      </c>
      <c r="AN41" s="66">
        <f>Freight!E33*$AG$9*$AI$9*$AD$8/1000</f>
        <v>207591.86296077512</v>
      </c>
      <c r="AO41" s="66">
        <f t="shared" si="8"/>
        <v>283421.76409684017</v>
      </c>
      <c r="AQ41" s="66">
        <f>W41*Table5[Car_LPG]*0.01*$AD$9/$AL$8/1000</f>
        <v>139.51713616583234</v>
      </c>
      <c r="AR41" s="66">
        <f>X41*Table5[DPV_LPG]*0.01*$AD$9/$AL$8/1000</f>
        <v>14.325420231313139</v>
      </c>
      <c r="AS41" s="31">
        <f t="shared" si="37"/>
        <v>559.04957302492107</v>
      </c>
      <c r="AT41" s="66">
        <f t="shared" si="9"/>
        <v>712.89212942206655</v>
      </c>
      <c r="AU41" s="31">
        <f t="shared" si="10"/>
        <v>7128.921294220665</v>
      </c>
      <c r="AX41" s="148">
        <f t="shared" si="11"/>
        <v>440672.45592489495</v>
      </c>
      <c r="BB41" s="117">
        <f t="shared" si="41"/>
        <v>2038</v>
      </c>
      <c r="BC41" s="85">
        <f t="shared" si="12"/>
        <v>485.99351445636313</v>
      </c>
      <c r="BD41" s="85">
        <f t="shared" si="13"/>
        <v>0.23142548307445859</v>
      </c>
      <c r="BE41" s="85">
        <f t="shared" si="14"/>
        <v>2.2441258964795985E-2</v>
      </c>
      <c r="BF41" s="85">
        <f t="shared" si="15"/>
        <v>909.3672327576345</v>
      </c>
      <c r="BG41" s="85">
        <f t="shared" si="16"/>
        <v>4.7861433303033392E-2</v>
      </c>
      <c r="BH41" s="85">
        <f t="shared" si="17"/>
        <v>4.7861433303033392E-2</v>
      </c>
      <c r="BI41" s="85">
        <f t="shared" si="18"/>
        <v>2.348138353732991</v>
      </c>
      <c r="BJ41" s="85">
        <f t="shared" si="19"/>
        <v>2.3072040876615761E-3</v>
      </c>
      <c r="BK41" s="85">
        <f t="shared" si="20"/>
        <v>7.4425938311663741E-6</v>
      </c>
      <c r="BL41">
        <f t="shared" si="21"/>
        <v>2038</v>
      </c>
      <c r="BM41" s="39">
        <f t="shared" si="22"/>
        <v>1397.7088855677307</v>
      </c>
      <c r="BN41" s="39">
        <f t="shared" si="23"/>
        <v>0.28159412046515353</v>
      </c>
      <c r="BO41" s="39">
        <f t="shared" si="24"/>
        <v>7.0310134861660531E-2</v>
      </c>
      <c r="BP41" s="184">
        <f t="shared" si="25"/>
        <v>1425.7011587681343</v>
      </c>
      <c r="BR41" s="170">
        <f>Scenario1!BT41</f>
        <v>1404.3156413866122</v>
      </c>
      <c r="BS41" s="173">
        <f>Scenario2!BT41</f>
        <v>1354.5365026471718</v>
      </c>
      <c r="BT41" s="183">
        <f>Scenario3!BX41</f>
        <v>1338.0717677648786</v>
      </c>
      <c r="BU41" s="201">
        <f>'LRS4'!BP41</f>
        <v>1398.6911183695945</v>
      </c>
      <c r="BW41">
        <f t="shared" si="26"/>
        <v>2038</v>
      </c>
      <c r="BX41" s="31">
        <f t="shared" si="27"/>
        <v>21.38551738152205</v>
      </c>
      <c r="BZ41" s="31">
        <f t="shared" si="28"/>
        <v>71.164656120962491</v>
      </c>
      <c r="CB41" s="31">
        <f t="shared" si="29"/>
        <v>87.629391003255705</v>
      </c>
      <c r="CD41" s="202">
        <f t="shared" si="30"/>
        <v>27.010040398539786</v>
      </c>
      <c r="CF41" s="202">
        <f t="shared" si="31"/>
        <v>207.18960490428003</v>
      </c>
      <c r="CH41" s="202">
        <f t="shared" si="32"/>
        <v>1218.5115538638543</v>
      </c>
    </row>
    <row r="42" spans="1:86" x14ac:dyDescent="0.25">
      <c r="A42" s="117">
        <f t="shared" si="38"/>
        <v>2039</v>
      </c>
      <c r="B42" s="66">
        <f>INDEX((Proj_PasMob!$Q$6:$Q$46),MATCH(A42,Proj_PasMob!$M$6:M$46,0))</f>
        <v>11332573339.975914</v>
      </c>
      <c r="C42" s="119">
        <f>B42*Table1[Gasoline]%</f>
        <v>6225023575.8663378</v>
      </c>
      <c r="D42" s="123">
        <f>B42*Table1[[Diesel ]]%</f>
        <v>5101341379.103569</v>
      </c>
      <c r="E42" s="121">
        <f>B42*Table1[LPG]%</f>
        <v>6208385.0060077859</v>
      </c>
      <c r="F42" s="66">
        <f t="shared" si="3"/>
        <v>0</v>
      </c>
      <c r="H42" s="31">
        <f>C42*Table2[Autocycle]%</f>
        <v>704129443.40812016</v>
      </c>
      <c r="I42" s="66">
        <f>C42*Table2[Motocycle]%</f>
        <v>458440780.8293792</v>
      </c>
      <c r="J42" s="66">
        <f>C42*Table2[cars]%</f>
        <v>4842278347.5128241</v>
      </c>
      <c r="K42" s="66">
        <f>C42*Table2[DPV]%</f>
        <v>157017129.64561462</v>
      </c>
      <c r="L42" s="66">
        <f>C42*Table2[Hybrid]%</f>
        <v>63157874.470399871</v>
      </c>
      <c r="M42" s="66">
        <f t="shared" si="4"/>
        <v>0</v>
      </c>
      <c r="P42" s="66">
        <f>D42*Table3[Cars]%</f>
        <v>431391072.90690374</v>
      </c>
      <c r="Q42" s="66">
        <f>D42*Table3[DPV]%</f>
        <v>622226873.61899972</v>
      </c>
      <c r="R42" s="66">
        <f>D42*Table3[Buses]%</f>
        <v>4047723432.5776653</v>
      </c>
      <c r="S42" s="66">
        <f t="shared" si="5"/>
        <v>0</v>
      </c>
      <c r="W42" s="66">
        <f>E42*Table4[Cars]%</f>
        <v>5867840.68078373</v>
      </c>
      <c r="X42" s="66">
        <f>E42*Table4[DPV]%</f>
        <v>340544.32522405573</v>
      </c>
      <c r="Y42" s="66">
        <f t="shared" si="6"/>
        <v>0</v>
      </c>
      <c r="AB42" s="117">
        <f t="shared" si="39"/>
        <v>2039</v>
      </c>
      <c r="AD42" s="66">
        <f>H42*Table5[Autocycle]*0.01*$AD$7/1000</f>
        <v>12498.297620494131</v>
      </c>
      <c r="AE42" s="66">
        <f>I42*Table5[Motocycle]*0.01*$AD$7/1000</f>
        <v>9764.7886316657768</v>
      </c>
      <c r="AF42" s="66">
        <f>J42*Table5[Car]*0.01*$AD$7/$AL$8/1000</f>
        <v>117616.39249353517</v>
      </c>
      <c r="AG42" s="66">
        <f>K42*Table5[DPV]*0.01*$AD$7/$AL$8/1000</f>
        <v>6747.6045450339125</v>
      </c>
      <c r="AH42" s="66">
        <f>L42*Table5[Car_Hbrid]*0.01*$AD$7/$AL$8/1000</f>
        <v>944.04401839966113</v>
      </c>
      <c r="AI42" s="66">
        <f>Freight!E34*$AG$8*$AI$8*$AD$7/1000</f>
        <v>7041.2054900003395</v>
      </c>
      <c r="AJ42" s="66">
        <f t="shared" si="40"/>
        <v>154612.33279912901</v>
      </c>
      <c r="AK42" s="66">
        <f>P42*Table5[Car_Dsl]*0.01*$AD$8/$AL$8/1000</f>
        <v>13509.352019979355</v>
      </c>
      <c r="AL42" s="66">
        <f>Q42*Table5[DPV_Dsl]*0.01*$AD$8/$AL$8/1000</f>
        <v>31455.205900581543</v>
      </c>
      <c r="AM42" s="66">
        <f>R42*Table5[Bus]*0.01*$AD$8/$AL$9/1000</f>
        <v>29785.462001725075</v>
      </c>
      <c r="AN42" s="66">
        <f>Freight!E34*$AG$9*$AI$9*$AD$8/1000</f>
        <v>213861.71806500125</v>
      </c>
      <c r="AO42" s="66">
        <f t="shared" si="8"/>
        <v>288611.73798728723</v>
      </c>
      <c r="AQ42" s="66">
        <f>W42*Table5[Car_LPG]*0.01*$AD$9/$AL$8/1000</f>
        <v>137.53029545934905</v>
      </c>
      <c r="AR42" s="66">
        <f>X42*Table5[DPV_LPG]*0.01*$AD$9/$AL$8/1000</f>
        <v>14.121414265915307</v>
      </c>
      <c r="AS42" s="31">
        <f t="shared" si="37"/>
        <v>519.35705334015165</v>
      </c>
      <c r="AT42" s="66">
        <f t="shared" si="9"/>
        <v>671.00876306541602</v>
      </c>
      <c r="AU42" s="31">
        <f t="shared" si="10"/>
        <v>6710.0876306541604</v>
      </c>
      <c r="AX42" s="148">
        <f t="shared" si="11"/>
        <v>443895.07954948163</v>
      </c>
      <c r="BB42" s="117">
        <f t="shared" si="41"/>
        <v>2039</v>
      </c>
      <c r="BC42" s="85">
        <f t="shared" si="12"/>
        <v>480.01563290148789</v>
      </c>
      <c r="BD42" s="85">
        <f t="shared" si="13"/>
        <v>0.22857887281023229</v>
      </c>
      <c r="BE42" s="85">
        <f t="shared" si="14"/>
        <v>2.2165224030083131E-2</v>
      </c>
      <c r="BF42" s="85">
        <f t="shared" si="15"/>
        <v>926.01941968435062</v>
      </c>
      <c r="BG42" s="85">
        <f t="shared" si="16"/>
        <v>4.873786419391319E-2</v>
      </c>
      <c r="BH42" s="85">
        <f t="shared" si="17"/>
        <v>4.873786419391319E-2</v>
      </c>
      <c r="BI42" s="85">
        <f t="shared" si="18"/>
        <v>2.2101820839601283</v>
      </c>
      <c r="BJ42" s="85">
        <f t="shared" si="19"/>
        <v>2.1716527607849121E-3</v>
      </c>
      <c r="BK42" s="85">
        <f t="shared" si="20"/>
        <v>7.0053314864029435E-6</v>
      </c>
      <c r="BL42">
        <f t="shared" si="21"/>
        <v>2039</v>
      </c>
      <c r="BM42" s="39">
        <f t="shared" si="22"/>
        <v>1408.2452346697985</v>
      </c>
      <c r="BN42" s="39">
        <f t="shared" si="23"/>
        <v>0.2794883897649304</v>
      </c>
      <c r="BO42" s="39">
        <f t="shared" si="24"/>
        <v>7.0910093555482723E-2</v>
      </c>
      <c r="BP42" s="184">
        <f t="shared" si="25"/>
        <v>1436.3636522934555</v>
      </c>
      <c r="BR42" s="170">
        <f>Scenario1!BT42</f>
        <v>1414.8181975090538</v>
      </c>
      <c r="BS42" s="173">
        <f>Scenario2!BT42</f>
        <v>1364.6587977283709</v>
      </c>
      <c r="BT42" s="183">
        <f>Scenario3!BX42</f>
        <v>1342.9645178411954</v>
      </c>
      <c r="BU42" s="201">
        <f>'LRS4'!BP42</f>
        <v>1409.3536118949157</v>
      </c>
      <c r="BW42">
        <f t="shared" si="26"/>
        <v>2039</v>
      </c>
      <c r="BX42" s="31">
        <f t="shared" si="27"/>
        <v>21.545454784401727</v>
      </c>
      <c r="BZ42" s="31">
        <f t="shared" si="28"/>
        <v>71.704854565084588</v>
      </c>
      <c r="CB42" s="31">
        <f t="shared" si="29"/>
        <v>93.399134452260114</v>
      </c>
      <c r="CD42" s="202">
        <f t="shared" si="30"/>
        <v>27.010040398539786</v>
      </c>
      <c r="CF42" s="202">
        <f t="shared" si="31"/>
        <v>213.65948420028622</v>
      </c>
      <c r="CH42" s="202">
        <f t="shared" si="32"/>
        <v>1222.7041680931693</v>
      </c>
    </row>
    <row r="43" spans="1:86" x14ac:dyDescent="0.25">
      <c r="A43" s="117">
        <f>A42+1</f>
        <v>2040</v>
      </c>
      <c r="B43" s="66">
        <f>INDEX((Proj_PasMob!$Q$6:$Q$46),MATCH(A43,Proj_PasMob!$M$6:M$46,0))</f>
        <v>11247537992.736448</v>
      </c>
      <c r="C43" s="119">
        <f>B43*Table1[Gasoline]%</f>
        <v>6178313351.6774178</v>
      </c>
      <c r="D43" s="123">
        <f>B43*Table1[[Diesel ]]%</f>
        <v>5063062841.4276724</v>
      </c>
      <c r="E43" s="121">
        <f>B43*Table1[LPG]%</f>
        <v>6161799.6313585993</v>
      </c>
      <c r="F43" s="66">
        <f t="shared" si="3"/>
        <v>0</v>
      </c>
      <c r="H43" s="31">
        <f>C43*Table2[Autocycle]%</f>
        <v>698845922.18787551</v>
      </c>
      <c r="I43" s="66">
        <f>C43*Table2[Motocycle]%</f>
        <v>455000814.47601426</v>
      </c>
      <c r="J43" s="66">
        <f>C43*Table2[cars]%</f>
        <v>4805943720.9140806</v>
      </c>
      <c r="K43" s="66">
        <f>C43*Table2[DPV]%</f>
        <v>155838932.44879091</v>
      </c>
      <c r="L43" s="66">
        <f>C43*Table2[Hybrid]%</f>
        <v>62683961.650656462</v>
      </c>
      <c r="M43" s="66">
        <f t="shared" si="4"/>
        <v>0</v>
      </c>
      <c r="P43" s="66">
        <f>D43*Table3[Cars]%</f>
        <v>428154077.33845305</v>
      </c>
      <c r="Q43" s="66">
        <f>D43*Table3[DPV]%</f>
        <v>617557918.32768261</v>
      </c>
      <c r="R43" s="66">
        <f>D43*Table3[Buses]%</f>
        <v>4017350845.7615366</v>
      </c>
      <c r="S43" s="66">
        <f t="shared" si="5"/>
        <v>0</v>
      </c>
      <c r="W43" s="66">
        <f>E43*Table4[Cars]%</f>
        <v>5823810.6220435705</v>
      </c>
      <c r="X43" s="66">
        <f>E43*Table4[DPV]%</f>
        <v>337989.00931502861</v>
      </c>
      <c r="Y43" s="66">
        <f t="shared" si="6"/>
        <v>0</v>
      </c>
      <c r="AB43" s="117">
        <f t="shared" si="39"/>
        <v>2040</v>
      </c>
      <c r="AD43" s="66">
        <f>H43*Table5[Autocycle]*0.01*$AD$7/1000</f>
        <v>12404.51511883479</v>
      </c>
      <c r="AE43" s="66">
        <f>I43*Table5[Motocycle]*0.01*$AD$7/1000</f>
        <v>9691.5173483391045</v>
      </c>
      <c r="AF43" s="66">
        <f>J43*Table5[Car]*0.01*$AD$7/$AL$8/1000</f>
        <v>116733.84353693938</v>
      </c>
      <c r="AG43" s="66">
        <f>K43*Table5[DPV]*0.01*$AD$7/$AL$8/1000</f>
        <v>6696.9730707598819</v>
      </c>
      <c r="AH43" s="66">
        <f>L43*Table5[Car_Hbrid]*0.01*$AD$7/$AL$8/1000</f>
        <v>936.96026888349661</v>
      </c>
      <c r="AI43" s="66">
        <f>Freight!E35*$AG$8*$AI$8*$AD$7/1000</f>
        <v>7253.5918744692608</v>
      </c>
      <c r="AJ43" s="66">
        <f t="shared" si="40"/>
        <v>153717.40121822595</v>
      </c>
      <c r="AK43" s="66">
        <f>P43*Table5[Car_Dsl]*0.01*$AD$8/$AL$8/1000</f>
        <v>13407.982948230501</v>
      </c>
      <c r="AL43" s="66">
        <f>Q43*Table5[DPV_Dsl]*0.01*$AD$8/$AL$8/1000</f>
        <v>31219.177923881005</v>
      </c>
      <c r="AM43" s="66">
        <f>R43*Table5[Bus]*0.01*$AD$8/$AL$9/1000</f>
        <v>29561.963152168108</v>
      </c>
      <c r="AN43" s="66">
        <f>Freight!E35*$AG$9*$AI$9*$AD$8/1000</f>
        <v>220312.50509864814</v>
      </c>
      <c r="AO43" s="66">
        <f t="shared" si="8"/>
        <v>294501.62912292778</v>
      </c>
      <c r="AQ43" s="66">
        <f>W43*Table5[Car_LPG]*0.01*$AD$9/$AL$8/1000</f>
        <v>136.49832010128296</v>
      </c>
      <c r="AR43" s="66">
        <f>X43*Table5[DPV_LPG]*0.01*$AD$9/$AL$8/1000</f>
        <v>14.015452510399589</v>
      </c>
      <c r="AS43" s="31">
        <f t="shared" si="37"/>
        <v>482.48270255300093</v>
      </c>
      <c r="AT43" s="66">
        <f t="shared" si="9"/>
        <v>632.99647516468349</v>
      </c>
      <c r="AU43" s="31">
        <f t="shared" si="10"/>
        <v>6329.9647516468349</v>
      </c>
      <c r="AX43" s="148">
        <f t="shared" si="11"/>
        <v>448852.02681631839</v>
      </c>
      <c r="BB43" s="117">
        <f t="shared" si="41"/>
        <v>2040</v>
      </c>
      <c r="BC43" s="85">
        <f t="shared" si="12"/>
        <v>477.23719251815299</v>
      </c>
      <c r="BD43" s="85">
        <f t="shared" si="13"/>
        <v>0.22725580596102521</v>
      </c>
      <c r="BE43" s="85">
        <f t="shared" si="14"/>
        <v>2.2036926638644868E-2</v>
      </c>
      <c r="BF43" s="85">
        <f t="shared" si="15"/>
        <v>944.91731208978729</v>
      </c>
      <c r="BG43" s="85">
        <f t="shared" si="16"/>
        <v>4.9732490109988807E-2</v>
      </c>
      <c r="BH43" s="85">
        <f t="shared" si="17"/>
        <v>4.9732490109988807E-2</v>
      </c>
      <c r="BI43" s="85">
        <f t="shared" si="18"/>
        <v>2.0849764498269376</v>
      </c>
      <c r="BJ43" s="85">
        <f t="shared" si="19"/>
        <v>2.0486297922229814E-3</v>
      </c>
      <c r="BK43" s="85">
        <f t="shared" si="20"/>
        <v>6.6084832007192957E-6</v>
      </c>
      <c r="BL43">
        <f t="shared" si="21"/>
        <v>2040</v>
      </c>
      <c r="BM43" s="39">
        <f t="shared" si="22"/>
        <v>1424.2394810577671</v>
      </c>
      <c r="BN43" s="39">
        <f t="shared" si="23"/>
        <v>0.27903692586323697</v>
      </c>
      <c r="BO43" s="39">
        <f t="shared" si="24"/>
        <v>7.1776025231834392E-2</v>
      </c>
      <c r="BP43" s="184">
        <f t="shared" si="25"/>
        <v>1452.6046597234347</v>
      </c>
      <c r="BR43" s="170">
        <f>Scenario1!BT43</f>
        <v>1430.8155898275834</v>
      </c>
      <c r="BS43" s="173">
        <f>Scenario2!BT43</f>
        <v>1380.0813348133943</v>
      </c>
      <c r="BT43" s="183">
        <f>Scenario3!BX43</f>
        <v>1353.1220430646003</v>
      </c>
      <c r="BU43" s="201">
        <f>'LRS4'!BP43</f>
        <v>1425.5946193248949</v>
      </c>
      <c r="BW43" s="141">
        <f t="shared" si="26"/>
        <v>2040</v>
      </c>
      <c r="BX43" s="60">
        <f t="shared" si="27"/>
        <v>21.789069895851298</v>
      </c>
      <c r="BY43" s="141"/>
      <c r="BZ43" s="60">
        <f t="shared" si="28"/>
        <v>72.523324910040401</v>
      </c>
      <c r="CA43" s="141"/>
      <c r="CB43" s="60">
        <f t="shared" si="29"/>
        <v>99.482616658834331</v>
      </c>
      <c r="CC43" s="141"/>
      <c r="CD43" s="203">
        <f t="shared" si="30"/>
        <v>27.010040398539786</v>
      </c>
      <c r="CE43" s="141"/>
      <c r="CF43" s="203">
        <f t="shared" si="31"/>
        <v>220.80505186326582</v>
      </c>
      <c r="CG43" s="141"/>
      <c r="CH43" s="203">
        <f t="shared" si="32"/>
        <v>1231.7996078601689</v>
      </c>
    </row>
    <row r="44" spans="1:86" x14ac:dyDescent="0.25">
      <c r="A44" s="117">
        <f t="shared" si="38"/>
        <v>2041</v>
      </c>
      <c r="B44" s="66">
        <f>INDEX((Proj_PasMob!$Q$6:$Q$46),MATCH(A44,Proj_PasMob!$M$6:M$46,0))</f>
        <v>11160440688.593815</v>
      </c>
      <c r="C44" s="119">
        <f>B44*Table1[Gasoline]%</f>
        <v>6130470487.0943375</v>
      </c>
      <c r="D44" s="123">
        <f>B44*Table1[[Diesel ]]%</f>
        <v>5023856116.8557825</v>
      </c>
      <c r="E44" s="121">
        <f>B44*Table1[LPG]%</f>
        <v>6114084.6436959673</v>
      </c>
      <c r="F44" s="66">
        <f t="shared" si="3"/>
        <v>0</v>
      </c>
      <c r="H44" s="31">
        <f>C44*Table2[Autocycle]%</f>
        <v>693434284.914639</v>
      </c>
      <c r="I44" s="66">
        <f>C44*Table2[Motocycle]%</f>
        <v>451477435.01740247</v>
      </c>
      <c r="J44" s="66">
        <f>C44*Table2[cars]%</f>
        <v>4768728043.8278465</v>
      </c>
      <c r="K44" s="66">
        <f>C44*Table2[DPV]%</f>
        <v>154632166.05195624</v>
      </c>
      <c r="L44" s="66">
        <f>C44*Table2[Hybrid]%</f>
        <v>62198557.282493569</v>
      </c>
      <c r="M44" s="66">
        <f t="shared" si="4"/>
        <v>0</v>
      </c>
      <c r="P44" s="66">
        <f>D44*Table3[Cars]%</f>
        <v>424838590.34761667</v>
      </c>
      <c r="Q44" s="66">
        <f>D44*Table3[DPV]%</f>
        <v>612775749.12114048</v>
      </c>
      <c r="R44" s="66">
        <f>D44*Table3[Buses]%</f>
        <v>3986241777.3870254</v>
      </c>
      <c r="S44" s="66">
        <f t="shared" si="5"/>
        <v>0</v>
      </c>
      <c r="W44" s="66">
        <f>E44*Table4[Cars]%</f>
        <v>5778712.9121852182</v>
      </c>
      <c r="X44" s="66">
        <f>E44*Table4[DPV]%</f>
        <v>335371.73151074926</v>
      </c>
      <c r="Y44" s="66">
        <f t="shared" si="6"/>
        <v>0</v>
      </c>
      <c r="AB44" s="117">
        <f t="shared" si="39"/>
        <v>2041</v>
      </c>
      <c r="AD44" s="66">
        <f>H44*Table5[Autocycle]*0.01*$AD$7/1000</f>
        <v>12308.458557234842</v>
      </c>
      <c r="AE44" s="66">
        <f>I44*Table5[Motocycle]*0.01*$AD$7/1000</f>
        <v>9616.469365870671</v>
      </c>
      <c r="AF44" s="66">
        <f>J44*Table5[Car]*0.01*$AD$7/$AL$8/1000</f>
        <v>115829.89432771323</v>
      </c>
      <c r="AG44" s="66">
        <f>K44*Table5[DPV]*0.01*$AD$7/$AL$8/1000</f>
        <v>6645.1138727064344</v>
      </c>
      <c r="AH44" s="66">
        <f>L44*Table5[Car_Hbrid]*0.01*$AD$7/$AL$8/1000</f>
        <v>929.70475095937752</v>
      </c>
      <c r="AI44" s="66">
        <f>Freight!E36*$AG$8*$AI$8*$AD$7/1000</f>
        <v>7472.3421617092827</v>
      </c>
      <c r="AJ44" s="66">
        <f t="shared" si="40"/>
        <v>152801.98303619382</v>
      </c>
      <c r="AK44" s="66">
        <f>P44*Table5[Car_Dsl]*0.01*$AD$8/$AL$8/1000</f>
        <v>13304.155855622734</v>
      </c>
      <c r="AL44" s="66">
        <f>Q44*Table5[DPV_Dsl]*0.01*$AD$8/$AL$8/1000</f>
        <v>30977.426685834496</v>
      </c>
      <c r="AM44" s="66">
        <f>R44*Table5[Bus]*0.01*$AD$8/$AL$9/1000</f>
        <v>29333.044850457954</v>
      </c>
      <c r="AN44" s="66">
        <f>Freight!E36*$AG$9*$AI$9*$AD$8/1000</f>
        <v>226956.58221339819</v>
      </c>
      <c r="AO44" s="66">
        <f t="shared" si="8"/>
        <v>300571.20960531337</v>
      </c>
      <c r="AQ44" s="66">
        <f>W44*Table5[Car_LPG]*0.01*$AD$9/$AL$8/1000</f>
        <v>135.44132116440474</v>
      </c>
      <c r="AR44" s="66">
        <f>X44*Table5[DPV_LPG]*0.01*$AD$9/$AL$8/1000</f>
        <v>13.906921369559413</v>
      </c>
      <c r="AS44" s="31">
        <f t="shared" si="37"/>
        <v>448.22643067173789</v>
      </c>
      <c r="AT44" s="66">
        <f t="shared" si="9"/>
        <v>597.57467320570208</v>
      </c>
      <c r="AU44" s="31">
        <f t="shared" si="10"/>
        <v>5975.7467320570213</v>
      </c>
      <c r="AX44" s="148">
        <f t="shared" si="11"/>
        <v>453970.76731471292</v>
      </c>
      <c r="BB44" s="117">
        <f t="shared" si="41"/>
        <v>2041</v>
      </c>
      <c r="BC44" s="85">
        <f t="shared" si="12"/>
        <v>474.39514861348874</v>
      </c>
      <c r="BD44" s="85">
        <f t="shared" si="13"/>
        <v>0.22590245172070891</v>
      </c>
      <c r="BE44" s="85">
        <f t="shared" si="14"/>
        <v>2.1905692288068743E-2</v>
      </c>
      <c r="BF44" s="85">
        <f t="shared" si="15"/>
        <v>964.39174315493597</v>
      </c>
      <c r="BG44" s="85">
        <f t="shared" si="16"/>
        <v>5.0757460166049262E-2</v>
      </c>
      <c r="BH44" s="85">
        <f t="shared" si="17"/>
        <v>5.0757460166049262E-2</v>
      </c>
      <c r="BI44" s="85">
        <f t="shared" si="18"/>
        <v>1.9683034100984056</v>
      </c>
      <c r="BJ44" s="85">
        <f t="shared" si="19"/>
        <v>1.933990672362934E-3</v>
      </c>
      <c r="BK44" s="85">
        <f t="shared" si="20"/>
        <v>6.2386795882675296E-6</v>
      </c>
      <c r="BL44">
        <f t="shared" si="21"/>
        <v>2041</v>
      </c>
      <c r="BM44" s="39">
        <f t="shared" si="22"/>
        <v>1440.7551951785231</v>
      </c>
      <c r="BN44" s="39">
        <f t="shared" si="23"/>
        <v>0.27859390255912114</v>
      </c>
      <c r="BO44" s="39">
        <f t="shared" si="24"/>
        <v>7.2669391133706268E-2</v>
      </c>
      <c r="BP44" s="184">
        <f t="shared" si="25"/>
        <v>1469.3755213003456</v>
      </c>
      <c r="BR44" s="170">
        <f>Scenario1!BT44</f>
        <v>1447.3348884808404</v>
      </c>
      <c r="BS44" s="173">
        <f>Scenario2!BT44</f>
        <v>1396.0076708504994</v>
      </c>
      <c r="BT44" s="183">
        <f>Scenario3!BX44</f>
        <v>1362.0631793509153</v>
      </c>
      <c r="BU44" s="201">
        <f>'LRS4'!BP44</f>
        <v>1442.3654809018062</v>
      </c>
      <c r="BW44">
        <f t="shared" si="26"/>
        <v>2041</v>
      </c>
      <c r="BX44" s="31">
        <f t="shared" si="27"/>
        <v>22.040632819505163</v>
      </c>
      <c r="BZ44" s="31">
        <f t="shared" si="28"/>
        <v>73.367850449846173</v>
      </c>
      <c r="CB44" s="31">
        <f t="shared" si="29"/>
        <v>107.31234194943022</v>
      </c>
      <c r="CD44" s="202">
        <f t="shared" si="30"/>
        <v>27.010040398539331</v>
      </c>
      <c r="CF44" s="202">
        <f t="shared" si="31"/>
        <v>229.73086561732089</v>
      </c>
      <c r="CH44" s="202">
        <f t="shared" si="32"/>
        <v>1239.6446556830247</v>
      </c>
    </row>
    <row r="45" spans="1:86" x14ac:dyDescent="0.25">
      <c r="A45" s="117">
        <f t="shared" si="38"/>
        <v>2042</v>
      </c>
      <c r="B45" s="66">
        <f>INDEX((Proj_PasMob!$Q$6:$Q$46),MATCH(A45,Proj_PasMob!$M$6:M$46,0))</f>
        <v>11071531741.267399</v>
      </c>
      <c r="C45" s="119">
        <f>B45*Table1[Gasoline]%</f>
        <v>6081632480.3496513</v>
      </c>
      <c r="D45" s="123">
        <f>B45*Table1[[Diesel ]]%</f>
        <v>4983833883.744009</v>
      </c>
      <c r="E45" s="121">
        <f>B45*Table1[LPG]%</f>
        <v>6065377.1737399483</v>
      </c>
      <c r="F45" s="66">
        <f t="shared" si="3"/>
        <v>0</v>
      </c>
      <c r="H45" s="31">
        <f>C45*Table2[Autocycle]%</f>
        <v>687910084.3895812</v>
      </c>
      <c r="I45" s="66">
        <f>C45*Table2[Motocycle]%</f>
        <v>447880768.48701614</v>
      </c>
      <c r="J45" s="66">
        <f>C45*Table2[cars]%</f>
        <v>4730738272.4296608</v>
      </c>
      <c r="K45" s="66">
        <f>C45*Table2[DPV]%</f>
        <v>153400298.64724579</v>
      </c>
      <c r="L45" s="66">
        <f>C45*Table2[Hybrid]%</f>
        <v>61703056.396147743</v>
      </c>
      <c r="M45" s="66">
        <f t="shared" si="4"/>
        <v>0</v>
      </c>
      <c r="P45" s="66">
        <f>D45*Table3[Cars]%</f>
        <v>421454140.49430144</v>
      </c>
      <c r="Q45" s="66">
        <f>D45*Table3[DPV]%</f>
        <v>607894109.73774254</v>
      </c>
      <c r="R45" s="66">
        <f>D45*Table3[Buses]%</f>
        <v>3954485633.5119648</v>
      </c>
      <c r="S45" s="66">
        <f t="shared" si="5"/>
        <v>0</v>
      </c>
      <c r="W45" s="66">
        <f>E45*Table4[Cars]%</f>
        <v>5732677.1599904997</v>
      </c>
      <c r="X45" s="66">
        <f>E45*Table4[DPV]%</f>
        <v>332700.01374944864</v>
      </c>
      <c r="Y45" s="66">
        <f t="shared" si="6"/>
        <v>0</v>
      </c>
      <c r="AB45" s="117">
        <f t="shared" si="39"/>
        <v>2042</v>
      </c>
      <c r="AD45" s="66">
        <f>H45*Table5[Autocycle]*0.01*$AD$7/1000</f>
        <v>12210.403997915068</v>
      </c>
      <c r="AE45" s="66">
        <f>I45*Table5[Motocycle]*0.01*$AD$7/1000</f>
        <v>9539.860368773443</v>
      </c>
      <c r="AF45" s="66">
        <f>J45*Table5[Car]*0.01*$AD$7/$AL$8/1000</f>
        <v>114907.14277506781</v>
      </c>
      <c r="AG45" s="66">
        <f>K45*Table5[DPV]*0.01*$AD$7/$AL$8/1000</f>
        <v>6592.1759918671678</v>
      </c>
      <c r="AH45" s="66">
        <f>L45*Table5[Car_Hbrid]*0.01*$AD$7/$AL$8/1000</f>
        <v>922.29831665820848</v>
      </c>
      <c r="AI45" s="66">
        <f>Freight!E37*$AG$8*$AI$8*$AD$7/1000</f>
        <v>7697.6472688035337</v>
      </c>
      <c r="AJ45" s="66">
        <f t="shared" si="40"/>
        <v>151869.52871908524</v>
      </c>
      <c r="AK45" s="66">
        <f>P45*Table5[Car_Dsl]*0.01*$AD$8/$AL$8/1000</f>
        <v>13198.169136532073</v>
      </c>
      <c r="AL45" s="66">
        <f>Q45*Table5[DPV_Dsl]*0.01*$AD$8/$AL$8/1000</f>
        <v>30730.646968584308</v>
      </c>
      <c r="AM45" s="66">
        <f>R45*Table5[Bus]*0.01*$AD$8/$AL$9/1000</f>
        <v>29099.364997457331</v>
      </c>
      <c r="AN45" s="66">
        <f>Freight!E37*$AG$9*$AI$9*$AD$8/1000</f>
        <v>233799.74811168434</v>
      </c>
      <c r="AO45" s="66">
        <f t="shared" si="8"/>
        <v>306827.92921425804</v>
      </c>
      <c r="AQ45" s="66">
        <f>W45*Table5[Car_LPG]*0.01*$AD$9/$AL$8/1000</f>
        <v>134.36233641593208</v>
      </c>
      <c r="AR45" s="66">
        <f>X45*Table5[DPV_LPG]*0.01*$AD$9/$AL$8/1000</f>
        <v>13.796132756993027</v>
      </c>
      <c r="AS45" s="31">
        <f t="shared" si="37"/>
        <v>416.40235409404454</v>
      </c>
      <c r="AT45" s="66">
        <f t="shared" si="9"/>
        <v>564.56082326696969</v>
      </c>
      <c r="AU45" s="31">
        <f t="shared" si="10"/>
        <v>5645.6082326696969</v>
      </c>
      <c r="AX45" s="148">
        <f t="shared" si="11"/>
        <v>459262.01875661022</v>
      </c>
      <c r="BB45" s="117">
        <f t="shared" si="41"/>
        <v>2042</v>
      </c>
      <c r="BC45" s="85">
        <f t="shared" si="12"/>
        <v>471.50021364242076</v>
      </c>
      <c r="BD45" s="85">
        <f t="shared" si="13"/>
        <v>0.22452391125829557</v>
      </c>
      <c r="BE45" s="85">
        <f t="shared" si="14"/>
        <v>2.1772015637168057E-2</v>
      </c>
      <c r="BF45" s="85">
        <f t="shared" si="15"/>
        <v>984.46661572182313</v>
      </c>
      <c r="BG45" s="85">
        <f t="shared" si="16"/>
        <v>5.1814032406411747E-2</v>
      </c>
      <c r="BH45" s="85">
        <f t="shared" si="17"/>
        <v>5.1814032406411747E-2</v>
      </c>
      <c r="BI45" s="85">
        <f t="shared" si="18"/>
        <v>1.85956173089321</v>
      </c>
      <c r="BJ45" s="85">
        <f t="shared" si="19"/>
        <v>1.8271446484212205E-3</v>
      </c>
      <c r="BK45" s="85">
        <f t="shared" si="20"/>
        <v>5.8940149949071636E-6</v>
      </c>
      <c r="BL45">
        <f t="shared" si="21"/>
        <v>2042</v>
      </c>
      <c r="BM45" s="39">
        <f t="shared" si="22"/>
        <v>1457.8263910951371</v>
      </c>
      <c r="BN45" s="39">
        <f t="shared" si="23"/>
        <v>0.27816508831312853</v>
      </c>
      <c r="BO45" s="39">
        <f t="shared" si="24"/>
        <v>7.3591942058574708E-2</v>
      </c>
      <c r="BP45" s="184">
        <f t="shared" si="25"/>
        <v>1486.7109170364206</v>
      </c>
      <c r="BR45" s="170">
        <f>Scenario1!BT45</f>
        <v>1464.4102532808745</v>
      </c>
      <c r="BS45" s="173">
        <f>Scenario2!BT45</f>
        <v>1412.4707210227782</v>
      </c>
      <c r="BT45" s="183">
        <f>Scenario3!BX45</f>
        <v>1371.7141458981521</v>
      </c>
      <c r="BU45" s="201">
        <f>'LRS4'!BP45</f>
        <v>1459.700876637881</v>
      </c>
      <c r="BW45">
        <f t="shared" si="26"/>
        <v>2042</v>
      </c>
      <c r="BX45" s="31">
        <f t="shared" si="27"/>
        <v>22.300663755546111</v>
      </c>
      <c r="BZ45" s="31">
        <f t="shared" si="28"/>
        <v>74.24019601364239</v>
      </c>
      <c r="CB45" s="31">
        <f t="shared" si="29"/>
        <v>114.99677113826851</v>
      </c>
      <c r="CD45" s="202">
        <f t="shared" si="30"/>
        <v>27.010040398539559</v>
      </c>
      <c r="CF45" s="202">
        <f t="shared" si="31"/>
        <v>238.54767130599657</v>
      </c>
      <c r="CH45" s="202">
        <f t="shared" si="32"/>
        <v>1248.163245730424</v>
      </c>
    </row>
    <row r="46" spans="1:86" x14ac:dyDescent="0.25">
      <c r="A46" s="117">
        <f t="shared" si="38"/>
        <v>2043</v>
      </c>
      <c r="B46" s="66">
        <f>INDEX((Proj_PasMob!$Q$6:$Q$46),MATCH(A46,Proj_PasMob!$M$6:M$46,0))</f>
        <v>10981044657.809532</v>
      </c>
      <c r="C46" s="119">
        <f>B46*Table1[Gasoline]%</f>
        <v>6031927597.7128353</v>
      </c>
      <c r="D46" s="123">
        <f>B46*Table1[[Diesel ]]%</f>
        <v>4943101254.9517736</v>
      </c>
      <c r="E46" s="121">
        <f>B46*Table1[LPG]%</f>
        <v>6015805.1449231999</v>
      </c>
      <c r="F46" s="66">
        <f t="shared" si="3"/>
        <v>0</v>
      </c>
      <c r="H46" s="31">
        <f>C46*Table2[Autocycle]%</f>
        <v>682287829.16127777</v>
      </c>
      <c r="I46" s="66">
        <f>C46*Table2[Motocycle]%</f>
        <v>444220261.03200889</v>
      </c>
      <c r="J46" s="66">
        <f>C46*Table2[cars]%</f>
        <v>4692074181.5993824</v>
      </c>
      <c r="K46" s="66">
        <f>C46*Table2[DPV]%</f>
        <v>152146565.56400701</v>
      </c>
      <c r="L46" s="66">
        <f>C46*Table2[Hybrid]%</f>
        <v>61198760.356159635</v>
      </c>
      <c r="M46" s="66">
        <f t="shared" si="4"/>
        <v>0</v>
      </c>
      <c r="P46" s="66">
        <f>D46*Table3[Cars]%</f>
        <v>418009616.56791234</v>
      </c>
      <c r="Q46" s="66">
        <f>D46*Table3[DPV]%</f>
        <v>602925821.12810445</v>
      </c>
      <c r="R46" s="66">
        <f>D46*Table3[Buses]%</f>
        <v>3922165817.2557569</v>
      </c>
      <c r="S46" s="66">
        <f t="shared" si="5"/>
        <v>0</v>
      </c>
      <c r="W46" s="66">
        <f>E46*Table4[Cars]%</f>
        <v>5685824.2719949232</v>
      </c>
      <c r="X46" s="66">
        <f>E46*Table4[DPV]%</f>
        <v>329980.87292827677</v>
      </c>
      <c r="Y46" s="66">
        <f t="shared" si="6"/>
        <v>0</v>
      </c>
      <c r="AB46" s="117">
        <f t="shared" si="39"/>
        <v>2043</v>
      </c>
      <c r="AD46" s="66">
        <f>H46*Table5[Autocycle]*0.01*$AD$7/1000</f>
        <v>12110.608967612678</v>
      </c>
      <c r="AE46" s="66">
        <f>I46*Table5[Motocycle]*0.01*$AD$7/1000</f>
        <v>9461.8915599817901</v>
      </c>
      <c r="AF46" s="66">
        <f>J46*Table5[Car]*0.01*$AD$7/$AL$8/1000</f>
        <v>113968.01235832184</v>
      </c>
      <c r="AG46" s="66">
        <f>K46*Table5[DPV]*0.01*$AD$7/$AL$8/1000</f>
        <v>6538.298462263775</v>
      </c>
      <c r="AH46" s="66">
        <f>L46*Table5[Car_Hbrid]*0.01*$AD$7/$AL$8/1000</f>
        <v>914.76041795522826</v>
      </c>
      <c r="AI46" s="66">
        <f>Freight!E38*$AG$8*$AI$8*$AD$7/1000</f>
        <v>7929.7038403476463</v>
      </c>
      <c r="AJ46" s="66">
        <f t="shared" si="40"/>
        <v>150923.27560648296</v>
      </c>
      <c r="AK46" s="66">
        <f>P46*Table5[Car_Dsl]*0.01*$AD$8/$AL$8/1000</f>
        <v>13090.301150416202</v>
      </c>
      <c r="AL46" s="66">
        <f>Q46*Table5[DPV_Dsl]*0.01*$AD$8/$AL$8/1000</f>
        <v>30479.486904923386</v>
      </c>
      <c r="AM46" s="66">
        <f>R46*Table5[Bus]*0.01*$AD$8/$AL$9/1000</f>
        <v>28861.537320977721</v>
      </c>
      <c r="AN46" s="66">
        <f>Freight!E38*$AG$9*$AI$9*$AD$8/1000</f>
        <v>240847.97545701289</v>
      </c>
      <c r="AO46" s="66">
        <f t="shared" si="8"/>
        <v>313279.3008333302</v>
      </c>
      <c r="AQ46" s="66">
        <f>W46*Table5[Car_LPG]*0.01*$AD$9/$AL$8/1000</f>
        <v>133.2641996600625</v>
      </c>
      <c r="AR46" s="66">
        <f>X46*Table5[DPV_LPG]*0.01*$AD$9/$AL$8/1000</f>
        <v>13.683377643667132</v>
      </c>
      <c r="AS46" s="31">
        <f t="shared" si="37"/>
        <v>386.83778695336741</v>
      </c>
      <c r="AT46" s="66">
        <f t="shared" si="9"/>
        <v>533.78536425709706</v>
      </c>
      <c r="AU46" s="31">
        <f t="shared" si="10"/>
        <v>5337.8536425709708</v>
      </c>
      <c r="AX46" s="148">
        <f t="shared" si="11"/>
        <v>464736.3618040703</v>
      </c>
      <c r="BB46" s="117">
        <f t="shared" si="41"/>
        <v>2043</v>
      </c>
      <c r="BC46" s="85">
        <f t="shared" si="12"/>
        <v>468.56243837891122</v>
      </c>
      <c r="BD46" s="85">
        <f t="shared" si="13"/>
        <v>0.22312497065662434</v>
      </c>
      <c r="BE46" s="85">
        <f t="shared" si="14"/>
        <v>2.1636360790945396E-2</v>
      </c>
      <c r="BF46" s="85">
        <f t="shared" si="15"/>
        <v>1005.1660351027648</v>
      </c>
      <c r="BG46" s="85">
        <f t="shared" si="16"/>
        <v>5.2903475531724461E-2</v>
      </c>
      <c r="BH46" s="85">
        <f t="shared" si="17"/>
        <v>5.2903475531724461E-2</v>
      </c>
      <c r="BI46" s="85">
        <f t="shared" si="18"/>
        <v>1.7581929084973111</v>
      </c>
      <c r="BJ46" s="85">
        <f t="shared" si="19"/>
        <v>1.7275429528816688E-3</v>
      </c>
      <c r="BK46" s="85">
        <f t="shared" si="20"/>
        <v>5.5727192028440938E-6</v>
      </c>
      <c r="BL46">
        <f t="shared" si="21"/>
        <v>2043</v>
      </c>
      <c r="BM46" s="39">
        <f t="shared" si="22"/>
        <v>1475.4866663901732</v>
      </c>
      <c r="BN46" s="39">
        <f t="shared" si="23"/>
        <v>0.27775598914123051</v>
      </c>
      <c r="BO46" s="39">
        <f t="shared" si="24"/>
        <v>7.4545409041872707E-2</v>
      </c>
      <c r="BP46" s="184">
        <f t="shared" si="25"/>
        <v>1504.6450980131822</v>
      </c>
      <c r="BR46" s="170">
        <f>Scenario1!BT46</f>
        <v>1482.0754215429843</v>
      </c>
      <c r="BS46" s="173">
        <f>Scenario2!BT46</f>
        <v>1429.5029952201551</v>
      </c>
      <c r="BT46" s="183">
        <f>Scenario3!BX46</f>
        <v>1382.1112529695267</v>
      </c>
      <c r="BU46" s="201">
        <f>'LRS4'!BP46</f>
        <v>1477.6350576146424</v>
      </c>
      <c r="BW46">
        <f t="shared" si="26"/>
        <v>2043</v>
      </c>
      <c r="BX46" s="31">
        <f t="shared" si="27"/>
        <v>22.569676470197919</v>
      </c>
      <c r="BZ46" s="31">
        <f t="shared" si="28"/>
        <v>75.142102793027107</v>
      </c>
      <c r="CB46" s="31">
        <f t="shared" si="29"/>
        <v>122.53384504365545</v>
      </c>
      <c r="CD46" s="202">
        <f t="shared" si="30"/>
        <v>27.010040398539786</v>
      </c>
      <c r="CF46" s="202">
        <f t="shared" si="31"/>
        <v>247.25566470542026</v>
      </c>
      <c r="CH46" s="202">
        <f t="shared" si="32"/>
        <v>1257.3894333077619</v>
      </c>
    </row>
    <row r="47" spans="1:86" x14ac:dyDescent="0.25">
      <c r="A47" s="117">
        <f t="shared" si="38"/>
        <v>2044</v>
      </c>
      <c r="B47" s="66">
        <f>INDEX((Proj_PasMob!$Q$6:$Q$46),MATCH(A47,Proj_PasMob!$M$6:M$46,0))</f>
        <v>10889195065.958414</v>
      </c>
      <c r="C47" s="119">
        <f>B47*Table1[Gasoline]%</f>
        <v>5981474284.2813673</v>
      </c>
      <c r="D47" s="123">
        <f>B47*Table1[[Diesel ]]%</f>
        <v>4901755294.991291</v>
      </c>
      <c r="E47" s="121">
        <f>B47*Table1[LPG]%</f>
        <v>5965486.6857569236</v>
      </c>
      <c r="F47" s="66">
        <f t="shared" si="3"/>
        <v>0</v>
      </c>
      <c r="H47" s="31">
        <f>C47*Table2[Autocycle]%</f>
        <v>676580916.8786763</v>
      </c>
      <c r="I47" s="66">
        <f>C47*Table2[Motocycle]%</f>
        <v>440504635.52102715</v>
      </c>
      <c r="J47" s="66">
        <f>C47*Table2[cars]%</f>
        <v>4652827906.591424</v>
      </c>
      <c r="K47" s="66">
        <f>C47*Table2[DPV]%</f>
        <v>150873954.40686497</v>
      </c>
      <c r="L47" s="66">
        <f>C47*Table2[Hybrid]%</f>
        <v>60686870.88337528</v>
      </c>
      <c r="M47" s="66">
        <f t="shared" si="4"/>
        <v>0</v>
      </c>
      <c r="P47" s="66">
        <f>D47*Table3[Cars]%</f>
        <v>414513226.75546408</v>
      </c>
      <c r="Q47" s="66">
        <f>D47*Table3[DPV]%</f>
        <v>597882722.56027091</v>
      </c>
      <c r="R47" s="66">
        <f>D47*Table3[Buses]%</f>
        <v>3889359345.6755562</v>
      </c>
      <c r="S47" s="66">
        <f t="shared" si="5"/>
        <v>0</v>
      </c>
      <c r="W47" s="66">
        <f>E47*Table4[Cars]%</f>
        <v>5638265.8970867125</v>
      </c>
      <c r="X47" s="66">
        <f>E47*Table4[DPV]%</f>
        <v>327220.78867021098</v>
      </c>
      <c r="Y47" s="66">
        <f t="shared" si="6"/>
        <v>0</v>
      </c>
      <c r="AB47" s="117">
        <f t="shared" si="39"/>
        <v>2044</v>
      </c>
      <c r="AD47" s="66">
        <f>H47*Table5[Autocycle]*0.01*$AD$7/1000</f>
        <v>12009.311274596503</v>
      </c>
      <c r="AE47" s="66">
        <f>I47*Table5[Motocycle]*0.01*$AD$7/1000</f>
        <v>9382.7487365978795</v>
      </c>
      <c r="AF47" s="66">
        <f>J47*Table5[Car]*0.01*$AD$7/$AL$8/1000</f>
        <v>113014.74099431274</v>
      </c>
      <c r="AG47" s="66">
        <f>K47*Table5[DPV]*0.01*$AD$7/$AL$8/1000</f>
        <v>6483.6096722739612</v>
      </c>
      <c r="AH47" s="66">
        <f>L47*Table5[Car_Hbrid]*0.01*$AD$7/$AL$8/1000</f>
        <v>907.10901741466205</v>
      </c>
      <c r="AI47" s="66">
        <f>Freight!E39*$AG$8*$AI$8*$AD$7/1000</f>
        <v>8168.7144202751133</v>
      </c>
      <c r="AJ47" s="66">
        <f t="shared" si="40"/>
        <v>149966.23411547087</v>
      </c>
      <c r="AK47" s="66">
        <f>P47*Table5[Car_Dsl]*0.01*$AD$8/$AL$8/1000</f>
        <v>12980.808943131638</v>
      </c>
      <c r="AL47" s="66">
        <f>Q47*Table5[DPV_Dsl]*0.01*$AD$8/$AL$8/1000</f>
        <v>30224.54500100738</v>
      </c>
      <c r="AM47" s="66">
        <f>R47*Table5[Bus]*0.01*$AD$8/$AL$9/1000</f>
        <v>28620.128556535419</v>
      </c>
      <c r="AN47" s="66">
        <f>Freight!E39*$AG$9*$AI$9*$AD$8/1000</f>
        <v>248107.41609279497</v>
      </c>
      <c r="AO47" s="66">
        <f t="shared" si="8"/>
        <v>319932.89859346941</v>
      </c>
      <c r="AQ47" s="66">
        <f>W47*Table5[Car_LPG]*0.01*$AD$9/$AL$8/1000</f>
        <v>132.14952772050003</v>
      </c>
      <c r="AR47" s="66">
        <f>X47*Table5[DPV_LPG]*0.01*$AD$9/$AL$8/1000</f>
        <v>13.568924721301341</v>
      </c>
      <c r="AS47" s="31">
        <f t="shared" si="37"/>
        <v>359.37230407967837</v>
      </c>
      <c r="AT47" s="66">
        <f t="shared" si="9"/>
        <v>505.09075652147976</v>
      </c>
      <c r="AU47" s="31">
        <f t="shared" si="10"/>
        <v>5050.9075652147976</v>
      </c>
      <c r="AX47" s="148">
        <f t="shared" si="11"/>
        <v>470404.22346546175</v>
      </c>
      <c r="BB47" s="117">
        <f t="shared" si="41"/>
        <v>2044</v>
      </c>
      <c r="BC47" s="85">
        <f t="shared" si="12"/>
        <v>465.59116908425545</v>
      </c>
      <c r="BD47" s="85">
        <f t="shared" si="13"/>
        <v>0.22171008051631211</v>
      </c>
      <c r="BE47" s="85">
        <f t="shared" si="14"/>
        <v>2.14991593227939E-2</v>
      </c>
      <c r="BF47" s="85">
        <f t="shared" si="15"/>
        <v>1026.5143031241043</v>
      </c>
      <c r="BG47" s="85">
        <f t="shared" si="16"/>
        <v>5.402706858547917E-2</v>
      </c>
      <c r="BH47" s="85">
        <f t="shared" si="17"/>
        <v>5.402706858547917E-2</v>
      </c>
      <c r="BI47" s="85">
        <f t="shared" si="18"/>
        <v>1.6636780356455805</v>
      </c>
      <c r="BJ47" s="85">
        <f t="shared" si="19"/>
        <v>1.6346757244061171E-3</v>
      </c>
      <c r="BK47" s="85">
        <f t="shared" si="20"/>
        <v>5.273147498084249E-6</v>
      </c>
      <c r="BL47">
        <f t="shared" si="21"/>
        <v>2044</v>
      </c>
      <c r="BM47" s="39">
        <f t="shared" si="22"/>
        <v>1493.7691502440052</v>
      </c>
      <c r="BN47" s="39">
        <f t="shared" si="23"/>
        <v>0.27737182482619738</v>
      </c>
      <c r="BO47" s="39">
        <f t="shared" si="24"/>
        <v>7.5531501055771152E-2</v>
      </c>
      <c r="BP47" s="184">
        <f t="shared" si="25"/>
        <v>1523.2118331792799</v>
      </c>
      <c r="BR47" s="170">
        <f>Scenario1!BT47</f>
        <v>1500.3636556815909</v>
      </c>
      <c r="BS47" s="173">
        <f>Scenario2!BT47</f>
        <v>1447.1365473366513</v>
      </c>
      <c r="BT47" s="183">
        <f>Scenario3!BX47</f>
        <v>1393.2897951847297</v>
      </c>
      <c r="BU47" s="201">
        <f>'LRS4'!BP47</f>
        <v>1496.2017927807406</v>
      </c>
      <c r="BW47">
        <f t="shared" si="26"/>
        <v>2044</v>
      </c>
      <c r="BX47" s="31">
        <f t="shared" si="27"/>
        <v>22.848177497688994</v>
      </c>
      <c r="BZ47" s="31">
        <f t="shared" si="28"/>
        <v>76.075285842628546</v>
      </c>
      <c r="CB47" s="31">
        <f t="shared" si="29"/>
        <v>129.92203799455024</v>
      </c>
      <c r="CD47" s="202">
        <f t="shared" si="30"/>
        <v>27.010040398539331</v>
      </c>
      <c r="CF47" s="202">
        <f t="shared" si="31"/>
        <v>255.85554173340711</v>
      </c>
      <c r="CH47" s="202">
        <f t="shared" si="32"/>
        <v>1267.3562914458728</v>
      </c>
    </row>
    <row r="48" spans="1:86" x14ac:dyDescent="0.25">
      <c r="A48" s="117">
        <f t="shared" si="38"/>
        <v>2045</v>
      </c>
      <c r="B48" s="66">
        <f>INDEX((Proj_PasMob!$Q$6:$Q$46),MATCH(A48,Proj_PasMob!$M$6:M$46,0))</f>
        <v>10784141087.93745</v>
      </c>
      <c r="C48" s="119">
        <f>B48*Table1[Gasoline]%</f>
        <v>5923767753.7079296</v>
      </c>
      <c r="D48" s="123">
        <f>B48*Table1[[Diesel ]]%</f>
        <v>4854465399.833293</v>
      </c>
      <c r="E48" s="121">
        <f>B48*Table1[LPG]%</f>
        <v>5907934.3962282846</v>
      </c>
      <c r="F48" s="66">
        <f t="shared" si="3"/>
        <v>0</v>
      </c>
      <c r="H48" s="31">
        <f>C48*Table2[Autocycle]%</f>
        <v>670053573.36608028</v>
      </c>
      <c r="I48" s="66">
        <f>C48*Table2[Motocycle]%</f>
        <v>436254848.09249365</v>
      </c>
      <c r="J48" s="66">
        <f>C48*Table2[cars]%</f>
        <v>4607939549.1257324</v>
      </c>
      <c r="K48" s="66">
        <f>C48*Table2[DPV]%</f>
        <v>149418391.43878624</v>
      </c>
      <c r="L48" s="66">
        <f>C48*Table2[Hybrid]%</f>
        <v>60101391.684837103</v>
      </c>
      <c r="M48" s="66">
        <f t="shared" si="4"/>
        <v>0</v>
      </c>
      <c r="P48" s="66">
        <f>D48*Table3[Cars]%</f>
        <v>410514192.56155002</v>
      </c>
      <c r="Q48" s="66">
        <f>D48*Table3[DPV]%</f>
        <v>592114623.26417899</v>
      </c>
      <c r="R48" s="66">
        <f>D48*Table3[Buses]%</f>
        <v>3851836584.0075641</v>
      </c>
      <c r="S48" s="66">
        <f t="shared" si="5"/>
        <v>0</v>
      </c>
      <c r="W48" s="66">
        <f>E48*Table4[Cars]%</f>
        <v>5583870.484198885</v>
      </c>
      <c r="X48" s="66">
        <f>E48*Table4[DPV]%</f>
        <v>324063.91202939954</v>
      </c>
      <c r="Y48" s="66">
        <f t="shared" si="6"/>
        <v>0</v>
      </c>
      <c r="AB48" s="117">
        <f t="shared" si="39"/>
        <v>2045</v>
      </c>
      <c r="AD48" s="66">
        <f>H48*Table5[Autocycle]*0.01*$AD$7/1000</f>
        <v>11893.450927247924</v>
      </c>
      <c r="AE48" s="66">
        <f>I48*Table5[Motocycle]*0.01*$AD$7/1000</f>
        <v>9292.2282643701146</v>
      </c>
      <c r="AF48" s="66">
        <f>J48*Table5[Car]*0.01*$AD$7/$AL$8/1000</f>
        <v>111924.4264169224</v>
      </c>
      <c r="AG48" s="66">
        <f>K48*Table5[DPV]*0.01*$AD$7/$AL$8/1000</f>
        <v>6421.0587689352087</v>
      </c>
      <c r="AH48" s="66">
        <f>L48*Table5[Car_Hbrid]*0.01*$AD$7/$AL$8/1000</f>
        <v>898.35764413124934</v>
      </c>
      <c r="AI48" s="66">
        <f>Freight!E40*$AG$8*$AI$8*$AD$7/1000</f>
        <v>8414.9194745784989</v>
      </c>
      <c r="AJ48" s="66">
        <f t="shared" si="40"/>
        <v>148844.44149618541</v>
      </c>
      <c r="AK48" s="66">
        <f>P48*Table5[Car_Dsl]*0.01*$AD$8/$AL$8/1000</f>
        <v>12855.57603021696</v>
      </c>
      <c r="AL48" s="66">
        <f>Q48*Table5[DPV_Dsl]*0.01*$AD$8/$AL$8/1000</f>
        <v>29932.952402381263</v>
      </c>
      <c r="AM48" s="66">
        <f>R48*Table5[Bus]*0.01*$AD$8/$AL$9/1000</f>
        <v>28344.014634604235</v>
      </c>
      <c r="AN48" s="66">
        <f>Freight!E40*$AG$9*$AI$9*$AD$8/1000</f>
        <v>255585.37366474574</v>
      </c>
      <c r="AO48" s="66">
        <f t="shared" si="8"/>
        <v>326717.91673194821</v>
      </c>
      <c r="AQ48" s="66">
        <f>W48*Table5[Car_LPG]*0.01*$AD$9/$AL$8/1000</f>
        <v>130.87460946469335</v>
      </c>
      <c r="AR48" s="66">
        <f>X48*Table5[DPV_LPG]*0.01*$AD$9/$AL$8/1000</f>
        <v>13.438017936106906</v>
      </c>
      <c r="AS48" s="31">
        <f t="shared" si="37"/>
        <v>333.85687049002121</v>
      </c>
      <c r="AT48" s="66">
        <f t="shared" si="9"/>
        <v>478.1694978908215</v>
      </c>
      <c r="AU48" s="31">
        <f t="shared" si="10"/>
        <v>4781.6949789082155</v>
      </c>
      <c r="AX48" s="148">
        <f t="shared" si="11"/>
        <v>476040.52772602439</v>
      </c>
      <c r="BB48" s="117">
        <f t="shared" si="41"/>
        <v>2045</v>
      </c>
      <c r="BC48" s="85">
        <f t="shared" si="12"/>
        <v>462.10840684671706</v>
      </c>
      <c r="BD48" s="85">
        <f t="shared" si="13"/>
        <v>0.22005162230796046</v>
      </c>
      <c r="BE48" s="85">
        <f t="shared" si="14"/>
        <v>2.1338339132893135E-2</v>
      </c>
      <c r="BF48" s="85">
        <f t="shared" si="15"/>
        <v>1048.2842373719577</v>
      </c>
      <c r="BG48" s="85">
        <f t="shared" si="16"/>
        <v>5.5172854598524085E-2</v>
      </c>
      <c r="BH48" s="85">
        <f t="shared" si="17"/>
        <v>5.5172854598524085E-2</v>
      </c>
      <c r="BI48" s="85">
        <f t="shared" si="18"/>
        <v>1.5750042555427455</v>
      </c>
      <c r="BJ48" s="85">
        <f t="shared" si="19"/>
        <v>1.5475477629738547E-3</v>
      </c>
      <c r="BK48" s="85">
        <f t="shared" si="20"/>
        <v>4.9920895579801765E-6</v>
      </c>
      <c r="BL48">
        <f t="shared" si="21"/>
        <v>2045</v>
      </c>
      <c r="BM48" s="39">
        <f t="shared" si="22"/>
        <v>1511.9676484742176</v>
      </c>
      <c r="BN48" s="39">
        <f t="shared" si="23"/>
        <v>0.27677202466945838</v>
      </c>
      <c r="BO48" s="39">
        <f t="shared" si="24"/>
        <v>7.6516185820975205E-2</v>
      </c>
      <c r="BP48" s="184">
        <f t="shared" si="25"/>
        <v>1541.6887724656049</v>
      </c>
      <c r="BR48" s="170">
        <f>Scenario1!BT48</f>
        <v>1518.5634408786204</v>
      </c>
      <c r="BS48" s="173">
        <f>Scenario2!BT48</f>
        <v>1464.6850928719396</v>
      </c>
      <c r="BT48" s="183">
        <f>Scenario3!BX48</f>
        <v>1404.6510492816778</v>
      </c>
      <c r="BU48" s="201">
        <f>'LRS4'!BP48</f>
        <v>1514.6787320670646</v>
      </c>
      <c r="BW48">
        <f t="shared" si="26"/>
        <v>2045</v>
      </c>
      <c r="BX48" s="31">
        <f t="shared" si="27"/>
        <v>23.12533158698443</v>
      </c>
      <c r="BZ48" s="31">
        <f t="shared" si="28"/>
        <v>77.003679593665311</v>
      </c>
      <c r="CB48" s="31">
        <f t="shared" si="29"/>
        <v>137.03772318392703</v>
      </c>
      <c r="CD48" s="202">
        <f t="shared" si="30"/>
        <v>27.010040398540241</v>
      </c>
      <c r="CF48" s="202">
        <f t="shared" si="31"/>
        <v>264.17677476311701</v>
      </c>
      <c r="CH48" s="202">
        <f t="shared" si="32"/>
        <v>1277.5119977024879</v>
      </c>
    </row>
    <row r="49" spans="1:86" x14ac:dyDescent="0.25">
      <c r="A49" s="117">
        <f t="shared" si="38"/>
        <v>2046</v>
      </c>
      <c r="B49" s="66">
        <f>INDEX((Proj_PasMob!$Q$6:$Q$46),MATCH(A49,Proj_PasMob!$M$6:M$46,0))</f>
        <v>10678041059.924702</v>
      </c>
      <c r="C49" s="119">
        <f>B49*Table1[Gasoline]%</f>
        <v>5865486624.0857983</v>
      </c>
      <c r="D49" s="123">
        <f>B49*Table1[[Diesel ]]%</f>
        <v>4806704626.795434</v>
      </c>
      <c r="E49" s="121">
        <f>B49*Table1[LPG]%</f>
        <v>5849809.0434694597</v>
      </c>
      <c r="F49" s="66">
        <f t="shared" si="3"/>
        <v>0</v>
      </c>
      <c r="H49" s="31">
        <f>C49*Table2[Autocycle]%</f>
        <v>663461235.38343799</v>
      </c>
      <c r="I49" s="66">
        <f>C49*Table2[Motocycle]%</f>
        <v>431962744.41674662</v>
      </c>
      <c r="J49" s="66">
        <f>C49*Table2[cars]%</f>
        <v>4562604226.5203781</v>
      </c>
      <c r="K49" s="66">
        <f>C49*Table2[DPV]%</f>
        <v>147948335.04875925</v>
      </c>
      <c r="L49" s="66">
        <f>C49*Table2[Hybrid]%</f>
        <v>59510082.716476224</v>
      </c>
      <c r="M49" s="66">
        <f t="shared" si="4"/>
        <v>0</v>
      </c>
      <c r="P49" s="66">
        <f>D49*Table3[Cars]%</f>
        <v>406475338.93609715</v>
      </c>
      <c r="Q49" s="66">
        <f>D49*Table3[DPV]%</f>
        <v>586289089.49168801</v>
      </c>
      <c r="R49" s="66">
        <f>D49*Table3[Buses]%</f>
        <v>3813940198.3676486</v>
      </c>
      <c r="S49" s="66">
        <f t="shared" si="5"/>
        <v>0</v>
      </c>
      <c r="W49" s="66">
        <f>E49*Table4[Cars]%</f>
        <v>5528933.4419289408</v>
      </c>
      <c r="X49" s="66">
        <f>E49*Table4[DPV]%</f>
        <v>320875.60154051887</v>
      </c>
      <c r="Y49" s="66">
        <f t="shared" si="6"/>
        <v>0</v>
      </c>
      <c r="AB49" s="117">
        <f t="shared" si="39"/>
        <v>2046</v>
      </c>
      <c r="AD49" s="66">
        <f>H49*Table5[Autocycle]*0.01*$AD$7/1000</f>
        <v>11776.436928056024</v>
      </c>
      <c r="AE49" s="66">
        <f>I49*Table5[Motocycle]*0.01*$AD$7/1000</f>
        <v>9200.8064560767016</v>
      </c>
      <c r="AF49" s="66">
        <f>J49*Table5[Car]*0.01*$AD$7/$AL$8/1000</f>
        <v>110823.25529153446</v>
      </c>
      <c r="AG49" s="66">
        <f>K49*Table5[DPV]*0.01*$AD$7/$AL$8/1000</f>
        <v>6357.885029858523</v>
      </c>
      <c r="AH49" s="66">
        <f>L49*Table5[Car_Hbrid]*0.01*$AD$7/$AL$8/1000</f>
        <v>889.51913113048681</v>
      </c>
      <c r="AI49" s="66">
        <f>Freight!E41*$AG$8*$AI$8*$AD$7/1000</f>
        <v>8668.5020363757885</v>
      </c>
      <c r="AJ49" s="66">
        <f t="shared" si="40"/>
        <v>147716.40487303198</v>
      </c>
      <c r="AK49" s="66">
        <f>P49*Table5[Car_Dsl]*0.01*$AD$8/$AL$8/1000</f>
        <v>12729.096140367255</v>
      </c>
      <c r="AL49" s="66">
        <f>Q49*Table5[DPV_Dsl]*0.01*$AD$8/$AL$8/1000</f>
        <v>29638.456339829809</v>
      </c>
      <c r="AM49" s="66">
        <f>R49*Table5[Bus]*0.01*$AD$8/$AL$9/1000</f>
        <v>28065.151373988221</v>
      </c>
      <c r="AN49" s="66">
        <f>Freight!E41*$AG$9*$AI$9*$AD$8/1000</f>
        <v>263287.40741653868</v>
      </c>
      <c r="AO49" s="66">
        <f t="shared" si="8"/>
        <v>333720.11127072398</v>
      </c>
      <c r="AQ49" s="66">
        <f>W49*Table5[Car_LPG]*0.01*$AD$9/$AL$8/1000</f>
        <v>129.58699651368207</v>
      </c>
      <c r="AR49" s="66">
        <f>X49*Table5[DPV_LPG]*0.01*$AD$9/$AL$8/1000</f>
        <v>13.305807677744138</v>
      </c>
      <c r="AS49" s="31">
        <f t="shared" si="37"/>
        <v>310.15303268522973</v>
      </c>
      <c r="AT49" s="66">
        <f t="shared" si="9"/>
        <v>453.04583687665593</v>
      </c>
      <c r="AU49" s="31">
        <f t="shared" si="10"/>
        <v>4530.458368766559</v>
      </c>
      <c r="AX49" s="148">
        <f t="shared" si="11"/>
        <v>481889.5619806326</v>
      </c>
      <c r="BB49" s="117">
        <f t="shared" si="41"/>
        <v>2046</v>
      </c>
      <c r="BC49" s="85">
        <f t="shared" si="12"/>
        <v>458.60625922500998</v>
      </c>
      <c r="BD49" s="85">
        <f t="shared" si="13"/>
        <v>0.21838393296429043</v>
      </c>
      <c r="BE49" s="85">
        <f t="shared" si="14"/>
        <v>2.1176623802597862E-2</v>
      </c>
      <c r="BF49" s="85">
        <f t="shared" si="15"/>
        <v>1070.7509886154558</v>
      </c>
      <c r="BG49" s="85">
        <f t="shared" si="16"/>
        <v>5.635531519028715E-2</v>
      </c>
      <c r="BH49" s="85">
        <f t="shared" si="17"/>
        <v>5.635531519028715E-2</v>
      </c>
      <c r="BI49" s="85">
        <f t="shared" si="18"/>
        <v>1.4922514384210668</v>
      </c>
      <c r="BJ49" s="85">
        <f t="shared" si="19"/>
        <v>1.4662375464676092E-3</v>
      </c>
      <c r="BK49" s="85">
        <f t="shared" si="20"/>
        <v>4.7297985369922879E-6</v>
      </c>
      <c r="BL49">
        <f t="shared" si="21"/>
        <v>2046</v>
      </c>
      <c r="BM49" s="39">
        <f t="shared" si="22"/>
        <v>1530.8494992788869</v>
      </c>
      <c r="BN49" s="39">
        <f t="shared" si="23"/>
        <v>0.27620548570104519</v>
      </c>
      <c r="BO49" s="39">
        <f t="shared" si="24"/>
        <v>7.7536668791422014E-2</v>
      </c>
      <c r="BP49" s="184">
        <f t="shared" si="25"/>
        <v>1560.860563721257</v>
      </c>
      <c r="BR49" s="170">
        <f>Scenario1!BT49</f>
        <v>1537.447655265438</v>
      </c>
      <c r="BS49" s="173">
        <f>Scenario2!BT49</f>
        <v>1482.8940513780465</v>
      </c>
      <c r="BT49" s="183">
        <f>Scenario3!BX49</f>
        <v>1414.8699117904978</v>
      </c>
      <c r="BU49" s="201">
        <f>'LRS4'!BP49</f>
        <v>1533.850523322717</v>
      </c>
      <c r="BW49">
        <f t="shared" si="26"/>
        <v>2046</v>
      </c>
      <c r="BX49" s="31">
        <f t="shared" si="27"/>
        <v>23.412908455818979</v>
      </c>
      <c r="BZ49" s="31">
        <f t="shared" si="28"/>
        <v>77.966512343210525</v>
      </c>
      <c r="CB49" s="31">
        <f t="shared" si="29"/>
        <v>145.99065193075921</v>
      </c>
      <c r="CD49" s="202">
        <f t="shared" si="30"/>
        <v>27.010040398540013</v>
      </c>
      <c r="CF49" s="202">
        <f t="shared" si="31"/>
        <v>274.38011312832873</v>
      </c>
      <c r="CH49" s="202">
        <f t="shared" si="32"/>
        <v>1286.4804505929283</v>
      </c>
    </row>
    <row r="50" spans="1:86" x14ac:dyDescent="0.25">
      <c r="A50" s="117">
        <f t="shared" si="38"/>
        <v>2047</v>
      </c>
      <c r="B50" s="66">
        <f>INDEX((Proj_PasMob!$Q$6:$Q$46),MATCH(A50,Proj_PasMob!$M$6:M$46,0))</f>
        <v>10571068961.036474</v>
      </c>
      <c r="C50" s="119">
        <f>B50*Table1[Gasoline]%</f>
        <v>5806726462.7736168</v>
      </c>
      <c r="D50" s="123">
        <f>B50*Table1[[Diesel ]]%</f>
        <v>4758551292.3234568</v>
      </c>
      <c r="E50" s="121">
        <f>B50*Table1[LPG]%</f>
        <v>5791205.9394016359</v>
      </c>
      <c r="F50" s="66">
        <f t="shared" si="3"/>
        <v>0</v>
      </c>
      <c r="H50" s="31">
        <f>C50*Table2[Autocycle]%</f>
        <v>656814712.81608212</v>
      </c>
      <c r="I50" s="66">
        <f>C50*Table2[Motocycle]%</f>
        <v>427635362.53532654</v>
      </c>
      <c r="J50" s="66">
        <f>C50*Table2[cars]%</f>
        <v>4516896278.05229</v>
      </c>
      <c r="K50" s="66">
        <f>C50*Table2[DPV]%</f>
        <v>146466195.78385407</v>
      </c>
      <c r="L50" s="66">
        <f>C50*Table2[Hybrid]%</f>
        <v>58913913.586064748</v>
      </c>
      <c r="M50" s="66">
        <f t="shared" si="4"/>
        <v>0</v>
      </c>
      <c r="P50" s="66">
        <f>D50*Table3[Cars]%</f>
        <v>402403288.65006799</v>
      </c>
      <c r="Q50" s="66">
        <f>D50*Table3[DPV]%</f>
        <v>580415673.7493968</v>
      </c>
      <c r="R50" s="66">
        <f>D50*Table3[Buses]%</f>
        <v>3775732329.9239917</v>
      </c>
      <c r="S50" s="66">
        <f t="shared" si="5"/>
        <v>0</v>
      </c>
      <c r="W50" s="66">
        <f>E50*Table4[Cars]%</f>
        <v>5473544.8541180016</v>
      </c>
      <c r="X50" s="66">
        <f>E50*Table4[DPV]%</f>
        <v>317661.08528363402</v>
      </c>
      <c r="Y50" s="66">
        <f t="shared" si="6"/>
        <v>0</v>
      </c>
      <c r="AB50" s="117">
        <f t="shared" si="39"/>
        <v>2047</v>
      </c>
      <c r="AD50" s="66">
        <f>H50*Table5[Autocycle]*0.01*$AD$7/1000</f>
        <v>11658.461152485457</v>
      </c>
      <c r="AE50" s="66">
        <f>I50*Table5[Motocycle]*0.01*$AD$7/1000</f>
        <v>9108.633222002456</v>
      </c>
      <c r="AF50" s="66">
        <f>J50*Table5[Car]*0.01*$AD$7/$AL$8/1000</f>
        <v>109713.03328005959</v>
      </c>
      <c r="AG50" s="66">
        <f>K50*Table5[DPV]*0.01*$AD$7/$AL$8/1000</f>
        <v>6294.1920451324668</v>
      </c>
      <c r="AH50" s="66">
        <f>L50*Table5[Car_Hbrid]*0.01*$AD$7/$AL$8/1000</f>
        <v>880.60797149696793</v>
      </c>
      <c r="AI50" s="66">
        <f>Freight!E42*$AG$8*$AI$8*$AD$7/1000</f>
        <v>8929.6834308917969</v>
      </c>
      <c r="AJ50" s="66">
        <f t="shared" si="40"/>
        <v>146584.61110206874</v>
      </c>
      <c r="AK50" s="66">
        <f>P50*Table5[Car_Dsl]*0.01*$AD$8/$AL$8/1000</f>
        <v>12601.576670883707</v>
      </c>
      <c r="AL50" s="66">
        <f>Q50*Table5[DPV_Dsl]*0.01*$AD$8/$AL$8/1000</f>
        <v>29341.539717699772</v>
      </c>
      <c r="AM50" s="66">
        <f>R50*Table5[Bus]*0.01*$AD$8/$AL$9/1000</f>
        <v>27783.996044912117</v>
      </c>
      <c r="AN50" s="66">
        <f>Freight!E42*$AG$9*$AI$9*$AD$8/1000</f>
        <v>271220.2396335692</v>
      </c>
      <c r="AO50" s="66">
        <f t="shared" si="8"/>
        <v>340947.35206706478</v>
      </c>
      <c r="AQ50" s="66">
        <f>W50*Table5[Car_LPG]*0.01*$AD$9/$AL$8/1000</f>
        <v>128.28880025016369</v>
      </c>
      <c r="AR50" s="66">
        <f>X50*Table5[DPV_LPG]*0.01*$AD$9/$AL$8/1000</f>
        <v>13.172510739972163</v>
      </c>
      <c r="AS50" s="31">
        <f t="shared" si="37"/>
        <v>288.13216736457844</v>
      </c>
      <c r="AT50" s="66">
        <f t="shared" si="9"/>
        <v>429.59347835471431</v>
      </c>
      <c r="AU50" s="31">
        <f t="shared" si="10"/>
        <v>4295.9347835471435</v>
      </c>
      <c r="AX50" s="148">
        <f t="shared" si="11"/>
        <v>487961.55664748827</v>
      </c>
      <c r="BB50" s="117">
        <f t="shared" si="41"/>
        <v>2047</v>
      </c>
      <c r="BC50" s="85">
        <f t="shared" si="12"/>
        <v>455.09244701192665</v>
      </c>
      <c r="BD50" s="85">
        <f t="shared" si="13"/>
        <v>0.21671068905329838</v>
      </c>
      <c r="BE50" s="85">
        <f t="shared" si="14"/>
        <v>2.1014369847592574E-2</v>
      </c>
      <c r="BF50" s="85">
        <f t="shared" si="15"/>
        <v>1093.9398075277393</v>
      </c>
      <c r="BG50" s="85">
        <f t="shared" si="16"/>
        <v>5.7575779343565225E-2</v>
      </c>
      <c r="BH50" s="85">
        <f t="shared" si="17"/>
        <v>5.7575779343565225E-2</v>
      </c>
      <c r="BI50" s="85">
        <f t="shared" si="18"/>
        <v>1.415003590874325</v>
      </c>
      <c r="BJ50" s="85">
        <f t="shared" si="19"/>
        <v>1.3903363333471973E-3</v>
      </c>
      <c r="BK50" s="85">
        <f t="shared" si="20"/>
        <v>4.4849559140232174E-6</v>
      </c>
      <c r="BL50">
        <f t="shared" si="21"/>
        <v>2047</v>
      </c>
      <c r="BM50" s="39">
        <f t="shared" si="22"/>
        <v>1550.4472581305401</v>
      </c>
      <c r="BN50" s="39">
        <f t="shared" si="23"/>
        <v>0.27567680473021078</v>
      </c>
      <c r="BO50" s="39">
        <f t="shared" si="24"/>
        <v>7.8594634147071823E-2</v>
      </c>
      <c r="BP50" s="184">
        <f t="shared" si="25"/>
        <v>1580.7603792246227</v>
      </c>
      <c r="BR50" s="170">
        <f>Scenario1!BT50</f>
        <v>1557.0489735362535</v>
      </c>
      <c r="BS50" s="173">
        <f>Scenario2!BT50</f>
        <v>1501.7949151891951</v>
      </c>
      <c r="BT50" s="183">
        <f>Scenario3!BX50</f>
        <v>1426.0266979972164</v>
      </c>
      <c r="BU50" s="201">
        <f>'LRS4'!BP50</f>
        <v>1553.750338826083</v>
      </c>
      <c r="BW50">
        <f t="shared" si="26"/>
        <v>2047</v>
      </c>
      <c r="BX50" s="31">
        <f t="shared" si="27"/>
        <v>23.711405688369268</v>
      </c>
      <c r="BZ50" s="31">
        <f t="shared" si="28"/>
        <v>78.965464035427658</v>
      </c>
      <c r="CB50" s="31">
        <f t="shared" si="29"/>
        <v>154.73368122740635</v>
      </c>
      <c r="CD50" s="202">
        <f t="shared" si="30"/>
        <v>27.010040398539786</v>
      </c>
      <c r="CF50" s="202">
        <f t="shared" si="31"/>
        <v>284.42059134974306</v>
      </c>
      <c r="CH50" s="202">
        <f t="shared" si="32"/>
        <v>1296.3397878748797</v>
      </c>
    </row>
    <row r="51" spans="1:86" x14ac:dyDescent="0.25">
      <c r="A51" s="117">
        <f>A50+1</f>
        <v>2048</v>
      </c>
      <c r="B51" s="66">
        <f>INDEX((Proj_PasMob!$Q$6:$Q$46),MATCH(A51,Proj_PasMob!$M$6:M$46,0))</f>
        <v>10463377993.913282</v>
      </c>
      <c r="C51" s="119">
        <f>B51*Table1[Gasoline]%</f>
        <v>5747571424.5366306</v>
      </c>
      <c r="D51" s="123">
        <f>B51*Table1[[Diesel ]]%</f>
        <v>4710074360.3627949</v>
      </c>
      <c r="E51" s="121">
        <f>B51*Table1[LPG]%</f>
        <v>5732209.0138567872</v>
      </c>
      <c r="F51" s="66">
        <f t="shared" si="3"/>
        <v>0</v>
      </c>
      <c r="H51" s="31">
        <f>C51*Table2[Autocycle]%</f>
        <v>650123524.63969064</v>
      </c>
      <c r="I51" s="66">
        <f>C51*Table2[Motocycle]%</f>
        <v>423278900.01131409</v>
      </c>
      <c r="J51" s="66">
        <f>C51*Table2[cars]%</f>
        <v>4470881165.4490595</v>
      </c>
      <c r="K51" s="66">
        <f>C51*Table2[DPV]%</f>
        <v>144974096.32513747</v>
      </c>
      <c r="L51" s="66">
        <f>C51*Table2[Hybrid]%</f>
        <v>58313738.111429162</v>
      </c>
      <c r="M51" s="66">
        <f t="shared" si="4"/>
        <v>0</v>
      </c>
      <c r="P51" s="66">
        <f>D51*Table3[Cars]%</f>
        <v>398303873.58731449</v>
      </c>
      <c r="Q51" s="66">
        <f>D51*Table3[DPV]%</f>
        <v>574502787.78962123</v>
      </c>
      <c r="R51" s="66">
        <f>D51*Table3[Buses]%</f>
        <v>3737267698.9858589</v>
      </c>
      <c r="S51" s="66">
        <f t="shared" si="5"/>
        <v>0</v>
      </c>
      <c r="W51" s="66">
        <f>E51*Table4[Cars]%</f>
        <v>5417784.0468519842</v>
      </c>
      <c r="X51" s="66">
        <f>E51*Table4[DPV]%</f>
        <v>314424.96700480266</v>
      </c>
      <c r="Y51" s="66">
        <f t="shared" si="6"/>
        <v>0</v>
      </c>
      <c r="AB51" s="117">
        <f t="shared" si="39"/>
        <v>2048</v>
      </c>
      <c r="AD51" s="66">
        <f>H51*Table5[Autocycle]*0.01*$AD$7/1000</f>
        <v>11539.692562354507</v>
      </c>
      <c r="AE51" s="66">
        <f>I51*Table5[Motocycle]*0.01*$AD$7/1000</f>
        <v>9015.8405702409891</v>
      </c>
      <c r="AF51" s="66">
        <f>J51*Table5[Car]*0.01*$AD$7/$AL$8/1000</f>
        <v>108595.35041340742</v>
      </c>
      <c r="AG51" s="66">
        <f>K51*Table5[DPV]*0.01*$AD$7/$AL$8/1000</f>
        <v>6230.0710341828808</v>
      </c>
      <c r="AH51" s="66">
        <f>L51*Table5[Car_Hbrid]*0.01*$AD$7/$AL$8/1000</f>
        <v>871.63692756030957</v>
      </c>
      <c r="AI51" s="66">
        <f>Freight!E43*$AG$8*$AI$8*$AD$7/1000</f>
        <v>9198.6916231080813</v>
      </c>
      <c r="AJ51" s="66">
        <f t="shared" si="40"/>
        <v>145451.28313085419</v>
      </c>
      <c r="AK51" s="66">
        <f>P51*Table5[Car_Dsl]*0.01*$AD$8/$AL$8/1000</f>
        <v>12473.200251813269</v>
      </c>
      <c r="AL51" s="66">
        <f>Q51*Table5[DPV_Dsl]*0.01*$AD$8/$AL$8/1000</f>
        <v>29042.627772206906</v>
      </c>
      <c r="AM51" s="66">
        <f>R51*Table5[Bus]*0.01*$AD$8/$AL$9/1000</f>
        <v>27500.95131068023</v>
      </c>
      <c r="AN51" s="66">
        <f>Freight!E43*$AG$9*$AI$9*$AD$8/1000</f>
        <v>279390.79426979419</v>
      </c>
      <c r="AO51" s="66">
        <f t="shared" si="8"/>
        <v>348407.57360449457</v>
      </c>
      <c r="AQ51" s="66">
        <f>W51*Table5[Car_LPG]*0.01*$AD$9/$AL$8/1000</f>
        <v>126.98187991685242</v>
      </c>
      <c r="AR51" s="66">
        <f>X51*Table5[DPV_LPG]*0.01*$AD$9/$AL$8/1000</f>
        <v>13.038318027176812</v>
      </c>
      <c r="AS51" s="31">
        <f t="shared" si="37"/>
        <v>267.6747834816934</v>
      </c>
      <c r="AT51" s="66">
        <f t="shared" si="9"/>
        <v>407.69498142572263</v>
      </c>
      <c r="AU51" s="31">
        <f t="shared" si="10"/>
        <v>4076.9498142572265</v>
      </c>
      <c r="AX51" s="148">
        <f t="shared" si="11"/>
        <v>494266.55171677447</v>
      </c>
      <c r="BB51" s="117">
        <f t="shared" si="41"/>
        <v>2048</v>
      </c>
      <c r="BC51" s="85">
        <f t="shared" si="12"/>
        <v>451.57387165937513</v>
      </c>
      <c r="BD51" s="85">
        <f t="shared" si="13"/>
        <v>0.2150351769806548</v>
      </c>
      <c r="BE51" s="85">
        <f t="shared" si="14"/>
        <v>2.0851895949639255E-2</v>
      </c>
      <c r="BF51" s="85">
        <f t="shared" si="15"/>
        <v>1117.8761521372287</v>
      </c>
      <c r="BG51" s="85">
        <f t="shared" si="16"/>
        <v>5.8835586954590985E-2</v>
      </c>
      <c r="BH51" s="85">
        <f t="shared" si="17"/>
        <v>5.8835586954590985E-2</v>
      </c>
      <c r="BI51" s="85">
        <f t="shared" si="18"/>
        <v>1.3428738837196736</v>
      </c>
      <c r="BJ51" s="85">
        <f t="shared" si="19"/>
        <v>1.3194640378862087E-3</v>
      </c>
      <c r="BK51" s="85">
        <f t="shared" si="20"/>
        <v>4.2563356060845449E-6</v>
      </c>
      <c r="BL51">
        <f t="shared" si="21"/>
        <v>2048</v>
      </c>
      <c r="BM51" s="39">
        <f t="shared" si="22"/>
        <v>1570.7928976803234</v>
      </c>
      <c r="BN51" s="39">
        <f t="shared" si="23"/>
        <v>0.27519022797313197</v>
      </c>
      <c r="BO51" s="39">
        <f t="shared" si="24"/>
        <v>7.9691739239836315E-2</v>
      </c>
      <c r="BP51" s="184">
        <f t="shared" si="25"/>
        <v>1601.4207916731229</v>
      </c>
      <c r="BR51" s="170">
        <f>Scenario1!BT51</f>
        <v>1577.3994797980263</v>
      </c>
      <c r="BS51" s="173">
        <f>Scenario2!BT51</f>
        <v>1521.4186085331007</v>
      </c>
      <c r="BT51" s="183">
        <f>Scenario3!BX51</f>
        <v>1438.1544472855901</v>
      </c>
      <c r="BU51" s="201">
        <f>'LRS4'!BP51</f>
        <v>1574.4107512745836</v>
      </c>
      <c r="BW51">
        <f t="shared" si="26"/>
        <v>2048</v>
      </c>
      <c r="BX51" s="31">
        <f t="shared" si="27"/>
        <v>24.021311875096671</v>
      </c>
      <c r="BZ51" s="31">
        <f t="shared" si="28"/>
        <v>80.002183140022225</v>
      </c>
      <c r="CB51" s="31">
        <f t="shared" si="29"/>
        <v>163.26634438753285</v>
      </c>
      <c r="CD51" s="202">
        <f t="shared" si="30"/>
        <v>27.010040398539331</v>
      </c>
      <c r="CF51" s="202">
        <f t="shared" si="31"/>
        <v>294.29987980119108</v>
      </c>
      <c r="CH51" s="202">
        <f t="shared" si="32"/>
        <v>1307.1209118719319</v>
      </c>
    </row>
    <row r="52" spans="1:86" x14ac:dyDescent="0.25">
      <c r="A52" s="117">
        <f t="shared" si="38"/>
        <v>2049</v>
      </c>
      <c r="B52" s="66">
        <f>INDEX((Proj_PasMob!$Q$6:$Q$46),MATCH(A52,Proj_PasMob!$M$6:M$46,0))</f>
        <v>10355101402.684845</v>
      </c>
      <c r="C52" s="119">
        <f>B52*Table1[Gasoline]%</f>
        <v>5688094700.8578329</v>
      </c>
      <c r="D52" s="123">
        <f>B52*Table1[[Diesel ]]%</f>
        <v>4661333810.5643253</v>
      </c>
      <c r="E52" s="121">
        <f>B52*Table1[LPG]%</f>
        <v>5672891.2626878638</v>
      </c>
      <c r="F52" s="66">
        <f t="shared" si="3"/>
        <v>0</v>
      </c>
      <c r="H52" s="31">
        <f>C52*Table2[Autocycle]%</f>
        <v>643395949.74309886</v>
      </c>
      <c r="I52" s="66">
        <f>C52*Table2[Motocycle]%</f>
        <v>418898747.01877111</v>
      </c>
      <c r="J52" s="66">
        <f>C52*Table2[cars]%</f>
        <v>4424615822.395999</v>
      </c>
      <c r="K52" s="66">
        <f>C52*Table2[DPV]%</f>
        <v>143473882.82089055</v>
      </c>
      <c r="L52" s="66">
        <f>C52*Table2[Hybrid]%</f>
        <v>57710298.879073583</v>
      </c>
      <c r="M52" s="66">
        <f t="shared" si="4"/>
        <v>0</v>
      </c>
      <c r="P52" s="66">
        <f>D52*Table3[Cars]%</f>
        <v>394182165.88161904</v>
      </c>
      <c r="Q52" s="66">
        <f>D52*Table3[DPV]%</f>
        <v>568557747.52162373</v>
      </c>
      <c r="R52" s="66">
        <f>D52*Table3[Buses]%</f>
        <v>3698593897.1610823</v>
      </c>
      <c r="S52" s="66">
        <f t="shared" si="5"/>
        <v>0</v>
      </c>
      <c r="W52" s="66">
        <f>E52*Table4[Cars]%</f>
        <v>5361720.011991905</v>
      </c>
      <c r="X52" s="66">
        <f>E52*Table4[DPV]%</f>
        <v>311171.25069595873</v>
      </c>
      <c r="Y52" s="66">
        <f t="shared" si="6"/>
        <v>0</v>
      </c>
      <c r="AB52" s="117">
        <f t="shared" si="39"/>
        <v>2049</v>
      </c>
      <c r="AD52" s="66">
        <f>H52*Table5[Autocycle]*0.01*$AD$7/1000</f>
        <v>11420.278107940003</v>
      </c>
      <c r="AE52" s="66">
        <f>I52*Table5[Motocycle]*0.01*$AD$7/1000</f>
        <v>8922.543311499825</v>
      </c>
      <c r="AF52" s="66">
        <f>J52*Table5[Car]*0.01*$AD$7/$AL$8/1000</f>
        <v>107471.58958082912</v>
      </c>
      <c r="AG52" s="66">
        <f>K52*Table5[DPV]*0.01*$AD$7/$AL$8/1000</f>
        <v>6165.6013328030076</v>
      </c>
      <c r="AH52" s="66">
        <f>L52*Table5[Car_Hbrid]*0.01*$AD$7/$AL$8/1000</f>
        <v>862.61709903457358</v>
      </c>
      <c r="AI52" s="66">
        <f>Freight!E44*$AG$8*$AI$8*$AD$7/1000</f>
        <v>9475.76141695566</v>
      </c>
      <c r="AJ52" s="66">
        <f t="shared" si="40"/>
        <v>144318.39084906218</v>
      </c>
      <c r="AK52" s="66">
        <f>P52*Table5[Car_Dsl]*0.01*$AD$8/$AL$8/1000</f>
        <v>12344.12572102965</v>
      </c>
      <c r="AL52" s="66">
        <f>Q52*Table5[DPV_Dsl]*0.01*$AD$8/$AL$8/1000</f>
        <v>28742.090341816824</v>
      </c>
      <c r="AM52" s="66">
        <f>R52*Table5[Bus]*0.01*$AD$8/$AL$9/1000</f>
        <v>27216.367377538194</v>
      </c>
      <c r="AN52" s="66">
        <f>Freight!E44*$AG$9*$AI$9*$AD$8/1000</f>
        <v>287806.20299778954</v>
      </c>
      <c r="AO52" s="66">
        <f t="shared" si="8"/>
        <v>356108.7864381742</v>
      </c>
      <c r="AQ52" s="66">
        <f>W52*Table5[Car_LPG]*0.01*$AD$9/$AL$8/1000</f>
        <v>125.66785254317125</v>
      </c>
      <c r="AR52" s="66">
        <f>X52*Table5[DPV_LPG]*0.01*$AD$9/$AL$8/1000</f>
        <v>12.90339557362919</v>
      </c>
      <c r="AS52" s="31">
        <f t="shared" si="37"/>
        <v>248.66987385449318</v>
      </c>
      <c r="AT52" s="66">
        <f t="shared" si="9"/>
        <v>387.24112197129364</v>
      </c>
      <c r="AU52" s="31">
        <f t="shared" si="10"/>
        <v>3872.4112197129361</v>
      </c>
      <c r="AX52" s="148">
        <f t="shared" si="11"/>
        <v>500814.41840920766</v>
      </c>
      <c r="BB52" s="117">
        <f t="shared" si="41"/>
        <v>2049</v>
      </c>
      <c r="BC52" s="85">
        <f t="shared" si="12"/>
        <v>448.05664896563235</v>
      </c>
      <c r="BD52" s="85">
        <f t="shared" si="13"/>
        <v>0.21336030903125347</v>
      </c>
      <c r="BE52" s="85">
        <f t="shared" si="14"/>
        <v>2.0689484512121551E-2</v>
      </c>
      <c r="BF52" s="85">
        <f t="shared" si="15"/>
        <v>1142.5857245504749</v>
      </c>
      <c r="BG52" s="85">
        <f t="shared" si="16"/>
        <v>6.0136090765814464E-2</v>
      </c>
      <c r="BH52" s="85">
        <f t="shared" si="17"/>
        <v>6.0136090765814464E-2</v>
      </c>
      <c r="BI52" s="85">
        <f t="shared" si="18"/>
        <v>1.2755025523714862</v>
      </c>
      <c r="BJ52" s="85">
        <f t="shared" si="19"/>
        <v>1.2532671671478947E-3</v>
      </c>
      <c r="BK52" s="85">
        <f t="shared" si="20"/>
        <v>4.0427973133803063E-6</v>
      </c>
      <c r="BL52">
        <f t="shared" si="21"/>
        <v>2049</v>
      </c>
      <c r="BM52" s="39">
        <f t="shared" si="22"/>
        <v>1591.9178760684788</v>
      </c>
      <c r="BN52" s="39">
        <f t="shared" si="23"/>
        <v>0.27474966696421582</v>
      </c>
      <c r="BO52" s="39">
        <f t="shared" si="24"/>
        <v>8.0829618075249396E-2</v>
      </c>
      <c r="BP52" s="184">
        <f t="shared" si="25"/>
        <v>1622.8738439290084</v>
      </c>
      <c r="BR52" s="170">
        <f>Scenario1!BT52</f>
        <v>1598.5307362700737</v>
      </c>
      <c r="BS52" s="173">
        <f>Scenario2!BT52</f>
        <v>1541.7955536818156</v>
      </c>
      <c r="BT52" s="183">
        <f>Scenario3!BX52</f>
        <v>1451.2853716050588</v>
      </c>
      <c r="BU52" s="201">
        <f>'LRS4'!BP52</f>
        <v>1595.8638035304691</v>
      </c>
      <c r="BW52">
        <f t="shared" si="26"/>
        <v>2049</v>
      </c>
      <c r="BX52" s="31">
        <f t="shared" si="27"/>
        <v>24.343107658934741</v>
      </c>
      <c r="BZ52" s="31">
        <f t="shared" si="28"/>
        <v>81.078290247192854</v>
      </c>
      <c r="CB52" s="31">
        <f t="shared" si="29"/>
        <v>171.58847232394965</v>
      </c>
      <c r="CD52" s="202">
        <f t="shared" si="30"/>
        <v>27.010040398539331</v>
      </c>
      <c r="CF52" s="202">
        <f t="shared" si="31"/>
        <v>304.01991062861657</v>
      </c>
      <c r="CH52" s="202">
        <f t="shared" si="32"/>
        <v>1318.8539333003919</v>
      </c>
    </row>
    <row r="53" spans="1:86" x14ac:dyDescent="0.25">
      <c r="A53" s="117">
        <f t="shared" si="38"/>
        <v>2050</v>
      </c>
      <c r="B53" s="66">
        <f>INDEX((Proj_PasMob!$Q$6:$Q$46),MATCH(A53,Proj_PasMob!$M$6:M$46,0))</f>
        <v>10241580100.230583</v>
      </c>
      <c r="C53" s="119">
        <f>B53*Table1[Gasoline]%</f>
        <v>5625737038.3092899</v>
      </c>
      <c r="D53" s="123">
        <f>B53*Table1[[Diesel ]]%</f>
        <v>4610232361.6483202</v>
      </c>
      <c r="E53" s="121">
        <f>B53*Table1[LPG]%</f>
        <v>5610700.2729738709</v>
      </c>
      <c r="F53" s="66">
        <f t="shared" si="3"/>
        <v>0</v>
      </c>
      <c r="H53" s="31">
        <f>C53*Table2[Autocycle]%</f>
        <v>636342503.97097957</v>
      </c>
      <c r="I53" s="66">
        <f>C53*Table2[Motocycle]%</f>
        <v>414306427.78318167</v>
      </c>
      <c r="J53" s="66">
        <f>C53*Table2[cars]%</f>
        <v>4376109474.5114775</v>
      </c>
      <c r="K53" s="66">
        <f>C53*Table2[DPV]%</f>
        <v>141901001.84052905</v>
      </c>
      <c r="L53" s="66">
        <f>C53*Table2[Hybrid]%</f>
        <v>57077630.20312237</v>
      </c>
      <c r="M53" s="66">
        <f t="shared" si="4"/>
        <v>0</v>
      </c>
      <c r="P53" s="66">
        <f>D53*Table3[Cars]%</f>
        <v>389860810.52883404</v>
      </c>
      <c r="Q53" s="66">
        <f>D53*Table3[DPV]%</f>
        <v>562324740.86054146</v>
      </c>
      <c r="R53" s="66">
        <f>D53*Table3[Buses]%</f>
        <v>3658046810.2589445</v>
      </c>
      <c r="S53" s="66">
        <f t="shared" si="5"/>
        <v>0</v>
      </c>
      <c r="W53" s="66">
        <f>E53*Table4[Cars]%</f>
        <v>5302940.3423888059</v>
      </c>
      <c r="X53" s="66">
        <f>E53*Table4[DPV]%</f>
        <v>307759.93058506463</v>
      </c>
      <c r="Y53" s="66">
        <f t="shared" si="6"/>
        <v>0</v>
      </c>
      <c r="AB53" s="117">
        <f t="shared" si="39"/>
        <v>2050</v>
      </c>
      <c r="AD53" s="66">
        <f>H53*Table5[Autocycle]*0.01*$AD$7/1000</f>
        <v>11295.079445484887</v>
      </c>
      <c r="AE53" s="66">
        <f>I53*Table5[Motocycle]*0.01*$AD$7/1000</f>
        <v>8824.7269117817686</v>
      </c>
      <c r="AF53" s="66">
        <f>J53*Table5[Car]*0.01*$AD$7/$AL$8/1000</f>
        <v>106293.39592037089</v>
      </c>
      <c r="AG53" s="66">
        <f>K53*Table5[DPV]*0.01*$AD$7/$AL$8/1000</f>
        <v>6098.0088422522085</v>
      </c>
      <c r="AH53" s="66">
        <f>L53*Table5[Car_Hbrid]*0.01*$AD$7/$AL$8/1000</f>
        <v>853.16036724667129</v>
      </c>
      <c r="AI53" s="66">
        <f>Freight!E45*$AG$8*$AI$8*$AD$7/1000</f>
        <v>9761.1471782169028</v>
      </c>
      <c r="AJ53" s="66">
        <f t="shared" si="40"/>
        <v>143125.5186653533</v>
      </c>
      <c r="AK53" s="66">
        <f>P53*Table5[Car_Dsl]*0.01*$AD$8/$AL$8/1000</f>
        <v>12208.799066560858</v>
      </c>
      <c r="AL53" s="66">
        <f>Q53*Table5[DPV_Dsl]*0.01*$AD$8/$AL$8/1000</f>
        <v>28426.995452450006</v>
      </c>
      <c r="AM53" s="66">
        <f>R53*Table5[Bus]*0.01*$AD$8/$AL$9/1000</f>
        <v>26917.998742348322</v>
      </c>
      <c r="AN53" s="66">
        <f>Freight!E45*$AG$9*$AI$9*$AD$8/1000</f>
        <v>296474.19163997512</v>
      </c>
      <c r="AO53" s="66">
        <f t="shared" si="8"/>
        <v>364027.98490133428</v>
      </c>
      <c r="AQ53" s="66">
        <f>W53*Table5[Car_LPG]*0.01*$AD$9/$AL$8/1000</f>
        <v>124.29017619384722</v>
      </c>
      <c r="AR53" s="66">
        <f>X53*Table5[DPV_LPG]*0.01*$AD$9/$AL$8/1000</f>
        <v>12.761937734189667</v>
      </c>
      <c r="AS53" s="31">
        <f t="shared" si="37"/>
        <v>231.01431281082418</v>
      </c>
      <c r="AT53" s="66">
        <f t="shared" si="9"/>
        <v>368.06642673886108</v>
      </c>
      <c r="AU53" s="31">
        <f t="shared" si="10"/>
        <v>3680.6642673886108</v>
      </c>
      <c r="AX53" s="148">
        <f t="shared" si="11"/>
        <v>507521.56999342644</v>
      </c>
      <c r="BB53" s="117">
        <f t="shared" si="41"/>
        <v>2050</v>
      </c>
      <c r="BC53" s="85">
        <f t="shared" si="12"/>
        <v>444.35321026920246</v>
      </c>
      <c r="BD53" s="85">
        <f t="shared" si="13"/>
        <v>0.21159676679485828</v>
      </c>
      <c r="BE53" s="85">
        <f t="shared" si="14"/>
        <v>2.0518474355865044E-2</v>
      </c>
      <c r="BF53" s="85">
        <f t="shared" si="15"/>
        <v>1167.994710395478</v>
      </c>
      <c r="BG53" s="85">
        <f t="shared" si="16"/>
        <v>6.147340581028831E-2</v>
      </c>
      <c r="BH53" s="85">
        <f t="shared" si="17"/>
        <v>6.147340581028831E-2</v>
      </c>
      <c r="BI53" s="85">
        <f t="shared" si="18"/>
        <v>1.2123445577209953</v>
      </c>
      <c r="BJ53" s="85">
        <f t="shared" si="19"/>
        <v>1.1912101834976501E-3</v>
      </c>
      <c r="BK53" s="85">
        <f t="shared" si="20"/>
        <v>3.84261349515371E-6</v>
      </c>
      <c r="BL53">
        <f t="shared" si="21"/>
        <v>2050</v>
      </c>
      <c r="BM53" s="39">
        <f t="shared" si="22"/>
        <v>1613.5602652224015</v>
      </c>
      <c r="BN53" s="39">
        <f t="shared" si="23"/>
        <v>0.27426138278864426</v>
      </c>
      <c r="BO53" s="39">
        <f t="shared" si="24"/>
        <v>8.1995722779648506E-2</v>
      </c>
      <c r="BP53" s="184">
        <f t="shared" si="25"/>
        <v>1644.8515251804529</v>
      </c>
      <c r="BR53" s="170">
        <f>Scenario1!BT53</f>
        <v>1620.178752302746</v>
      </c>
      <c r="BS53" s="173">
        <f>Scenario2!BT53</f>
        <v>1562.6711124169865</v>
      </c>
      <c r="BT53" s="183">
        <f>Scenario3!BX53</f>
        <v>1465.2224303104415</v>
      </c>
      <c r="BU53" s="201">
        <f>'LRS4'!BP53</f>
        <v>1617.8414847819129</v>
      </c>
      <c r="BW53" s="141">
        <f t="shared" si="26"/>
        <v>2050</v>
      </c>
      <c r="BX53" s="60">
        <f t="shared" si="27"/>
        <v>24.672772877706848</v>
      </c>
      <c r="BY53" s="141"/>
      <c r="BZ53" s="60">
        <f t="shared" si="28"/>
        <v>82.180412763466393</v>
      </c>
      <c r="CA53" s="141"/>
      <c r="CB53" s="60">
        <f t="shared" si="29"/>
        <v>179.62909487001139</v>
      </c>
      <c r="CC53" s="141"/>
      <c r="CD53" s="203">
        <f t="shared" si="30"/>
        <v>27.010040398540013</v>
      </c>
      <c r="CE53" s="141"/>
      <c r="CF53" s="203">
        <f t="shared" si="31"/>
        <v>313.49232090972464</v>
      </c>
      <c r="CG53" s="141"/>
      <c r="CH53" s="203">
        <f t="shared" si="32"/>
        <v>1331.3592042707282</v>
      </c>
    </row>
  </sheetData>
  <mergeCells count="19">
    <mergeCell ref="AB3:AC3"/>
    <mergeCell ref="AB4:AC4"/>
    <mergeCell ref="AD11:AI11"/>
    <mergeCell ref="BF11:BH11"/>
    <mergeCell ref="BI11:BK11"/>
    <mergeCell ref="AQ11:AS11"/>
    <mergeCell ref="AQ8:AU9"/>
    <mergeCell ref="AX9:AX10"/>
    <mergeCell ref="BC11:BE11"/>
    <mergeCell ref="BM11:BP11"/>
    <mergeCell ref="AK11:AN11"/>
    <mergeCell ref="A7:E7"/>
    <mergeCell ref="H7:M7"/>
    <mergeCell ref="C11:F11"/>
    <mergeCell ref="I11:L11"/>
    <mergeCell ref="P11:R11"/>
    <mergeCell ref="O7:S7"/>
    <mergeCell ref="U7:Z7"/>
    <mergeCell ref="W11:Y11"/>
  </mergeCells>
  <pageMargins left="0.7" right="0.7" top="0.75" bottom="0.75" header="0.3" footer="0.3"/>
  <pageSetup orientation="portrait" horizontalDpi="0" verticalDpi="0" r:id="rId1"/>
  <drawing r:id="rId2"/>
  <tableParts count="8">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3"/>
  <sheetViews>
    <sheetView topLeftCell="AP5" zoomScale="80" zoomScaleNormal="80" workbookViewId="0">
      <selection activeCell="AZ33" sqref="AZ33"/>
    </sheetView>
  </sheetViews>
  <sheetFormatPr defaultRowHeight="15" outlineLevelCol="1" x14ac:dyDescent="0.25"/>
  <cols>
    <col min="2" max="2" width="17.42578125" customWidth="1"/>
    <col min="3" max="3" width="14.7109375" customWidth="1"/>
    <col min="4" max="4" width="15.140625" customWidth="1"/>
    <col min="5" max="5" width="14.7109375" customWidth="1"/>
    <col min="6" max="6" width="9.140625" customWidth="1"/>
    <col min="7" max="7" width="9.5703125" customWidth="1"/>
    <col min="8" max="8" width="11.85546875" customWidth="1"/>
    <col min="9" max="9" width="12.42578125" customWidth="1"/>
    <col min="10" max="10" width="14.7109375" customWidth="1"/>
    <col min="11" max="11" width="11.85546875" customWidth="1"/>
    <col min="12" max="12" width="10.5703125" customWidth="1"/>
    <col min="13" max="13" width="10.140625" customWidth="1"/>
    <col min="14" max="14" width="3" customWidth="1"/>
    <col min="15" max="15" width="9.140625" customWidth="1"/>
    <col min="16" max="16" width="13.85546875" customWidth="1"/>
    <col min="17" max="17" width="11.85546875" customWidth="1"/>
    <col min="18" max="18" width="16" customWidth="1"/>
    <col min="19" max="19" width="13.5703125" customWidth="1"/>
    <col min="20" max="20" width="3" customWidth="1"/>
    <col min="21" max="22" width="9.140625" customWidth="1" outlineLevel="1"/>
    <col min="23" max="23" width="10.85546875" customWidth="1" outlineLevel="1"/>
    <col min="24" max="24" width="10.5703125" customWidth="1" outlineLevel="1"/>
    <col min="25" max="26" width="9.140625" customWidth="1" outlineLevel="1"/>
    <col min="27" max="27" width="2.85546875" style="130" customWidth="1" outlineLevel="1"/>
    <col min="30" max="30" width="15.28515625" customWidth="1"/>
    <col min="31" max="31" width="12.42578125" customWidth="1"/>
    <col min="34" max="34" width="10" customWidth="1"/>
    <col min="35" max="35" width="14.5703125" customWidth="1"/>
    <col min="36" max="36" width="14.28515625" customWidth="1"/>
    <col min="37" max="37" width="11.85546875" customWidth="1"/>
    <col min="38" max="38" width="11" customWidth="1"/>
    <col min="39" max="39" width="12.5703125" customWidth="1"/>
    <col min="40" max="40" width="10.7109375" customWidth="1"/>
    <col min="41" max="41" width="10.42578125" customWidth="1"/>
    <col min="49" max="49" width="16.140625" customWidth="1"/>
    <col min="50" max="50" width="3" style="130" customWidth="1"/>
    <col min="51" max="52" width="11" customWidth="1"/>
    <col min="53" max="53" width="10.7109375" customWidth="1"/>
    <col min="54" max="54" width="10.85546875" customWidth="1"/>
    <col min="56" max="56" width="2.7109375" style="130" customWidth="1"/>
    <col min="59" max="60" width="10" customWidth="1"/>
    <col min="61" max="61" width="10.5703125" customWidth="1"/>
    <col min="62" max="62" width="10.42578125" customWidth="1"/>
    <col min="63" max="63" width="13.42578125" customWidth="1"/>
    <col min="64" max="64" width="14.140625" customWidth="1"/>
    <col min="65" max="65" width="15.140625" customWidth="1"/>
  </cols>
  <sheetData>
    <row r="1" spans="1:72" x14ac:dyDescent="0.25">
      <c r="A1" s="115" t="s">
        <v>147</v>
      </c>
      <c r="B1" s="115"/>
      <c r="C1" s="115"/>
      <c r="D1" s="115"/>
      <c r="E1" s="115"/>
      <c r="F1" s="115"/>
      <c r="G1" s="115"/>
      <c r="H1" s="115"/>
      <c r="I1" s="115"/>
      <c r="J1" s="115"/>
      <c r="K1" s="115"/>
      <c r="L1" s="115"/>
      <c r="M1" s="115"/>
      <c r="N1" s="115"/>
      <c r="O1" s="115"/>
      <c r="P1" s="115"/>
      <c r="Q1" s="29"/>
      <c r="R1" s="29"/>
      <c r="S1" s="29"/>
      <c r="AB1" s="136" t="s">
        <v>159</v>
      </c>
      <c r="AC1" s="136"/>
      <c r="AD1" s="136"/>
      <c r="AE1" s="136"/>
      <c r="AF1" s="136"/>
      <c r="AG1" s="136"/>
      <c r="AH1" s="136"/>
      <c r="AI1" s="136"/>
      <c r="AJ1" s="136"/>
      <c r="AK1" s="136"/>
      <c r="AL1" s="136"/>
      <c r="AM1" s="136"/>
      <c r="AN1" s="136"/>
      <c r="AY1" s="136" t="s">
        <v>212</v>
      </c>
      <c r="BE1" s="136" t="s">
        <v>187</v>
      </c>
      <c r="BF1" s="136"/>
      <c r="BG1" s="136"/>
      <c r="BH1" s="136"/>
      <c r="BI1" s="136"/>
      <c r="BJ1" s="136"/>
      <c r="BK1" s="136"/>
      <c r="BL1" s="136"/>
      <c r="BM1" s="136"/>
      <c r="BN1" s="136"/>
      <c r="BO1" s="136"/>
      <c r="BP1" s="136"/>
    </row>
    <row r="2" spans="1:72" x14ac:dyDescent="0.25">
      <c r="A2" s="115" t="s">
        <v>148</v>
      </c>
      <c r="B2" s="115"/>
      <c r="C2" s="115"/>
      <c r="D2" s="115"/>
      <c r="E2" s="115"/>
      <c r="F2" s="115"/>
      <c r="G2" s="115"/>
      <c r="H2" s="115"/>
      <c r="I2" s="115"/>
      <c r="J2" s="115"/>
      <c r="K2" s="115"/>
      <c r="L2" s="115"/>
      <c r="M2" s="115"/>
      <c r="N2" s="115"/>
      <c r="O2" s="115"/>
      <c r="P2" s="115"/>
      <c r="Q2" s="29"/>
      <c r="R2" s="29"/>
      <c r="S2" s="29"/>
    </row>
    <row r="3" spans="1:72" x14ac:dyDescent="0.25">
      <c r="A3" s="115" t="s">
        <v>149</v>
      </c>
      <c r="B3" s="115"/>
      <c r="C3" s="115"/>
      <c r="D3" s="115"/>
      <c r="E3" s="115"/>
      <c r="F3" s="115"/>
      <c r="G3" s="115"/>
      <c r="H3" s="115"/>
      <c r="I3" s="115"/>
      <c r="J3" s="115"/>
      <c r="K3" s="115"/>
      <c r="L3" s="115"/>
      <c r="M3" s="115"/>
      <c r="N3" s="115"/>
      <c r="O3" s="115"/>
      <c r="P3" s="115"/>
      <c r="Q3" s="29"/>
      <c r="R3" s="29"/>
      <c r="S3" s="29"/>
      <c r="AB3" s="219" t="s">
        <v>160</v>
      </c>
      <c r="AC3" s="219"/>
      <c r="AD3" s="117" t="s">
        <v>5</v>
      </c>
      <c r="AE3" s="117" t="s">
        <v>62</v>
      </c>
      <c r="AF3" s="117" t="s">
        <v>63</v>
      </c>
      <c r="AG3" s="117" t="s">
        <v>64</v>
      </c>
      <c r="AH3" s="117" t="s">
        <v>165</v>
      </c>
      <c r="AI3" s="117" t="s">
        <v>166</v>
      </c>
      <c r="AJ3" s="117" t="s">
        <v>119</v>
      </c>
      <c r="AK3" s="117" t="s">
        <v>167</v>
      </c>
      <c r="AL3" s="117" t="s">
        <v>168</v>
      </c>
      <c r="AM3" s="117" t="s">
        <v>169</v>
      </c>
      <c r="AY3" s="28" t="s">
        <v>213</v>
      </c>
      <c r="AZ3" s="28"/>
      <c r="BA3" s="28"/>
      <c r="BB3" s="28"/>
      <c r="BC3" s="28"/>
      <c r="BE3" s="149" t="s">
        <v>188</v>
      </c>
      <c r="BF3" s="149"/>
      <c r="BG3" s="149"/>
      <c r="BO3" s="149" t="s">
        <v>206</v>
      </c>
      <c r="BP3" s="149"/>
      <c r="BQ3" s="149"/>
      <c r="BR3" s="149"/>
    </row>
    <row r="4" spans="1:72" x14ac:dyDescent="0.25">
      <c r="A4" s="29"/>
      <c r="B4" s="29"/>
      <c r="C4" s="29"/>
      <c r="D4" s="29"/>
      <c r="E4" s="29"/>
      <c r="F4" s="29"/>
      <c r="G4" s="29"/>
      <c r="H4" s="29"/>
      <c r="I4" s="29"/>
      <c r="J4" s="29"/>
      <c r="K4" s="29"/>
      <c r="L4" s="29"/>
      <c r="M4" s="29"/>
      <c r="N4" s="29"/>
      <c r="O4" s="29"/>
      <c r="P4" s="29"/>
      <c r="Q4" s="29"/>
      <c r="R4" s="29"/>
      <c r="S4" s="29"/>
      <c r="AB4" s="219" t="s">
        <v>164</v>
      </c>
      <c r="AC4" s="219"/>
      <c r="AD4" s="108">
        <f>EnergyCal!C$26</f>
        <v>2.5</v>
      </c>
      <c r="AE4" s="108">
        <f>EnergyCal!C27</f>
        <v>3</v>
      </c>
      <c r="AF4" s="108">
        <f>EnergyCal!C28</f>
        <v>6.5</v>
      </c>
      <c r="AG4" s="108">
        <f>EnergyCal!C29</f>
        <v>11.5</v>
      </c>
      <c r="AH4" s="108">
        <f>EnergyCal!C30</f>
        <v>7</v>
      </c>
      <c r="AI4" s="108">
        <f>EnergyCal!C31</f>
        <v>11.3</v>
      </c>
      <c r="AJ4" s="108">
        <f>EnergyCal!C32</f>
        <v>30.3</v>
      </c>
      <c r="AK4" s="108">
        <f>EnergyCal!C35</f>
        <v>4</v>
      </c>
      <c r="AL4" s="108">
        <f>EnergyCal!C36</f>
        <v>7.9950000000000001</v>
      </c>
      <c r="AM4" s="108">
        <f>EnergyCal!C37</f>
        <v>14.145</v>
      </c>
      <c r="AY4" s="28" t="s">
        <v>214</v>
      </c>
      <c r="AZ4" s="28"/>
      <c r="BA4" s="28"/>
      <c r="BB4" s="28"/>
      <c r="BC4" s="28"/>
      <c r="BF4" s="117"/>
      <c r="BG4" s="117"/>
      <c r="BH4" s="117"/>
      <c r="BI4" s="117"/>
      <c r="BJ4" s="152" t="s">
        <v>189</v>
      </c>
      <c r="BK4" s="150" t="s">
        <v>194</v>
      </c>
      <c r="BL4" s="150" t="s">
        <v>195</v>
      </c>
      <c r="BM4" s="150" t="s">
        <v>196</v>
      </c>
      <c r="BN4" s="117"/>
    </row>
    <row r="5" spans="1:72" x14ac:dyDescent="0.25">
      <c r="A5" s="64" t="s">
        <v>150</v>
      </c>
      <c r="B5" s="64"/>
      <c r="C5" s="64"/>
      <c r="D5" s="64"/>
      <c r="E5" s="64"/>
      <c r="F5" s="64"/>
      <c r="G5" s="64"/>
      <c r="H5" s="64"/>
      <c r="I5" s="64"/>
      <c r="J5" s="64"/>
      <c r="K5" s="64"/>
      <c r="L5" s="64"/>
      <c r="M5" s="64"/>
      <c r="N5" s="29"/>
      <c r="O5" s="29"/>
      <c r="P5" s="29"/>
      <c r="Q5" s="29"/>
      <c r="R5" s="29"/>
      <c r="S5" s="29"/>
      <c r="AY5" s="28" t="s">
        <v>215</v>
      </c>
      <c r="AZ5" s="28"/>
      <c r="BA5" s="28"/>
      <c r="BB5" s="28"/>
      <c r="BC5" s="28"/>
      <c r="BF5" s="118" t="s">
        <v>116</v>
      </c>
      <c r="BG5" s="151" t="s">
        <v>190</v>
      </c>
      <c r="BH5" s="151" t="s">
        <v>191</v>
      </c>
      <c r="BI5" s="151" t="s">
        <v>192</v>
      </c>
      <c r="BJ5" s="152" t="s">
        <v>193</v>
      </c>
      <c r="BK5" s="150" t="s">
        <v>197</v>
      </c>
      <c r="BL5" s="150" t="s">
        <v>198</v>
      </c>
      <c r="BM5" s="150" t="s">
        <v>199</v>
      </c>
      <c r="BO5" s="150" t="s">
        <v>208</v>
      </c>
      <c r="BP5" s="150" t="s">
        <v>207</v>
      </c>
    </row>
    <row r="6" spans="1:72" x14ac:dyDescent="0.25">
      <c r="AC6" s="117" t="s">
        <v>170</v>
      </c>
      <c r="AD6" s="117" t="s">
        <v>171</v>
      </c>
      <c r="AF6" s="59" t="s">
        <v>172</v>
      </c>
      <c r="AG6" s="59"/>
      <c r="AH6" s="59"/>
      <c r="AK6" s="141" t="s">
        <v>179</v>
      </c>
      <c r="AL6" s="141"/>
      <c r="AM6" s="141"/>
      <c r="AY6" s="28" t="s">
        <v>216</v>
      </c>
      <c r="AZ6" s="28"/>
      <c r="BA6" s="28"/>
      <c r="BB6" s="28"/>
      <c r="BC6" s="28"/>
      <c r="BF6" s="118" t="s">
        <v>152</v>
      </c>
      <c r="BG6" s="151">
        <v>69300</v>
      </c>
      <c r="BH6" s="151">
        <v>33</v>
      </c>
      <c r="BI6" s="151">
        <v>3.2</v>
      </c>
      <c r="BJ6" s="152">
        <v>44.8</v>
      </c>
      <c r="BK6" s="150">
        <f>BG6*BJ6*0.000001</f>
        <v>3.1046399999999998</v>
      </c>
      <c r="BL6" s="150">
        <f>BH6*BJ6*0.000001</f>
        <v>1.4783999999999997E-3</v>
      </c>
      <c r="BM6" s="150">
        <f>BI6*BJ6*0.000001</f>
        <v>1.4335999999999998E-4</v>
      </c>
      <c r="BO6" s="117" t="s">
        <v>200</v>
      </c>
      <c r="BP6" s="117">
        <v>1</v>
      </c>
    </row>
    <row r="7" spans="1:72" x14ac:dyDescent="0.25">
      <c r="A7" s="227" t="s">
        <v>154</v>
      </c>
      <c r="B7" s="227"/>
      <c r="C7" s="227"/>
      <c r="D7" s="227"/>
      <c r="E7" s="227"/>
      <c r="H7" s="227" t="s">
        <v>151</v>
      </c>
      <c r="I7" s="227"/>
      <c r="J7" s="227"/>
      <c r="K7" s="227"/>
      <c r="L7" s="227"/>
      <c r="M7" s="227"/>
      <c r="O7" s="226" t="s">
        <v>157</v>
      </c>
      <c r="P7" s="226"/>
      <c r="Q7" s="226"/>
      <c r="R7" s="226"/>
      <c r="S7" s="226"/>
      <c r="U7" s="230" t="s">
        <v>158</v>
      </c>
      <c r="V7" s="230"/>
      <c r="W7" s="230"/>
      <c r="X7" s="230"/>
      <c r="Y7" s="230"/>
      <c r="Z7" s="230"/>
      <c r="AC7" s="117" t="s">
        <v>122</v>
      </c>
      <c r="AD7" s="117">
        <f>EnergyCal!G25</f>
        <v>0.71</v>
      </c>
      <c r="AF7" t="s">
        <v>173</v>
      </c>
      <c r="AI7" t="s">
        <v>174</v>
      </c>
      <c r="AK7" t="s">
        <v>180</v>
      </c>
      <c r="AL7" t="s">
        <v>181</v>
      </c>
      <c r="AY7" s="28" t="s">
        <v>217</v>
      </c>
      <c r="AZ7" s="28"/>
      <c r="BA7" s="28"/>
      <c r="BB7" s="28"/>
      <c r="BC7" s="28"/>
      <c r="BF7" s="118" t="s">
        <v>1</v>
      </c>
      <c r="BG7" s="151">
        <v>74100</v>
      </c>
      <c r="BH7" s="151">
        <v>3.9</v>
      </c>
      <c r="BI7" s="151">
        <v>3.9</v>
      </c>
      <c r="BJ7" s="152">
        <v>43.3</v>
      </c>
      <c r="BK7" s="150">
        <f t="shared" ref="BK7:BK8" si="0">BG7*BJ7*0.000001</f>
        <v>3.2085299999999997</v>
      </c>
      <c r="BL7" s="150">
        <f t="shared" ref="BL7:BL8" si="1">BH7*BJ7*0.000001</f>
        <v>1.6886999999999997E-4</v>
      </c>
      <c r="BM7" s="150">
        <f t="shared" ref="BM7:BM8" si="2">BI7*BJ7*0.000001</f>
        <v>1.6886999999999997E-4</v>
      </c>
      <c r="BO7" s="117" t="s">
        <v>201</v>
      </c>
      <c r="BP7" s="117">
        <v>25</v>
      </c>
    </row>
    <row r="8" spans="1:72" x14ac:dyDescent="0.25">
      <c r="A8" t="s">
        <v>34</v>
      </c>
      <c r="B8" t="s">
        <v>152</v>
      </c>
      <c r="C8" t="s">
        <v>153</v>
      </c>
      <c r="D8" t="s">
        <v>2</v>
      </c>
      <c r="E8" t="s">
        <v>12</v>
      </c>
      <c r="G8" t="s">
        <v>34</v>
      </c>
      <c r="H8" s="83" t="s">
        <v>5</v>
      </c>
      <c r="I8" s="83" t="s">
        <v>62</v>
      </c>
      <c r="J8" s="83" t="s">
        <v>101</v>
      </c>
      <c r="K8" s="83" t="s">
        <v>64</v>
      </c>
      <c r="L8" s="83" t="s">
        <v>3</v>
      </c>
      <c r="M8" s="83" t="s">
        <v>104</v>
      </c>
      <c r="O8" s="117" t="s">
        <v>34</v>
      </c>
      <c r="P8" s="83" t="s">
        <v>65</v>
      </c>
      <c r="Q8" s="83" t="s">
        <v>64</v>
      </c>
      <c r="R8" s="83" t="s">
        <v>88</v>
      </c>
      <c r="S8" s="83" t="s">
        <v>104</v>
      </c>
      <c r="T8" s="83"/>
      <c r="V8" s="83" t="s">
        <v>34</v>
      </c>
      <c r="W8" s="83" t="s">
        <v>65</v>
      </c>
      <c r="X8" s="83" t="s">
        <v>64</v>
      </c>
      <c r="Y8" s="83" t="s">
        <v>104</v>
      </c>
      <c r="AC8" s="117" t="s">
        <v>123</v>
      </c>
      <c r="AD8" s="117">
        <f>EnergyCal!G26</f>
        <v>0.85</v>
      </c>
      <c r="AF8" t="s">
        <v>0</v>
      </c>
      <c r="AG8" s="140">
        <v>0.03</v>
      </c>
      <c r="AI8" s="117">
        <f>EnergyCal!P68</f>
        <v>4.6899999999999997E-2</v>
      </c>
      <c r="AK8" s="117" t="s">
        <v>129</v>
      </c>
      <c r="AL8" s="117">
        <f>EnergyCal!G30</f>
        <v>1.9</v>
      </c>
      <c r="AQ8" s="231" t="s">
        <v>183</v>
      </c>
      <c r="AR8" s="231"/>
      <c r="AS8" s="231"/>
      <c r="AT8" s="231"/>
      <c r="AU8" s="231"/>
      <c r="AY8" s="83" t="s">
        <v>218</v>
      </c>
      <c r="AZ8" s="166">
        <v>0.01</v>
      </c>
      <c r="BA8" s="83" t="s">
        <v>219</v>
      </c>
      <c r="BB8" s="167">
        <v>1.4999999999999999E-2</v>
      </c>
      <c r="BF8" s="118" t="s">
        <v>2</v>
      </c>
      <c r="BG8" s="151">
        <v>63100</v>
      </c>
      <c r="BH8" s="151">
        <v>62</v>
      </c>
      <c r="BI8" s="151">
        <v>0.2</v>
      </c>
      <c r="BJ8" s="152">
        <v>52.2</v>
      </c>
      <c r="BK8" s="150">
        <f t="shared" si="0"/>
        <v>3.2938199999999997</v>
      </c>
      <c r="BL8" s="150">
        <f t="shared" si="1"/>
        <v>3.2364E-3</v>
      </c>
      <c r="BM8" s="150">
        <f t="shared" si="2"/>
        <v>1.044E-5</v>
      </c>
      <c r="BO8" s="117" t="s">
        <v>202</v>
      </c>
      <c r="BP8" s="117">
        <v>298</v>
      </c>
    </row>
    <row r="9" spans="1:72" ht="15" customHeight="1" x14ac:dyDescent="0.25">
      <c r="A9">
        <v>2015</v>
      </c>
      <c r="B9" s="85">
        <f>EnergyCal!W8</f>
        <v>54.930362143851504</v>
      </c>
      <c r="C9" s="85">
        <f>EnergyCal!X8</f>
        <v>45.014854314760704</v>
      </c>
      <c r="D9" s="85">
        <f>EnergyCal!Y8</f>
        <v>5.4783541387793754E-2</v>
      </c>
      <c r="E9" s="85">
        <f>B9+C9+D9</f>
        <v>100</v>
      </c>
      <c r="G9" s="117">
        <v>2015</v>
      </c>
      <c r="H9" s="85">
        <f>EnergyCal!C$19</f>
        <v>11.311273520921988</v>
      </c>
      <c r="I9" s="85">
        <f>EnergyCal!D$19</f>
        <v>7.3644826439967002</v>
      </c>
      <c r="J9" s="85">
        <f>EnergyCal!E$19</f>
        <v>77.787309373184556</v>
      </c>
      <c r="K9" s="85">
        <f>EnergyCal!F$19</f>
        <v>2.5223539755632576</v>
      </c>
      <c r="L9" s="85">
        <f>EnergyCal!G$19</f>
        <v>1.0145804863335024</v>
      </c>
      <c r="M9" s="85">
        <f>SUM(H9:L9)</f>
        <v>100.00000000000001</v>
      </c>
      <c r="O9" s="117">
        <v>2015</v>
      </c>
      <c r="P9" s="85">
        <f>EnergyCal!J19</f>
        <v>8.4564243176117291</v>
      </c>
      <c r="Q9" s="85">
        <f>EnergyCal!K19</f>
        <v>12.197318849661857</v>
      </c>
      <c r="R9" s="85">
        <f>EnergyCal!L19</f>
        <v>79.346256832726411</v>
      </c>
      <c r="S9" s="85">
        <f>P9+Q9+R9</f>
        <v>100</v>
      </c>
      <c r="T9" s="85"/>
      <c r="V9" s="117">
        <v>2015</v>
      </c>
      <c r="W9" s="85">
        <f>EnergyCal!O19</f>
        <v>94.514767932489448</v>
      </c>
      <c r="X9" s="85">
        <f>EnergyCal!P19</f>
        <v>5.4852320675105481</v>
      </c>
      <c r="Y9" s="85">
        <f>W9+X9</f>
        <v>100</v>
      </c>
      <c r="AC9" s="117" t="s">
        <v>2</v>
      </c>
      <c r="AD9" s="117">
        <f>EnergyCal!G27</f>
        <v>0.55700000000000005</v>
      </c>
      <c r="AF9" t="s">
        <v>1</v>
      </c>
      <c r="AG9" s="140">
        <v>0.97</v>
      </c>
      <c r="AI9" s="117">
        <f>EnergyCal!N68</f>
        <v>3.6799999999999999E-2</v>
      </c>
      <c r="AK9" s="117" t="s">
        <v>119</v>
      </c>
      <c r="AL9" s="117">
        <f>EnergyCal!G31</f>
        <v>35</v>
      </c>
      <c r="AQ9" s="231"/>
      <c r="AR9" s="231"/>
      <c r="AS9" s="231"/>
      <c r="AT9" s="231"/>
      <c r="AU9" s="231"/>
      <c r="AW9" s="232" t="s">
        <v>185</v>
      </c>
      <c r="AX9" s="164"/>
      <c r="AY9" s="161"/>
      <c r="AZ9" s="161"/>
      <c r="BA9" s="161"/>
      <c r="BB9" s="161"/>
      <c r="BG9" s="151"/>
      <c r="BH9" s="151"/>
      <c r="BI9" s="151"/>
      <c r="BJ9" s="152"/>
      <c r="BK9" s="150"/>
      <c r="BL9" s="150"/>
      <c r="BM9" s="150"/>
    </row>
    <row r="10" spans="1:72" x14ac:dyDescent="0.25">
      <c r="U10" s="39"/>
      <c r="V10" s="39"/>
      <c r="W10" s="39"/>
      <c r="AW10" s="232"/>
      <c r="AX10" s="164"/>
      <c r="AY10" s="161"/>
      <c r="AZ10" s="161"/>
      <c r="BA10" s="161"/>
      <c r="BB10" s="161"/>
    </row>
    <row r="11" spans="1:72" x14ac:dyDescent="0.25">
      <c r="C11" s="228" t="s">
        <v>155</v>
      </c>
      <c r="D11" s="228"/>
      <c r="E11" s="228"/>
      <c r="F11" s="228"/>
      <c r="H11" s="126" t="s">
        <v>109</v>
      </c>
      <c r="I11" s="229" t="s">
        <v>155</v>
      </c>
      <c r="J11" s="229"/>
      <c r="K11" s="229"/>
      <c r="L11" s="229"/>
      <c r="M11" s="127"/>
      <c r="O11" s="128" t="s">
        <v>110</v>
      </c>
      <c r="P11" s="226" t="s">
        <v>155</v>
      </c>
      <c r="Q11" s="226"/>
      <c r="R11" s="226"/>
      <c r="S11" s="128"/>
      <c r="V11" s="124" t="s">
        <v>2</v>
      </c>
      <c r="W11" s="230" t="s">
        <v>155</v>
      </c>
      <c r="X11" s="230"/>
      <c r="Y11" s="230"/>
      <c r="AD11" s="229" t="s">
        <v>176</v>
      </c>
      <c r="AE11" s="229"/>
      <c r="AF11" s="229"/>
      <c r="AG11" s="229"/>
      <c r="AH11" s="229"/>
      <c r="AI11" s="229"/>
      <c r="AK11" s="226" t="s">
        <v>177</v>
      </c>
      <c r="AL11" s="226"/>
      <c r="AM11" s="226"/>
      <c r="AN11" s="226"/>
      <c r="AQ11" s="230" t="s">
        <v>178</v>
      </c>
      <c r="AR11" s="230"/>
      <c r="AS11" s="230"/>
      <c r="AT11" s="147">
        <v>7.0999999999999994E-2</v>
      </c>
      <c r="AW11" s="137" t="s">
        <v>186</v>
      </c>
      <c r="AX11" s="157"/>
      <c r="AY11" s="233" t="s">
        <v>220</v>
      </c>
      <c r="AZ11" s="233"/>
      <c r="BA11" s="233"/>
      <c r="BB11" s="233"/>
      <c r="BG11" s="229" t="s">
        <v>205</v>
      </c>
      <c r="BH11" s="229"/>
      <c r="BI11" s="229"/>
      <c r="BJ11" s="226" t="s">
        <v>203</v>
      </c>
      <c r="BK11" s="226"/>
      <c r="BL11" s="226"/>
      <c r="BM11" s="230" t="s">
        <v>204</v>
      </c>
      <c r="BN11" s="230"/>
      <c r="BO11" s="230"/>
      <c r="BQ11" s="225" t="s">
        <v>211</v>
      </c>
      <c r="BR11" s="225"/>
      <c r="BS11" s="225"/>
      <c r="BT11" s="225"/>
    </row>
    <row r="12" spans="1:72" x14ac:dyDescent="0.25">
      <c r="A12" s="83" t="s">
        <v>34</v>
      </c>
      <c r="B12" s="7" t="s">
        <v>56</v>
      </c>
      <c r="C12" s="118" t="s">
        <v>152</v>
      </c>
      <c r="D12" s="128" t="s">
        <v>1</v>
      </c>
      <c r="E12" s="124" t="s">
        <v>2</v>
      </c>
      <c r="F12" s="83" t="s">
        <v>156</v>
      </c>
      <c r="H12" s="126" t="s">
        <v>5</v>
      </c>
      <c r="I12" s="126" t="s">
        <v>62</v>
      </c>
      <c r="J12" s="126" t="s">
        <v>65</v>
      </c>
      <c r="K12" s="126" t="s">
        <v>64</v>
      </c>
      <c r="L12" s="126" t="s">
        <v>3</v>
      </c>
      <c r="M12" s="126" t="s">
        <v>156</v>
      </c>
      <c r="O12" s="128"/>
      <c r="P12" s="128" t="s">
        <v>65</v>
      </c>
      <c r="Q12" s="128" t="s">
        <v>64</v>
      </c>
      <c r="R12" s="128" t="s">
        <v>88</v>
      </c>
      <c r="S12" s="128" t="s">
        <v>156</v>
      </c>
      <c r="V12" s="129"/>
      <c r="W12" s="124" t="s">
        <v>65</v>
      </c>
      <c r="X12" s="124" t="s">
        <v>64</v>
      </c>
      <c r="Y12" s="124" t="s">
        <v>156</v>
      </c>
      <c r="AB12" s="83" t="s">
        <v>34</v>
      </c>
      <c r="AD12" s="126" t="s">
        <v>5</v>
      </c>
      <c r="AE12" s="126" t="s">
        <v>62</v>
      </c>
      <c r="AF12" s="126" t="s">
        <v>101</v>
      </c>
      <c r="AG12" s="126" t="s">
        <v>64</v>
      </c>
      <c r="AH12" s="126" t="s">
        <v>3</v>
      </c>
      <c r="AI12" s="126" t="s">
        <v>10</v>
      </c>
      <c r="AJ12" s="138" t="s">
        <v>104</v>
      </c>
      <c r="AK12" s="128" t="s">
        <v>65</v>
      </c>
      <c r="AL12" s="128" t="s">
        <v>64</v>
      </c>
      <c r="AM12" s="128" t="s">
        <v>88</v>
      </c>
      <c r="AN12" s="128" t="s">
        <v>98</v>
      </c>
      <c r="AO12" s="139" t="s">
        <v>104</v>
      </c>
      <c r="AQ12" s="124" t="s">
        <v>101</v>
      </c>
      <c r="AR12" s="124" t="s">
        <v>64</v>
      </c>
      <c r="AS12" s="124" t="s">
        <v>175</v>
      </c>
      <c r="AT12" s="157" t="s">
        <v>104</v>
      </c>
      <c r="AU12" s="124" t="s">
        <v>184</v>
      </c>
      <c r="AW12" s="137"/>
      <c r="AX12" s="157"/>
      <c r="AY12" s="162" t="s">
        <v>152</v>
      </c>
      <c r="AZ12" s="162" t="s">
        <v>1</v>
      </c>
      <c r="BA12" s="162" t="s">
        <v>2</v>
      </c>
      <c r="BB12" s="162" t="s">
        <v>12</v>
      </c>
      <c r="BF12" s="83" t="s">
        <v>34</v>
      </c>
      <c r="BG12" s="126" t="s">
        <v>200</v>
      </c>
      <c r="BH12" s="126" t="s">
        <v>201</v>
      </c>
      <c r="BI12" s="126" t="s">
        <v>202</v>
      </c>
      <c r="BJ12" s="128" t="s">
        <v>200</v>
      </c>
      <c r="BK12" s="128" t="s">
        <v>201</v>
      </c>
      <c r="BL12" s="128" t="s">
        <v>202</v>
      </c>
      <c r="BM12" s="124" t="s">
        <v>200</v>
      </c>
      <c r="BN12" s="124" t="s">
        <v>201</v>
      </c>
      <c r="BO12" s="124" t="s">
        <v>202</v>
      </c>
      <c r="BQ12" s="158" t="s">
        <v>200</v>
      </c>
      <c r="BR12" s="158" t="s">
        <v>201</v>
      </c>
      <c r="BS12" s="158" t="s">
        <v>209</v>
      </c>
      <c r="BT12" s="158" t="s">
        <v>210</v>
      </c>
    </row>
    <row r="13" spans="1:72" x14ac:dyDescent="0.25">
      <c r="A13" s="117">
        <v>2010</v>
      </c>
      <c r="B13" s="66">
        <f>INDEX((Proj_PasMob!$Q$6:$Q$46),MATCH(A13,Proj_PasMob!$M$6:M$46,0))</f>
        <v>9991295818.1099663</v>
      </c>
      <c r="C13" s="119">
        <f>B13*Table110[Gasoline]%</f>
        <v>5488254975.751296</v>
      </c>
      <c r="D13" s="123">
        <f>B13*Table110[[Diesel ]]%</f>
        <v>4497567256.6789799</v>
      </c>
      <c r="E13" s="121">
        <f>B13*Table110[LPG]%</f>
        <v>5473585.6796911797</v>
      </c>
      <c r="F13" s="66">
        <f>C13+D13+E13-B13</f>
        <v>0</v>
      </c>
      <c r="H13" s="31">
        <f>C13*Table211[Autocycle]%</f>
        <v>620791531.83283985</v>
      </c>
      <c r="I13" s="66">
        <f>C13*Table211[Motocycle]%</f>
        <v>404181585.14748949</v>
      </c>
      <c r="J13" s="66">
        <f>C13*Table211[cars]%</f>
        <v>4269165877.1768556</v>
      </c>
      <c r="K13" s="66">
        <f>C13*Table211[DPV]%</f>
        <v>138433217.56991112</v>
      </c>
      <c r="L13" s="66">
        <f>C13*Table211[Hybrid]%</f>
        <v>55682764.024200149</v>
      </c>
      <c r="M13" s="66">
        <f>SUM(H13:L13)-C13</f>
        <v>0</v>
      </c>
      <c r="P13" s="66">
        <f>D13*Table312[Cars]%</f>
        <v>380333371.19474393</v>
      </c>
      <c r="Q13" s="66">
        <f>D13*Table312[DPV]%</f>
        <v>548582618.77512491</v>
      </c>
      <c r="R13" s="66">
        <f>D13*Table312[Buses]%</f>
        <v>3568651266.7091112</v>
      </c>
      <c r="S13" s="66">
        <f>SUM(P13:R13)-D13</f>
        <v>0</v>
      </c>
      <c r="W13" s="66">
        <f>E13*Table413[Cars]%</f>
        <v>5173346.8027460938</v>
      </c>
      <c r="X13" s="66">
        <f>E13*Table413[DPV]%</f>
        <v>300238.87694508577</v>
      </c>
      <c r="Y13" s="66">
        <f>W13+X13-E13</f>
        <v>0</v>
      </c>
      <c r="AB13" s="117">
        <v>2010</v>
      </c>
      <c r="AD13" s="66">
        <f>INDEX((EnergyCal!$B$43:$B$48),MATCH(AB13,EnergyCal!$A$43:$A$48,0))</f>
        <v>12091.4136</v>
      </c>
      <c r="AE13" s="66">
        <f>INDEX((EnergyCal!$C$43:$C$48),MATCH(AB13,EnergyCal!$A$43:$A$48,0))</f>
        <v>5859.7492799999991</v>
      </c>
      <c r="AF13" s="66">
        <f>INDEX((EnergyCal!$D$43:$D$48),MATCH(AB13,EnergyCal!$A$43:$A$48,0))</f>
        <v>82186.965899999996</v>
      </c>
      <c r="AG13" s="66">
        <f>INDEX((EnergyCal!$E$43:$E$48),MATCH(AB13,EnergyCal!$A$43:$A$48,0))</f>
        <v>7038.0258750000003</v>
      </c>
      <c r="AH13" s="66">
        <f>INDEX((EnergyCal!$F$43:$F$48),MATCH(AB13,EnergyCal!$A$43:$A$48,0))</f>
        <v>61.727399999999989</v>
      </c>
      <c r="AI13" s="66">
        <f>INDEX((EnergyCal!$I$43:$I$48),MATCH(AB13,EnergyCal!$A$43:$A$48,0))</f>
        <v>8028.1179449999909</v>
      </c>
      <c r="AJ13" s="66">
        <f>SUM(AD13:AI13)</f>
        <v>115266</v>
      </c>
      <c r="AK13" s="66">
        <f>INDEX((EnergyCal!$B$70:$B$75),MATCH(AB13,EnergyCal!$A$70:$A$75,0))</f>
        <v>10442.25</v>
      </c>
      <c r="AL13" s="66">
        <f>INDEX((EnergyCal!$C$70:$C$75),MATCH(AB13,EnergyCal!$A$70:$A$75,0))</f>
        <v>28080.793799999999</v>
      </c>
      <c r="AM13" s="66">
        <f>INDEX((EnergyCal!$D$70:$D$75),MATCH(AB13,EnergyCal!$A$70:$A$75,0))</f>
        <v>27843.730500000001</v>
      </c>
      <c r="AN13" s="66">
        <f>INDEX((EnergyCal!$K$70:$K$75),MATCH(AB13,EnergyCal!$A$70:$A$75,0))</f>
        <v>77109.410233686634</v>
      </c>
      <c r="AO13" s="66">
        <f>SUM(AK13:AN13)</f>
        <v>143476.18453368664</v>
      </c>
      <c r="AP13" s="66"/>
      <c r="AQ13" s="66">
        <f>INDEX((EnergyCal!$B$57:$B$62),MATCH(AB13,EnergyCal!$A$57:$A$62,0))</f>
        <v>128.65338135000002</v>
      </c>
      <c r="AR13" s="146">
        <f>INDEX((EnergyCal!$C$57:$C$62),MATCH(AB13,EnergyCal!$A$57:$A$62,0))</f>
        <v>12.763599299999999</v>
      </c>
      <c r="AS13" s="66">
        <f>INDEX((EnergyCal!$F$57:$F$62),MATCH(AB13,EnergyCal!$A$57:$A$62,0))</f>
        <v>4499.5830193499996</v>
      </c>
      <c r="AT13" s="66">
        <f>SUM(AQ13:AS13)</f>
        <v>4641</v>
      </c>
      <c r="AU13" s="31">
        <f>AT13*10</f>
        <v>46410</v>
      </c>
      <c r="AW13" s="148">
        <f t="shared" ref="AW13:AW53" si="3">AT13+AO13+AJ13</f>
        <v>263383.18453368661</v>
      </c>
      <c r="AX13" s="165"/>
      <c r="AY13" s="163">
        <f>AJ13</f>
        <v>115266</v>
      </c>
      <c r="AZ13" s="163">
        <f>AO13</f>
        <v>143476.18453368664</v>
      </c>
      <c r="BA13" s="163">
        <f>AT13</f>
        <v>4641</v>
      </c>
      <c r="BB13" s="163">
        <f>BA13+AZ13+AY13</f>
        <v>263383.18453368661</v>
      </c>
      <c r="BF13" s="117">
        <v>2010</v>
      </c>
      <c r="BG13" s="85">
        <f>AY13*$BK$6/1000</f>
        <v>357.85943423999998</v>
      </c>
      <c r="BH13" s="85">
        <f>AY13*$BL$6/1000</f>
        <v>0.17040925439999999</v>
      </c>
      <c r="BI13" s="85">
        <f>AY13*$BM$6/1000</f>
        <v>1.6524533759999998E-2</v>
      </c>
      <c r="BJ13" s="85">
        <f>AZ13*$BK$7/1000</f>
        <v>460.34764236186959</v>
      </c>
      <c r="BK13" s="85">
        <f>AZ13*$BL$7/1000</f>
        <v>2.422882328220366E-2</v>
      </c>
      <c r="BL13" s="85">
        <f>AZ13*$BM$7/1000</f>
        <v>2.422882328220366E-2</v>
      </c>
      <c r="BM13" s="85">
        <f>BA13*$BK$8/1000</f>
        <v>15.286618619999999</v>
      </c>
      <c r="BN13" s="85">
        <f>BA13*$BL$8/1000</f>
        <v>1.50201324E-2</v>
      </c>
      <c r="BO13" s="85">
        <f>BA13*$BM$8/1000</f>
        <v>4.8452039999999999E-5</v>
      </c>
      <c r="BQ13" s="39">
        <f>BG13+BJ13+BM13</f>
        <v>833.49369522186964</v>
      </c>
      <c r="BR13" s="39">
        <f>BH13+BK13+BN13</f>
        <v>0.20965821008220364</v>
      </c>
      <c r="BS13" s="39">
        <f>BI13+BL13+BO13</f>
        <v>4.0801809082203662E-2</v>
      </c>
      <c r="BT13" s="159">
        <f>BQ13+(BR13*$BP$7)+(BS13*$BP$8)</f>
        <v>850.89408958042145</v>
      </c>
    </row>
    <row r="14" spans="1:72" x14ac:dyDescent="0.25">
      <c r="A14" s="117">
        <f>A13+1</f>
        <v>2011</v>
      </c>
      <c r="B14" s="66">
        <f>INDEX((Proj_PasMob!$Q$6:$Q$46),MATCH(A14,Proj_PasMob!$M$6:M$46,0))</f>
        <v>10135465715.034311</v>
      </c>
      <c r="C14" s="119">
        <f>B14*Table110[Gasoline]%</f>
        <v>5567448022.2342558</v>
      </c>
      <c r="D14" s="123">
        <f>B14*Table110[[Diesel ]]%</f>
        <v>4562465125.7452145</v>
      </c>
      <c r="E14" s="121">
        <f>B14*Table110[LPG]%</f>
        <v>5552567.0548414681</v>
      </c>
      <c r="F14" s="66">
        <f t="shared" ref="F14:F53" si="4">C14+D14+E14-B14</f>
        <v>0</v>
      </c>
      <c r="H14" s="31">
        <f>C14*Table211[Autocycle]%</f>
        <v>629749273.93007827</v>
      </c>
      <c r="I14" s="66">
        <f>C14*Table211[Motocycle]%</f>
        <v>410013743.31097931</v>
      </c>
      <c r="J14" s="66">
        <f>C14*Table211[cars]%</f>
        <v>4330768017.2466049</v>
      </c>
      <c r="K14" s="66">
        <f>C14*Table211[DPV]%</f>
        <v>140430746.52624372</v>
      </c>
      <c r="L14" s="66">
        <f>C14*Table211[Hybrid]%</f>
        <v>56486241.220349275</v>
      </c>
      <c r="M14" s="66">
        <f t="shared" ref="M14:M53" si="5">SUM(H14:L14)-C14</f>
        <v>0</v>
      </c>
      <c r="P14" s="66">
        <f>D14*Table312[Cars]%</f>
        <v>385821410.37607282</v>
      </c>
      <c r="Q14" s="66">
        <f>D14*Table312[DPV]%</f>
        <v>556498418.7917695</v>
      </c>
      <c r="R14" s="66">
        <f>D14*Table312[Buses]%</f>
        <v>3620145296.5773721</v>
      </c>
      <c r="S14" s="66">
        <f t="shared" ref="S14:S53" si="6">SUM(P14:R14)-D14</f>
        <v>0</v>
      </c>
      <c r="W14" s="66">
        <f>E14*Table413[Cars]%</f>
        <v>5247995.8661792781</v>
      </c>
      <c r="X14" s="66">
        <f>E14*Table413[DPV]%</f>
        <v>304571.18866219022</v>
      </c>
      <c r="Y14" s="66">
        <f t="shared" ref="Y14:Y53" si="7">W14+X14-E14</f>
        <v>0</v>
      </c>
      <c r="AB14" s="117">
        <f>AB13+1</f>
        <v>2011</v>
      </c>
      <c r="AD14" s="66">
        <f>INDEX((EnergyCal!$B$43:$B$48),MATCH(AB14,EnergyCal!$A$43:$A$48,0))</f>
        <v>12191.708199999999</v>
      </c>
      <c r="AE14" s="66">
        <f>INDEX((EnergyCal!$C$43:$C$48),MATCH(AB14,EnergyCal!$A$43:$A$48,0))</f>
        <v>6461.6361599999991</v>
      </c>
      <c r="AF14" s="66">
        <f>INDEX((EnergyCal!$D$43:$D$48),MATCH(AB14,EnergyCal!$A$43:$A$48,0))</f>
        <v>86827.256100000013</v>
      </c>
      <c r="AG14" s="66">
        <f>INDEX((EnergyCal!$E$43:$E$48),MATCH(AB14,EnergyCal!$A$43:$A$48,0))</f>
        <v>6837.4118250000001</v>
      </c>
      <c r="AH14" s="66">
        <f>INDEX((EnergyCal!$F$43:$F$48),MATCH(AB14,EnergyCal!$A$43:$A$48,0))</f>
        <v>120.771</v>
      </c>
      <c r="AI14" s="66">
        <f>INDEX((EnergyCal!$I$43:$I$48),MATCH(AB14,EnergyCal!$A$43:$A$48,0))</f>
        <v>4931.2167149999877</v>
      </c>
      <c r="AJ14" s="66">
        <f t="shared" ref="AJ14:AJ17" si="8">SUM(AD14:AI14)</f>
        <v>117370</v>
      </c>
      <c r="AK14" s="66">
        <f>INDEX((EnergyCal!$B$70:$B$75),MATCH(AB14,EnergyCal!$A$70:$A$75,0))</f>
        <v>11001.312</v>
      </c>
      <c r="AL14" s="66">
        <f>INDEX((EnergyCal!$C$70:$C$75),MATCH(AB14,EnergyCal!$A$70:$A$75,0))</f>
        <v>29255.58135</v>
      </c>
      <c r="AM14" s="66">
        <f>INDEX((EnergyCal!$D$70:$D$75),MATCH(AB14,EnergyCal!$A$70:$A$75,0))</f>
        <v>28499.452799999999</v>
      </c>
      <c r="AN14" s="66">
        <f>INDEX((EnergyCal!$K$70:$K$75),MATCH(AB14,EnergyCal!$A$70:$A$75,0))</f>
        <v>80074.815155776363</v>
      </c>
      <c r="AO14" s="66">
        <f t="shared" ref="AO14:AO53" si="9">SUM(AK14:AN14)</f>
        <v>148831.16130577636</v>
      </c>
      <c r="AP14" s="66"/>
      <c r="AQ14" s="66">
        <f>INDEX((EnergyCal!$B$57:$B$62),MATCH(AB14,EnergyCal!$A$57:$A$62,0))</f>
        <v>131.05811745000003</v>
      </c>
      <c r="AR14" s="146">
        <f>INDEX((EnergyCal!$C$57:$C$62),MATCH(AB14,EnergyCal!$A$57:$A$62,0))</f>
        <v>12.763599299999999</v>
      </c>
      <c r="AS14" s="66">
        <f>INDEX((EnergyCal!$F$57:$F$62),MATCH(AB14,EnergyCal!$A$57:$A$62,0))</f>
        <v>4358.1782832500012</v>
      </c>
      <c r="AT14" s="66">
        <f t="shared" ref="AT14:AT53" si="10">SUM(AQ14:AS14)</f>
        <v>4502.0000000000009</v>
      </c>
      <c r="AU14" s="31">
        <f t="shared" ref="AU14:AU53" si="11">AT14*10</f>
        <v>45020.000000000007</v>
      </c>
      <c r="AW14" s="148">
        <f t="shared" si="3"/>
        <v>270703.16130577633</v>
      </c>
      <c r="AX14" s="165"/>
      <c r="AY14" s="163">
        <f t="shared" ref="AY14:AY18" si="12">AJ14</f>
        <v>117370</v>
      </c>
      <c r="AZ14" s="163">
        <f t="shared" ref="AZ14:AZ18" si="13">AO14</f>
        <v>148831.16130577636</v>
      </c>
      <c r="BA14" s="163">
        <f t="shared" ref="BA14:BA18" si="14">AT14</f>
        <v>4502.0000000000009</v>
      </c>
      <c r="BB14" s="163">
        <f t="shared" ref="BB14:BB53" si="15">BA14+AZ14+AY14</f>
        <v>270703.16130577633</v>
      </c>
      <c r="BF14" s="117">
        <f>BF13+1</f>
        <v>2011</v>
      </c>
      <c r="BG14" s="85">
        <f t="shared" ref="BG14:BG53" si="16">AY14*$BK$6/1000</f>
        <v>364.3915968</v>
      </c>
      <c r="BH14" s="85">
        <f t="shared" ref="BH14:BH53" si="17">AY14*$BL$6/1000</f>
        <v>0.17351980799999994</v>
      </c>
      <c r="BI14" s="85">
        <f t="shared" ref="BI14:BI53" si="18">AY14*$BM$6/1000</f>
        <v>1.6826163199999997E-2</v>
      </c>
      <c r="BJ14" s="85">
        <f t="shared" ref="BJ14:BJ53" si="19">AZ14*$BK$7/1000</f>
        <v>477.52924598442257</v>
      </c>
      <c r="BK14" s="85">
        <f t="shared" ref="BK14:BK53" si="20">AZ14*$BL$7/1000</f>
        <v>2.513311820970645E-2</v>
      </c>
      <c r="BL14" s="85">
        <f t="shared" ref="BL14:BL53" si="21">AZ14*$BM$7/1000</f>
        <v>2.513311820970645E-2</v>
      </c>
      <c r="BM14" s="85">
        <f t="shared" ref="BM14:BM53" si="22">BA14*$BK$8/1000</f>
        <v>14.828777640000002</v>
      </c>
      <c r="BN14" s="85">
        <f t="shared" ref="BN14:BN53" si="23">BA14*$BL$8/1000</f>
        <v>1.4570272800000002E-2</v>
      </c>
      <c r="BO14" s="85">
        <f t="shared" ref="BO14:BO53" si="24">BA14*$BM$8/1000</f>
        <v>4.7000880000000011E-5</v>
      </c>
      <c r="BQ14" s="39">
        <f t="shared" ref="BQ14:BS34" si="25">BG14+BJ14+BM14</f>
        <v>856.74962042442257</v>
      </c>
      <c r="BR14" s="39">
        <f t="shared" si="25"/>
        <v>0.2132231990097064</v>
      </c>
      <c r="BS14" s="39">
        <f t="shared" si="25"/>
        <v>4.2006282289706452E-2</v>
      </c>
      <c r="BT14" s="159">
        <f t="shared" ref="BT14:BT53" si="26">BQ14+(BR14*$BP$7)+(BS14*$BP$8)</f>
        <v>874.59807252199778</v>
      </c>
    </row>
    <row r="15" spans="1:72" x14ac:dyDescent="0.25">
      <c r="A15" s="117">
        <f t="shared" ref="A15:A32" si="27">A14+1</f>
        <v>2012</v>
      </c>
      <c r="B15" s="66">
        <f>INDEX((Proj_PasMob!$Q$6:$Q$46),MATCH(A15,Proj_PasMob!$M$6:M$46,0))</f>
        <v>10284155309.520308</v>
      </c>
      <c r="C15" s="119">
        <f>B15*Table110[Gasoline]%</f>
        <v>5649123754.9556379</v>
      </c>
      <c r="D15" s="123">
        <f>B15*Table110[[Diesel ]]%</f>
        <v>4629397530.0842943</v>
      </c>
      <c r="E15" s="121">
        <f>B15*Table110[LPG]%</f>
        <v>5634024.4803760471</v>
      </c>
      <c r="F15" s="66">
        <f t="shared" si="4"/>
        <v>0</v>
      </c>
      <c r="H15" s="31">
        <f>C15*Table211[Autocycle]%</f>
        <v>638987839.45841098</v>
      </c>
      <c r="I15" s="66">
        <f>C15*Table211[Motocycle]%</f>
        <v>416028738.47160262</v>
      </c>
      <c r="J15" s="66">
        <f>C15*Table211[cars]%</f>
        <v>4394301372.1414022</v>
      </c>
      <c r="K15" s="66">
        <f>C15*Table211[DPV]%</f>
        <v>142490897.61761191</v>
      </c>
      <c r="L15" s="66">
        <f>C15*Table211[Hybrid]%</f>
        <v>57314907.266610324</v>
      </c>
      <c r="M15" s="66">
        <f t="shared" si="5"/>
        <v>0</v>
      </c>
      <c r="P15" s="66">
        <f>D15*Table312[Cars]%</f>
        <v>391481498.49296498</v>
      </c>
      <c r="Q15" s="66">
        <f>D15*Table312[DPV]%</f>
        <v>564662377.56275201</v>
      </c>
      <c r="R15" s="66">
        <f>D15*Table312[Buses]%</f>
        <v>3673253654.0285773</v>
      </c>
      <c r="S15" s="66">
        <f t="shared" si="6"/>
        <v>0</v>
      </c>
      <c r="W15" s="66">
        <f>E15*Table413[Cars]%</f>
        <v>5324985.1628870657</v>
      </c>
      <c r="X15" s="66">
        <f>E15*Table413[DPV]%</f>
        <v>309039.31748898147</v>
      </c>
      <c r="Y15" s="66">
        <f t="shared" si="7"/>
        <v>0</v>
      </c>
      <c r="AB15" s="117">
        <f t="shared" ref="AB15:AB32" si="28">AB14+1</f>
        <v>2012</v>
      </c>
      <c r="AD15" s="66">
        <f>INDEX((EnergyCal!$B$43:$B$48),MATCH(AB15,EnergyCal!$A$43:$A$48,0))</f>
        <v>12398.8578</v>
      </c>
      <c r="AE15" s="66">
        <f>INDEX((EnergyCal!$C$43:$C$48),MATCH(AB15,EnergyCal!$A$43:$A$48,0))</f>
        <v>7169.80152</v>
      </c>
      <c r="AF15" s="66">
        <f>INDEX((EnergyCal!$D$43:$D$48),MATCH(AB15,EnergyCal!$A$43:$A$48,0))</f>
        <v>92660.01615000001</v>
      </c>
      <c r="AG15" s="66">
        <f>INDEX((EnergyCal!$E$43:$E$48),MATCH(AB15,EnergyCal!$A$43:$A$48,0))</f>
        <v>6926.6960999999983</v>
      </c>
      <c r="AH15" s="66">
        <f>INDEX((EnergyCal!$F$43:$F$48),MATCH(AB15,EnergyCal!$A$43:$A$48,0))</f>
        <v>269.53020000000004</v>
      </c>
      <c r="AI15" s="66">
        <f>INDEX((EnergyCal!$I$43:$I$48),MATCH(AB15,EnergyCal!$A$43:$A$48,0))</f>
        <v>3927.0982299999887</v>
      </c>
      <c r="AJ15" s="66">
        <f t="shared" si="8"/>
        <v>123352</v>
      </c>
      <c r="AK15" s="66">
        <f>INDEX((EnergyCal!$B$70:$B$75),MATCH(AB15,EnergyCal!$A$70:$A$75,0))</f>
        <v>11641.502249999998</v>
      </c>
      <c r="AL15" s="66">
        <f>INDEX((EnergyCal!$C$70:$C$75),MATCH(AB15,EnergyCal!$A$70:$A$75,0))</f>
        <v>31271.910975000006</v>
      </c>
      <c r="AM15" s="66">
        <f>INDEX((EnergyCal!$D$70:$D$75),MATCH(AB15,EnergyCal!$A$70:$A$75,0))</f>
        <v>28939.863300000001</v>
      </c>
      <c r="AN15" s="66">
        <f>INDEX((EnergyCal!$K$70:$K$75),MATCH(AB15,EnergyCal!$A$70:$A$75,0))</f>
        <v>83151.826256642613</v>
      </c>
      <c r="AO15" s="66">
        <f t="shared" si="9"/>
        <v>155005.10278164264</v>
      </c>
      <c r="AP15" s="66"/>
      <c r="AQ15" s="66">
        <f>INDEX((EnergyCal!$B$57:$B$62),MATCH(AB15,EnergyCal!$A$57:$A$62,0))</f>
        <v>131.05811745000003</v>
      </c>
      <c r="AR15" s="146">
        <f>INDEX((EnergyCal!$C$57:$C$62),MATCH(AB15,EnergyCal!$A$57:$A$62,0))</f>
        <v>12.763599299999999</v>
      </c>
      <c r="AS15" s="66">
        <f>INDEX((EnergyCal!$F$57:$F$62),MATCH(AB15,EnergyCal!$A$57:$A$62,0))</f>
        <v>4219.1782832500003</v>
      </c>
      <c r="AT15" s="66">
        <f t="shared" si="10"/>
        <v>4363</v>
      </c>
      <c r="AU15" s="31">
        <f t="shared" si="11"/>
        <v>43630</v>
      </c>
      <c r="AW15" s="148">
        <f t="shared" si="3"/>
        <v>282720.10278164264</v>
      </c>
      <c r="AX15" s="165"/>
      <c r="AY15" s="163">
        <f t="shared" si="12"/>
        <v>123352</v>
      </c>
      <c r="AZ15" s="163">
        <f t="shared" si="13"/>
        <v>155005.10278164264</v>
      </c>
      <c r="BA15" s="163">
        <f t="shared" si="14"/>
        <v>4363</v>
      </c>
      <c r="BB15" s="163">
        <f t="shared" si="15"/>
        <v>282720.10278164264</v>
      </c>
      <c r="BF15" s="117">
        <f t="shared" ref="BF15:BF32" si="29">BF14+1</f>
        <v>2012</v>
      </c>
      <c r="BG15" s="85">
        <f t="shared" si="16"/>
        <v>382.96355327999999</v>
      </c>
      <c r="BH15" s="85">
        <f t="shared" si="17"/>
        <v>0.18236359679999994</v>
      </c>
      <c r="BI15" s="85">
        <f t="shared" si="18"/>
        <v>1.7683742719999999E-2</v>
      </c>
      <c r="BJ15" s="85">
        <f t="shared" si="19"/>
        <v>497.33852242798383</v>
      </c>
      <c r="BK15" s="85">
        <f t="shared" si="20"/>
        <v>2.617571170673599E-2</v>
      </c>
      <c r="BL15" s="85">
        <f t="shared" si="21"/>
        <v>2.617571170673599E-2</v>
      </c>
      <c r="BM15" s="85">
        <f t="shared" si="22"/>
        <v>14.37093666</v>
      </c>
      <c r="BN15" s="85">
        <f t="shared" si="23"/>
        <v>1.4120413199999999E-2</v>
      </c>
      <c r="BO15" s="85">
        <f t="shared" si="24"/>
        <v>4.5549720000000003E-5</v>
      </c>
      <c r="BQ15" s="39">
        <f t="shared" si="25"/>
        <v>894.6730123679838</v>
      </c>
      <c r="BR15" s="39">
        <f t="shared" si="25"/>
        <v>0.22265972170673592</v>
      </c>
      <c r="BS15" s="39">
        <f t="shared" si="25"/>
        <v>4.3905004146735989E-2</v>
      </c>
      <c r="BT15" s="159">
        <f t="shared" si="26"/>
        <v>913.32319664637953</v>
      </c>
    </row>
    <row r="16" spans="1:72" x14ac:dyDescent="0.25">
      <c r="A16" s="117">
        <f t="shared" si="27"/>
        <v>2013</v>
      </c>
      <c r="B16" s="66">
        <f>INDEX((Proj_PasMob!$Q$6:$Q$46),MATCH(A16,Proj_PasMob!$M$6:M$46,0))</f>
        <v>10425988957.632849</v>
      </c>
      <c r="C16" s="119">
        <f>B16*Table110[Gasoline]%</f>
        <v>5727033491.5056925</v>
      </c>
      <c r="D16" s="123">
        <f>B16*Table110[[Diesel ]]%</f>
        <v>4693243740.1514654</v>
      </c>
      <c r="E16" s="121">
        <f>B16*Table110[LPG]%</f>
        <v>5711725.9756915988</v>
      </c>
      <c r="F16" s="66">
        <f t="shared" si="4"/>
        <v>0</v>
      </c>
      <c r="H16" s="31">
        <f>C16*Table211[Autocycle]%</f>
        <v>647800422.85901737</v>
      </c>
      <c r="I16" s="66">
        <f>C16*Table211[Motocycle]%</f>
        <v>421766387.49781495</v>
      </c>
      <c r="J16" s="66">
        <f>C16*Table211[cars]%</f>
        <v>4454905259.9434261</v>
      </c>
      <c r="K16" s="66">
        <f>C16*Table211[DPV]%</f>
        <v>144456056.95483309</v>
      </c>
      <c r="L16" s="66">
        <f>C16*Table211[Hybrid]%</f>
        <v>58105364.250601023</v>
      </c>
      <c r="M16" s="66">
        <f t="shared" si="5"/>
        <v>0</v>
      </c>
      <c r="P16" s="66">
        <f>D16*Table312[Cars]%</f>
        <v>396880604.92695874</v>
      </c>
      <c r="Q16" s="66">
        <f>D16*Table312[DPV]%</f>
        <v>572449903.37806976</v>
      </c>
      <c r="R16" s="66">
        <f>D16*Table312[Buses]%</f>
        <v>3723913231.846437</v>
      </c>
      <c r="S16" s="66">
        <f t="shared" si="6"/>
        <v>0</v>
      </c>
      <c r="W16" s="66">
        <f>E16*Table413[Cars]%</f>
        <v>5398424.5508646332</v>
      </c>
      <c r="X16" s="66">
        <f>E16*Table413[DPV]%</f>
        <v>313301.42482696532</v>
      </c>
      <c r="Y16" s="66">
        <f t="shared" si="7"/>
        <v>0</v>
      </c>
      <c r="AB16" s="117">
        <f t="shared" si="28"/>
        <v>2013</v>
      </c>
      <c r="AD16" s="66">
        <f>INDEX((EnergyCal!$B$43:$B$48),MATCH(AB16,EnergyCal!$A$43:$A$48,0))</f>
        <v>12426.2922</v>
      </c>
      <c r="AE16" s="66">
        <f>INDEX((EnergyCal!$C$43:$C$48),MATCH(AB16,EnergyCal!$A$43:$A$48,0))</f>
        <v>7947.74568</v>
      </c>
      <c r="AF16" s="66">
        <f>INDEX((EnergyCal!$D$43:$D$48),MATCH(AB16,EnergyCal!$A$43:$A$48,0))</f>
        <v>99708.297975000009</v>
      </c>
      <c r="AG16" s="66">
        <f>INDEX((EnergyCal!$E$43:$E$48),MATCH(AB16,EnergyCal!$A$43:$A$48,0))</f>
        <v>6974.0939250000001</v>
      </c>
      <c r="AH16" s="66">
        <f>INDEX((EnergyCal!$F$43:$F$48),MATCH(AB16,EnergyCal!$A$43:$A$48,0))</f>
        <v>532.54259999999999</v>
      </c>
      <c r="AI16" s="66">
        <f>INDEX((EnergyCal!$I$43:$I$48),MATCH(AB16,EnergyCal!$A$43:$A$48,0))</f>
        <v>1339.0276199999935</v>
      </c>
      <c r="AJ16" s="66">
        <f t="shared" si="8"/>
        <v>128928</v>
      </c>
      <c r="AK16" s="66">
        <f>INDEX((EnergyCal!$B$70:$B$75),MATCH(AB16,EnergyCal!$A$70:$A$75,0))</f>
        <v>12162.008250000003</v>
      </c>
      <c r="AL16" s="66">
        <f>INDEX((EnergyCal!$C$70:$C$75),MATCH(AB16,EnergyCal!$A$70:$A$75,0))</f>
        <v>31277.097675000005</v>
      </c>
      <c r="AM16" s="66">
        <f>INDEX((EnergyCal!$D$70:$D$75),MATCH(AB16,EnergyCal!$A$70:$A$75,0))</f>
        <v>28998.584699999999</v>
      </c>
      <c r="AN16" s="66">
        <f>INDEX((EnergyCal!$K$70:$K$75),MATCH(AB16,EnergyCal!$A$70:$A$75,0))</f>
        <v>86346.373610082257</v>
      </c>
      <c r="AO16" s="66">
        <f t="shared" si="9"/>
        <v>158784.06423508227</v>
      </c>
      <c r="AP16" s="66"/>
      <c r="AQ16" s="66">
        <f>INDEX((EnergyCal!$B$57:$B$62),MATCH(AB16,EnergyCal!$A$57:$A$62,0))</f>
        <v>131.05811745000003</v>
      </c>
      <c r="AR16" s="146">
        <f>INDEX((EnergyCal!$C$57:$C$62),MATCH(AB16,EnergyCal!$A$57:$A$62,0))</f>
        <v>12.763599299999999</v>
      </c>
      <c r="AS16" s="66">
        <f>INDEX((EnergyCal!$F$57:$F$62),MATCH(AB16,EnergyCal!$A$57:$A$62,0))</f>
        <v>3924.1782832499998</v>
      </c>
      <c r="AT16" s="66">
        <f t="shared" si="10"/>
        <v>4068</v>
      </c>
      <c r="AU16" s="31">
        <f t="shared" si="11"/>
        <v>40680</v>
      </c>
      <c r="AW16" s="148">
        <f t="shared" si="3"/>
        <v>291780.06423508225</v>
      </c>
      <c r="AX16" s="165"/>
      <c r="AY16" s="163">
        <f t="shared" si="12"/>
        <v>128928</v>
      </c>
      <c r="AZ16" s="163">
        <f t="shared" si="13"/>
        <v>158784.06423508227</v>
      </c>
      <c r="BA16" s="163">
        <f t="shared" si="14"/>
        <v>4068</v>
      </c>
      <c r="BB16" s="163">
        <f t="shared" si="15"/>
        <v>291780.06423508225</v>
      </c>
      <c r="BF16" s="117">
        <f t="shared" si="29"/>
        <v>2013</v>
      </c>
      <c r="BG16" s="85">
        <f t="shared" si="16"/>
        <v>400.27502591999996</v>
      </c>
      <c r="BH16" s="85">
        <f t="shared" si="17"/>
        <v>0.19060715519999996</v>
      </c>
      <c r="BI16" s="85">
        <f t="shared" si="18"/>
        <v>1.8483118079999996E-2</v>
      </c>
      <c r="BJ16" s="85">
        <f t="shared" si="19"/>
        <v>509.46343362018848</v>
      </c>
      <c r="BK16" s="85">
        <f t="shared" si="20"/>
        <v>2.6813864927378341E-2</v>
      </c>
      <c r="BL16" s="85">
        <f t="shared" si="21"/>
        <v>2.6813864927378341E-2</v>
      </c>
      <c r="BM16" s="85">
        <f t="shared" si="22"/>
        <v>13.39925976</v>
      </c>
      <c r="BN16" s="85">
        <f t="shared" si="23"/>
        <v>1.3165675199999999E-2</v>
      </c>
      <c r="BO16" s="85">
        <f t="shared" si="24"/>
        <v>4.2469919999999999E-5</v>
      </c>
      <c r="BQ16" s="160">
        <f t="shared" si="25"/>
        <v>923.13771930018834</v>
      </c>
      <c r="BR16" s="39">
        <f t="shared" si="25"/>
        <v>0.2305866953273783</v>
      </c>
      <c r="BS16" s="39">
        <f t="shared" si="25"/>
        <v>4.5339452927378336E-2</v>
      </c>
      <c r="BT16" s="159">
        <f t="shared" si="26"/>
        <v>942.41354365573159</v>
      </c>
    </row>
    <row r="17" spans="1:72" x14ac:dyDescent="0.25">
      <c r="A17" s="117">
        <f t="shared" si="27"/>
        <v>2014</v>
      </c>
      <c r="B17" s="66">
        <f>INDEX((Proj_PasMob!$Q$6:$Q$46),MATCH(A17,Proj_PasMob!$M$6:M$46,0))</f>
        <v>10561741153.304186</v>
      </c>
      <c r="C17" s="119">
        <f>B17*Table110[Gasoline]%</f>
        <v>5801602664.2061882</v>
      </c>
      <c r="D17" s="123">
        <f>B17*Table110[[Diesel ]]%</f>
        <v>4754352393.2620068</v>
      </c>
      <c r="E17" s="121">
        <f>B17*Table110[LPG]%</f>
        <v>5786095.8359920438</v>
      </c>
      <c r="F17" s="66">
        <f t="shared" si="4"/>
        <v>0</v>
      </c>
      <c r="H17" s="31">
        <f>C17*Table211[Autocycle]%</f>
        <v>656235145.94545913</v>
      </c>
      <c r="I17" s="66">
        <f>C17*Table211[Motocycle]%</f>
        <v>427258021.2791149</v>
      </c>
      <c r="J17" s="66">
        <f>C17*Table211[cars]%</f>
        <v>4512910613.0089855</v>
      </c>
      <c r="K17" s="66">
        <f>C17*Table211[DPV]%</f>
        <v>146336955.44698867</v>
      </c>
      <c r="L17" s="66">
        <f>C17*Table211[Hybrid]%</f>
        <v>58861928.525640577</v>
      </c>
      <c r="M17" s="66">
        <f t="shared" si="5"/>
        <v>0</v>
      </c>
      <c r="P17" s="66">
        <f>D17*Table312[Cars]%</f>
        <v>402048211.92876351</v>
      </c>
      <c r="Q17" s="66">
        <f>D17*Table312[DPV]%</f>
        <v>579903520.64269638</v>
      </c>
      <c r="R17" s="66">
        <f>D17*Table312[Buses]%</f>
        <v>3772400660.690547</v>
      </c>
      <c r="S17" s="66">
        <f t="shared" si="6"/>
        <v>0</v>
      </c>
      <c r="W17" s="66">
        <f>E17*Table413[Cars]%</f>
        <v>5468715.0517393155</v>
      </c>
      <c r="X17" s="66">
        <f>E17*Table413[DPV]%</f>
        <v>317380.7842527281</v>
      </c>
      <c r="Y17" s="66">
        <f t="shared" si="7"/>
        <v>0</v>
      </c>
      <c r="AB17" s="117">
        <f t="shared" si="28"/>
        <v>2014</v>
      </c>
      <c r="AD17" s="66">
        <f>INDEX((EnergyCal!$B$43:$B$48),MATCH(AB17,EnergyCal!$A$43:$A$48,0))</f>
        <v>12297.072199999999</v>
      </c>
      <c r="AE17" s="66">
        <f>INDEX((EnergyCal!$C$43:$C$48),MATCH(AB17,EnergyCal!$A$43:$A$48,0))</f>
        <v>8836.3816800000004</v>
      </c>
      <c r="AF17" s="66">
        <f>INDEX((EnergyCal!$D$43:$D$48),MATCH(AB17,EnergyCal!$A$43:$A$48,0))</f>
        <v>107193.32032499999</v>
      </c>
      <c r="AG17" s="66">
        <f>INDEX((EnergyCal!$E$43:$E$48),MATCH(AB17,EnergyCal!$A$43:$A$48,0))</f>
        <v>6893.6278499999989</v>
      </c>
      <c r="AH17" s="66">
        <f>INDEX((EnergyCal!$F$43:$F$48),MATCH(AB17,EnergyCal!$A$43:$A$48,0))</f>
        <v>699.3216000000001</v>
      </c>
      <c r="AI17" s="66">
        <f>INDEX((EnergyCal!$I$43:$I$48),MATCH(AB17,EnergyCal!$A$43:$A$48,0))</f>
        <v>1324.2763450000202</v>
      </c>
      <c r="AJ17" s="66">
        <f t="shared" si="8"/>
        <v>137244</v>
      </c>
      <c r="AK17" s="66">
        <f>INDEX((EnergyCal!$B$70:$B$75),MATCH(AB17,EnergyCal!$A$70:$A$75,0))</f>
        <v>12703.39875</v>
      </c>
      <c r="AL17" s="66">
        <f>INDEX((EnergyCal!$C$70:$C$75),MATCH(AB17,EnergyCal!$A$70:$A$75,0))</f>
        <v>31448.258774999998</v>
      </c>
      <c r="AM17" s="66">
        <f>INDEX((EnergyCal!$D$70:$D$75),MATCH(AB17,EnergyCal!$A$70:$A$75,0))</f>
        <v>29419.421399999999</v>
      </c>
      <c r="AN17" s="66">
        <f>INDEX((EnergyCal!$K$70:$K$75),MATCH(AB17,EnergyCal!$A$70:$A$75,0))</f>
        <v>89662.726070838195</v>
      </c>
      <c r="AO17" s="66">
        <f t="shared" si="9"/>
        <v>163233.8049958382</v>
      </c>
      <c r="AP17" s="66"/>
      <c r="AQ17" s="66">
        <f>INDEX((EnergyCal!$B$57:$B$62),MATCH(AB17,EnergyCal!$A$57:$A$62,0))</f>
        <v>132.26048550000004</v>
      </c>
      <c r="AR17" s="146">
        <f>INDEX((EnergyCal!$C$57:$C$62),MATCH(AB17,EnergyCal!$A$57:$A$62,0))</f>
        <v>13.827232575000002</v>
      </c>
      <c r="AS17" s="66">
        <f>INDEX((EnergyCal!$F$57:$F$62),MATCH(AB17,EnergyCal!$A$57:$A$62,0))</f>
        <v>3597.9122819250001</v>
      </c>
      <c r="AT17" s="66">
        <f t="shared" si="10"/>
        <v>3744</v>
      </c>
      <c r="AU17" s="31">
        <f t="shared" si="11"/>
        <v>37440</v>
      </c>
      <c r="AW17" s="148">
        <f t="shared" si="3"/>
        <v>304221.8049958382</v>
      </c>
      <c r="AX17" s="165"/>
      <c r="AY17" s="163">
        <f t="shared" si="12"/>
        <v>137244</v>
      </c>
      <c r="AZ17" s="163">
        <f t="shared" si="13"/>
        <v>163233.8049958382</v>
      </c>
      <c r="BA17" s="163">
        <f t="shared" si="14"/>
        <v>3744</v>
      </c>
      <c r="BB17" s="163">
        <f t="shared" si="15"/>
        <v>304221.8049958382</v>
      </c>
      <c r="BF17" s="117">
        <f t="shared" si="29"/>
        <v>2014</v>
      </c>
      <c r="BG17" s="85">
        <f t="shared" si="16"/>
        <v>426.09321216000001</v>
      </c>
      <c r="BH17" s="85">
        <f t="shared" si="17"/>
        <v>0.20290152959999996</v>
      </c>
      <c r="BI17" s="85">
        <f t="shared" si="18"/>
        <v>1.9675299839999997E-2</v>
      </c>
      <c r="BJ17" s="85">
        <f t="shared" si="19"/>
        <v>523.74056034329669</v>
      </c>
      <c r="BK17" s="85">
        <f t="shared" si="20"/>
        <v>2.7565292649647195E-2</v>
      </c>
      <c r="BL17" s="85">
        <f t="shared" si="21"/>
        <v>2.7565292649647195E-2</v>
      </c>
      <c r="BM17" s="85">
        <f t="shared" si="22"/>
        <v>12.33206208</v>
      </c>
      <c r="BN17" s="85">
        <f t="shared" si="23"/>
        <v>1.2117081600000001E-2</v>
      </c>
      <c r="BO17" s="85">
        <f t="shared" si="24"/>
        <v>3.9087359999999998E-5</v>
      </c>
      <c r="BQ17" s="39">
        <f t="shared" si="25"/>
        <v>962.16583458329671</v>
      </c>
      <c r="BR17" s="39">
        <f t="shared" si="25"/>
        <v>0.24258390384964715</v>
      </c>
      <c r="BS17" s="39">
        <f t="shared" si="25"/>
        <v>4.7279679849647198E-2</v>
      </c>
      <c r="BT17" s="159">
        <f t="shared" si="26"/>
        <v>982.31977677473276</v>
      </c>
    </row>
    <row r="18" spans="1:72" x14ac:dyDescent="0.25">
      <c r="A18" s="117">
        <f t="shared" si="27"/>
        <v>2015</v>
      </c>
      <c r="B18" s="66">
        <f>INDEX((Proj_PasMob!$Q$6:$Q$46),MATCH(A18,Proj_PasMob!$M$6:M$46,0))</f>
        <v>10685868200.205055</v>
      </c>
      <c r="C18" s="119">
        <f>B18*Table110[Gasoline]%</f>
        <v>5869786100.5873041</v>
      </c>
      <c r="D18" s="123">
        <f>B18*Table110[[Diesel ]]%</f>
        <v>4810228002.5896473</v>
      </c>
      <c r="E18" s="121">
        <f>B18*Table110[LPG]%</f>
        <v>5854097.0281044282</v>
      </c>
      <c r="F18" s="66">
        <f t="shared" si="4"/>
        <v>0</v>
      </c>
      <c r="H18" s="31">
        <f>C18*Table211[Autocycle]%</f>
        <v>663947560.93049109</v>
      </c>
      <c r="I18" s="66">
        <f>C18*Table211[Motocycle]%</f>
        <v>432279378.61748272</v>
      </c>
      <c r="J18" s="66">
        <f>C18*Table211[cars]%</f>
        <v>4565948673.6080322</v>
      </c>
      <c r="K18" s="66">
        <f>C18*Table211[DPV]%</f>
        <v>148056783.0652234</v>
      </c>
      <c r="L18" s="66">
        <f>C18*Table211[Hybrid]%</f>
        <v>59553704.366075002</v>
      </c>
      <c r="M18" s="66">
        <f t="shared" si="5"/>
        <v>0</v>
      </c>
      <c r="P18" s="66">
        <f>D18*Table312[Cars]%</f>
        <v>406773290.54355985</v>
      </c>
      <c r="Q18" s="66">
        <f>D18*Table312[DPV]%</f>
        <v>586718846.87158</v>
      </c>
      <c r="R18" s="66">
        <f>D18*Table312[Buses]%</f>
        <v>3816735865.1745071</v>
      </c>
      <c r="S18" s="66">
        <f t="shared" si="6"/>
        <v>0</v>
      </c>
      <c r="W18" s="66">
        <f>E18*Table413[Cars]%</f>
        <v>5532986.220655662</v>
      </c>
      <c r="X18" s="66">
        <f>E18*Table413[DPV]%</f>
        <v>321110.80744876608</v>
      </c>
      <c r="Y18" s="66">
        <f t="shared" si="7"/>
        <v>0</v>
      </c>
      <c r="AB18" s="117">
        <f t="shared" si="28"/>
        <v>2015</v>
      </c>
      <c r="AD18" s="66">
        <f>H18*Table514[Autocycle]*0.01*$AD$7/1000</f>
        <v>11785.069206516215</v>
      </c>
      <c r="AE18" s="66">
        <f>I18*Table514[Motocycle]*0.01*$AD$7/1000</f>
        <v>9207.550764552383</v>
      </c>
      <c r="AF18" s="66">
        <f>J18*Table514[Car]*0.01*$AD$7/$AL$8/1000</f>
        <v>110904.49015105827</v>
      </c>
      <c r="AG18" s="66">
        <f>INDEX((EnergyCal!$E$43:$E$48),MATCH(AB18,EnergyCal!$A$43:$A$48,0))</f>
        <v>6607.0363499999994</v>
      </c>
      <c r="AH18" s="66">
        <f>L18*Table514[Car_Hbrid]*0.01*$AD$7/$AL$8/1000</f>
        <v>890.17115999817372</v>
      </c>
      <c r="AI18" s="66">
        <f>INDEX((EnergyCal!$I$43:$I$48),MATCH(AB18,EnergyCal!$A$43:$A$48,0))</f>
        <v>3067.8302799999947</v>
      </c>
      <c r="AJ18" s="66">
        <f>SUM(AD18:AI18)</f>
        <v>142462.14791212504</v>
      </c>
      <c r="AK18" s="66">
        <f>P18*Table514[Car_Dsl]*0.01*$AD$8/$AL$8/1000</f>
        <v>12738.426730179901</v>
      </c>
      <c r="AL18" s="66">
        <f>INDEX((EnergyCal!$C$70:$C$75),MATCH(AB18,EnergyCal!$A$70:$A$75,0))</f>
        <v>30799.921274999997</v>
      </c>
      <c r="AM18" s="66">
        <f>INDEX((EnergyCal!$D$70:$D$75),MATCH(AB18,EnergyCal!$A$70:$A$75,0))</f>
        <v>29164.962</v>
      </c>
      <c r="AN18" s="66">
        <f>INDEX((EnergyCal!$K$70:$K$75),MATCH(AB18,EnergyCal!$A$70:$A$75,0))</f>
        <v>93106.157905683358</v>
      </c>
      <c r="AO18" s="66">
        <f t="shared" si="9"/>
        <v>165809.46791086326</v>
      </c>
      <c r="AP18" s="66"/>
      <c r="AQ18" s="66">
        <f>INDEX((EnergyCal!$B$57:$B$62),MATCH(AB18,EnergyCal!$A$57:$A$62,0))</f>
        <v>134.66522160000002</v>
      </c>
      <c r="AR18" s="146">
        <f>INDEX((EnergyCal!$C$57:$C$62),MATCH(AB18,EnergyCal!$A$57:$A$62,0))</f>
        <v>13.827232575000002</v>
      </c>
      <c r="AS18" s="66">
        <f>INDEX((EnergyCal!$F$57:$F$62),MATCH(AB18,EnergyCal!$A$57:$A$62,0))</f>
        <v>3041.5075458249999</v>
      </c>
      <c r="AT18" s="66">
        <f>SUM(AQ18:AS18)</f>
        <v>3190</v>
      </c>
      <c r="AU18" s="31">
        <f t="shared" si="11"/>
        <v>31900</v>
      </c>
      <c r="AW18" s="148">
        <f t="shared" si="3"/>
        <v>311461.61582298833</v>
      </c>
      <c r="AX18" s="165"/>
      <c r="AY18" s="163">
        <f t="shared" si="12"/>
        <v>142462.14791212504</v>
      </c>
      <c r="AZ18" s="163">
        <f t="shared" si="13"/>
        <v>165809.46791086326</v>
      </c>
      <c r="BA18" s="163">
        <f t="shared" si="14"/>
        <v>3190</v>
      </c>
      <c r="BB18" s="163">
        <f t="shared" si="15"/>
        <v>311461.61582298833</v>
      </c>
      <c r="BF18" s="117">
        <f t="shared" si="29"/>
        <v>2015</v>
      </c>
      <c r="BG18" s="85">
        <f t="shared" si="16"/>
        <v>442.29368289389987</v>
      </c>
      <c r="BH18" s="85">
        <f t="shared" si="17"/>
        <v>0.21061603947328564</v>
      </c>
      <c r="BI18" s="85">
        <f t="shared" si="18"/>
        <v>2.0423373524682244E-2</v>
      </c>
      <c r="BJ18" s="85">
        <f t="shared" si="19"/>
        <v>532.00465207604202</v>
      </c>
      <c r="BK18" s="85">
        <f t="shared" si="20"/>
        <v>2.8000244846107473E-2</v>
      </c>
      <c r="BL18" s="85">
        <f t="shared" si="21"/>
        <v>2.8000244846107473E-2</v>
      </c>
      <c r="BM18" s="85">
        <f t="shared" si="22"/>
        <v>10.5072858</v>
      </c>
      <c r="BN18" s="85">
        <f t="shared" si="23"/>
        <v>1.0324116E-2</v>
      </c>
      <c r="BO18" s="85">
        <f t="shared" si="24"/>
        <v>3.3303600000000004E-5</v>
      </c>
      <c r="BQ18" s="39">
        <f t="shared" si="25"/>
        <v>984.80562076994181</v>
      </c>
      <c r="BR18" s="39">
        <f t="shared" si="25"/>
        <v>0.2489404003193931</v>
      </c>
      <c r="BS18" s="39">
        <f t="shared" si="25"/>
        <v>4.8456921970789719E-2</v>
      </c>
      <c r="BT18" s="159">
        <f t="shared" si="26"/>
        <v>1005.4692935252219</v>
      </c>
    </row>
    <row r="19" spans="1:72" x14ac:dyDescent="0.25">
      <c r="A19" s="117">
        <f t="shared" si="27"/>
        <v>2016</v>
      </c>
      <c r="B19" s="66">
        <f>INDEX((Proj_PasMob!$Q$6:$Q$46),MATCH(A19,Proj_PasMob!$M$6:M$46,0))</f>
        <v>10805486955.126375</v>
      </c>
      <c r="C19" s="119">
        <f>B19*Table110[Gasoline]%</f>
        <v>5935493115.8575516</v>
      </c>
      <c r="D19" s="123">
        <f>B19*Table110[[Diesel ]]%</f>
        <v>4864074210.8506098</v>
      </c>
      <c r="E19" s="121">
        <f>B19*Table110[LPG]%</f>
        <v>5919628.4182143128</v>
      </c>
      <c r="F19" s="66">
        <f t="shared" si="4"/>
        <v>0</v>
      </c>
      <c r="H19" s="31">
        <f>C19*Table211[Autocycle]%</f>
        <v>671379861.15014267</v>
      </c>
      <c r="I19" s="66">
        <f>C19*Table211[Motocycle]%</f>
        <v>437118360.35294837</v>
      </c>
      <c r="J19" s="66">
        <f>C19*Table211[cars]%</f>
        <v>4617060392.856185</v>
      </c>
      <c r="K19" s="66">
        <f>C19*Table211[DPV]%</f>
        <v>149714146.57711643</v>
      </c>
      <c r="L19" s="66">
        <f>C19*Table211[Hybrid]%</f>
        <v>60220354.921159104</v>
      </c>
      <c r="M19" s="66">
        <f t="shared" si="5"/>
        <v>0</v>
      </c>
      <c r="P19" s="66">
        <f>D19*Table312[Cars]%</f>
        <v>411326754.39305174</v>
      </c>
      <c r="Q19" s="66">
        <f>D19*Table312[DPV]%</f>
        <v>593286640.5816226</v>
      </c>
      <c r="R19" s="66">
        <f>D19*Table312[Buses]%</f>
        <v>3859460815.8759356</v>
      </c>
      <c r="S19" s="66">
        <f t="shared" si="6"/>
        <v>0</v>
      </c>
      <c r="W19" s="66">
        <f>E19*Table413[Cars]%</f>
        <v>5594923.0619409541</v>
      </c>
      <c r="X19" s="66">
        <f>E19*Table413[DPV]%</f>
        <v>324705.35627335892</v>
      </c>
      <c r="Y19" s="66">
        <f t="shared" si="7"/>
        <v>0</v>
      </c>
      <c r="AB19" s="117">
        <f t="shared" si="28"/>
        <v>2016</v>
      </c>
      <c r="AD19" s="66">
        <f>H19*Table514[Autocycle]*0.01*$AD$7/1000</f>
        <v>11916.992535415033</v>
      </c>
      <c r="AE19" s="66">
        <f>I19*Table514[Motocycle]*0.01*$AD$7/1000</f>
        <v>9310.6210755177999</v>
      </c>
      <c r="AF19" s="66">
        <f>J19*Table514[Car]*0.01*$AD$7/$AL$8/1000</f>
        <v>112145.96691069104</v>
      </c>
      <c r="AG19" s="66">
        <f>K19*Table514[DPV]*0.01*$AD$7/$AL$8/1000</f>
        <v>6433.7684568534514</v>
      </c>
      <c r="AH19" s="66">
        <f>L19*Table514[Car_Hbrid]*0.01*$AD$7/$AL$8/1000</f>
        <v>900.13583145311497</v>
      </c>
      <c r="AI19" s="66">
        <f>Freight!E11*$AG$8*$AI$8*$AD$7/1000</f>
        <v>3183.1175452134653</v>
      </c>
      <c r="AJ19" s="66">
        <f t="shared" ref="AJ19:AJ53" si="30">SUM(AD19:AI19)</f>
        <v>143890.6023551439</v>
      </c>
      <c r="AK19" s="66">
        <f>P19*Table514[Car_Dsl]*0.01*$AD$8/$AL$8/1000</f>
        <v>12881.022045466623</v>
      </c>
      <c r="AL19" s="66">
        <f>Q19*Table514[DPV_Dsl]*0.01*$AD$8/$AL$8/1000</f>
        <v>29992.200962034138</v>
      </c>
      <c r="AM19" s="66">
        <f>R19*Table514[Bus]*0.01*$AD$8/$AL$9/1000</f>
        <v>28400.11808939563</v>
      </c>
      <c r="AN19" s="66">
        <f>Freight!E11*$AG$9*$AI$9*$AD$8/1000</f>
        <v>96680.460183838222</v>
      </c>
      <c r="AO19" s="66">
        <f t="shared" si="9"/>
        <v>167953.80128073459</v>
      </c>
      <c r="AP19" s="66"/>
      <c r="AQ19" s="66">
        <f>W19*Table514[Car_LPG]*0.01*$AD$9/$AL$8/1000</f>
        <v>131.13365949095467</v>
      </c>
      <c r="AR19" s="66">
        <f>X19*Table514[DPV_LPG]*0.01*$AD$9/$AL$8/1000</f>
        <v>13.464616822731953</v>
      </c>
      <c r="AS19" s="31">
        <f>AS18*(1-$AT$11)</f>
        <v>2825.5605100714251</v>
      </c>
      <c r="AT19" s="66">
        <f t="shared" si="10"/>
        <v>2970.1587863851119</v>
      </c>
      <c r="AU19" s="31">
        <f t="shared" si="11"/>
        <v>29701.58786385112</v>
      </c>
      <c r="AW19" s="148">
        <f t="shared" si="3"/>
        <v>314814.56242226361</v>
      </c>
      <c r="AX19" s="165"/>
      <c r="AY19" s="163">
        <f>AJ19*(1-$AZ$8)</f>
        <v>142451.69633159245</v>
      </c>
      <c r="AZ19" s="163">
        <f>AO19*(1-$AZ$8)</f>
        <v>166274.26326792725</v>
      </c>
      <c r="BA19" s="163">
        <f>AT19*(1-$AZ$8)</f>
        <v>2940.4571985212606</v>
      </c>
      <c r="BB19" s="163">
        <f t="shared" si="15"/>
        <v>311666.41679804097</v>
      </c>
      <c r="BF19" s="117">
        <f t="shared" si="29"/>
        <v>2016</v>
      </c>
      <c r="BG19" s="85">
        <f t="shared" si="16"/>
        <v>442.26123449891514</v>
      </c>
      <c r="BH19" s="85">
        <f t="shared" si="17"/>
        <v>0.21060058785662625</v>
      </c>
      <c r="BI19" s="85">
        <f t="shared" si="18"/>
        <v>2.0421875186097088E-2</v>
      </c>
      <c r="BJ19" s="85">
        <f t="shared" si="19"/>
        <v>533.4959619230425</v>
      </c>
      <c r="BK19" s="85">
        <f t="shared" si="20"/>
        <v>2.807873483805487E-2</v>
      </c>
      <c r="BL19" s="85">
        <f t="shared" si="21"/>
        <v>2.807873483805487E-2</v>
      </c>
      <c r="BM19" s="85">
        <f t="shared" si="22"/>
        <v>9.6853367296332973</v>
      </c>
      <c r="BN19" s="85">
        <f t="shared" si="23"/>
        <v>9.5164956772942066E-3</v>
      </c>
      <c r="BO19" s="85">
        <f t="shared" si="24"/>
        <v>3.0698373152561961E-5</v>
      </c>
      <c r="BQ19" s="39">
        <f t="shared" si="25"/>
        <v>985.44253315159085</v>
      </c>
      <c r="BR19" s="39">
        <f t="shared" si="25"/>
        <v>0.24819581837197532</v>
      </c>
      <c r="BS19" s="39">
        <f t="shared" si="25"/>
        <v>4.8531308397304518E-2</v>
      </c>
      <c r="BT19" s="159">
        <f t="shared" si="26"/>
        <v>1006.1097585132869</v>
      </c>
    </row>
    <row r="20" spans="1:72" x14ac:dyDescent="0.25">
      <c r="A20" s="117">
        <f t="shared" si="27"/>
        <v>2017</v>
      </c>
      <c r="B20" s="66">
        <f>INDEX((Proj_PasMob!$Q$6:$Q$46),MATCH(A20,Proj_PasMob!$M$6:M$46,0))</f>
        <v>10920457866.053516</v>
      </c>
      <c r="C20" s="119">
        <f>B20*Table110[Gasoline]%</f>
        <v>5998647053.5899153</v>
      </c>
      <c r="D20" s="123">
        <f>B20*Table110[[Diesel ]]%</f>
        <v>4915828198.9088163</v>
      </c>
      <c r="E20" s="121">
        <f>B20*Table110[LPG]%</f>
        <v>5982613.5547860069</v>
      </c>
      <c r="F20" s="66">
        <f t="shared" si="4"/>
        <v>0</v>
      </c>
      <c r="H20" s="31">
        <f>C20*Table211[Autocycle]%</f>
        <v>678523375.78628314</v>
      </c>
      <c r="I20" s="66">
        <f>C20*Table211[Motocycle]%</f>
        <v>441769321.13624877</v>
      </c>
      <c r="J20" s="66">
        <f>C20*Table211[cars]%</f>
        <v>4666186141.7814074</v>
      </c>
      <c r="K20" s="66">
        <f>C20*Table211[DPV]%</f>
        <v>151307112.43623346</v>
      </c>
      <c r="L20" s="66">
        <f>C20*Table211[Hybrid]%</f>
        <v>60861102.449742876</v>
      </c>
      <c r="M20" s="66">
        <f t="shared" si="5"/>
        <v>0</v>
      </c>
      <c r="P20" s="66">
        <f>D20*Table312[Cars]%</f>
        <v>415703291.22453982</v>
      </c>
      <c r="Q20" s="66">
        <f>D20*Table312[DPV]%</f>
        <v>599599239.52249801</v>
      </c>
      <c r="R20" s="66">
        <f>D20*Table312[Buses]%</f>
        <v>3900525668.1617785</v>
      </c>
      <c r="S20" s="66">
        <f t="shared" si="6"/>
        <v>0</v>
      </c>
      <c r="W20" s="66">
        <f>E20*Table413[Cars]%</f>
        <v>5654453.3176036524</v>
      </c>
      <c r="X20" s="66">
        <f>E20*Table413[DPV]%</f>
        <v>328160.23718235479</v>
      </c>
      <c r="Y20" s="66">
        <f t="shared" si="7"/>
        <v>0</v>
      </c>
      <c r="AB20" s="117">
        <f t="shared" si="28"/>
        <v>2017</v>
      </c>
      <c r="AD20" s="66">
        <f>H20*Table514[Autocycle]*0.01*$AD$7/1000</f>
        <v>12043.789920206525</v>
      </c>
      <c r="AE20" s="66">
        <f>I20*Table514[Motocycle]*0.01*$AD$7/1000</f>
        <v>9409.6865402020976</v>
      </c>
      <c r="AF20" s="66">
        <f>J20*Table514[Car]*0.01*$AD$7/$AL$8/1000</f>
        <v>113339.20549642734</v>
      </c>
      <c r="AG20" s="66">
        <f>K20*Table514[DPV]*0.01*$AD$7/$AL$8/1000</f>
        <v>6502.224068641297</v>
      </c>
      <c r="AH20" s="66">
        <f>L20*Table514[Car_Hbrid]*0.01*$AD$7/$AL$8/1000</f>
        <v>909.71332082773563</v>
      </c>
      <c r="AI20" s="66">
        <f>Freight!E12*$AG$8*$AI$8*$AD$7/1000</f>
        <v>3305.2707720748726</v>
      </c>
      <c r="AJ20" s="66">
        <f t="shared" si="30"/>
        <v>145509.89011837984</v>
      </c>
      <c r="AK20" s="66">
        <f>P20*Table514[Car_Dsl]*0.01*$AD$8/$AL$8/1000</f>
        <v>13018.076751505325</v>
      </c>
      <c r="AL20" s="66">
        <f>Q20*Table514[DPV_Dsl]*0.01*$AD$8/$AL$8/1000</f>
        <v>30311.319450597861</v>
      </c>
      <c r="AM20" s="66">
        <f>R20*Table514[Bus]*0.01*$AD$8/$AL$9/1000</f>
        <v>28702.296738144745</v>
      </c>
      <c r="AN20" s="66">
        <f>Freight!E12*$AG$9*$AI$9*$AD$8/1000</f>
        <v>100390.60598214857</v>
      </c>
      <c r="AO20" s="66">
        <f t="shared" si="9"/>
        <v>172422.2989223965</v>
      </c>
      <c r="AP20" s="66"/>
      <c r="AQ20" s="66">
        <f>W20*Table514[Car_LPG]*0.01*$AD$9/$AL$8/1000</f>
        <v>132.52892805659133</v>
      </c>
      <c r="AR20" s="66">
        <f>X20*Table514[DPV_LPG]*0.01*$AD$9/$AL$8/1000</f>
        <v>13.607881005810716</v>
      </c>
      <c r="AS20" s="31">
        <f t="shared" ref="AS20:AS53" si="31">AS19*(1-$AT$11)</f>
        <v>2624.9457138563539</v>
      </c>
      <c r="AT20" s="66">
        <f t="shared" si="10"/>
        <v>2771.0825229187558</v>
      </c>
      <c r="AU20" s="31">
        <f t="shared" si="11"/>
        <v>27710.825229187558</v>
      </c>
      <c r="AW20" s="148">
        <f t="shared" si="3"/>
        <v>320703.2715636951</v>
      </c>
      <c r="AX20" s="165"/>
      <c r="AY20" s="163">
        <f t="shared" ref="AY20:AY23" si="32">AJ20*(1-$AZ$8)</f>
        <v>144054.79121719603</v>
      </c>
      <c r="AZ20" s="163">
        <f t="shared" ref="AZ20:AZ23" si="33">AO20*(1-$AZ$8)</f>
        <v>170698.07593317254</v>
      </c>
      <c r="BA20" s="163">
        <f t="shared" ref="BA20:BA23" si="34">AT20*(1-$AZ$8)</f>
        <v>2743.371697689568</v>
      </c>
      <c r="BB20" s="163">
        <f t="shared" si="15"/>
        <v>317496.23884805816</v>
      </c>
      <c r="BF20" s="117">
        <f t="shared" si="29"/>
        <v>2017</v>
      </c>
      <c r="BG20" s="85">
        <f t="shared" si="16"/>
        <v>447.2382670045555</v>
      </c>
      <c r="BH20" s="85">
        <f t="shared" si="17"/>
        <v>0.21297060333550258</v>
      </c>
      <c r="BI20" s="85">
        <f t="shared" si="18"/>
        <v>2.065169486889722E-2</v>
      </c>
      <c r="BJ20" s="85">
        <f t="shared" si="19"/>
        <v>547.68989757386203</v>
      </c>
      <c r="BK20" s="85">
        <f t="shared" si="20"/>
        <v>2.8825784082834843E-2</v>
      </c>
      <c r="BL20" s="85">
        <f t="shared" si="21"/>
        <v>2.8825784082834843E-2</v>
      </c>
      <c r="BM20" s="85">
        <f t="shared" si="22"/>
        <v>9.0361725652838523</v>
      </c>
      <c r="BN20" s="85">
        <f t="shared" si="23"/>
        <v>8.8786481624025179E-3</v>
      </c>
      <c r="BO20" s="85">
        <f t="shared" si="24"/>
        <v>2.8640800523879092E-5</v>
      </c>
      <c r="BQ20" s="39">
        <f t="shared" si="25"/>
        <v>1003.9643371437014</v>
      </c>
      <c r="BR20" s="39">
        <f t="shared" si="25"/>
        <v>0.25067503558073995</v>
      </c>
      <c r="BS20" s="39">
        <f t="shared" si="25"/>
        <v>4.9506119752255939E-2</v>
      </c>
      <c r="BT20" s="159">
        <f t="shared" si="26"/>
        <v>1024.9840367193922</v>
      </c>
    </row>
    <row r="21" spans="1:72" x14ac:dyDescent="0.25">
      <c r="A21" s="117">
        <f t="shared" si="27"/>
        <v>2018</v>
      </c>
      <c r="B21" s="66">
        <f>INDEX((Proj_PasMob!$Q$6:$Q$46),MATCH(A21,Proj_PasMob!$M$6:M$46,0))</f>
        <v>11030662221.254807</v>
      </c>
      <c r="C21" s="119">
        <f>B21*Table110[Gasoline]%</f>
        <v>6059182705.0002804</v>
      </c>
      <c r="D21" s="123">
        <f>B21*Table110[[Diesel ]]%</f>
        <v>4965436528.8511982</v>
      </c>
      <c r="E21" s="121">
        <f>B21*Table110[LPG]%</f>
        <v>6042987.4033288565</v>
      </c>
      <c r="F21" s="66">
        <f t="shared" si="4"/>
        <v>0</v>
      </c>
      <c r="H21" s="31">
        <f>C21*Table211[Autocycle]%</f>
        <v>685370728.89498138</v>
      </c>
      <c r="I21" s="66">
        <f>C21*Table211[Motocycle]%</f>
        <v>446227458.67779541</v>
      </c>
      <c r="J21" s="66">
        <f>C21*Table211[cars]%</f>
        <v>4713275196.2250605</v>
      </c>
      <c r="K21" s="66">
        <f>C21*Table211[DPV]%</f>
        <v>152834035.8462159</v>
      </c>
      <c r="L21" s="66">
        <f>C21*Table211[Hybrid]%</f>
        <v>61475285.356227316</v>
      </c>
      <c r="M21" s="66">
        <f t="shared" si="5"/>
        <v>0</v>
      </c>
      <c r="P21" s="66">
        <f>D21*Table312[Cars]%</f>
        <v>419898382.10134846</v>
      </c>
      <c r="Q21" s="66">
        <f>D21*Table312[DPV]%</f>
        <v>605650125.70156252</v>
      </c>
      <c r="R21" s="66">
        <f>D21*Table312[Buses]%</f>
        <v>3939888021.0482869</v>
      </c>
      <c r="S21" s="66">
        <f t="shared" si="6"/>
        <v>0</v>
      </c>
      <c r="W21" s="66">
        <f>E21*Table413[Cars]%</f>
        <v>5711515.5204458386</v>
      </c>
      <c r="X21" s="66">
        <f>E21*Table413[DPV]%</f>
        <v>331471.88288301742</v>
      </c>
      <c r="Y21" s="66">
        <f t="shared" si="7"/>
        <v>0</v>
      </c>
      <c r="AB21" s="117">
        <f t="shared" si="28"/>
        <v>2018</v>
      </c>
      <c r="AD21" s="66">
        <f>H21*Table514[Autocycle]*0.01*$AD$7/1000</f>
        <v>12165.330437885919</v>
      </c>
      <c r="AE21" s="66">
        <f>I21*Table514[Motocycle]*0.01*$AD$7/1000</f>
        <v>9504.6448698370423</v>
      </c>
      <c r="AF21" s="66">
        <f>J21*Table514[Car]*0.01*$AD$7/$AL$8/1000</f>
        <v>114482.97384515083</v>
      </c>
      <c r="AG21" s="66">
        <f>K21*Table514[DPV]*0.01*$AD$7/$AL$8/1000</f>
        <v>6567.8415930755409</v>
      </c>
      <c r="AH21" s="66">
        <f>L21*Table514[Car_Hbrid]*0.01*$AD$7/$AL$8/1000</f>
        <v>918.89373900887165</v>
      </c>
      <c r="AI21" s="66">
        <f>Freight!E13*$AG$8*$AI$8*$AD$7/1000</f>
        <v>3432.0664811448746</v>
      </c>
      <c r="AJ21" s="66">
        <f t="shared" si="30"/>
        <v>147071.75096610308</v>
      </c>
      <c r="AK21" s="66">
        <f>P21*Table514[Car_Dsl]*0.01*$AD$8/$AL$8/1000</f>
        <v>13149.44933422644</v>
      </c>
      <c r="AL21" s="66">
        <f>Q21*Table514[DPV_Dsl]*0.01*$AD$8/$AL$8/1000</f>
        <v>30617.207670334257</v>
      </c>
      <c r="AM21" s="66">
        <f>R21*Table514[Bus]*0.01*$AD$8/$AL$9/1000</f>
        <v>28991.94742345675</v>
      </c>
      <c r="AN21" s="66">
        <f>Freight!E13*$AG$9*$AI$9*$AD$8/1000</f>
        <v>104241.75735438037</v>
      </c>
      <c r="AO21" s="66">
        <f t="shared" si="9"/>
        <v>177000.36178239781</v>
      </c>
      <c r="AP21" s="66"/>
      <c r="AQ21" s="66">
        <f>W21*Table514[Car_LPG]*0.01*$AD$9/$AL$8/1000</f>
        <v>133.86635046516955</v>
      </c>
      <c r="AR21" s="66">
        <f>X21*Table514[DPV_LPG]*0.01*$AD$9/$AL$8/1000</f>
        <v>13.74520562812009</v>
      </c>
      <c r="AS21" s="31">
        <f t="shared" si="31"/>
        <v>2438.574568172553</v>
      </c>
      <c r="AT21" s="66">
        <f t="shared" si="10"/>
        <v>2586.1861242658424</v>
      </c>
      <c r="AU21" s="31">
        <f t="shared" si="11"/>
        <v>25861.861242658422</v>
      </c>
      <c r="AW21" s="148">
        <f t="shared" si="3"/>
        <v>326658.29887276673</v>
      </c>
      <c r="AX21" s="165"/>
      <c r="AY21" s="163">
        <f t="shared" si="32"/>
        <v>145601.03345644203</v>
      </c>
      <c r="AZ21" s="163">
        <f t="shared" si="33"/>
        <v>175230.35816457384</v>
      </c>
      <c r="BA21" s="163">
        <f t="shared" si="34"/>
        <v>2560.3242630231839</v>
      </c>
      <c r="BB21" s="163">
        <f t="shared" si="15"/>
        <v>323391.71588403906</v>
      </c>
      <c r="BF21" s="117">
        <f t="shared" si="29"/>
        <v>2018</v>
      </c>
      <c r="BG21" s="85">
        <f t="shared" si="16"/>
        <v>452.03879251020817</v>
      </c>
      <c r="BH21" s="85">
        <f t="shared" si="17"/>
        <v>0.21525656786200387</v>
      </c>
      <c r="BI21" s="85">
        <f t="shared" si="18"/>
        <v>2.0873364156315528E-2</v>
      </c>
      <c r="BJ21" s="85">
        <f t="shared" si="19"/>
        <v>562.23186108178004</v>
      </c>
      <c r="BK21" s="85">
        <f t="shared" si="20"/>
        <v>2.9591150583251579E-2</v>
      </c>
      <c r="BL21" s="85">
        <f t="shared" si="21"/>
        <v>2.9591150583251579E-2</v>
      </c>
      <c r="BM21" s="85">
        <f t="shared" si="22"/>
        <v>8.4332472640310225</v>
      </c>
      <c r="BN21" s="85">
        <f t="shared" si="23"/>
        <v>8.2862334448482317E-3</v>
      </c>
      <c r="BO21" s="85">
        <f t="shared" si="24"/>
        <v>2.6729785305962038E-5</v>
      </c>
      <c r="BQ21" s="39">
        <f t="shared" si="25"/>
        <v>1022.7039008560192</v>
      </c>
      <c r="BR21" s="39">
        <f t="shared" si="25"/>
        <v>0.25313395189010368</v>
      </c>
      <c r="BS21" s="39">
        <f t="shared" si="25"/>
        <v>5.0491244524873066E-2</v>
      </c>
      <c r="BT21" s="159">
        <f t="shared" si="26"/>
        <v>1044.0786405216838</v>
      </c>
    </row>
    <row r="22" spans="1:72" x14ac:dyDescent="0.25">
      <c r="A22" s="117">
        <f t="shared" si="27"/>
        <v>2019</v>
      </c>
      <c r="B22" s="66">
        <f>INDEX((Proj_PasMob!$Q$6:$Q$46),MATCH(A22,Proj_PasMob!$M$6:M$46,0))</f>
        <v>11136003379.607237</v>
      </c>
      <c r="C22" s="119">
        <f>B22*Table110[Gasoline]%</f>
        <v>6117046984.7697983</v>
      </c>
      <c r="D22" s="123">
        <f>B22*Table110[[Diesel ]]%</f>
        <v>5012855697.8170261</v>
      </c>
      <c r="E22" s="121">
        <f>B22*Table110[LPG]%</f>
        <v>6100697.0204132423</v>
      </c>
      <c r="F22" s="66">
        <f t="shared" si="4"/>
        <v>0</v>
      </c>
      <c r="H22" s="31">
        <f>C22*Table211[Autocycle]%</f>
        <v>691915915.85062313</v>
      </c>
      <c r="I22" s="66">
        <f>C22*Table211[Motocycle]%</f>
        <v>450488863.51849526</v>
      </c>
      <c r="J22" s="66">
        <f>C22*Table211[cars]%</f>
        <v>4758286262.5459404</v>
      </c>
      <c r="K22" s="66">
        <f>C22*Table211[DPV]%</f>
        <v>154293577.8074134</v>
      </c>
      <c r="L22" s="66">
        <f>C22*Table211[Hybrid]%</f>
        <v>62062365.047326267</v>
      </c>
      <c r="M22" s="66">
        <f t="shared" si="5"/>
        <v>0</v>
      </c>
      <c r="P22" s="66">
        <f>D22*Table312[Cars]%</f>
        <v>423908348.23698407</v>
      </c>
      <c r="Q22" s="66">
        <f>D22*Table312[DPV]%</f>
        <v>611433992.93618453</v>
      </c>
      <c r="R22" s="66">
        <f>D22*Table312[Buses]%</f>
        <v>3977513356.6438575</v>
      </c>
      <c r="S22" s="66">
        <f t="shared" si="6"/>
        <v>0</v>
      </c>
      <c r="W22" s="66">
        <f>E22*Table413[Cars]%</f>
        <v>5766059.6311078742</v>
      </c>
      <c r="X22" s="66">
        <f>E22*Table413[DPV]%</f>
        <v>334637.38930536772</v>
      </c>
      <c r="Y22" s="66">
        <f t="shared" si="7"/>
        <v>0</v>
      </c>
      <c r="AB22" s="117">
        <f t="shared" si="28"/>
        <v>2019</v>
      </c>
      <c r="AD22" s="66">
        <f>H22*Table514[Autocycle]*0.01*$AD$7/1000</f>
        <v>12281.50750634856</v>
      </c>
      <c r="AE22" s="66">
        <f>I22*Table514[Motocycle]*0.01*$AD$7/1000</f>
        <v>9595.4127929439492</v>
      </c>
      <c r="AF22" s="66">
        <f>J22*Table514[Car]*0.01*$AD$7/$AL$8/1000</f>
        <v>115576.26895605009</v>
      </c>
      <c r="AG22" s="66">
        <f>K22*Table514[DPV]*0.01*$AD$7/$AL$8/1000</f>
        <v>6630.5634884080555</v>
      </c>
      <c r="AH22" s="66">
        <f>L22*Table514[Car_Hbrid]*0.01*$AD$7/$AL$8/1000</f>
        <v>927.6690354442452</v>
      </c>
      <c r="AI22" s="66">
        <f>Freight!E14*$AG$8*$AI$8*$AD$7/1000</f>
        <v>3563.6810867473969</v>
      </c>
      <c r="AJ22" s="66">
        <f t="shared" si="30"/>
        <v>148575.10286594226</v>
      </c>
      <c r="AK22" s="66">
        <f>P22*Table514[Car_Dsl]*0.01*$AD$8/$AL$8/1000</f>
        <v>13275.024589526607</v>
      </c>
      <c r="AL22" s="66">
        <f>Q22*Table514[DPV_Dsl]*0.01*$AD$8/$AL$8/1000</f>
        <v>30909.597379747647</v>
      </c>
      <c r="AM22" s="66">
        <f>R22*Table514[Bus]*0.01*$AD$8/$AL$9/1000</f>
        <v>29268.816142960728</v>
      </c>
      <c r="AN22" s="66">
        <f>Freight!E14*$AG$9*$AI$9*$AD$8/1000</f>
        <v>108239.27251234255</v>
      </c>
      <c r="AO22" s="66">
        <f t="shared" si="9"/>
        <v>181692.71062457754</v>
      </c>
      <c r="AP22" s="66"/>
      <c r="AQ22" s="66">
        <f>W22*Table514[Car_LPG]*0.01*$AD$9/$AL$8/1000</f>
        <v>135.14475389549506</v>
      </c>
      <c r="AR22" s="66">
        <f>X22*Table514[DPV_LPG]*0.01*$AD$9/$AL$8/1000</f>
        <v>13.876470266055295</v>
      </c>
      <c r="AS22" s="31">
        <f t="shared" si="31"/>
        <v>2265.4357738323019</v>
      </c>
      <c r="AT22" s="66">
        <f t="shared" si="10"/>
        <v>2414.4569979938524</v>
      </c>
      <c r="AU22" s="31">
        <f t="shared" si="11"/>
        <v>24144.569979938526</v>
      </c>
      <c r="AW22" s="148">
        <f t="shared" si="3"/>
        <v>332682.27048851363</v>
      </c>
      <c r="AX22" s="165"/>
      <c r="AY22" s="163">
        <f t="shared" si="32"/>
        <v>147089.35183728283</v>
      </c>
      <c r="AZ22" s="163">
        <f t="shared" si="33"/>
        <v>179875.78351833177</v>
      </c>
      <c r="BA22" s="163">
        <f t="shared" si="34"/>
        <v>2390.3124280139136</v>
      </c>
      <c r="BB22" s="163">
        <f t="shared" si="15"/>
        <v>329355.44778362848</v>
      </c>
      <c r="BF22" s="117">
        <f t="shared" si="29"/>
        <v>2019</v>
      </c>
      <c r="BG22" s="85">
        <f t="shared" si="16"/>
        <v>456.65948528810173</v>
      </c>
      <c r="BH22" s="85">
        <f t="shared" si="17"/>
        <v>0.21745689775623891</v>
      </c>
      <c r="BI22" s="85">
        <f t="shared" si="18"/>
        <v>2.1086729479392864E-2</v>
      </c>
      <c r="BJ22" s="85">
        <f t="shared" si="19"/>
        <v>577.13684769207293</v>
      </c>
      <c r="BK22" s="85">
        <f t="shared" si="20"/>
        <v>3.0375623562740681E-2</v>
      </c>
      <c r="BL22" s="85">
        <f t="shared" si="21"/>
        <v>3.0375623562740681E-2</v>
      </c>
      <c r="BM22" s="85">
        <f t="shared" si="22"/>
        <v>7.8732588816407887</v>
      </c>
      <c r="BN22" s="85">
        <f t="shared" si="23"/>
        <v>7.7360071420242297E-3</v>
      </c>
      <c r="BO22" s="85">
        <f t="shared" si="24"/>
        <v>2.4954861748465255E-5</v>
      </c>
      <c r="BQ22" s="39">
        <f t="shared" si="25"/>
        <v>1041.6695918618154</v>
      </c>
      <c r="BR22" s="39">
        <f t="shared" si="25"/>
        <v>0.25556852846100381</v>
      </c>
      <c r="BS22" s="39">
        <f t="shared" si="25"/>
        <v>5.1487307903882014E-2</v>
      </c>
      <c r="BT22" s="159">
        <f t="shared" si="26"/>
        <v>1063.4020228286975</v>
      </c>
    </row>
    <row r="23" spans="1:72" x14ac:dyDescent="0.25">
      <c r="A23" s="117">
        <f t="shared" si="27"/>
        <v>2020</v>
      </c>
      <c r="B23" s="66">
        <f>INDEX((Proj_PasMob!$Q$6:$Q$46),MATCH(A23,Proj_PasMob!$M$6:M$46,0))</f>
        <v>11226441524.739933</v>
      </c>
      <c r="C23" s="119">
        <f>B23*Table110[Gasoline]%</f>
        <v>6166724985.4073706</v>
      </c>
      <c r="D23" s="123">
        <f>B23*Table110[[Diesel ]]%</f>
        <v>5053566297.0934811</v>
      </c>
      <c r="E23" s="121">
        <f>B23*Table110[LPG]%</f>
        <v>6150242.2390823653</v>
      </c>
      <c r="F23" s="66">
        <f t="shared" si="4"/>
        <v>0</v>
      </c>
      <c r="H23" s="31">
        <f>C23*Table211[Autocycle]%</f>
        <v>697535130.38246429</v>
      </c>
      <c r="I23" s="66">
        <f>C23*Table211[Motocycle]%</f>
        <v>454147391.25333387</v>
      </c>
      <c r="J23" s="66">
        <f>C23*Table211[cars]%</f>
        <v>4796929442.5923014</v>
      </c>
      <c r="K23" s="66">
        <f>C23*Table211[DPV]%</f>
        <v>155546632.83147553</v>
      </c>
      <c r="L23" s="66">
        <f>C23*Table211[Hybrid]%</f>
        <v>62566388.34779571</v>
      </c>
      <c r="M23" s="66">
        <f t="shared" si="5"/>
        <v>0</v>
      </c>
      <c r="P23" s="66">
        <f>D23*Table312[Cars]%</f>
        <v>427351009.2540437</v>
      </c>
      <c r="Q23" s="66">
        <f>D23*Table312[DPV]%</f>
        <v>616399594.53554189</v>
      </c>
      <c r="R23" s="66">
        <f>D23*Table312[Buses]%</f>
        <v>4009815693.3038955</v>
      </c>
      <c r="S23" s="66">
        <f t="shared" si="6"/>
        <v>0</v>
      </c>
      <c r="W23" s="66">
        <f>E23*Table413[Cars]%</f>
        <v>5812887.1795546403</v>
      </c>
      <c r="X23" s="66">
        <f>E23*Table413[DPV]%</f>
        <v>337355.05952772463</v>
      </c>
      <c r="Y23" s="66">
        <f t="shared" si="7"/>
        <v>0</v>
      </c>
      <c r="AB23" s="117">
        <f t="shared" si="28"/>
        <v>2020</v>
      </c>
      <c r="AD23" s="66">
        <f>H23*Table514[Autocycle]*0.01*$AD$7/1000</f>
        <v>12381.248564288742</v>
      </c>
      <c r="AE23" s="66">
        <f>I23*Table514[Motocycle]*0.01*$AD$7/1000</f>
        <v>9673.3394336960118</v>
      </c>
      <c r="AF23" s="66">
        <f>J23*Table514[Car]*0.01*$AD$7/$AL$8/1000</f>
        <v>116514.89146086037</v>
      </c>
      <c r="AG23" s="66">
        <f>K23*Table514[DPV]*0.01*$AD$7/$AL$8/1000</f>
        <v>6684.4118793105135</v>
      </c>
      <c r="AH23" s="66">
        <f>L23*Table514[Car_Hbrid]*0.01*$AD$7/$AL$8/1000</f>
        <v>935.20285740915688</v>
      </c>
      <c r="AI23" s="66">
        <f>Freight!E15*$AG$8*$AI$8*$AD$7/1000</f>
        <v>3700.3341521094567</v>
      </c>
      <c r="AJ23" s="66">
        <f t="shared" si="30"/>
        <v>149889.42834767423</v>
      </c>
      <c r="AK23" s="66">
        <f>P23*Table514[Car_Dsl]*0.01*$AD$8/$AL$8/1000</f>
        <v>13382.834237166107</v>
      </c>
      <c r="AL23" s="66">
        <f>Q23*Table514[DPV_Dsl]*0.01*$AD$8/$AL$8/1000</f>
        <v>31160.621607967798</v>
      </c>
      <c r="AM23" s="66">
        <f>R23*Table514[Bus]*0.01*$AD$8/$AL$9/1000</f>
        <v>29506.515194583382</v>
      </c>
      <c r="AN23" s="66">
        <f>Freight!E15*$AG$9*$AI$9*$AD$8/1000</f>
        <v>112389.82022447552</v>
      </c>
      <c r="AO23" s="66">
        <f t="shared" si="9"/>
        <v>186439.79126419281</v>
      </c>
      <c r="AP23" s="66"/>
      <c r="AQ23" s="66">
        <f>W23*Table514[Car_LPG]*0.01*$AD$9/$AL$8/1000</f>
        <v>136.24229674368644</v>
      </c>
      <c r="AR23" s="66">
        <f>X23*Table514[DPV_LPG]*0.01*$AD$9/$AL$8/1000</f>
        <v>13.98916439778923</v>
      </c>
      <c r="AS23" s="31">
        <f t="shared" si="31"/>
        <v>2104.5898338902084</v>
      </c>
      <c r="AT23" s="66">
        <f t="shared" si="10"/>
        <v>2254.8212950316843</v>
      </c>
      <c r="AU23" s="31">
        <f t="shared" si="11"/>
        <v>22548.212950316843</v>
      </c>
      <c r="AW23" s="148">
        <f t="shared" si="3"/>
        <v>338584.04090689874</v>
      </c>
      <c r="AX23" s="165"/>
      <c r="AY23" s="163">
        <f t="shared" si="32"/>
        <v>148390.53406419748</v>
      </c>
      <c r="AZ23" s="163">
        <f t="shared" si="33"/>
        <v>184575.39335155088</v>
      </c>
      <c r="BA23" s="163">
        <f t="shared" si="34"/>
        <v>2232.2730820813672</v>
      </c>
      <c r="BB23" s="163">
        <f t="shared" si="15"/>
        <v>335198.2004978297</v>
      </c>
      <c r="BF23" s="117">
        <f t="shared" si="29"/>
        <v>2020</v>
      </c>
      <c r="BG23" s="85">
        <f t="shared" si="16"/>
        <v>460.69918767707003</v>
      </c>
      <c r="BH23" s="85">
        <f t="shared" si="17"/>
        <v>0.2193805655605095</v>
      </c>
      <c r="BI23" s="85">
        <f t="shared" si="18"/>
        <v>2.1273266963443348E-2</v>
      </c>
      <c r="BJ23" s="85">
        <f t="shared" si="19"/>
        <v>592.21568683025146</v>
      </c>
      <c r="BK23" s="85">
        <f t="shared" si="20"/>
        <v>3.1169246675276395E-2</v>
      </c>
      <c r="BL23" s="85">
        <f t="shared" si="21"/>
        <v>3.1169246675276395E-2</v>
      </c>
      <c r="BM23" s="85">
        <f t="shared" si="22"/>
        <v>7.3527057232212485</v>
      </c>
      <c r="BN23" s="85">
        <f t="shared" si="23"/>
        <v>7.2245286028481369E-3</v>
      </c>
      <c r="BO23" s="85">
        <f t="shared" si="24"/>
        <v>2.3304930976929471E-5</v>
      </c>
      <c r="BQ23" s="39">
        <f t="shared" si="25"/>
        <v>1060.2675802305428</v>
      </c>
      <c r="BR23" s="39">
        <f t="shared" si="25"/>
        <v>0.25777434083863399</v>
      </c>
      <c r="BS23" s="39">
        <f t="shared" si="25"/>
        <v>5.2465818569696669E-2</v>
      </c>
      <c r="BT23" s="159">
        <f t="shared" si="26"/>
        <v>1082.3467526852783</v>
      </c>
    </row>
    <row r="24" spans="1:72" x14ac:dyDescent="0.25">
      <c r="A24" s="117">
        <f t="shared" si="27"/>
        <v>2021</v>
      </c>
      <c r="B24" s="66">
        <f>INDEX((Proj_PasMob!$Q$6:$Q$46),MATCH(A24,Proj_PasMob!$M$6:M$46,0))</f>
        <v>11311365658.45142</v>
      </c>
      <c r="C24" s="119">
        <f>B24*Table110[Gasoline]%</f>
        <v>6213374119.6026182</v>
      </c>
      <c r="D24" s="123">
        <f>B24*Table110[[Diesel ]]%</f>
        <v>5091794772.1617794</v>
      </c>
      <c r="E24" s="121">
        <f>B24*Table110[LPG]%</f>
        <v>6196766.6870224234</v>
      </c>
      <c r="F24" s="66">
        <f t="shared" si="4"/>
        <v>0</v>
      </c>
      <c r="H24" s="31">
        <f>C24*Table211[Autocycle]%</f>
        <v>702811741.54643071</v>
      </c>
      <c r="I24" s="66">
        <f>C24*Table211[Motocycle]%</f>
        <v>457582858.64471757</v>
      </c>
      <c r="J24" s="66">
        <f>C24*Table211[cars]%</f>
        <v>4833216548.9286709</v>
      </c>
      <c r="K24" s="66">
        <f>C24*Table211[DPV]%</f>
        <v>156723289.12241521</v>
      </c>
      <c r="L24" s="66">
        <f>C24*Table211[Hybrid]%</f>
        <v>63039681.360384218</v>
      </c>
      <c r="M24" s="66">
        <f t="shared" si="5"/>
        <v>0</v>
      </c>
      <c r="P24" s="66">
        <f>D24*Table312[Cars]%</f>
        <v>430583771.31597143</v>
      </c>
      <c r="Q24" s="66">
        <f>D24*Table312[DPV]%</f>
        <v>621062443.53098571</v>
      </c>
      <c r="R24" s="66">
        <f>D24*Table312[Buses]%</f>
        <v>4040148557.3148222</v>
      </c>
      <c r="S24" s="66">
        <f t="shared" si="6"/>
        <v>0</v>
      </c>
      <c r="W24" s="66">
        <f>E24*Table413[Cars]%</f>
        <v>5856859.6535570584</v>
      </c>
      <c r="X24" s="66">
        <f>E24*Table413[DPV]%</f>
        <v>339907.03346536495</v>
      </c>
      <c r="Y24" s="66">
        <f t="shared" si="7"/>
        <v>0</v>
      </c>
      <c r="AB24" s="117">
        <f t="shared" si="28"/>
        <v>2021</v>
      </c>
      <c r="AD24" s="66">
        <f>H24*Table514[Autocycle]*0.01*$AD$7/1000</f>
        <v>12474.908412449146</v>
      </c>
      <c r="AE24" s="66">
        <f>I24*Table514[Motocycle]*0.01*$AD$7/1000</f>
        <v>9746.5148891324825</v>
      </c>
      <c r="AF24" s="66">
        <f>J24*Table514[Car]*0.01*$AD$7/$AL$8/1000</f>
        <v>117396.28617529378</v>
      </c>
      <c r="AG24" s="66">
        <f>K24*Table514[DPV]*0.01*$AD$7/$AL$8/1000</f>
        <v>6734.9771351816853</v>
      </c>
      <c r="AH24" s="66">
        <f>L24*Table514[Car_Hbrid]*0.01*$AD$7/$AL$8/1000</f>
        <v>942.27734243942723</v>
      </c>
      <c r="AI24" s="66">
        <f>Freight!E16*$AG$8*$AI$8*$AD$7/1000</f>
        <v>3842.1793086271005</v>
      </c>
      <c r="AJ24" s="66">
        <f t="shared" si="30"/>
        <v>151137.14326312361</v>
      </c>
      <c r="AK24" s="66">
        <f>P24*Table514[Car_Dsl]*0.01*$AD$8/$AL$8/1000</f>
        <v>13484.070733315946</v>
      </c>
      <c r="AL24" s="66">
        <f>Q24*Table514[DPV_Dsl]*0.01*$AD$8/$AL$8/1000</f>
        <v>31396.340895342728</v>
      </c>
      <c r="AM24" s="66">
        <f>R24*Table514[Bus]*0.01*$AD$8/$AL$9/1000</f>
        <v>29729.721741040925</v>
      </c>
      <c r="AN24" s="66">
        <f>Freight!E16*$AG$9*$AI$9*$AD$8/1000</f>
        <v>116698.066719361</v>
      </c>
      <c r="AO24" s="66">
        <f t="shared" si="9"/>
        <v>191308.20008906059</v>
      </c>
      <c r="AP24" s="66"/>
      <c r="AQ24" s="66">
        <f>W24*Table514[Car_LPG]*0.01*$AD$9/$AL$8/1000</f>
        <v>137.27292243218474</v>
      </c>
      <c r="AR24" s="66">
        <f>X24*Table514[DPV_LPG]*0.01*$AD$9/$AL$8/1000</f>
        <v>14.094987571161825</v>
      </c>
      <c r="AS24" s="31">
        <f t="shared" si="31"/>
        <v>1955.1639556840037</v>
      </c>
      <c r="AT24" s="66">
        <f t="shared" si="10"/>
        <v>2106.5318656873501</v>
      </c>
      <c r="AU24" s="31">
        <f t="shared" si="11"/>
        <v>21065.3186568735</v>
      </c>
      <c r="AW24" s="148">
        <f t="shared" si="3"/>
        <v>344551.87521787151</v>
      </c>
      <c r="AX24" s="165"/>
      <c r="AY24" s="163">
        <f>AJ24*(1-$BB$8)</f>
        <v>148870.08611417675</v>
      </c>
      <c r="AZ24" s="163">
        <f>AO24*(1-$BB$8)</f>
        <v>188438.57708772467</v>
      </c>
      <c r="BA24" s="163">
        <f>AT24*(1-$BB$8)</f>
        <v>2074.93388770204</v>
      </c>
      <c r="BB24" s="163">
        <f t="shared" si="15"/>
        <v>339383.59708960343</v>
      </c>
      <c r="BF24" s="117">
        <f t="shared" si="29"/>
        <v>2021</v>
      </c>
      <c r="BG24" s="85">
        <f t="shared" si="16"/>
        <v>462.18802415351769</v>
      </c>
      <c r="BH24" s="85">
        <f t="shared" si="17"/>
        <v>0.22008953531119885</v>
      </c>
      <c r="BI24" s="85">
        <f t="shared" si="18"/>
        <v>2.1342015545328375E-2</v>
      </c>
      <c r="BJ24" s="85">
        <f t="shared" si="19"/>
        <v>604.61082774327724</v>
      </c>
      <c r="BK24" s="85">
        <f t="shared" si="20"/>
        <v>3.1821622512804057E-2</v>
      </c>
      <c r="BL24" s="85">
        <f t="shared" si="21"/>
        <v>3.1821622512804057E-2</v>
      </c>
      <c r="BM24" s="85">
        <f t="shared" si="22"/>
        <v>6.8344587379907322</v>
      </c>
      <c r="BN24" s="85">
        <f t="shared" si="23"/>
        <v>6.7153160341588821E-3</v>
      </c>
      <c r="BO24" s="85">
        <f t="shared" si="24"/>
        <v>2.1662309787609299E-5</v>
      </c>
      <c r="BQ24" s="39">
        <f t="shared" si="25"/>
        <v>1073.6333106347856</v>
      </c>
      <c r="BR24" s="39">
        <f t="shared" si="25"/>
        <v>0.25862647385816179</v>
      </c>
      <c r="BS24" s="39">
        <f t="shared" si="25"/>
        <v>5.318530036792004E-2</v>
      </c>
      <c r="BT24" s="159">
        <f t="shared" si="26"/>
        <v>1095.9481919908796</v>
      </c>
    </row>
    <row r="25" spans="1:72" x14ac:dyDescent="0.25">
      <c r="A25" s="117">
        <f t="shared" si="27"/>
        <v>2022</v>
      </c>
      <c r="B25" s="66">
        <f>INDEX((Proj_PasMob!$Q$6:$Q$46),MATCH(A25,Proj_PasMob!$M$6:M$46,0))</f>
        <v>11390768424.65041</v>
      </c>
      <c r="C25" s="119">
        <f>B25*Table110[Gasoline]%</f>
        <v>6256990346.6279593</v>
      </c>
      <c r="D25" s="123">
        <f>B25*Table110[[Diesel ]]%</f>
        <v>5127537811.6881447</v>
      </c>
      <c r="E25" s="121">
        <f>B25*Table110[LPG]%</f>
        <v>6240266.3343061004</v>
      </c>
      <c r="F25" s="66">
        <f t="shared" si="4"/>
        <v>0</v>
      </c>
      <c r="H25" s="31">
        <f>C25*Table211[Autocycle]%</f>
        <v>707745292.28477323</v>
      </c>
      <c r="I25" s="66">
        <f>C25*Table211[Motocycle]%</f>
        <v>460794968.11396503</v>
      </c>
      <c r="J25" s="66">
        <f>C25*Table211[cars]%</f>
        <v>4867144438.3817835</v>
      </c>
      <c r="K25" s="66">
        <f>C25*Table211[DPV]%</f>
        <v>157823444.75877959</v>
      </c>
      <c r="L25" s="66">
        <f>C25*Table211[Hybrid]%</f>
        <v>63482203.088658251</v>
      </c>
      <c r="M25" s="66">
        <f t="shared" si="5"/>
        <v>0</v>
      </c>
      <c r="P25" s="66">
        <f>D25*Table312[Cars]%</f>
        <v>433606354.40233254</v>
      </c>
      <c r="Q25" s="66">
        <f>D25*Table312[DPV]%</f>
        <v>625422136.02857709</v>
      </c>
      <c r="R25" s="66">
        <f>D25*Table312[Buses]%</f>
        <v>4068509321.2572351</v>
      </c>
      <c r="S25" s="66">
        <f t="shared" si="6"/>
        <v>0</v>
      </c>
      <c r="W25" s="66">
        <f>E25*Table413[Cars]%</f>
        <v>5897973.2442386774</v>
      </c>
      <c r="X25" s="66">
        <f>E25*Table413[DPV]%</f>
        <v>342293.09006742318</v>
      </c>
      <c r="Y25" s="66">
        <f t="shared" si="7"/>
        <v>0</v>
      </c>
      <c r="AB25" s="117">
        <f t="shared" si="28"/>
        <v>2022</v>
      </c>
      <c r="AD25" s="66">
        <f>H25*Table514[Autocycle]*0.01*$AD$7/1000</f>
        <v>12562.478938054726</v>
      </c>
      <c r="AE25" s="66">
        <f>I25*Table514[Motocycle]*0.01*$AD$7/1000</f>
        <v>9814.9328208274546</v>
      </c>
      <c r="AF25" s="66">
        <f>J25*Table514[Car]*0.01*$AD$7/$AL$8/1000</f>
        <v>118220.37675332595</v>
      </c>
      <c r="AG25" s="66">
        <f>K25*Table514[DPV]*0.01*$AD$7/$AL$8/1000</f>
        <v>6782.2548760812388</v>
      </c>
      <c r="AH25" s="66">
        <f>L25*Table514[Car_Hbrid]*0.01*$AD$7/$AL$8/1000</f>
        <v>948.89187774626021</v>
      </c>
      <c r="AI25" s="66">
        <f>Freight!E17*$AG$8*$AI$8*$AD$7/1000</f>
        <v>3989.4138557642418</v>
      </c>
      <c r="AJ25" s="66">
        <f t="shared" si="30"/>
        <v>152318.3491217999</v>
      </c>
      <c r="AK25" s="66">
        <f>P25*Table514[Car_Dsl]*0.01*$AD$8/$AL$8/1000</f>
        <v>13578.725308915151</v>
      </c>
      <c r="AL25" s="66">
        <f>Q25*Table514[DPV_Dsl]*0.01*$AD$8/$AL$8/1000</f>
        <v>31616.734823970964</v>
      </c>
      <c r="AM25" s="66">
        <f>R25*Table514[Bus]*0.01*$AD$8/$AL$9/1000</f>
        <v>29938.416448280022</v>
      </c>
      <c r="AN25" s="66">
        <f>Freight!E17*$AG$9*$AI$9*$AD$8/1000</f>
        <v>121170.0045507436</v>
      </c>
      <c r="AO25" s="66">
        <f t="shared" si="9"/>
        <v>196303.88113190973</v>
      </c>
      <c r="AP25" s="66"/>
      <c r="AQ25" s="66">
        <f>W25*Table514[Car_LPG]*0.01*$AD$9/$AL$8/1000</f>
        <v>138.23654168864394</v>
      </c>
      <c r="AR25" s="66">
        <f>X25*Table514[DPV_LPG]*0.01*$AD$9/$AL$8/1000</f>
        <v>14.193930619816113</v>
      </c>
      <c r="AS25" s="31">
        <f t="shared" si="31"/>
        <v>1816.3473148304395</v>
      </c>
      <c r="AT25" s="66">
        <f t="shared" si="10"/>
        <v>1968.7777871388996</v>
      </c>
      <c r="AU25" s="31">
        <f t="shared" si="11"/>
        <v>19687.777871388997</v>
      </c>
      <c r="AW25" s="148">
        <f t="shared" si="3"/>
        <v>350591.00804084854</v>
      </c>
      <c r="AX25" s="165"/>
      <c r="AY25" s="163">
        <f t="shared" ref="AY25:AY53" si="35">AJ25*(1-$BB$8)</f>
        <v>150033.5738849729</v>
      </c>
      <c r="AZ25" s="163">
        <f t="shared" ref="AZ25:AZ53" si="36">AO25*(1-$BB$8)</f>
        <v>193359.32291493108</v>
      </c>
      <c r="BA25" s="163">
        <f t="shared" ref="BA25:BA53" si="37">AT25*(1-$BB$8)</f>
        <v>1939.2461203318162</v>
      </c>
      <c r="BB25" s="163">
        <f t="shared" si="15"/>
        <v>345332.14292023575</v>
      </c>
      <c r="BF25" s="117">
        <f t="shared" si="29"/>
        <v>2022</v>
      </c>
      <c r="BG25" s="85">
        <f t="shared" si="16"/>
        <v>465.80023482624222</v>
      </c>
      <c r="BH25" s="85">
        <f t="shared" si="17"/>
        <v>0.22180963563154391</v>
      </c>
      <c r="BI25" s="85">
        <f t="shared" si="18"/>
        <v>2.1508813152149715E-2</v>
      </c>
      <c r="BJ25" s="85">
        <f t="shared" si="19"/>
        <v>620.39918835224375</v>
      </c>
      <c r="BK25" s="85">
        <f t="shared" si="20"/>
        <v>3.2652588860644406E-2</v>
      </c>
      <c r="BL25" s="85">
        <f t="shared" si="21"/>
        <v>3.2652588860644406E-2</v>
      </c>
      <c r="BM25" s="85">
        <f t="shared" si="22"/>
        <v>6.3875276560713425</v>
      </c>
      <c r="BN25" s="85">
        <f t="shared" si="23"/>
        <v>6.2761761438418903E-3</v>
      </c>
      <c r="BO25" s="85">
        <f t="shared" si="24"/>
        <v>2.0245729496264164E-5</v>
      </c>
      <c r="BQ25" s="39">
        <f t="shared" si="25"/>
        <v>1092.5869508345575</v>
      </c>
      <c r="BR25" s="39">
        <f t="shared" si="25"/>
        <v>0.26073840063603021</v>
      </c>
      <c r="BS25" s="39">
        <f t="shared" si="25"/>
        <v>5.4181647742290388E-2</v>
      </c>
      <c r="BT25" s="159">
        <f t="shared" si="26"/>
        <v>1115.2515418776607</v>
      </c>
    </row>
    <row r="26" spans="1:72" x14ac:dyDescent="0.25">
      <c r="A26" s="117">
        <f t="shared" si="27"/>
        <v>2023</v>
      </c>
      <c r="B26" s="66">
        <f>INDEX((Proj_PasMob!$Q$6:$Q$46),MATCH(A26,Proj_PasMob!$M$6:M$46,0))</f>
        <v>11464670555.718056</v>
      </c>
      <c r="C26" s="119">
        <f>B26*Table110[Gasoline]%</f>
        <v>6297585054.8554411</v>
      </c>
      <c r="D26" s="123">
        <f>B26*Table110[[Diesel ]]%</f>
        <v>5160804748.3237495</v>
      </c>
      <c r="E26" s="121">
        <f>B26*Table110[LPG]%</f>
        <v>6280752.5388660058</v>
      </c>
      <c r="F26" s="66">
        <f t="shared" si="4"/>
        <v>0</v>
      </c>
      <c r="H26" s="31">
        <f>C26*Table211[Autocycle]%</f>
        <v>712337070.76740396</v>
      </c>
      <c r="I26" s="66">
        <f>C26*Table211[Motocycle]%</f>
        <v>463784558.35575902</v>
      </c>
      <c r="J26" s="66">
        <f>C26*Table211[cars]%</f>
        <v>4898721969.6598358</v>
      </c>
      <c r="K26" s="66">
        <f>C26*Table211[DPV]%</f>
        <v>158847386.99562377</v>
      </c>
      <c r="L26" s="66">
        <f>C26*Table211[Hybrid]%</f>
        <v>63894069.076818302</v>
      </c>
      <c r="M26" s="66">
        <f t="shared" si="5"/>
        <v>0</v>
      </c>
      <c r="P26" s="66">
        <f>D26*Table312[Cars]%</f>
        <v>436419547.72171032</v>
      </c>
      <c r="Q26" s="66">
        <f>D26*Table312[DPV]%</f>
        <v>629479810.36153686</v>
      </c>
      <c r="R26" s="66">
        <f>D26*Table312[Buses]%</f>
        <v>4094905390.2405024</v>
      </c>
      <c r="S26" s="66">
        <f t="shared" si="6"/>
        <v>0</v>
      </c>
      <c r="W26" s="66">
        <f>E26*Table413[Cars]%</f>
        <v>5936238.6865231451</v>
      </c>
      <c r="X26" s="66">
        <f>E26*Table413[DPV]%</f>
        <v>344513.85234286106</v>
      </c>
      <c r="Y26" s="66">
        <f t="shared" si="7"/>
        <v>0</v>
      </c>
      <c r="AB26" s="117">
        <f t="shared" si="28"/>
        <v>2023</v>
      </c>
      <c r="AD26" s="66">
        <f>H26*Table514[Autocycle]*0.01*$AD$7/1000</f>
        <v>12643.98300612142</v>
      </c>
      <c r="AE26" s="66">
        <f>I26*Table514[Motocycle]*0.01*$AD$7/1000</f>
        <v>9878.6110929776678</v>
      </c>
      <c r="AF26" s="66">
        <f>J26*Table514[Car]*0.01*$AD$7/$AL$8/1000</f>
        <v>118987.37836831654</v>
      </c>
      <c r="AG26" s="66">
        <f>K26*Table514[DPV]*0.01*$AD$7/$AL$8/1000</f>
        <v>6826.2574464172012</v>
      </c>
      <c r="AH26" s="66">
        <f>L26*Table514[Car_Hbrid]*0.01*$AD$7/$AL$8/1000</f>
        <v>955.04819041138944</v>
      </c>
      <c r="AI26" s="66">
        <f>Freight!E18*$AG$8*$AI$8*$AD$7/1000</f>
        <v>4142.2425903644207</v>
      </c>
      <c r="AJ26" s="66">
        <f t="shared" si="30"/>
        <v>153433.52069460863</v>
      </c>
      <c r="AK26" s="66">
        <f>P26*Table514[Car_Dsl]*0.01*$AD$8/$AL$8/1000</f>
        <v>13666.82267865356</v>
      </c>
      <c r="AL26" s="66">
        <f>Q26*Table514[DPV_Dsl]*0.01*$AD$8/$AL$8/1000</f>
        <v>31821.86093959244</v>
      </c>
      <c r="AM26" s="66">
        <f>R26*Table514[Bus]*0.01*$AD$8/$AL$9/1000</f>
        <v>30132.653807326893</v>
      </c>
      <c r="AN26" s="66">
        <f>Freight!E18*$AG$9*$AI$9*$AD$8/1000</f>
        <v>125811.85398941019</v>
      </c>
      <c r="AO26" s="66">
        <f t="shared" si="9"/>
        <v>201433.19141498307</v>
      </c>
      <c r="AP26" s="66"/>
      <c r="AQ26" s="66">
        <f>W26*Table514[Car_LPG]*0.01*$AD$9/$AL$8/1000</f>
        <v>139.13340611792196</v>
      </c>
      <c r="AR26" s="66">
        <f>X26*Table514[DPV_LPG]*0.01*$AD$9/$AL$8/1000</f>
        <v>14.286019378179482</v>
      </c>
      <c r="AS26" s="31">
        <f t="shared" si="31"/>
        <v>1687.3866554774784</v>
      </c>
      <c r="AT26" s="66">
        <f t="shared" si="10"/>
        <v>1840.8060809735798</v>
      </c>
      <c r="AU26" s="31">
        <f t="shared" si="11"/>
        <v>18408.060809735798</v>
      </c>
      <c r="AW26" s="148">
        <f t="shared" si="3"/>
        <v>356707.51819056529</v>
      </c>
      <c r="AX26" s="165"/>
      <c r="AY26" s="163">
        <f t="shared" si="35"/>
        <v>151132.0178841895</v>
      </c>
      <c r="AZ26" s="163">
        <f t="shared" si="36"/>
        <v>198411.69354375833</v>
      </c>
      <c r="BA26" s="163">
        <f t="shared" si="37"/>
        <v>1813.1939897589762</v>
      </c>
      <c r="BB26" s="163">
        <f t="shared" si="15"/>
        <v>351356.90541770682</v>
      </c>
      <c r="BF26" s="117">
        <f t="shared" si="29"/>
        <v>2023</v>
      </c>
      <c r="BG26" s="85">
        <f t="shared" si="16"/>
        <v>469.21050800397001</v>
      </c>
      <c r="BH26" s="85">
        <f t="shared" si="17"/>
        <v>0.22343357523998572</v>
      </c>
      <c r="BI26" s="85">
        <f t="shared" si="18"/>
        <v>2.1666286083877401E-2</v>
      </c>
      <c r="BJ26" s="85">
        <f t="shared" si="19"/>
        <v>636.60987108595486</v>
      </c>
      <c r="BK26" s="85">
        <f t="shared" si="20"/>
        <v>3.3505782688734463E-2</v>
      </c>
      <c r="BL26" s="85">
        <f t="shared" si="21"/>
        <v>3.3505782688734463E-2</v>
      </c>
      <c r="BM26" s="85">
        <f t="shared" si="22"/>
        <v>5.9723346273479105</v>
      </c>
      <c r="BN26" s="85">
        <f t="shared" si="23"/>
        <v>5.868221028455951E-3</v>
      </c>
      <c r="BO26" s="85">
        <f t="shared" si="24"/>
        <v>1.8929745253083713E-5</v>
      </c>
      <c r="BQ26" s="39">
        <f t="shared" si="25"/>
        <v>1111.7927137172728</v>
      </c>
      <c r="BR26" s="39">
        <f t="shared" si="25"/>
        <v>0.26280757895717616</v>
      </c>
      <c r="BS26" s="39">
        <f t="shared" si="25"/>
        <v>5.519099851786495E-2</v>
      </c>
      <c r="BT26" s="159">
        <f t="shared" si="26"/>
        <v>1134.8098207495259</v>
      </c>
    </row>
    <row r="27" spans="1:72" x14ac:dyDescent="0.25">
      <c r="A27" s="117">
        <f t="shared" si="27"/>
        <v>2024</v>
      </c>
      <c r="B27" s="66">
        <f>INDEX((Proj_PasMob!$Q$6:$Q$46),MATCH(A27,Proj_PasMob!$M$6:M$46,0))</f>
        <v>11533120767.919504</v>
      </c>
      <c r="C27" s="119">
        <f>B27*Table110[Gasoline]%</f>
        <v>6335185004.305932</v>
      </c>
      <c r="D27" s="123">
        <f>B27*Table110[[Diesel ]]%</f>
        <v>5191617511.6243763</v>
      </c>
      <c r="E27" s="121">
        <f>B27*Table110[LPG]%</f>
        <v>6318251.9891974181</v>
      </c>
      <c r="F27" s="66">
        <f t="shared" si="4"/>
        <v>0</v>
      </c>
      <c r="H27" s="31">
        <f>C27*Table211[Autocycle]%</f>
        <v>716590103.89347744</v>
      </c>
      <c r="I27" s="66">
        <f>C27*Table211[Motocycle]%</f>
        <v>466553600.10719198</v>
      </c>
      <c r="J27" s="66">
        <f>C27*Table211[cars]%</f>
        <v>4927969958.6630507</v>
      </c>
      <c r="K27" s="66">
        <f>C27*Table211[DPV]%</f>
        <v>159795790.81539801</v>
      </c>
      <c r="L27" s="66">
        <f>C27*Table211[Hybrid]%</f>
        <v>64275550.826814242</v>
      </c>
      <c r="M27" s="66">
        <f t="shared" si="5"/>
        <v>0</v>
      </c>
      <c r="P27" s="66">
        <f>D27*Table312[Cars]%</f>
        <v>439025205.73039263</v>
      </c>
      <c r="Q27" s="66">
        <f>D27*Table312[DPV]%</f>
        <v>633238141.34770584</v>
      </c>
      <c r="R27" s="66">
        <f>D27*Table312[Buses]%</f>
        <v>4119354164.5462775</v>
      </c>
      <c r="S27" s="66">
        <f t="shared" si="6"/>
        <v>0</v>
      </c>
      <c r="W27" s="66">
        <f>E27*Table413[Cars]%</f>
        <v>5971681.2049798379</v>
      </c>
      <c r="X27" s="66">
        <f>E27*Table413[DPV]%</f>
        <v>346570.78421757987</v>
      </c>
      <c r="Y27" s="66">
        <f t="shared" si="7"/>
        <v>0</v>
      </c>
      <c r="AB27" s="117">
        <f t="shared" si="28"/>
        <v>2024</v>
      </c>
      <c r="AD27" s="66">
        <f>H27*Table514[Autocycle]*0.01*$AD$7/1000</f>
        <v>12719.474344109225</v>
      </c>
      <c r="AE27" s="66">
        <f>I27*Table514[Motocycle]*0.01*$AD$7/1000</f>
        <v>9937.5916822831896</v>
      </c>
      <c r="AF27" s="66">
        <f>J27*Table514[Car]*0.01*$AD$7/$AL$8/1000</f>
        <v>119697.79662752622</v>
      </c>
      <c r="AG27" s="66">
        <f>K27*Table514[DPV]*0.01*$AD$7/$AL$8/1000</f>
        <v>6867.0138526722349</v>
      </c>
      <c r="AH27" s="66">
        <f>L27*Table514[Car_Hbrid]*0.01*$AD$7/$AL$8/1000</f>
        <v>960.75033867448667</v>
      </c>
      <c r="AI27" s="66">
        <f>Freight!E19*$AG$8*$AI$8*$AD$7/1000</f>
        <v>4300.8780915512325</v>
      </c>
      <c r="AJ27" s="66">
        <f t="shared" si="30"/>
        <v>154483.50493681658</v>
      </c>
      <c r="AK27" s="66">
        <f>P27*Table514[Car_Dsl]*0.01*$AD$8/$AL$8/1000</f>
        <v>13748.420916293877</v>
      </c>
      <c r="AL27" s="66">
        <f>Q27*Table514[DPV_Dsl]*0.01*$AD$8/$AL$8/1000</f>
        <v>32011.854461287974</v>
      </c>
      <c r="AM27" s="66">
        <f>R27*Table514[Bus]*0.01*$AD$8/$AL$9/1000</f>
        <v>30312.561859396967</v>
      </c>
      <c r="AN27" s="66">
        <f>Freight!E19*$AG$9*$AI$9*$AD$8/1000</f>
        <v>130630.07167643761</v>
      </c>
      <c r="AO27" s="66">
        <f t="shared" si="9"/>
        <v>206702.90891341644</v>
      </c>
      <c r="AP27" s="66"/>
      <c r="AQ27" s="66">
        <f>W27*Table514[Car_LPG]*0.01*$AD$9/$AL$8/1000</f>
        <v>139.96410693281209</v>
      </c>
      <c r="AR27" s="66">
        <f>X27*Table514[DPV_LPG]*0.01*$AD$9/$AL$8/1000</f>
        <v>14.371314551136951</v>
      </c>
      <c r="AS27" s="31">
        <f t="shared" si="31"/>
        <v>1567.5822029385774</v>
      </c>
      <c r="AT27" s="66">
        <f t="shared" si="10"/>
        <v>1721.9176244225264</v>
      </c>
      <c r="AU27" s="31">
        <f t="shared" si="11"/>
        <v>17219.176244225266</v>
      </c>
      <c r="AW27" s="148">
        <f t="shared" si="3"/>
        <v>362908.33147465554</v>
      </c>
      <c r="AX27" s="165"/>
      <c r="AY27" s="163">
        <f t="shared" si="35"/>
        <v>152166.25236276432</v>
      </c>
      <c r="AZ27" s="163">
        <f t="shared" si="36"/>
        <v>203602.36527971519</v>
      </c>
      <c r="BA27" s="163">
        <f t="shared" si="37"/>
        <v>1696.0888600561884</v>
      </c>
      <c r="BB27" s="163">
        <f t="shared" si="15"/>
        <v>357464.70650253573</v>
      </c>
      <c r="BF27" s="117">
        <f t="shared" si="29"/>
        <v>2024</v>
      </c>
      <c r="BG27" s="85">
        <f t="shared" si="16"/>
        <v>472.42143373553262</v>
      </c>
      <c r="BH27" s="85">
        <f t="shared" si="17"/>
        <v>0.22496258749311074</v>
      </c>
      <c r="BI27" s="85">
        <f t="shared" si="18"/>
        <v>2.1814553938725889E-2</v>
      </c>
      <c r="BJ27" s="85">
        <f t="shared" si="19"/>
        <v>653.2642970709245</v>
      </c>
      <c r="BK27" s="85">
        <f t="shared" si="20"/>
        <v>3.4382331424785501E-2</v>
      </c>
      <c r="BL27" s="85">
        <f t="shared" si="21"/>
        <v>3.4382331424785501E-2</v>
      </c>
      <c r="BM27" s="85">
        <f t="shared" si="22"/>
        <v>5.5866114090302741</v>
      </c>
      <c r="BN27" s="85">
        <f t="shared" si="23"/>
        <v>5.4892219866858483E-3</v>
      </c>
      <c r="BO27" s="85">
        <f t="shared" si="24"/>
        <v>1.7707167698986606E-5</v>
      </c>
      <c r="BQ27" s="39">
        <f t="shared" si="25"/>
        <v>1131.2723422154872</v>
      </c>
      <c r="BR27" s="39">
        <f t="shared" si="25"/>
        <v>0.26483414090458207</v>
      </c>
      <c r="BS27" s="39">
        <f t="shared" si="25"/>
        <v>5.6214592531210375E-2</v>
      </c>
      <c r="BT27" s="159">
        <f t="shared" si="26"/>
        <v>1154.6451443124026</v>
      </c>
    </row>
    <row r="28" spans="1:72" x14ac:dyDescent="0.25">
      <c r="A28" s="117">
        <f t="shared" si="27"/>
        <v>2025</v>
      </c>
      <c r="B28" s="66">
        <f>INDEX((Proj_PasMob!$Q$6:$Q$46),MATCH(A28,Proj_PasMob!$M$6:M$46,0))</f>
        <v>11579968602.290739</v>
      </c>
      <c r="C28" s="119">
        <f>B28*Table110[Gasoline]%</f>
        <v>6360918689.3826027</v>
      </c>
      <c r="D28" s="123">
        <f>B28*Table110[[Diesel ]]%</f>
        <v>5212705996.0162077</v>
      </c>
      <c r="E28" s="121">
        <f>B28*Table110[LPG]%</f>
        <v>6343916.8919294691</v>
      </c>
      <c r="F28" s="66">
        <f t="shared" si="4"/>
        <v>0</v>
      </c>
      <c r="H28" s="31">
        <f>C28*Table211[Autocycle]%</f>
        <v>719500911.39951229</v>
      </c>
      <c r="I28" s="66">
        <f>C28*Table211[Motocycle]%</f>
        <v>468448752.87832415</v>
      </c>
      <c r="J28" s="66">
        <f>C28*Table211[cars]%</f>
        <v>4947987499.8867617</v>
      </c>
      <c r="K28" s="66">
        <f>C28*Table211[DPV]%</f>
        <v>160444885.44398835</v>
      </c>
      <c r="L28" s="66">
        <f>C28*Table211[Hybrid]%</f>
        <v>64536639.774016663</v>
      </c>
      <c r="M28" s="66">
        <f t="shared" si="5"/>
        <v>0</v>
      </c>
      <c r="P28" s="66">
        <f>D28*Table312[Cars]%</f>
        <v>440808537.45271927</v>
      </c>
      <c r="Q28" s="66">
        <f>D28*Table312[DPV]%</f>
        <v>635810371.02953875</v>
      </c>
      <c r="R28" s="66">
        <f>D28*Table312[Buses]%</f>
        <v>4136087087.5339499</v>
      </c>
      <c r="S28" s="66">
        <f t="shared" si="6"/>
        <v>0</v>
      </c>
      <c r="W28" s="66">
        <f>E28*Table413[Cars]%</f>
        <v>5995938.328237135</v>
      </c>
      <c r="X28" s="66">
        <f>E28*Table413[DPV]%</f>
        <v>347978.5636923337</v>
      </c>
      <c r="Y28" s="66">
        <f t="shared" si="7"/>
        <v>0</v>
      </c>
      <c r="AB28" s="117">
        <f t="shared" si="28"/>
        <v>2025</v>
      </c>
      <c r="AD28" s="66">
        <f>H28*Table514[Autocycle]*0.01*$AD$7/1000</f>
        <v>12771.141177341342</v>
      </c>
      <c r="AE28" s="66">
        <f>I28*Table514[Motocycle]*0.01*$AD$7/1000</f>
        <v>9977.9584363083031</v>
      </c>
      <c r="AF28" s="66">
        <f>J28*Table514[Car]*0.01*$AD$7/$AL$8/1000</f>
        <v>120184.01216830211</v>
      </c>
      <c r="AG28" s="66">
        <f>K28*Table514[DPV]*0.01*$AD$7/$AL$8/1000</f>
        <v>6894.9078402640253</v>
      </c>
      <c r="AH28" s="66">
        <f>L28*Table514[Car_Hbrid]*0.01*$AD$7/$AL$8/1000</f>
        <v>964.65293135898594</v>
      </c>
      <c r="AI28" s="66">
        <f>Freight!E20*$AG$8*$AI$8*$AD$7/1000</f>
        <v>4465.5936066152526</v>
      </c>
      <c r="AJ28" s="66">
        <f t="shared" si="30"/>
        <v>155258.26616019005</v>
      </c>
      <c r="AK28" s="66">
        <f>P28*Table514[Car_Dsl]*0.01*$AD$8/$AL$8/1000</f>
        <v>13804.267357072</v>
      </c>
      <c r="AL28" s="66">
        <f>Q28*Table514[DPV_Dsl]*0.01*$AD$8/$AL$8/1000</f>
        <v>32141.887440730105</v>
      </c>
      <c r="AM28" s="66">
        <f>R28*Table514[Bus]*0.01*$AD$8/$AL$9/1000</f>
        <v>30435.692268410538</v>
      </c>
      <c r="AN28" s="66">
        <f>Freight!E20*$AG$9*$AI$9*$AD$8/1000</f>
        <v>135632.95692010506</v>
      </c>
      <c r="AO28" s="66">
        <f t="shared" si="9"/>
        <v>212014.80398631771</v>
      </c>
      <c r="AP28" s="66"/>
      <c r="AQ28" s="66">
        <f>W28*Table514[Car_LPG]*0.01*$AD$9/$AL$8/1000</f>
        <v>140.53264474937126</v>
      </c>
      <c r="AR28" s="66">
        <f>X28*Table514[DPV_LPG]*0.01*$AD$9/$AL$8/1000</f>
        <v>14.429691201944367</v>
      </c>
      <c r="AS28" s="31">
        <f t="shared" si="31"/>
        <v>1456.2838665299385</v>
      </c>
      <c r="AT28" s="66">
        <f t="shared" si="10"/>
        <v>1611.2462024812542</v>
      </c>
      <c r="AU28" s="31">
        <f t="shared" si="11"/>
        <v>16112.462024812541</v>
      </c>
      <c r="AW28" s="148">
        <f t="shared" si="3"/>
        <v>368884.31634898903</v>
      </c>
      <c r="AX28" s="165"/>
      <c r="AY28" s="163">
        <f t="shared" si="35"/>
        <v>152929.39216778718</v>
      </c>
      <c r="AZ28" s="163">
        <f t="shared" si="36"/>
        <v>208834.58192652295</v>
      </c>
      <c r="BA28" s="163">
        <f t="shared" si="37"/>
        <v>1587.0775094440353</v>
      </c>
      <c r="BB28" s="163">
        <f t="shared" si="15"/>
        <v>363351.05160375417</v>
      </c>
      <c r="BF28" s="117">
        <f t="shared" si="29"/>
        <v>2025</v>
      </c>
      <c r="BG28" s="85">
        <f t="shared" si="16"/>
        <v>474.79070809979879</v>
      </c>
      <c r="BH28" s="85">
        <f t="shared" si="17"/>
        <v>0.22609081338085654</v>
      </c>
      <c r="BI28" s="85">
        <f t="shared" si="18"/>
        <v>2.1923957661173967E-2</v>
      </c>
      <c r="BJ28" s="85">
        <f t="shared" si="19"/>
        <v>670.05202114870667</v>
      </c>
      <c r="BK28" s="85">
        <f t="shared" si="20"/>
        <v>3.5265895849931922E-2</v>
      </c>
      <c r="BL28" s="85">
        <f t="shared" si="21"/>
        <v>3.5265895849931922E-2</v>
      </c>
      <c r="BM28" s="85">
        <f t="shared" si="22"/>
        <v>5.227547642156952</v>
      </c>
      <c r="BN28" s="85">
        <f t="shared" si="23"/>
        <v>5.1364176515646754E-3</v>
      </c>
      <c r="BO28" s="85">
        <f t="shared" si="24"/>
        <v>1.6569089198595728E-5</v>
      </c>
      <c r="BQ28" s="39">
        <f t="shared" si="25"/>
        <v>1150.0702768906624</v>
      </c>
      <c r="BR28" s="39">
        <f t="shared" si="25"/>
        <v>0.26649312688235316</v>
      </c>
      <c r="BS28" s="39">
        <f t="shared" si="25"/>
        <v>5.7206422600304487E-2</v>
      </c>
      <c r="BT28" s="159">
        <f t="shared" si="26"/>
        <v>1173.7801189976119</v>
      </c>
    </row>
    <row r="29" spans="1:72" x14ac:dyDescent="0.25">
      <c r="A29" s="117">
        <f t="shared" si="27"/>
        <v>2026</v>
      </c>
      <c r="B29" s="66">
        <f>INDEX((Proj_PasMob!$Q$6:$Q$46),MATCH(A29,Proj_PasMob!$M$6:M$46,0))</f>
        <v>11620868294.841003</v>
      </c>
      <c r="C29" s="119">
        <f>B29*Table110[Gasoline]%</f>
        <v>6383385038.6161852</v>
      </c>
      <c r="D29" s="123">
        <f>B29*Table110[[Diesel ]]%</f>
        <v>5231116933.0328941</v>
      </c>
      <c r="E29" s="121">
        <f>B29*Table110[LPG]%</f>
        <v>6366323.1919252239</v>
      </c>
      <c r="F29" s="66">
        <f t="shared" si="4"/>
        <v>0</v>
      </c>
      <c r="H29" s="31">
        <f>C29*Table211[Autocycle]%</f>
        <v>722042141.61148834</v>
      </c>
      <c r="I29" s="66">
        <f>C29*Table211[Motocycle]%</f>
        <v>470103283.26837105</v>
      </c>
      <c r="J29" s="66">
        <f>C29*Table211[cars]%</f>
        <v>4965463468.4699488</v>
      </c>
      <c r="K29" s="66">
        <f>C29*Table211[DPV]%</f>
        <v>161011566.29704553</v>
      </c>
      <c r="L29" s="66">
        <f>C29*Table211[Hybrid]%</f>
        <v>64764578.969332129</v>
      </c>
      <c r="M29" s="66">
        <f t="shared" si="5"/>
        <v>0</v>
      </c>
      <c r="P29" s="66">
        <f>D29*Table312[Cars]%</f>
        <v>442365444.40769851</v>
      </c>
      <c r="Q29" s="66">
        <f>D29*Table312[DPV]%</f>
        <v>638056011.7206744</v>
      </c>
      <c r="R29" s="66">
        <f>D29*Table312[Buses]%</f>
        <v>4150695476.904521</v>
      </c>
      <c r="S29" s="66">
        <f t="shared" si="6"/>
        <v>0</v>
      </c>
      <c r="W29" s="66">
        <f>E29*Table413[Cars]%</f>
        <v>6017115.5906803804</v>
      </c>
      <c r="X29" s="66">
        <f>E29*Table413[DPV]%</f>
        <v>349207.60124484351</v>
      </c>
      <c r="Y29" s="66">
        <f t="shared" si="7"/>
        <v>0</v>
      </c>
      <c r="AB29" s="117">
        <f t="shared" si="28"/>
        <v>2026</v>
      </c>
      <c r="AD29" s="66">
        <f>H29*Table514[Autocycle]*0.01*$AD$7/1000</f>
        <v>12816.248013603916</v>
      </c>
      <c r="AE29" s="66">
        <f>I29*Table514[Motocycle]*0.01*$AD$7/1000</f>
        <v>10013.199933616303</v>
      </c>
      <c r="AF29" s="66">
        <f>J29*Table514[Car]*0.01*$AD$7/$AL$8/1000</f>
        <v>120608.49424730954</v>
      </c>
      <c r="AG29" s="66">
        <f>K29*Table514[DPV]*0.01*$AD$7/$AL$8/1000</f>
        <v>6919.260204291455</v>
      </c>
      <c r="AH29" s="66">
        <f>L29*Table514[Car_Hbrid]*0.01*$AD$7/$AL$8/1000</f>
        <v>968.06002248896448</v>
      </c>
      <c r="AI29" s="66">
        <f>Freight!E21*$AG$8*$AI$8*$AD$7/1000</f>
        <v>4636.5655874974436</v>
      </c>
      <c r="AJ29" s="66">
        <f t="shared" si="30"/>
        <v>155961.82800880761</v>
      </c>
      <c r="AK29" s="66">
        <f>P29*Table514[Car_Dsl]*0.01*$AD$8/$AL$8/1000</f>
        <v>13853.023127504242</v>
      </c>
      <c r="AL29" s="66">
        <f>Q29*Table514[DPV_Dsl]*0.01*$AD$8/$AL$8/1000</f>
        <v>32255.410487247773</v>
      </c>
      <c r="AM29" s="66">
        <f>R29*Table514[Bus]*0.01*$AD$8/$AL$9/1000</f>
        <v>30543.18914505027</v>
      </c>
      <c r="AN29" s="66">
        <f>Freight!E21*$AG$9*$AI$9*$AD$8/1000</f>
        <v>140825.86907475945</v>
      </c>
      <c r="AO29" s="66">
        <f t="shared" si="9"/>
        <v>217477.49183456175</v>
      </c>
      <c r="AP29" s="66"/>
      <c r="AQ29" s="66">
        <f>W29*Table514[Car_LPG]*0.01*$AD$9/$AL$8/1000</f>
        <v>141.02899686921967</v>
      </c>
      <c r="AR29" s="66">
        <f>X29*Table514[DPV_LPG]*0.01*$AD$9/$AL$8/1000</f>
        <v>14.480655928535947</v>
      </c>
      <c r="AS29" s="31">
        <f t="shared" si="31"/>
        <v>1352.887712006313</v>
      </c>
      <c r="AT29" s="66">
        <f t="shared" si="10"/>
        <v>1508.3973648040687</v>
      </c>
      <c r="AU29" s="31">
        <f t="shared" si="11"/>
        <v>15083.973648040686</v>
      </c>
      <c r="AW29" s="148">
        <f t="shared" si="3"/>
        <v>374947.71720817342</v>
      </c>
      <c r="AX29" s="165"/>
      <c r="AY29" s="163">
        <f t="shared" si="35"/>
        <v>153622.40058867549</v>
      </c>
      <c r="AZ29" s="163">
        <f t="shared" si="36"/>
        <v>214215.32945704332</v>
      </c>
      <c r="BA29" s="163">
        <f t="shared" si="37"/>
        <v>1485.7714043320077</v>
      </c>
      <c r="BB29" s="163">
        <f t="shared" si="15"/>
        <v>369323.50145005086</v>
      </c>
      <c r="BF29" s="117">
        <f t="shared" si="29"/>
        <v>2026</v>
      </c>
      <c r="BG29" s="85">
        <f t="shared" si="16"/>
        <v>476.94224976362545</v>
      </c>
      <c r="BH29" s="85">
        <f t="shared" si="17"/>
        <v>0.22711535703029778</v>
      </c>
      <c r="BI29" s="85">
        <f t="shared" si="18"/>
        <v>2.2023307348392515E-2</v>
      </c>
      <c r="BJ29" s="85">
        <f t="shared" si="19"/>
        <v>687.3163110228071</v>
      </c>
      <c r="BK29" s="85">
        <f t="shared" si="20"/>
        <v>3.6174542685410899E-2</v>
      </c>
      <c r="BL29" s="85">
        <f t="shared" si="21"/>
        <v>3.6174542685410899E-2</v>
      </c>
      <c r="BM29" s="85">
        <f t="shared" si="22"/>
        <v>4.8938635670168535</v>
      </c>
      <c r="BN29" s="85">
        <f t="shared" si="23"/>
        <v>4.8085505729801095E-3</v>
      </c>
      <c r="BO29" s="85">
        <f t="shared" si="24"/>
        <v>1.551145346122616E-5</v>
      </c>
      <c r="BQ29" s="39">
        <f t="shared" si="25"/>
        <v>1169.1524243534493</v>
      </c>
      <c r="BR29" s="39">
        <f t="shared" si="25"/>
        <v>0.26809845028868884</v>
      </c>
      <c r="BS29" s="39">
        <f t="shared" si="25"/>
        <v>5.8213361487264637E-2</v>
      </c>
      <c r="BT29" s="159">
        <f t="shared" si="26"/>
        <v>1193.2024673338715</v>
      </c>
    </row>
    <row r="30" spans="1:72" x14ac:dyDescent="0.25">
      <c r="A30" s="117">
        <f t="shared" si="27"/>
        <v>2027</v>
      </c>
      <c r="B30" s="66">
        <f>INDEX((Proj_PasMob!$Q$6:$Q$46),MATCH(A30,Proj_PasMob!$M$6:M$46,0))</f>
        <v>11655992787.406569</v>
      </c>
      <c r="C30" s="119">
        <f>B30*Table110[Gasoline]%</f>
        <v>6402679049.5836401</v>
      </c>
      <c r="D30" s="123">
        <f>B30*Table110[[Diesel ]]%</f>
        <v>5246928172.1900826</v>
      </c>
      <c r="E30" s="121">
        <f>B30*Table110[LPG]%</f>
        <v>6385565.6328471322</v>
      </c>
      <c r="F30" s="66">
        <f t="shared" si="4"/>
        <v>0</v>
      </c>
      <c r="H30" s="31">
        <f>C30*Table211[Autocycle]%</f>
        <v>724224539.96517396</v>
      </c>
      <c r="I30" s="66">
        <f>C30*Table211[Motocycle]%</f>
        <v>471524187.35740006</v>
      </c>
      <c r="J30" s="66">
        <f>C30*Table211[cars]%</f>
        <v>4980471760.4716988</v>
      </c>
      <c r="K30" s="66">
        <f>C30*Table211[DPV]%</f>
        <v>161498229.54972875</v>
      </c>
      <c r="L30" s="66">
        <f>C30*Table211[Hybrid]%</f>
        <v>64960332.239638969</v>
      </c>
      <c r="M30" s="66">
        <f t="shared" si="5"/>
        <v>0</v>
      </c>
      <c r="P30" s="66">
        <f>D30*Table312[Cars]%</f>
        <v>443702509.88070273</v>
      </c>
      <c r="Q30" s="66">
        <f>D30*Table312[DPV]%</f>
        <v>639984558.97475922</v>
      </c>
      <c r="R30" s="66">
        <f>D30*Table312[Buses]%</f>
        <v>4163241103.3346205</v>
      </c>
      <c r="S30" s="66">
        <f t="shared" si="6"/>
        <v>0</v>
      </c>
      <c r="W30" s="66">
        <f>E30*Table413[Cars]%</f>
        <v>6035302.5390622681</v>
      </c>
      <c r="X30" s="66">
        <f>E30*Table413[DPV]%</f>
        <v>350263.09378486377</v>
      </c>
      <c r="Y30" s="66">
        <f t="shared" si="7"/>
        <v>0</v>
      </c>
      <c r="AB30" s="117">
        <f t="shared" si="28"/>
        <v>2027</v>
      </c>
      <c r="AD30" s="66">
        <f>H30*Table514[Autocycle]*0.01*$AD$7/1000</f>
        <v>12854.985584381835</v>
      </c>
      <c r="AE30" s="66">
        <f>I30*Table514[Motocycle]*0.01*$AD$7/1000</f>
        <v>10043.465190712621</v>
      </c>
      <c r="AF30" s="66">
        <f>J30*Table514[Car]*0.01*$AD$7/$AL$8/1000</f>
        <v>120973.03776093101</v>
      </c>
      <c r="AG30" s="66">
        <f>K30*Table514[DPV]*0.01*$AD$7/$AL$8/1000</f>
        <v>6940.1739172291327</v>
      </c>
      <c r="AH30" s="66">
        <f>L30*Table514[Car_Hbrid]*0.01*$AD$7/$AL$8/1000</f>
        <v>970.98601873986672</v>
      </c>
      <c r="AI30" s="66">
        <f>Freight!E22*$AG$8*$AI$8*$AD$7/1000</f>
        <v>4814.0317798988908</v>
      </c>
      <c r="AJ30" s="66">
        <f t="shared" si="30"/>
        <v>156596.68025189335</v>
      </c>
      <c r="AK30" s="66">
        <f>P30*Table514[Car_Dsl]*0.01*$AD$8/$AL$8/1000</f>
        <v>13894.894388369376</v>
      </c>
      <c r="AL30" s="66">
        <f>Q30*Table514[DPV_Dsl]*0.01*$AD$8/$AL$8/1000</f>
        <v>32352.90362606612</v>
      </c>
      <c r="AM30" s="66">
        <f>R30*Table514[Bus]*0.01*$AD$8/$AL$9/1000</f>
        <v>30635.507033252328</v>
      </c>
      <c r="AN30" s="66">
        <f>Freight!E22*$AG$9*$AI$9*$AD$8/1000</f>
        <v>146216.02916301816</v>
      </c>
      <c r="AO30" s="66">
        <f t="shared" si="9"/>
        <v>223099.334210706</v>
      </c>
      <c r="AP30" s="66"/>
      <c r="AQ30" s="66">
        <f>W30*Table514[Car_LPG]*0.01*$AD$9/$AL$8/1000</f>
        <v>141.45526208679044</v>
      </c>
      <c r="AR30" s="66">
        <f>X30*Table514[DPV_LPG]*0.01*$AD$9/$AL$8/1000</f>
        <v>14.524424232125805</v>
      </c>
      <c r="AS30" s="31">
        <f t="shared" si="31"/>
        <v>1256.8326844538649</v>
      </c>
      <c r="AT30" s="66">
        <f t="shared" si="10"/>
        <v>1412.8123707727812</v>
      </c>
      <c r="AU30" s="31">
        <f t="shared" si="11"/>
        <v>14128.123707727811</v>
      </c>
      <c r="AW30" s="148">
        <f t="shared" si="3"/>
        <v>381108.82683337212</v>
      </c>
      <c r="AX30" s="165"/>
      <c r="AY30" s="163">
        <f t="shared" si="35"/>
        <v>154247.73004811496</v>
      </c>
      <c r="AZ30" s="163">
        <f t="shared" si="36"/>
        <v>219752.8441975454</v>
      </c>
      <c r="BA30" s="163">
        <f t="shared" si="37"/>
        <v>1391.6201852111894</v>
      </c>
      <c r="BB30" s="163">
        <f t="shared" si="15"/>
        <v>375392.19443087152</v>
      </c>
      <c r="BF30" s="117">
        <f t="shared" si="29"/>
        <v>2027</v>
      </c>
      <c r="BG30" s="85">
        <f t="shared" si="16"/>
        <v>478.88367261657959</v>
      </c>
      <c r="BH30" s="85">
        <f t="shared" si="17"/>
        <v>0.2280398441031331</v>
      </c>
      <c r="BI30" s="85">
        <f t="shared" si="18"/>
        <v>2.2112954579697756E-2</v>
      </c>
      <c r="BJ30" s="85">
        <f t="shared" si="19"/>
        <v>705.08359319315025</v>
      </c>
      <c r="BK30" s="85">
        <f t="shared" si="20"/>
        <v>3.7109662799639488E-2</v>
      </c>
      <c r="BL30" s="85">
        <f t="shared" si="21"/>
        <v>3.7109662799639488E-2</v>
      </c>
      <c r="BM30" s="85">
        <f t="shared" si="22"/>
        <v>4.5837463984523188</v>
      </c>
      <c r="BN30" s="85">
        <f t="shared" si="23"/>
        <v>4.503839567417494E-3</v>
      </c>
      <c r="BO30" s="85">
        <f t="shared" si="24"/>
        <v>1.4528514733604819E-5</v>
      </c>
      <c r="BQ30" s="39">
        <f t="shared" si="25"/>
        <v>1188.5510122081821</v>
      </c>
      <c r="BR30" s="39">
        <f t="shared" si="25"/>
        <v>0.26965334647019013</v>
      </c>
      <c r="BS30" s="39">
        <f t="shared" si="25"/>
        <v>5.923714589407085E-2</v>
      </c>
      <c r="BT30" s="159">
        <f t="shared" si="26"/>
        <v>1212.9450153463699</v>
      </c>
    </row>
    <row r="31" spans="1:72" x14ac:dyDescent="0.25">
      <c r="A31" s="117">
        <f t="shared" si="27"/>
        <v>2028</v>
      </c>
      <c r="B31" s="66">
        <f>INDEX((Proj_PasMob!$Q$6:$Q$46),MATCH(A31,Proj_PasMob!$M$6:M$46,0))</f>
        <v>11685542498.092731</v>
      </c>
      <c r="C31" s="119">
        <f>B31*Table110[Gasoline]%</f>
        <v>6418910812.6760092</v>
      </c>
      <c r="D31" s="123">
        <f>B31*Table110[[Diesel ]]%</f>
        <v>5260229931.4058914</v>
      </c>
      <c r="E31" s="121">
        <f>B31*Table110[LPG]%</f>
        <v>6401754.0108308597</v>
      </c>
      <c r="F31" s="66">
        <f t="shared" si="4"/>
        <v>0</v>
      </c>
      <c r="H31" s="31">
        <f>C31*Table211[Autocycle]%</f>
        <v>726060559.08581984</v>
      </c>
      <c r="I31" s="66">
        <f>C31*Table211[Motocycle]%</f>
        <v>472719572.73315227</v>
      </c>
      <c r="J31" s="66">
        <f>C31*Table211[cars]%</f>
        <v>4993098012.2450819</v>
      </c>
      <c r="K31" s="66">
        <f>C31*Table211[DPV]%</f>
        <v>161907652.07139313</v>
      </c>
      <c r="L31" s="66">
        <f>C31*Table211[Hybrid]%</f>
        <v>65125016.540562026</v>
      </c>
      <c r="M31" s="66">
        <f t="shared" si="5"/>
        <v>0</v>
      </c>
      <c r="P31" s="66">
        <f>D31*Table312[Cars]%</f>
        <v>444827363.08169854</v>
      </c>
      <c r="Q31" s="66">
        <f>D31*Table312[DPV]%</f>
        <v>641607016.95892572</v>
      </c>
      <c r="R31" s="66">
        <f>D31*Table312[Buses]%</f>
        <v>4173795551.3652673</v>
      </c>
      <c r="S31" s="66">
        <f t="shared" si="6"/>
        <v>0</v>
      </c>
      <c r="W31" s="66">
        <f>E31*Table413[Cars]%</f>
        <v>6050602.9469456226</v>
      </c>
      <c r="X31" s="66">
        <f>E31*Table413[DPV]%</f>
        <v>351151.06388523703</v>
      </c>
      <c r="Y31" s="66">
        <f t="shared" si="7"/>
        <v>0</v>
      </c>
      <c r="AB31" s="117">
        <f t="shared" si="28"/>
        <v>2028</v>
      </c>
      <c r="AD31" s="66">
        <f>H31*Table514[Autocycle]*0.01*$AD$7/1000</f>
        <v>12887.574923773302</v>
      </c>
      <c r="AE31" s="66">
        <f>I31*Table514[Motocycle]*0.01*$AD$7/1000</f>
        <v>10068.926899216141</v>
      </c>
      <c r="AF31" s="66">
        <f>J31*Table514[Car]*0.01*$AD$7/$AL$8/1000</f>
        <v>121279.7227711108</v>
      </c>
      <c r="AG31" s="66">
        <f>K31*Table514[DPV]*0.01*$AD$7/$AL$8/1000</f>
        <v>6957.7683113838166</v>
      </c>
      <c r="AH31" s="66">
        <f>L31*Table514[Car_Hbrid]*0.01*$AD$7/$AL$8/1000</f>
        <v>973.44761565892702</v>
      </c>
      <c r="AI31" s="66">
        <f>Freight!E23*$AG$8*$AI$8*$AD$7/1000</f>
        <v>4998.2389638573313</v>
      </c>
      <c r="AJ31" s="66">
        <f t="shared" si="30"/>
        <v>157165.67948500029</v>
      </c>
      <c r="AK31" s="66">
        <f>P31*Table514[Car_Dsl]*0.01*$AD$8/$AL$8/1000</f>
        <v>13930.120054400559</v>
      </c>
      <c r="AL31" s="66">
        <f>Q31*Table514[DPV_Dsl]*0.01*$AD$8/$AL$8/1000</f>
        <v>32434.923146792018</v>
      </c>
      <c r="AM31" s="66">
        <f>R31*Table514[Bus]*0.01*$AD$8/$AL$9/1000</f>
        <v>30713.172692974989</v>
      </c>
      <c r="AN31" s="66">
        <f>Freight!E23*$AG$9*$AI$9*$AD$8/1000</f>
        <v>151810.93260635817</v>
      </c>
      <c r="AO31" s="66">
        <f t="shared" si="9"/>
        <v>228889.14850052574</v>
      </c>
      <c r="AP31" s="66"/>
      <c r="AQ31" s="66">
        <f>W31*Table514[Car_LPG]*0.01*$AD$9/$AL$8/1000</f>
        <v>141.81387264411819</v>
      </c>
      <c r="AR31" s="66">
        <f>X31*Table514[DPV_LPG]*0.01*$AD$9/$AL$8/1000</f>
        <v>14.561245851851419</v>
      </c>
      <c r="AS31" s="31">
        <f t="shared" si="31"/>
        <v>1167.5975638576406</v>
      </c>
      <c r="AT31" s="66">
        <f t="shared" si="10"/>
        <v>1323.9726823536103</v>
      </c>
      <c r="AU31" s="31">
        <f t="shared" si="11"/>
        <v>13239.726823536103</v>
      </c>
      <c r="AW31" s="148">
        <f t="shared" si="3"/>
        <v>387378.80066787964</v>
      </c>
      <c r="AX31" s="165"/>
      <c r="AY31" s="163">
        <f t="shared" si="35"/>
        <v>154808.1942927253</v>
      </c>
      <c r="AZ31" s="163">
        <f t="shared" si="36"/>
        <v>225455.81127301784</v>
      </c>
      <c r="BA31" s="163">
        <f t="shared" si="37"/>
        <v>1304.113092118306</v>
      </c>
      <c r="BB31" s="163">
        <f t="shared" si="15"/>
        <v>381568.11865786143</v>
      </c>
      <c r="BF31" s="117">
        <f t="shared" si="29"/>
        <v>2028</v>
      </c>
      <c r="BG31" s="85">
        <f t="shared" si="16"/>
        <v>480.62371232896663</v>
      </c>
      <c r="BH31" s="85">
        <f t="shared" si="17"/>
        <v>0.22886843444236504</v>
      </c>
      <c r="BI31" s="85">
        <f t="shared" si="18"/>
        <v>2.2193302733805095E-2</v>
      </c>
      <c r="BJ31" s="85">
        <f t="shared" si="19"/>
        <v>723.38173414381583</v>
      </c>
      <c r="BK31" s="85">
        <f t="shared" si="20"/>
        <v>3.8072722849674522E-2</v>
      </c>
      <c r="BL31" s="85">
        <f t="shared" si="21"/>
        <v>3.8072722849674522E-2</v>
      </c>
      <c r="BM31" s="85">
        <f t="shared" si="22"/>
        <v>4.295513785081118</v>
      </c>
      <c r="BN31" s="85">
        <f t="shared" si="23"/>
        <v>4.2206316113316857E-3</v>
      </c>
      <c r="BO31" s="85">
        <f t="shared" si="24"/>
        <v>1.3614940681715115E-5</v>
      </c>
      <c r="BQ31" s="39">
        <f t="shared" si="25"/>
        <v>1208.3009602578636</v>
      </c>
      <c r="BR31" s="39">
        <f t="shared" si="25"/>
        <v>0.27116178890337123</v>
      </c>
      <c r="BS31" s="39">
        <f t="shared" si="25"/>
        <v>6.0279640524161328E-2</v>
      </c>
      <c r="BT31" s="159">
        <f t="shared" si="26"/>
        <v>1233.0433378566481</v>
      </c>
    </row>
    <row r="32" spans="1:72" x14ac:dyDescent="0.25">
      <c r="A32" s="117">
        <f t="shared" si="27"/>
        <v>2029</v>
      </c>
      <c r="B32" s="66">
        <f>INDEX((Proj_PasMob!$Q$6:$Q$46),MATCH(A32,Proj_PasMob!$M$6:M$46,0))</f>
        <v>11709742850.126944</v>
      </c>
      <c r="C32" s="119">
        <f>B32*Table110[Gasoline]%</f>
        <v>6432204153.688489</v>
      </c>
      <c r="D32" s="123">
        <f>B32*Table110[[Diesel ]]%</f>
        <v>5271123684.6177521</v>
      </c>
      <c r="E32" s="121">
        <f>B32*Table110[LPG]%</f>
        <v>6415011.8207035139</v>
      </c>
      <c r="F32" s="66">
        <f t="shared" si="4"/>
        <v>0</v>
      </c>
      <c r="H32" s="31">
        <f>C32*Table211[Autocycle]%</f>
        <v>727564205.24781036</v>
      </c>
      <c r="I32" s="66">
        <f>C32*Table211[Motocycle]%</f>
        <v>473698558.52482361</v>
      </c>
      <c r="J32" s="66">
        <f>C32*Table211[cars]%</f>
        <v>5003438544.5444918</v>
      </c>
      <c r="K32" s="66">
        <f>C32*Table211[DPV]%</f>
        <v>162242957.18690661</v>
      </c>
      <c r="L32" s="66">
        <f>C32*Table211[Hybrid]%</f>
        <v>65259888.184456415</v>
      </c>
      <c r="M32" s="66">
        <f t="shared" si="5"/>
        <v>0</v>
      </c>
      <c r="P32" s="66">
        <f>D32*Table312[Cars]%</f>
        <v>445748585.07740694</v>
      </c>
      <c r="Q32" s="66">
        <f>D32*Table312[DPV]%</f>
        <v>642935762.77287161</v>
      </c>
      <c r="R32" s="66">
        <f>D32*Table312[Buses]%</f>
        <v>4182439336.7674732</v>
      </c>
      <c r="S32" s="66">
        <f t="shared" si="6"/>
        <v>0</v>
      </c>
      <c r="W32" s="66">
        <f>E32*Table413[Cars]%</f>
        <v>6063133.5351796923</v>
      </c>
      <c r="X32" s="66">
        <f>E32*Table413[DPV]%</f>
        <v>351878.28552382143</v>
      </c>
      <c r="Y32" s="66">
        <f t="shared" si="7"/>
        <v>0</v>
      </c>
      <c r="AB32" s="117">
        <f t="shared" si="28"/>
        <v>2029</v>
      </c>
      <c r="AD32" s="66">
        <f>H32*Table514[Autocycle]*0.01*$AD$7/1000</f>
        <v>12914.264643148632</v>
      </c>
      <c r="AE32" s="66">
        <f>I32*Table514[Motocycle]*0.01*$AD$7/1000</f>
        <v>10089.779296578743</v>
      </c>
      <c r="AF32" s="66">
        <f>J32*Table514[Car]*0.01*$AD$7/$AL$8/1000</f>
        <v>121530.88885827803</v>
      </c>
      <c r="AG32" s="66">
        <f>K32*Table514[DPV]*0.01*$AD$7/$AL$8/1000</f>
        <v>6972.1776075320658</v>
      </c>
      <c r="AH32" s="66">
        <f>L32*Table514[Car_Hbrid]*0.01*$AD$7/$AL$8/1000</f>
        <v>975.4635918097697</v>
      </c>
      <c r="AI32" s="66">
        <f>Freight!E24*$AG$8*$AI$8*$AD$7/1000</f>
        <v>5189.4432970519274</v>
      </c>
      <c r="AJ32" s="66">
        <f t="shared" si="30"/>
        <v>157672.01729439918</v>
      </c>
      <c r="AK32" s="66">
        <f>P32*Table514[Car_Dsl]*0.01*$AD$8/$AL$8/1000</f>
        <v>13958.968848476692</v>
      </c>
      <c r="AL32" s="66">
        <f>Q32*Table514[DPV_Dsl]*0.01*$AD$8/$AL$8/1000</f>
        <v>32502.094744386482</v>
      </c>
      <c r="AM32" s="66">
        <f>R32*Table514[Bus]*0.01*$AD$8/$AL$9/1000</f>
        <v>30776.778605270367</v>
      </c>
      <c r="AN32" s="66">
        <f>Freight!E24*$AG$9*$AI$9*$AD$8/1000</f>
        <v>157618.35965227257</v>
      </c>
      <c r="AO32" s="66">
        <f t="shared" si="9"/>
        <v>234856.20185040613</v>
      </c>
      <c r="AP32" s="66"/>
      <c r="AQ32" s="66">
        <f>W32*Table514[Car_LPG]*0.01*$AD$9/$AL$8/1000</f>
        <v>142.10756424139601</v>
      </c>
      <c r="AR32" s="66">
        <f>X32*Table514[DPV_LPG]*0.01*$AD$9/$AL$8/1000</f>
        <v>14.591401685500481</v>
      </c>
      <c r="AS32" s="31">
        <f t="shared" si="31"/>
        <v>1084.6981368237482</v>
      </c>
      <c r="AT32" s="66">
        <f t="shared" si="10"/>
        <v>1241.3971027506448</v>
      </c>
      <c r="AU32" s="31">
        <f t="shared" si="11"/>
        <v>12413.971027506448</v>
      </c>
      <c r="AW32" s="148">
        <f t="shared" si="3"/>
        <v>393769.61624755594</v>
      </c>
      <c r="AX32" s="165"/>
      <c r="AY32" s="163">
        <f t="shared" si="35"/>
        <v>155306.93703498319</v>
      </c>
      <c r="AZ32" s="163">
        <f t="shared" si="36"/>
        <v>231333.35882265004</v>
      </c>
      <c r="BA32" s="163">
        <f t="shared" si="37"/>
        <v>1222.7761462093852</v>
      </c>
      <c r="BB32" s="163">
        <f t="shared" si="15"/>
        <v>387863.07200384262</v>
      </c>
      <c r="BF32" s="117">
        <f t="shared" si="29"/>
        <v>2029</v>
      </c>
      <c r="BG32" s="85">
        <f t="shared" si="16"/>
        <v>482.17212899629021</v>
      </c>
      <c r="BH32" s="85">
        <f t="shared" si="17"/>
        <v>0.22960577571251908</v>
      </c>
      <c r="BI32" s="85">
        <f t="shared" si="18"/>
        <v>2.2264802493335185E-2</v>
      </c>
      <c r="BJ32" s="85">
        <f t="shared" si="19"/>
        <v>742.24002178323724</v>
      </c>
      <c r="BK32" s="85">
        <f t="shared" si="20"/>
        <v>3.9065264304380905E-2</v>
      </c>
      <c r="BL32" s="85">
        <f t="shared" si="21"/>
        <v>3.9065264304380905E-2</v>
      </c>
      <c r="BM32" s="85">
        <f t="shared" si="22"/>
        <v>4.0276045259073969</v>
      </c>
      <c r="BN32" s="85">
        <f t="shared" si="23"/>
        <v>3.957392719592054E-3</v>
      </c>
      <c r="BO32" s="85">
        <f t="shared" si="24"/>
        <v>1.2765782966425981E-5</v>
      </c>
      <c r="BQ32" s="39">
        <f t="shared" si="25"/>
        <v>1228.439755305435</v>
      </c>
      <c r="BR32" s="39">
        <f t="shared" si="25"/>
        <v>0.27262843273649207</v>
      </c>
      <c r="BS32" s="39">
        <f t="shared" si="25"/>
        <v>6.1342832580682516E-2</v>
      </c>
      <c r="BT32" s="159">
        <f t="shared" si="26"/>
        <v>1253.5356302328908</v>
      </c>
    </row>
    <row r="33" spans="1:72" x14ac:dyDescent="0.25">
      <c r="A33" s="117">
        <f>A32+1</f>
        <v>2030</v>
      </c>
      <c r="B33" s="66">
        <f>INDEX((Proj_PasMob!$Q$6:$Q$46),MATCH(A33,Proj_PasMob!$M$6:M$46,0))</f>
        <v>11728841435.309381</v>
      </c>
      <c r="C33" s="119">
        <f>B33*Table110[Gasoline]%</f>
        <v>6442695075.6935539</v>
      </c>
      <c r="D33" s="123">
        <f>B33*Table110[[Diesel ]]%</f>
        <v>5279720884.9138069</v>
      </c>
      <c r="E33" s="121">
        <f>B33*Table110[LPG]%</f>
        <v>6425474.7020214181</v>
      </c>
      <c r="F33" s="66">
        <f t="shared" si="4"/>
        <v>0</v>
      </c>
      <c r="H33" s="31">
        <f>C33*Table211[Autocycle]%</f>
        <v>728750862.13066983</v>
      </c>
      <c r="I33" s="66">
        <f>C33*Table211[Motocycle]%</f>
        <v>474471160.65508187</v>
      </c>
      <c r="J33" s="66">
        <f>C33*Table211[cars]%</f>
        <v>5011599150.5006714</v>
      </c>
      <c r="K33" s="66">
        <f>C33*Table211[DPV]%</f>
        <v>162507575.37517458</v>
      </c>
      <c r="L33" s="66">
        <f>C33*Table211[Hybrid]%</f>
        <v>65366327.03195627</v>
      </c>
      <c r="M33" s="66">
        <f t="shared" si="5"/>
        <v>0</v>
      </c>
      <c r="P33" s="66">
        <f>D33*Table312[Cars]%</f>
        <v>446475600.81387633</v>
      </c>
      <c r="Q33" s="66">
        <f>D33*Table312[DPV]%</f>
        <v>643984390.70512557</v>
      </c>
      <c r="R33" s="66">
        <f>D33*Table312[Buses]%</f>
        <v>4189260893.394805</v>
      </c>
      <c r="S33" s="66">
        <f t="shared" si="6"/>
        <v>0</v>
      </c>
      <c r="W33" s="66">
        <f>E33*Table413[Cars]%</f>
        <v>6073022.5031763613</v>
      </c>
      <c r="X33" s="66">
        <f>E33*Table413[DPV]%</f>
        <v>352452.19884505664</v>
      </c>
      <c r="Y33" s="66">
        <f t="shared" si="7"/>
        <v>0</v>
      </c>
      <c r="AB33" s="117">
        <f>AB32+1</f>
        <v>2030</v>
      </c>
      <c r="AD33" s="66">
        <f>H33*Table514[Autocycle]*0.01*$AD$7/1000</f>
        <v>12935.327802819387</v>
      </c>
      <c r="AE33" s="66">
        <f>I33*Table514[Motocycle]*0.01*$AD$7/1000</f>
        <v>10106.235721953242</v>
      </c>
      <c r="AF33" s="66">
        <f>J33*Table514[Car]*0.01*$AD$7/$AL$8/1000</f>
        <v>121729.1056818979</v>
      </c>
      <c r="AG33" s="66">
        <f>K33*Table514[DPV]*0.01*$AD$7/$AL$8/1000</f>
        <v>6983.5492259910561</v>
      </c>
      <c r="AH33" s="66">
        <f>L33*Table514[Car_Hbrid]*0.01*$AD$7/$AL$8/1000</f>
        <v>977.05457247766208</v>
      </c>
      <c r="AI33" s="66">
        <f>Freight!E25*$AG$8*$AI$8*$AD$7/1000</f>
        <v>5387.9106711536515</v>
      </c>
      <c r="AJ33" s="66">
        <f t="shared" si="30"/>
        <v>158119.18367629295</v>
      </c>
      <c r="AK33" s="66">
        <f>P33*Table514[Car_Dsl]*0.01*$AD$8/$AL$8/1000</f>
        <v>13981.735920224024</v>
      </c>
      <c r="AL33" s="66">
        <f>Q33*Table514[DPV_Dsl]*0.01*$AD$8/$AL$8/1000</f>
        <v>32555.105645909116</v>
      </c>
      <c r="AM33" s="66">
        <f>R33*Table514[Bus]*0.01*$AD$8/$AL$9/1000</f>
        <v>30826.975516966631</v>
      </c>
      <c r="AN33" s="66">
        <f>Freight!E25*$AG$9*$AI$9*$AD$8/1000</f>
        <v>163646.38619765919</v>
      </c>
      <c r="AO33" s="66">
        <f t="shared" si="9"/>
        <v>241010.20328075896</v>
      </c>
      <c r="AP33" s="66"/>
      <c r="AQ33" s="66">
        <f>W33*Table514[Car_LPG]*0.01*$AD$9/$AL$8/1000</f>
        <v>142.33934161306593</v>
      </c>
      <c r="AR33" s="66">
        <f>X33*Table514[DPV_LPG]*0.01*$AD$9/$AL$8/1000</f>
        <v>14.615200254913017</v>
      </c>
      <c r="AS33" s="31">
        <f t="shared" si="31"/>
        <v>1007.6845691092622</v>
      </c>
      <c r="AT33" s="66">
        <f t="shared" si="10"/>
        <v>1164.6391109772412</v>
      </c>
      <c r="AU33" s="31">
        <f t="shared" si="11"/>
        <v>11646.391109772412</v>
      </c>
      <c r="AW33" s="148">
        <f t="shared" si="3"/>
        <v>400294.02606802911</v>
      </c>
      <c r="AX33" s="165"/>
      <c r="AY33" s="163">
        <f t="shared" si="35"/>
        <v>155747.39592114853</v>
      </c>
      <c r="AZ33" s="163">
        <f t="shared" si="36"/>
        <v>237395.05023154756</v>
      </c>
      <c r="BA33" s="163">
        <f t="shared" si="37"/>
        <v>1147.1695243125826</v>
      </c>
      <c r="BB33" s="163">
        <f t="shared" si="15"/>
        <v>394289.61567700864</v>
      </c>
      <c r="BF33" s="117">
        <f>BF32+1</f>
        <v>2030</v>
      </c>
      <c r="BG33" s="85">
        <f t="shared" si="16"/>
        <v>483.53959527263459</v>
      </c>
      <c r="BH33" s="85">
        <f t="shared" si="17"/>
        <v>0.23025695012982594</v>
      </c>
      <c r="BI33" s="85">
        <f t="shared" si="18"/>
        <v>2.2327946679255851E-2</v>
      </c>
      <c r="BJ33" s="85">
        <f t="shared" si="19"/>
        <v>761.68914051942727</v>
      </c>
      <c r="BK33" s="85">
        <f t="shared" si="20"/>
        <v>4.0088902132601432E-2</v>
      </c>
      <c r="BL33" s="85">
        <f t="shared" si="21"/>
        <v>4.0088902132601432E-2</v>
      </c>
      <c r="BM33" s="85">
        <f t="shared" si="22"/>
        <v>3.7785699225712706</v>
      </c>
      <c r="BN33" s="85">
        <f t="shared" si="23"/>
        <v>3.7126994484852419E-3</v>
      </c>
      <c r="BO33" s="85">
        <f t="shared" si="24"/>
        <v>1.1976449833823362E-5</v>
      </c>
      <c r="BQ33" s="39">
        <f t="shared" si="25"/>
        <v>1249.007305714633</v>
      </c>
      <c r="BR33" s="39">
        <f t="shared" si="25"/>
        <v>0.27405855171091259</v>
      </c>
      <c r="BS33" s="39">
        <f t="shared" si="25"/>
        <v>6.2428825261691114E-2</v>
      </c>
      <c r="BT33" s="159">
        <f t="shared" si="26"/>
        <v>1274.4625594353899</v>
      </c>
    </row>
    <row r="34" spans="1:72" x14ac:dyDescent="0.25">
      <c r="A34" s="117">
        <f t="shared" ref="A34:A52" si="38">A33+1</f>
        <v>2031</v>
      </c>
      <c r="B34" s="66">
        <f>INDEX((Proj_PasMob!$Q$6:$Q$46),MATCH(A34,Proj_PasMob!$M$6:M$46,0))</f>
        <v>11735439516.144716</v>
      </c>
      <c r="C34" s="119">
        <f>B34*Table110[Gasoline]%</f>
        <v>6446319425.3909473</v>
      </c>
      <c r="D34" s="123">
        <f>B34*Table110[[Diesel ]]%</f>
        <v>5282691001.3894024</v>
      </c>
      <c r="E34" s="121">
        <f>B34*Table110[LPG]%</f>
        <v>6429089.3643666441</v>
      </c>
      <c r="F34" s="66">
        <f t="shared" si="4"/>
        <v>0</v>
      </c>
      <c r="H34" s="31">
        <f>C34*Table211[Autocycle]%</f>
        <v>729160822.23829675</v>
      </c>
      <c r="I34" s="66">
        <f>C34*Table211[Motocycle]%</f>
        <v>474738075.25950414</v>
      </c>
      <c r="J34" s="66">
        <f>C34*Table211[cars]%</f>
        <v>5014418434.6125488</v>
      </c>
      <c r="K34" s="66">
        <f>C34*Table211[DPV]%</f>
        <v>162598994.30385512</v>
      </c>
      <c r="L34" s="66">
        <f>C34*Table211[Hybrid]%</f>
        <v>65403098.976742513</v>
      </c>
      <c r="M34" s="66">
        <f t="shared" si="5"/>
        <v>0</v>
      </c>
      <c r="P34" s="66">
        <f>D34*Table312[Cars]%</f>
        <v>446726766.46577996</v>
      </c>
      <c r="Q34" s="66">
        <f>D34*Table312[DPV]%</f>
        <v>644346665.28186023</v>
      </c>
      <c r="R34" s="66">
        <f>D34*Table312[Buses]%</f>
        <v>4191617569.6417623</v>
      </c>
      <c r="S34" s="66">
        <f t="shared" si="6"/>
        <v>0</v>
      </c>
      <c r="W34" s="66">
        <f>E34*Table413[Cars]%</f>
        <v>6076438.8929034946</v>
      </c>
      <c r="X34" s="66">
        <f>E34*Table413[DPV]%</f>
        <v>352650.47146314924</v>
      </c>
      <c r="Y34" s="66">
        <f t="shared" si="7"/>
        <v>0</v>
      </c>
      <c r="AB34" s="117">
        <f t="shared" ref="AB34:AB53" si="39">AB33+1</f>
        <v>2031</v>
      </c>
      <c r="AD34" s="66">
        <f>H34*Table514[Autocycle]*0.01*$AD$7/1000</f>
        <v>12942.604594729766</v>
      </c>
      <c r="AE34" s="66">
        <f>I34*Table514[Motocycle]*0.01*$AD$7/1000</f>
        <v>10111.921003027437</v>
      </c>
      <c r="AF34" s="66">
        <f>J34*Table514[Car]*0.01*$AD$7/$AL$8/1000</f>
        <v>121797.58460914165</v>
      </c>
      <c r="AG34" s="66">
        <f>K34*Table514[DPV]*0.01*$AD$7/$AL$8/1000</f>
        <v>6987.4778341630381</v>
      </c>
      <c r="AH34" s="66">
        <f>L34*Table514[Car_Hbrid]*0.01*$AD$7/$AL$8/1000</f>
        <v>977.60421628394067</v>
      </c>
      <c r="AI34" s="66">
        <f>Freight!E26*$AG$8*$AI$8*$AD$7/1000</f>
        <v>5550.5624011233949</v>
      </c>
      <c r="AJ34" s="66">
        <f t="shared" si="30"/>
        <v>158367.75465846923</v>
      </c>
      <c r="AK34" s="66">
        <f>P34*Table514[Car_Dsl]*0.01*$AD$8/$AL$8/1000</f>
        <v>13989.601370902057</v>
      </c>
      <c r="AL34" s="66">
        <f>Q34*Table514[DPV_Dsl]*0.01*$AD$8/$AL$8/1000</f>
        <v>32573.419579117202</v>
      </c>
      <c r="AM34" s="66">
        <f>R34*Table514[Bus]*0.01*$AD$8/$AL$9/1000</f>
        <v>30844.317287463884</v>
      </c>
      <c r="AN34" s="66">
        <f>Freight!E26*$AG$9*$AI$9*$AD$8/1000</f>
        <v>168586.5883359116</v>
      </c>
      <c r="AO34" s="66">
        <f t="shared" si="9"/>
        <v>245993.92657339474</v>
      </c>
      <c r="AQ34" s="66">
        <f>W34*Table514[Car_LPG]*0.01*$AD$9/$AL$8/1000</f>
        <v>142.41941486558548</v>
      </c>
      <c r="AR34" s="66">
        <f>X34*Table514[DPV_LPG]*0.01*$AD$9/$AL$8/1000</f>
        <v>14.623422062091365</v>
      </c>
      <c r="AS34" s="31">
        <f t="shared" si="31"/>
        <v>936.13896470250461</v>
      </c>
      <c r="AT34" s="66">
        <f t="shared" si="10"/>
        <v>1093.1818016301813</v>
      </c>
      <c r="AU34" s="31">
        <f t="shared" si="11"/>
        <v>10931.818016301813</v>
      </c>
      <c r="AW34" s="148">
        <f t="shared" si="3"/>
        <v>405454.86303349416</v>
      </c>
      <c r="AX34" s="165"/>
      <c r="AY34" s="163">
        <f t="shared" si="35"/>
        <v>155992.2383385922</v>
      </c>
      <c r="AZ34" s="163">
        <f t="shared" si="36"/>
        <v>242304.01767479381</v>
      </c>
      <c r="BA34" s="163">
        <f t="shared" si="37"/>
        <v>1076.7840746057286</v>
      </c>
      <c r="BB34" s="163">
        <f t="shared" si="15"/>
        <v>399373.04008799174</v>
      </c>
      <c r="BF34" s="117">
        <f t="shared" ref="BF34:BF53" si="40">BF33+1</f>
        <v>2031</v>
      </c>
      <c r="BG34" s="85">
        <f t="shared" si="16"/>
        <v>484.2997428355269</v>
      </c>
      <c r="BH34" s="85">
        <f t="shared" si="17"/>
        <v>0.23061892515977467</v>
      </c>
      <c r="BI34" s="85">
        <f t="shared" si="18"/>
        <v>2.2363047288220573E-2</v>
      </c>
      <c r="BJ34" s="85">
        <f t="shared" si="19"/>
        <v>777.43970983010615</v>
      </c>
      <c r="BK34" s="85">
        <f t="shared" si="20"/>
        <v>4.0917879464742429E-2</v>
      </c>
      <c r="BL34" s="85">
        <f t="shared" si="21"/>
        <v>4.0917879464742429E-2</v>
      </c>
      <c r="BM34" s="85">
        <f t="shared" si="22"/>
        <v>3.5467329206178406</v>
      </c>
      <c r="BN34" s="85">
        <f t="shared" si="23"/>
        <v>3.4849039790539804E-3</v>
      </c>
      <c r="BO34" s="85">
        <f t="shared" si="24"/>
        <v>1.1241625738883807E-5</v>
      </c>
      <c r="BQ34" s="39">
        <f t="shared" si="25"/>
        <v>1265.2861855862509</v>
      </c>
      <c r="BR34" s="39">
        <f t="shared" si="25"/>
        <v>0.27502170860357111</v>
      </c>
      <c r="BS34" s="39">
        <f t="shared" si="25"/>
        <v>6.3292168378701885E-2</v>
      </c>
      <c r="BT34" s="159">
        <f t="shared" si="26"/>
        <v>1291.0227944781934</v>
      </c>
    </row>
    <row r="35" spans="1:72" x14ac:dyDescent="0.25">
      <c r="A35" s="117">
        <f t="shared" si="38"/>
        <v>2032</v>
      </c>
      <c r="B35" s="66">
        <f>INDEX((Proj_PasMob!$Q$6:$Q$46),MATCH(A35,Proj_PasMob!$M$6:M$46,0))</f>
        <v>11739028415.162449</v>
      </c>
      <c r="C35" s="119">
        <f>B35*Table110[Gasoline]%</f>
        <v>6448290820.6183653</v>
      </c>
      <c r="D35" s="123">
        <f>B35*Table110[[Diesel ]]%</f>
        <v>5284306539.0537386</v>
      </c>
      <c r="E35" s="121">
        <f>B35*Table110[LPG]%</f>
        <v>6431055.4903453896</v>
      </c>
      <c r="F35" s="66">
        <f t="shared" si="4"/>
        <v>0</v>
      </c>
      <c r="H35" s="31">
        <f>C35*Table211[Autocycle]%</f>
        <v>729383812.14464831</v>
      </c>
      <c r="I35" s="66">
        <f>C35*Table211[Motocycle]%</f>
        <v>474883258.31887192</v>
      </c>
      <c r="J35" s="66">
        <f>C35*Table211[cars]%</f>
        <v>5015951929.9170685</v>
      </c>
      <c r="K35" s="66">
        <f>C35*Table211[DPV]%</f>
        <v>162648719.86974794</v>
      </c>
      <c r="L35" s="66">
        <f>C35*Table211[Hybrid]%</f>
        <v>65423100.36802841</v>
      </c>
      <c r="M35" s="66">
        <f t="shared" si="5"/>
        <v>0</v>
      </c>
      <c r="P35" s="66">
        <f>D35*Table312[Cars]%</f>
        <v>446863383.18568707</v>
      </c>
      <c r="Q35" s="66">
        <f>D35*Table312[DPV]%</f>
        <v>644543717.56191576</v>
      </c>
      <c r="R35" s="66">
        <f>D35*Table312[Buses]%</f>
        <v>4192899438.3061357</v>
      </c>
      <c r="S35" s="66">
        <f t="shared" si="6"/>
        <v>0</v>
      </c>
      <c r="W35" s="66">
        <f>E35*Table413[Cars]%</f>
        <v>6078297.1723095663</v>
      </c>
      <c r="X35" s="66">
        <f>E35*Table413[DPV]%</f>
        <v>352758.31803582306</v>
      </c>
      <c r="Y35" s="66">
        <f t="shared" si="7"/>
        <v>0</v>
      </c>
      <c r="AB35" s="117">
        <f t="shared" si="39"/>
        <v>2032</v>
      </c>
      <c r="AD35" s="66">
        <f>H35*Table514[Autocycle]*0.01*$AD$7/1000</f>
        <v>12946.56266556751</v>
      </c>
      <c r="AE35" s="66">
        <f>I35*Table514[Motocycle]*0.01*$AD$7/1000</f>
        <v>10115.013402191971</v>
      </c>
      <c r="AF35" s="66">
        <f>J35*Table514[Car]*0.01*$AD$7/$AL$8/1000</f>
        <v>121834.83240298563</v>
      </c>
      <c r="AG35" s="66">
        <f>K35*Table514[DPV]*0.01*$AD$7/$AL$8/1000</f>
        <v>6989.6147249289033</v>
      </c>
      <c r="AH35" s="66">
        <f>L35*Table514[Car_Hbrid]*0.01*$AD$7/$AL$8/1000</f>
        <v>977.90318444842455</v>
      </c>
      <c r="AI35" s="66">
        <f>Freight!E27*$AG$8*$AI$8*$AD$7/1000</f>
        <v>5718.0915326599152</v>
      </c>
      <c r="AJ35" s="66">
        <f t="shared" si="30"/>
        <v>158582.01791278235</v>
      </c>
      <c r="AK35" s="66">
        <f>P35*Table514[Car_Dsl]*0.01*$AD$8/$AL$8/1000</f>
        <v>13993.879631341253</v>
      </c>
      <c r="AL35" s="66">
        <f>Q35*Table514[DPV_Dsl]*0.01*$AD$8/$AL$8/1000</f>
        <v>32583.381090432642</v>
      </c>
      <c r="AM35" s="66">
        <f>R35*Table514[Bus]*0.01*$AD$8/$AL$9/1000</f>
        <v>30853.750009592724</v>
      </c>
      <c r="AN35" s="66">
        <f>Freight!E27*$AG$9*$AI$9*$AD$8/1000</f>
        <v>173674.93122651742</v>
      </c>
      <c r="AO35" s="66">
        <f t="shared" si="9"/>
        <v>251105.94195788406</v>
      </c>
      <c r="AQ35" s="66">
        <f>W35*Table514[Car_LPG]*0.01*$AD$9/$AL$8/1000</f>
        <v>142.4629691694029</v>
      </c>
      <c r="AR35" s="66">
        <f>X35*Table514[DPV_LPG]*0.01*$AD$9/$AL$8/1000</f>
        <v>14.627894155786905</v>
      </c>
      <c r="AS35" s="31">
        <f t="shared" si="31"/>
        <v>869.67309820862681</v>
      </c>
      <c r="AT35" s="66">
        <f t="shared" si="10"/>
        <v>1026.7639615338167</v>
      </c>
      <c r="AU35" s="31">
        <f t="shared" si="11"/>
        <v>10267.639615338167</v>
      </c>
      <c r="AW35" s="148">
        <f t="shared" si="3"/>
        <v>410714.72383220022</v>
      </c>
      <c r="AY35" s="163">
        <f t="shared" si="35"/>
        <v>156203.28764409063</v>
      </c>
      <c r="AZ35" s="163">
        <f t="shared" si="36"/>
        <v>247339.35282851581</v>
      </c>
      <c r="BA35" s="163">
        <f t="shared" si="37"/>
        <v>1011.3625021108094</v>
      </c>
      <c r="BB35" s="163">
        <f t="shared" si="15"/>
        <v>404554.00297471724</v>
      </c>
      <c r="BF35" s="117">
        <f t="shared" si="40"/>
        <v>2032</v>
      </c>
      <c r="BG35" s="85">
        <f t="shared" si="16"/>
        <v>484.95497495134947</v>
      </c>
      <c r="BH35" s="85">
        <f t="shared" si="17"/>
        <v>0.23093094045302354</v>
      </c>
      <c r="BI35" s="85">
        <f t="shared" si="18"/>
        <v>2.2393303316656829E-2</v>
      </c>
      <c r="BJ35" s="85">
        <f t="shared" si="19"/>
        <v>793.59573373087778</v>
      </c>
      <c r="BK35" s="85">
        <f t="shared" si="20"/>
        <v>4.1768196512151454E-2</v>
      </c>
      <c r="BL35" s="85">
        <f t="shared" si="21"/>
        <v>4.1768196512151454E-2</v>
      </c>
      <c r="BM35" s="85">
        <f t="shared" si="22"/>
        <v>3.331246036702626</v>
      </c>
      <c r="BN35" s="85">
        <f t="shared" si="23"/>
        <v>3.2731736018314231E-3</v>
      </c>
      <c r="BO35" s="85">
        <f t="shared" si="24"/>
        <v>1.0558624522036851E-5</v>
      </c>
      <c r="BQ35" s="39">
        <f t="shared" ref="BQ35:BS53" si="41">BG35+BJ35+BM35</f>
        <v>1281.8819547189298</v>
      </c>
      <c r="BR35" s="39">
        <f t="shared" si="41"/>
        <v>0.27597231056700644</v>
      </c>
      <c r="BS35" s="39">
        <f t="shared" si="41"/>
        <v>6.4172058453330322E-2</v>
      </c>
      <c r="BT35" s="159">
        <f t="shared" si="26"/>
        <v>1307.9045359021973</v>
      </c>
    </row>
    <row r="36" spans="1:72" x14ac:dyDescent="0.25">
      <c r="A36" s="117">
        <f t="shared" si="38"/>
        <v>2033</v>
      </c>
      <c r="B36" s="66">
        <f>INDEX((Proj_PasMob!$Q$6:$Q$46),MATCH(A36,Proj_PasMob!$M$6:M$46,0))</f>
        <v>11739762981.532864</v>
      </c>
      <c r="C36" s="119">
        <f>B36*Table110[Gasoline]%</f>
        <v>6448694320.5858212</v>
      </c>
      <c r="D36" s="123">
        <f>B36*Table110[[Diesel ]]%</f>
        <v>5284637203.0352259</v>
      </c>
      <c r="E36" s="121">
        <f>B36*Table110[LPG]%</f>
        <v>6431457.9118169462</v>
      </c>
      <c r="F36" s="66">
        <f t="shared" si="4"/>
        <v>0</v>
      </c>
      <c r="H36" s="31">
        <f>C36*Table211[Autocycle]%</f>
        <v>729429453.12962413</v>
      </c>
      <c r="I36" s="66">
        <f>C36*Table211[Motocycle]%</f>
        <v>474912974.00394374</v>
      </c>
      <c r="J36" s="66">
        <f>C36*Table211[cars]%</f>
        <v>5016265801.6850748</v>
      </c>
      <c r="K36" s="66">
        <f>C36*Table211[DPV]%</f>
        <v>162658897.56721848</v>
      </c>
      <c r="L36" s="66">
        <f>C36*Table211[Hybrid]%</f>
        <v>65427194.199960575</v>
      </c>
      <c r="M36" s="66">
        <f t="shared" si="5"/>
        <v>0</v>
      </c>
      <c r="P36" s="66">
        <f>D36*Table312[Cars]%</f>
        <v>446891345.53502715</v>
      </c>
      <c r="Q36" s="66">
        <f>D36*Table312[DPV]%</f>
        <v>644584049.70205867</v>
      </c>
      <c r="R36" s="66">
        <f>D36*Table312[Buses]%</f>
        <v>4193161807.79814</v>
      </c>
      <c r="S36" s="66">
        <f t="shared" si="6"/>
        <v>0</v>
      </c>
      <c r="W36" s="66">
        <f>E36*Table413[Cars]%</f>
        <v>6078677.5200295188</v>
      </c>
      <c r="X36" s="66">
        <f>E36*Table413[DPV]%</f>
        <v>352780.39178742742</v>
      </c>
      <c r="Y36" s="66">
        <f t="shared" si="7"/>
        <v>0</v>
      </c>
      <c r="AB36" s="117">
        <f t="shared" si="39"/>
        <v>2033</v>
      </c>
      <c r="AD36" s="66">
        <f>H36*Table514[Autocycle]*0.01*$AD$7/1000</f>
        <v>12947.372793050827</v>
      </c>
      <c r="AE36" s="66">
        <f>I36*Table514[Motocycle]*0.01*$AD$7/1000</f>
        <v>10115.646346284002</v>
      </c>
      <c r="AF36" s="66">
        <f>J36*Table514[Car]*0.01*$AD$7/$AL$8/1000</f>
        <v>121842.45618303487</v>
      </c>
      <c r="AG36" s="66">
        <f>K36*Table514[DPV]*0.01*$AD$7/$AL$8/1000</f>
        <v>6990.0520980859956</v>
      </c>
      <c r="AH36" s="66">
        <f>L36*Table514[Car_Hbrid]*0.01*$AD$7/$AL$8/1000</f>
        <v>977.96437646256868</v>
      </c>
      <c r="AI36" s="66">
        <f>Freight!E28*$AG$8*$AI$8*$AD$7/1000</f>
        <v>5890.6443878102173</v>
      </c>
      <c r="AJ36" s="66">
        <f t="shared" si="30"/>
        <v>158764.13618472847</v>
      </c>
      <c r="AK36" s="66">
        <f>P36*Table514[Car_Dsl]*0.01*$AD$8/$AL$8/1000</f>
        <v>13994.755294386379</v>
      </c>
      <c r="AL36" s="66">
        <f>Q36*Table514[DPV_Dsl]*0.01*$AD$8/$AL$8/1000</f>
        <v>32585.419986254074</v>
      </c>
      <c r="AM36" s="66">
        <f>R36*Table514[Bus]*0.01*$AD$8/$AL$9/1000</f>
        <v>30855.68067424031</v>
      </c>
      <c r="AN36" s="66">
        <f>Freight!E28*$AG$9*$AI$9*$AD$8/1000</f>
        <v>178915.85909204735</v>
      </c>
      <c r="AO36" s="66">
        <f t="shared" si="9"/>
        <v>256351.71504692812</v>
      </c>
      <c r="AQ36" s="66">
        <f>W36*Table514[Car_LPG]*0.01*$AD$9/$AL$8/1000</f>
        <v>142.47188374925398</v>
      </c>
      <c r="AR36" s="66">
        <f>X36*Table514[DPV_LPG]*0.01*$AD$9/$AL$8/1000</f>
        <v>14.628809492110902</v>
      </c>
      <c r="AS36" s="31">
        <f t="shared" si="31"/>
        <v>807.9263082358143</v>
      </c>
      <c r="AT36" s="66">
        <f t="shared" si="10"/>
        <v>965.02700147717917</v>
      </c>
      <c r="AU36" s="31">
        <f t="shared" si="11"/>
        <v>9650.2700147717915</v>
      </c>
      <c r="AW36" s="148">
        <f t="shared" si="3"/>
        <v>416080.87823313376</v>
      </c>
      <c r="AY36" s="163">
        <f t="shared" si="35"/>
        <v>156382.67414195754</v>
      </c>
      <c r="AZ36" s="163">
        <f t="shared" si="36"/>
        <v>252506.4393212242</v>
      </c>
      <c r="BA36" s="163">
        <f t="shared" si="37"/>
        <v>950.55159645502147</v>
      </c>
      <c r="BB36" s="163">
        <f t="shared" si="15"/>
        <v>409839.66505963675</v>
      </c>
      <c r="BF36" s="117">
        <f t="shared" si="40"/>
        <v>2033</v>
      </c>
      <c r="BG36" s="85">
        <f t="shared" si="16"/>
        <v>485.51190544808702</v>
      </c>
      <c r="BH36" s="85">
        <f t="shared" si="17"/>
        <v>0.23119614545146999</v>
      </c>
      <c r="BI36" s="85">
        <f t="shared" si="18"/>
        <v>2.2419020164991033E-2</v>
      </c>
      <c r="BJ36" s="85">
        <f t="shared" si="19"/>
        <v>810.1744857553274</v>
      </c>
      <c r="BK36" s="85">
        <f t="shared" si="20"/>
        <v>4.2640762408175117E-2</v>
      </c>
      <c r="BL36" s="85">
        <f t="shared" si="21"/>
        <v>4.2640762408175117E-2</v>
      </c>
      <c r="BM36" s="85">
        <f t="shared" si="22"/>
        <v>3.1309458594354789</v>
      </c>
      <c r="BN36" s="85">
        <f t="shared" si="23"/>
        <v>3.0763651867670317E-3</v>
      </c>
      <c r="BO36" s="85">
        <f t="shared" si="24"/>
        <v>9.9237586669904241E-6</v>
      </c>
      <c r="BQ36" s="39">
        <f t="shared" si="41"/>
        <v>1298.8173370628499</v>
      </c>
      <c r="BR36" s="39">
        <f t="shared" si="41"/>
        <v>0.27691327304641211</v>
      </c>
      <c r="BS36" s="39">
        <f t="shared" si="41"/>
        <v>6.5069706331833135E-2</v>
      </c>
      <c r="BT36" s="159">
        <f t="shared" si="26"/>
        <v>1325.1309413758966</v>
      </c>
    </row>
    <row r="37" spans="1:72" x14ac:dyDescent="0.25">
      <c r="A37" s="117">
        <f t="shared" si="38"/>
        <v>2034</v>
      </c>
      <c r="B37" s="66">
        <f>INDEX((Proj_PasMob!$Q$6:$Q$46),MATCH(A37,Proj_PasMob!$M$6:M$46,0))</f>
        <v>11624757297.551462</v>
      </c>
      <c r="C37" s="119">
        <f>B37*Table110[Gasoline]%</f>
        <v>6385521281.8888235</v>
      </c>
      <c r="D37" s="123">
        <f>B37*Table110[[Diesel ]]%</f>
        <v>5232867561.9373045</v>
      </c>
      <c r="E37" s="121">
        <f>B37*Table110[LPG]%</f>
        <v>6368453.7253346797</v>
      </c>
      <c r="F37" s="66">
        <f t="shared" si="4"/>
        <v>0</v>
      </c>
      <c r="H37" s="31">
        <f>C37*Table211[Autocycle]%</f>
        <v>722283777.93112886</v>
      </c>
      <c r="I37" s="66">
        <f>C37*Table211[Motocycle]%</f>
        <v>470260606.533418</v>
      </c>
      <c r="J37" s="66">
        <f>C37*Table211[cars]%</f>
        <v>4967125194.633399</v>
      </c>
      <c r="K37" s="66">
        <f>C37*Table211[DPV]%</f>
        <v>161065449.91416064</v>
      </c>
      <c r="L37" s="66">
        <f>C37*Table211[Hybrid]%</f>
        <v>64786252.876716927</v>
      </c>
      <c r="M37" s="66">
        <f t="shared" si="5"/>
        <v>0</v>
      </c>
      <c r="P37" s="66">
        <f>D37*Table312[Cars]%</f>
        <v>442513485.01608217</v>
      </c>
      <c r="Q37" s="66">
        <f>D37*Table312[DPV]%</f>
        <v>638269541.51001966</v>
      </c>
      <c r="R37" s="66">
        <f>D37*Table312[Buses]%</f>
        <v>4152084535.4112024</v>
      </c>
      <c r="S37" s="66">
        <f t="shared" si="6"/>
        <v>0</v>
      </c>
      <c r="W37" s="66">
        <f>E37*Table413[Cars]%</f>
        <v>6019129.2593880519</v>
      </c>
      <c r="X37" s="66">
        <f>E37*Table413[DPV]%</f>
        <v>349324.46594662796</v>
      </c>
      <c r="Y37" s="66">
        <f t="shared" si="7"/>
        <v>0</v>
      </c>
      <c r="AB37" s="117">
        <f t="shared" si="39"/>
        <v>2034</v>
      </c>
      <c r="AD37" s="66">
        <f>H37*Table514[Autocycle]*0.01*$AD$7/1000</f>
        <v>12820.537058277538</v>
      </c>
      <c r="AE37" s="66">
        <f>I37*Table514[Motocycle]*0.01*$AD$7/1000</f>
        <v>10016.550919161804</v>
      </c>
      <c r="AF37" s="66">
        <f>J37*Table514[Car]*0.01*$AD$7/$AL$8/1000</f>
        <v>120648.85670122702</v>
      </c>
      <c r="AG37" s="66">
        <f>K37*Table514[DPV]*0.01*$AD$7/$AL$8/1000</f>
        <v>6921.5757818374841</v>
      </c>
      <c r="AH37" s="66">
        <f>L37*Table514[Car_Hbrid]*0.01*$AD$7/$AL$8/1000</f>
        <v>968.38399036776889</v>
      </c>
      <c r="AI37" s="66">
        <f>Freight!E29*$AG$8*$AI$8*$AD$7/1000</f>
        <v>6068.6914423461449</v>
      </c>
      <c r="AJ37" s="66">
        <f t="shared" si="30"/>
        <v>157444.59589321775</v>
      </c>
      <c r="AK37" s="66">
        <f>P37*Table514[Car_Dsl]*0.01*$AD$8/$AL$8/1000</f>
        <v>13857.659136029943</v>
      </c>
      <c r="AL37" s="66">
        <f>Q37*Table514[DPV_Dsl]*0.01*$AD$8/$AL$8/1000</f>
        <v>32266.20498001968</v>
      </c>
      <c r="AM37" s="66">
        <f>R37*Table514[Bus]*0.01*$AD$8/$AL$9/1000</f>
        <v>30553.410631290149</v>
      </c>
      <c r="AN37" s="66">
        <f>Freight!E29*$AG$9*$AI$9*$AD$8/1000</f>
        <v>184323.66163857753</v>
      </c>
      <c r="AO37" s="66">
        <f t="shared" si="9"/>
        <v>261000.9363859173</v>
      </c>
      <c r="AQ37" s="66">
        <f>W37*Table514[Car_LPG]*0.01*$AD$9/$AL$8/1000</f>
        <v>141.07619318339877</v>
      </c>
      <c r="AR37" s="66">
        <f>X37*Table514[DPV_LPG]*0.01*$AD$9/$AL$8/1000</f>
        <v>14.485501978652549</v>
      </c>
      <c r="AS37" s="31">
        <f t="shared" si="31"/>
        <v>750.56354035107154</v>
      </c>
      <c r="AT37" s="66">
        <f t="shared" si="10"/>
        <v>906.12523551312279</v>
      </c>
      <c r="AU37" s="31">
        <f t="shared" si="11"/>
        <v>9061.2523551312279</v>
      </c>
      <c r="AW37" s="148">
        <f t="shared" si="3"/>
        <v>419351.65751464816</v>
      </c>
      <c r="AY37" s="163">
        <f t="shared" si="35"/>
        <v>155082.92695481947</v>
      </c>
      <c r="AZ37" s="163">
        <f t="shared" si="36"/>
        <v>257085.92234012854</v>
      </c>
      <c r="BA37" s="163">
        <f t="shared" si="37"/>
        <v>892.53335698042588</v>
      </c>
      <c r="BB37" s="163">
        <f t="shared" si="15"/>
        <v>413061.38265192846</v>
      </c>
      <c r="BF37" s="117">
        <f t="shared" si="40"/>
        <v>2034</v>
      </c>
      <c r="BG37" s="85">
        <f t="shared" si="16"/>
        <v>481.4766583410107</v>
      </c>
      <c r="BH37" s="85">
        <f t="shared" si="17"/>
        <v>0.22927459921000504</v>
      </c>
      <c r="BI37" s="85">
        <f t="shared" si="18"/>
        <v>2.2232688408242919E-2</v>
      </c>
      <c r="BJ37" s="85">
        <f t="shared" si="19"/>
        <v>824.86789440597261</v>
      </c>
      <c r="BK37" s="85">
        <f t="shared" si="20"/>
        <v>4.3414099705577497E-2</v>
      </c>
      <c r="BL37" s="85">
        <f t="shared" si="21"/>
        <v>4.3414099705577497E-2</v>
      </c>
      <c r="BM37" s="85">
        <f t="shared" si="22"/>
        <v>2.939844221889266</v>
      </c>
      <c r="BN37" s="85">
        <f t="shared" si="23"/>
        <v>2.8885949565314504E-3</v>
      </c>
      <c r="BO37" s="85">
        <f t="shared" si="24"/>
        <v>9.318048246875646E-6</v>
      </c>
      <c r="BQ37" s="39">
        <f t="shared" si="41"/>
        <v>1309.2843969688724</v>
      </c>
      <c r="BR37" s="39">
        <f t="shared" si="41"/>
        <v>0.27557729387211399</v>
      </c>
      <c r="BS37" s="39">
        <f t="shared" si="41"/>
        <v>6.5656106162067282E-2</v>
      </c>
      <c r="BT37" s="159">
        <f t="shared" si="26"/>
        <v>1335.7393489519714</v>
      </c>
    </row>
    <row r="38" spans="1:72" x14ac:dyDescent="0.25">
      <c r="A38" s="117">
        <f t="shared" si="38"/>
        <v>2035</v>
      </c>
      <c r="B38" s="66">
        <f>INDEX((Proj_PasMob!$Q$6:$Q$46),MATCH(A38,Proj_PasMob!$M$6:M$46,0))</f>
        <v>11596440643.258757</v>
      </c>
      <c r="C38" s="119">
        <f>B38*Table110[Gasoline]%</f>
        <v>6369966841.1388187</v>
      </c>
      <c r="D38" s="123">
        <f>B38*Table110[[Diesel ]]%</f>
        <v>5220120861.2606287</v>
      </c>
      <c r="E38" s="121">
        <f>B38*Table110[LPG]%</f>
        <v>6352940.8593105972</v>
      </c>
      <c r="F38" s="66">
        <f t="shared" si="4"/>
        <v>0</v>
      </c>
      <c r="H38" s="31">
        <f>C38*Table211[Autocycle]%</f>
        <v>720524372.59324598</v>
      </c>
      <c r="I38" s="66">
        <f>C38*Table211[Motocycle]%</f>
        <v>469115102.44401318</v>
      </c>
      <c r="J38" s="66">
        <f>C38*Table211[cars]%</f>
        <v>4955025813.6859245</v>
      </c>
      <c r="K38" s="66">
        <f>C38*Table211[DPV]%</f>
        <v>160673111.85952625</v>
      </c>
      <c r="L38" s="66">
        <f>C38*Table211[Hybrid]%</f>
        <v>64628440.556109071</v>
      </c>
      <c r="M38" s="66">
        <f t="shared" si="5"/>
        <v>0</v>
      </c>
      <c r="P38" s="66">
        <f>D38*Table312[Cars]%</f>
        <v>441435569.92036659</v>
      </c>
      <c r="Q38" s="66">
        <f>D38*Table312[DPV]%</f>
        <v>636714785.7856735</v>
      </c>
      <c r="R38" s="66">
        <f>D38*Table312[Buses]%</f>
        <v>4141970505.5545883</v>
      </c>
      <c r="S38" s="66">
        <f t="shared" si="6"/>
        <v>0</v>
      </c>
      <c r="W38" s="66">
        <f>E38*Table413[Cars]%</f>
        <v>6004467.3100657118</v>
      </c>
      <c r="X38" s="66">
        <f>E38*Table413[DPV]%</f>
        <v>348473.54924488504</v>
      </c>
      <c r="Y38" s="66">
        <f t="shared" si="7"/>
        <v>0</v>
      </c>
      <c r="AB38" s="117">
        <f t="shared" si="39"/>
        <v>2035</v>
      </c>
      <c r="AD38" s="66">
        <f>H38*Table514[Autocycle]*0.01*$AD$7/1000</f>
        <v>12789.307613530114</v>
      </c>
      <c r="AE38" s="66">
        <f>I38*Table514[Motocycle]*0.01*$AD$7/1000</f>
        <v>9992.1516820574816</v>
      </c>
      <c r="AF38" s="66">
        <f>J38*Table514[Car]*0.01*$AD$7/$AL$8/1000</f>
        <v>120354.96910610812</v>
      </c>
      <c r="AG38" s="66">
        <f>K38*Table514[DPV]*0.01*$AD$7/$AL$8/1000</f>
        <v>6904.715570173852</v>
      </c>
      <c r="AH38" s="66">
        <f>L38*Table514[Car_Hbrid]*0.01*$AD$7/$AL$8/1000</f>
        <v>966.02511147026178</v>
      </c>
      <c r="AI38" s="66">
        <f>Freight!E30*$AG$8*$AI$8*$AD$7/1000</f>
        <v>6251.8123540131874</v>
      </c>
      <c r="AJ38" s="66">
        <f t="shared" si="30"/>
        <v>157258.98143735298</v>
      </c>
      <c r="AK38" s="66">
        <f>P38*Table514[Car_Dsl]*0.01*$AD$8/$AL$8/1000</f>
        <v>13823.903373822006</v>
      </c>
      <c r="AL38" s="66">
        <f>Q38*Table514[DPV_Dsl]*0.01*$AD$8/$AL$8/1000</f>
        <v>32187.607986691553</v>
      </c>
      <c r="AM38" s="66">
        <f>R38*Table514[Bus]*0.01*$AD$8/$AL$9/1000</f>
        <v>30478.985820159553</v>
      </c>
      <c r="AN38" s="66">
        <f>Freight!E30*$AG$9*$AI$9*$AD$8/1000</f>
        <v>189885.57185954187</v>
      </c>
      <c r="AO38" s="66">
        <f t="shared" si="9"/>
        <v>266376.06904021499</v>
      </c>
      <c r="AQ38" s="66">
        <f>W38*Table514[Car_LPG]*0.01*$AD$9/$AL$8/1000</f>
        <v>140.73254680102258</v>
      </c>
      <c r="AR38" s="66">
        <f>X38*Table514[DPV_LPG]*0.01*$AD$9/$AL$8/1000</f>
        <v>14.450216859033564</v>
      </c>
      <c r="AS38" s="31">
        <f t="shared" si="31"/>
        <v>697.27352898614549</v>
      </c>
      <c r="AT38" s="66">
        <f t="shared" si="10"/>
        <v>852.45629264620163</v>
      </c>
      <c r="AU38" s="31">
        <f t="shared" si="11"/>
        <v>8524.5629264620165</v>
      </c>
      <c r="AW38" s="148">
        <f t="shared" si="3"/>
        <v>424487.50677021418</v>
      </c>
      <c r="AY38" s="163">
        <f t="shared" si="35"/>
        <v>154900.09671579269</v>
      </c>
      <c r="AZ38" s="163">
        <f t="shared" si="36"/>
        <v>262380.42800461175</v>
      </c>
      <c r="BA38" s="163">
        <f t="shared" si="37"/>
        <v>839.66944825650864</v>
      </c>
      <c r="BB38" s="163">
        <f t="shared" si="15"/>
        <v>418120.19416866091</v>
      </c>
      <c r="BF38" s="117">
        <f t="shared" si="40"/>
        <v>2035</v>
      </c>
      <c r="BG38" s="85">
        <f t="shared" si="16"/>
        <v>480.90903626771859</v>
      </c>
      <c r="BH38" s="85">
        <f t="shared" si="17"/>
        <v>0.22900430298462787</v>
      </c>
      <c r="BI38" s="85">
        <f t="shared" si="18"/>
        <v>2.2206477865176037E-2</v>
      </c>
      <c r="BJ38" s="85">
        <f t="shared" si="19"/>
        <v>841.85547466563685</v>
      </c>
      <c r="BK38" s="85">
        <f t="shared" si="20"/>
        <v>4.4308182877138773E-2</v>
      </c>
      <c r="BL38" s="85">
        <f t="shared" si="21"/>
        <v>4.4308182877138773E-2</v>
      </c>
      <c r="BM38" s="85">
        <f t="shared" si="22"/>
        <v>2.7657200220562532</v>
      </c>
      <c r="BN38" s="85">
        <f t="shared" si="23"/>
        <v>2.7175062023373645E-3</v>
      </c>
      <c r="BO38" s="85">
        <f t="shared" si="24"/>
        <v>8.7661490397979511E-6</v>
      </c>
      <c r="BQ38" s="39">
        <f t="shared" si="41"/>
        <v>1325.5302309554118</v>
      </c>
      <c r="BR38" s="39">
        <f t="shared" si="41"/>
        <v>0.276029992064104</v>
      </c>
      <c r="BS38" s="39">
        <f t="shared" si="41"/>
        <v>6.6523426891354612E-2</v>
      </c>
      <c r="BT38" s="159">
        <f t="shared" si="26"/>
        <v>1352.2549619706381</v>
      </c>
    </row>
    <row r="39" spans="1:72" x14ac:dyDescent="0.25">
      <c r="A39" s="117">
        <f t="shared" si="38"/>
        <v>2036</v>
      </c>
      <c r="B39" s="66">
        <f>INDEX((Proj_PasMob!$Q$6:$Q$46),MATCH(A39,Proj_PasMob!$M$6:M$46,0))</f>
        <v>11565453970.828867</v>
      </c>
      <c r="C39" s="119">
        <f>B39*Table110[Gasoline]%</f>
        <v>6352945749.7567511</v>
      </c>
      <c r="D39" s="123">
        <f>B39*Table110[[Diesel ]]%</f>
        <v>5206172255.8093214</v>
      </c>
      <c r="E39" s="121">
        <f>B39*Table110[LPG]%</f>
        <v>6335965.2627952686</v>
      </c>
      <c r="F39" s="66">
        <f t="shared" si="4"/>
        <v>0</v>
      </c>
      <c r="H39" s="31">
        <f>C39*Table211[Autocycle]%</f>
        <v>718599070.39077425</v>
      </c>
      <c r="I39" s="66">
        <f>C39*Table211[Motocycle]%</f>
        <v>467861587.123362</v>
      </c>
      <c r="J39" s="66">
        <f>C39*Table211[cars]%</f>
        <v>4941785564.6738634</v>
      </c>
      <c r="K39" s="66">
        <f>C39*Table211[DPV]%</f>
        <v>160243779.68436641</v>
      </c>
      <c r="L39" s="66">
        <f>C39*Table211[Hybrid]%</f>
        <v>64455747.884385616</v>
      </c>
      <c r="M39" s="66">
        <f t="shared" si="5"/>
        <v>0</v>
      </c>
      <c r="P39" s="66">
        <f>D39*Table312[Cars]%</f>
        <v>440256016.65701455</v>
      </c>
      <c r="Q39" s="66">
        <f>D39*Table312[DPV]%</f>
        <v>635013429.90369618</v>
      </c>
      <c r="R39" s="66">
        <f>D39*Table312[Buses]%</f>
        <v>4130902809.2486105</v>
      </c>
      <c r="S39" s="66">
        <f t="shared" si="6"/>
        <v>0</v>
      </c>
      <c r="W39" s="66">
        <f>E39*Table413[Cars]%</f>
        <v>5988422.8644140931</v>
      </c>
      <c r="X39" s="66">
        <f>E39*Table413[DPV]%</f>
        <v>347542.39838117507</v>
      </c>
      <c r="Y39" s="66">
        <f t="shared" si="7"/>
        <v>0</v>
      </c>
      <c r="AB39" s="117">
        <f t="shared" si="39"/>
        <v>2036</v>
      </c>
      <c r="AD39" s="66">
        <f>H39*Table514[Autocycle]*0.01*$AD$7/1000</f>
        <v>12755.133499436242</v>
      </c>
      <c r="AE39" s="66">
        <f>I39*Table514[Motocycle]*0.01*$AD$7/1000</f>
        <v>9965.4518057276109</v>
      </c>
      <c r="AF39" s="66">
        <f>J39*Table514[Car]*0.01*$AD$7/$AL$8/1000</f>
        <v>120033.37042615726</v>
      </c>
      <c r="AG39" s="66">
        <f>K39*Table514[DPV]*0.01*$AD$7/$AL$8/1000</f>
        <v>6886.2655848571148</v>
      </c>
      <c r="AH39" s="66">
        <f>L39*Table514[Car_Hbrid]*0.01*$AD$7/$AL$8/1000</f>
        <v>963.44381048239552</v>
      </c>
      <c r="AI39" s="66">
        <f>Freight!E31*$AG$8*$AI$8*$AD$7/1000</f>
        <v>6440.4228241135461</v>
      </c>
      <c r="AJ39" s="66">
        <f t="shared" si="30"/>
        <v>157044.08795077418</v>
      </c>
      <c r="AK39" s="66">
        <f>P39*Table514[Car_Dsl]*0.01*$AD$8/$AL$8/1000</f>
        <v>13786.964732153878</v>
      </c>
      <c r="AL39" s="66">
        <f>Q39*Table514[DPV_Dsl]*0.01*$AD$8/$AL$8/1000</f>
        <v>32101.599969605275</v>
      </c>
      <c r="AM39" s="66">
        <f>R39*Table514[Bus]*0.01*$AD$8/$AL$9/1000</f>
        <v>30397.543386342273</v>
      </c>
      <c r="AN39" s="66">
        <f>Freight!E31*$AG$9*$AI$9*$AD$8/1000</f>
        <v>195614.21580240008</v>
      </c>
      <c r="AO39" s="66">
        <f t="shared" si="9"/>
        <v>271900.32389050152</v>
      </c>
      <c r="AQ39" s="66">
        <f>W39*Table514[Car_LPG]*0.01*$AD$9/$AL$8/1000</f>
        <v>140.35649750606214</v>
      </c>
      <c r="AR39" s="66">
        <f>X39*Table514[DPV_LPG]*0.01*$AD$9/$AL$8/1000</f>
        <v>14.411604654640312</v>
      </c>
      <c r="AS39" s="31">
        <f t="shared" si="31"/>
        <v>647.76710842812918</v>
      </c>
      <c r="AT39" s="66">
        <f t="shared" si="10"/>
        <v>802.53521058883166</v>
      </c>
      <c r="AU39" s="31">
        <f t="shared" si="11"/>
        <v>8025.3521058883161</v>
      </c>
      <c r="AW39" s="148">
        <f t="shared" si="3"/>
        <v>429746.94705186452</v>
      </c>
      <c r="AY39" s="163">
        <f t="shared" si="35"/>
        <v>154688.42663151256</v>
      </c>
      <c r="AZ39" s="163">
        <f t="shared" si="36"/>
        <v>267821.81903214398</v>
      </c>
      <c r="BA39" s="163">
        <f t="shared" si="37"/>
        <v>790.49718242999916</v>
      </c>
      <c r="BB39" s="163">
        <f t="shared" si="15"/>
        <v>423300.7428460865</v>
      </c>
      <c r="BF39" s="117">
        <f t="shared" si="40"/>
        <v>2036</v>
      </c>
      <c r="BG39" s="85">
        <f t="shared" si="16"/>
        <v>480.25187685725916</v>
      </c>
      <c r="BH39" s="85">
        <f t="shared" si="17"/>
        <v>0.22869136993202813</v>
      </c>
      <c r="BI39" s="85">
        <f t="shared" si="18"/>
        <v>2.2176132841893636E-2</v>
      </c>
      <c r="BJ39" s="85">
        <f t="shared" si="19"/>
        <v>859.31434101920479</v>
      </c>
      <c r="BK39" s="85">
        <f t="shared" si="20"/>
        <v>4.5227070579958145E-2</v>
      </c>
      <c r="BL39" s="85">
        <f t="shared" si="21"/>
        <v>4.5227070579958145E-2</v>
      </c>
      <c r="BM39" s="85">
        <f t="shared" si="22"/>
        <v>2.6037554294315797</v>
      </c>
      <c r="BN39" s="85">
        <f t="shared" si="23"/>
        <v>2.5583650812164493E-3</v>
      </c>
      <c r="BO39" s="85">
        <f t="shared" si="24"/>
        <v>8.2527905845691915E-6</v>
      </c>
      <c r="BQ39" s="39">
        <f t="shared" si="41"/>
        <v>1342.1699733058956</v>
      </c>
      <c r="BR39" s="39">
        <f t="shared" si="41"/>
        <v>0.2764768055932027</v>
      </c>
      <c r="BS39" s="39">
        <f t="shared" si="41"/>
        <v>6.7411456212436355E-2</v>
      </c>
      <c r="BT39" s="159">
        <f t="shared" si="26"/>
        <v>1369.1705073970318</v>
      </c>
    </row>
    <row r="40" spans="1:72" x14ac:dyDescent="0.25">
      <c r="A40" s="117">
        <f t="shared" si="38"/>
        <v>2037</v>
      </c>
      <c r="B40" s="66">
        <f>INDEX((Proj_PasMob!$Q$6:$Q$46),MATCH(A40,Proj_PasMob!$M$6:M$46,0))</f>
        <v>11532002952.297762</v>
      </c>
      <c r="C40" s="119">
        <f>B40*Table110[Gasoline]%</f>
        <v>6334570984.1368084</v>
      </c>
      <c r="D40" s="123">
        <f>B40*Table110[[Diesel ]]%</f>
        <v>5191114328.5507412</v>
      </c>
      <c r="E40" s="121">
        <f>B40*Table110[LPG]%</f>
        <v>6317639.610213642</v>
      </c>
      <c r="F40" s="66">
        <f t="shared" si="4"/>
        <v>0</v>
      </c>
      <c r="H40" s="31">
        <f>C40*Table211[Autocycle]%</f>
        <v>716520650.39267421</v>
      </c>
      <c r="I40" s="66">
        <f>C40*Table211[Motocycle]%</f>
        <v>466508380.69840622</v>
      </c>
      <c r="J40" s="66">
        <f>C40*Table211[cars]%</f>
        <v>4927492328.8944807</v>
      </c>
      <c r="K40" s="66">
        <f>C40*Table211[DPV]%</f>
        <v>159780303.05325136</v>
      </c>
      <c r="L40" s="66">
        <f>C40*Table211[Hybrid]%</f>
        <v>64269321.09799616</v>
      </c>
      <c r="M40" s="66">
        <f t="shared" si="5"/>
        <v>0</v>
      </c>
      <c r="P40" s="66">
        <f>D40*Table312[Cars]%</f>
        <v>438982654.43459165</v>
      </c>
      <c r="Q40" s="66">
        <f>D40*Table312[DPV]%</f>
        <v>633176766.50381708</v>
      </c>
      <c r="R40" s="66">
        <f>D40*Table312[Buses]%</f>
        <v>4118954907.6123323</v>
      </c>
      <c r="S40" s="66">
        <f t="shared" si="6"/>
        <v>0</v>
      </c>
      <c r="W40" s="66">
        <f>E40*Table413[Cars]%</f>
        <v>5971102.416404455</v>
      </c>
      <c r="X40" s="66">
        <f>E40*Table413[DPV]%</f>
        <v>346537.1938091871</v>
      </c>
      <c r="Y40" s="66">
        <f t="shared" si="7"/>
        <v>0</v>
      </c>
      <c r="AB40" s="117">
        <f t="shared" si="39"/>
        <v>2037</v>
      </c>
      <c r="AD40" s="66">
        <f>H40*Table514[Autocycle]*0.01*$AD$7/1000</f>
        <v>12718.241544469965</v>
      </c>
      <c r="AE40" s="66">
        <f>I40*Table514[Motocycle]*0.01*$AD$7/1000</f>
        <v>9936.6285088760524</v>
      </c>
      <c r="AF40" s="66">
        <f>J40*Table514[Car]*0.01*$AD$7/$AL$8/1000</f>
        <v>119686.19525183174</v>
      </c>
      <c r="AG40" s="66">
        <f>K40*Table514[DPV]*0.01*$AD$7/$AL$8/1000</f>
        <v>6866.3482864726184</v>
      </c>
      <c r="AH40" s="66">
        <f>L40*Table514[Car_Hbrid]*0.01*$AD$7/$AL$8/1000</f>
        <v>960.65722062267957</v>
      </c>
      <c r="AI40" s="66">
        <f>Freight!E32*$AG$8*$AI$8*$AD$7/1000</f>
        <v>6634.6875394002236</v>
      </c>
      <c r="AJ40" s="66">
        <f t="shared" si="30"/>
        <v>156802.75835167326</v>
      </c>
      <c r="AK40" s="66">
        <f>P40*Table514[Car_Dsl]*0.01*$AD$8/$AL$8/1000</f>
        <v>13747.088388872739</v>
      </c>
      <c r="AL40" s="66">
        <f>Q40*Table514[DPV_Dsl]*0.01*$AD$8/$AL$8/1000</f>
        <v>32008.751801416645</v>
      </c>
      <c r="AM40" s="66">
        <f>R40*Table514[Bus]*0.01*$AD$8/$AL$9/1000</f>
        <v>30309.623898730177</v>
      </c>
      <c r="AN40" s="66">
        <f>Freight!E32*$AG$9*$AI$9*$AD$8/1000</f>
        <v>201514.595478809</v>
      </c>
      <c r="AO40" s="66">
        <f t="shared" si="9"/>
        <v>277580.05956782855</v>
      </c>
      <c r="AQ40" s="66">
        <f>W40*Table514[Car_LPG]*0.01*$AD$9/$AL$8/1000</f>
        <v>139.95054130141355</v>
      </c>
      <c r="AR40" s="66">
        <f>X40*Table514[DPV_LPG]*0.01*$AD$9/$AL$8/1000</f>
        <v>14.369921651484423</v>
      </c>
      <c r="AS40" s="31">
        <f t="shared" si="31"/>
        <v>601.775643729732</v>
      </c>
      <c r="AT40" s="66">
        <f t="shared" si="10"/>
        <v>756.09610668262997</v>
      </c>
      <c r="AU40" s="31">
        <f t="shared" si="11"/>
        <v>7560.9610668262994</v>
      </c>
      <c r="AW40" s="148">
        <f t="shared" si="3"/>
        <v>435138.91402618441</v>
      </c>
      <c r="AY40" s="163">
        <f t="shared" si="35"/>
        <v>154450.71697639817</v>
      </c>
      <c r="AZ40" s="163">
        <f t="shared" si="36"/>
        <v>273416.35867431114</v>
      </c>
      <c r="BA40" s="163">
        <f t="shared" si="37"/>
        <v>744.75466508239049</v>
      </c>
      <c r="BB40" s="163">
        <f t="shared" si="15"/>
        <v>428611.83031579165</v>
      </c>
      <c r="BF40" s="117">
        <f t="shared" si="40"/>
        <v>2037</v>
      </c>
      <c r="BG40" s="85">
        <f t="shared" si="16"/>
        <v>479.51387395360479</v>
      </c>
      <c r="BH40" s="85">
        <f t="shared" si="17"/>
        <v>0.228339939977907</v>
      </c>
      <c r="BI40" s="85">
        <f t="shared" si="18"/>
        <v>2.2142054785736439E-2</v>
      </c>
      <c r="BJ40" s="85">
        <f t="shared" si="19"/>
        <v>877.26458929728744</v>
      </c>
      <c r="BK40" s="85">
        <f t="shared" si="20"/>
        <v>4.6171820489330911E-2</v>
      </c>
      <c r="BL40" s="85">
        <f t="shared" si="21"/>
        <v>4.6171820489330911E-2</v>
      </c>
      <c r="BM40" s="85">
        <f t="shared" si="22"/>
        <v>2.4530878109416796</v>
      </c>
      <c r="BN40" s="85">
        <f t="shared" si="23"/>
        <v>2.4103239980726486E-3</v>
      </c>
      <c r="BO40" s="85">
        <f t="shared" si="24"/>
        <v>7.7752387034601566E-6</v>
      </c>
      <c r="BQ40" s="39">
        <f t="shared" si="41"/>
        <v>1359.2315510618339</v>
      </c>
      <c r="BR40" s="39">
        <f t="shared" si="41"/>
        <v>0.27692208446531058</v>
      </c>
      <c r="BS40" s="39">
        <f t="shared" si="41"/>
        <v>6.8321650513770815E-2</v>
      </c>
      <c r="BT40" s="159">
        <f t="shared" si="26"/>
        <v>1386.5144550265704</v>
      </c>
    </row>
    <row r="41" spans="1:72" x14ac:dyDescent="0.25">
      <c r="A41" s="117">
        <f t="shared" si="38"/>
        <v>2038</v>
      </c>
      <c r="B41" s="66">
        <f>INDEX((Proj_PasMob!$Q$6:$Q$46),MATCH(A41,Proj_PasMob!$M$6:M$46,0))</f>
        <v>11496290126.490973</v>
      </c>
      <c r="C41" s="119">
        <f>B41*Table110[Gasoline]%</f>
        <v>6314953799.5893354</v>
      </c>
      <c r="D41" s="123">
        <f>B41*Table110[[Diesel ]]%</f>
        <v>5175038252.0421305</v>
      </c>
      <c r="E41" s="121">
        <f>B41*Table110[LPG]%</f>
        <v>6298074.8595070289</v>
      </c>
      <c r="F41" s="66">
        <f t="shared" si="4"/>
        <v>0</v>
      </c>
      <c r="H41" s="31">
        <f>C41*Table211[Autocycle]%</f>
        <v>714301696.99140549</v>
      </c>
      <c r="I41" s="66">
        <f>C41*Table211[Motocycle]%</f>
        <v>465063676.54716676</v>
      </c>
      <c r="J41" s="66">
        <f>C41*Table211[cars]%</f>
        <v>4912232648.8602295</v>
      </c>
      <c r="K41" s="66">
        <f>C41*Table211[DPV]%</f>
        <v>159285488.21892461</v>
      </c>
      <c r="L41" s="66">
        <f>C41*Table211[Hybrid]%</f>
        <v>64070288.971609473</v>
      </c>
      <c r="M41" s="66">
        <f t="shared" si="5"/>
        <v>0</v>
      </c>
      <c r="P41" s="66">
        <f>D41*Table312[Cars]%</f>
        <v>437623193.19139963</v>
      </c>
      <c r="Q41" s="66">
        <f>D41*Table312[DPV]%</f>
        <v>631215916.19354618</v>
      </c>
      <c r="R41" s="66">
        <f>D41*Table312[Buses]%</f>
        <v>4106199142.6571846</v>
      </c>
      <c r="S41" s="66">
        <f t="shared" si="6"/>
        <v>0</v>
      </c>
      <c r="W41" s="66">
        <f>E41*Table413[Cars]%</f>
        <v>5952610.8376775291</v>
      </c>
      <c r="X41" s="66">
        <f>E41*Table413[DPV]%</f>
        <v>345464.02182949946</v>
      </c>
      <c r="Y41" s="66">
        <f t="shared" si="7"/>
        <v>0</v>
      </c>
      <c r="AB41" s="117">
        <f t="shared" si="39"/>
        <v>2038</v>
      </c>
      <c r="AD41" s="66">
        <f>H41*Table514[Autocycle]*0.01*$AD$7/1000</f>
        <v>12678.855121597446</v>
      </c>
      <c r="AE41" s="66">
        <f>I41*Table514[Motocycle]*0.01*$AD$7/1000</f>
        <v>9905.856310454652</v>
      </c>
      <c r="AF41" s="66">
        <f>J41*Table514[Car]*0.01*$AD$7/$AL$8/1000</f>
        <v>119315.54565521031</v>
      </c>
      <c r="AG41" s="66">
        <f>K41*Table514[DPV]*0.01*$AD$7/$AL$8/1000</f>
        <v>6845.0842700395751</v>
      </c>
      <c r="AH41" s="66">
        <f>L41*Table514[Car_Hbrid]*0.01*$AD$7/$AL$8/1000</f>
        <v>957.68221410195213</v>
      </c>
      <c r="AI41" s="66">
        <f>Freight!E33*$AG$8*$AI$8*$AD$7/1000</f>
        <v>6834.7761272288035</v>
      </c>
      <c r="AJ41" s="66">
        <f t="shared" si="30"/>
        <v>156537.79969863273</v>
      </c>
      <c r="AK41" s="66">
        <f>P41*Table514[Car_Dsl]*0.01*$AD$8/$AL$8/1000</f>
        <v>13704.515786783306</v>
      </c>
      <c r="AL41" s="66">
        <f>Q41*Table514[DPV_Dsl]*0.01*$AD$8/$AL$8/1000</f>
        <v>31909.62565810006</v>
      </c>
      <c r="AM41" s="66">
        <f>R41*Table514[Bus]*0.01*$AD$8/$AL$9/1000</f>
        <v>30215.759691181651</v>
      </c>
      <c r="AN41" s="66">
        <f>Freight!E33*$AG$9*$AI$9*$AD$8/1000</f>
        <v>207591.86296077512</v>
      </c>
      <c r="AO41" s="66">
        <f t="shared" si="9"/>
        <v>283421.76409684017</v>
      </c>
      <c r="AQ41" s="66">
        <f>W41*Table514[Car_LPG]*0.01*$AD$9/$AL$8/1000</f>
        <v>139.51713616583234</v>
      </c>
      <c r="AR41" s="66">
        <f>X41*Table514[DPV_LPG]*0.01*$AD$9/$AL$8/1000</f>
        <v>14.325420231313139</v>
      </c>
      <c r="AS41" s="31">
        <f t="shared" si="31"/>
        <v>559.04957302492107</v>
      </c>
      <c r="AT41" s="66">
        <f t="shared" si="10"/>
        <v>712.89212942206655</v>
      </c>
      <c r="AU41" s="31">
        <f t="shared" si="11"/>
        <v>7128.921294220665</v>
      </c>
      <c r="AW41" s="148">
        <f t="shared" si="3"/>
        <v>440672.45592489495</v>
      </c>
      <c r="AY41" s="163">
        <f t="shared" si="35"/>
        <v>154189.73270315325</v>
      </c>
      <c r="AZ41" s="163">
        <f t="shared" si="36"/>
        <v>279170.43763538759</v>
      </c>
      <c r="BA41" s="163">
        <f t="shared" si="37"/>
        <v>702.19874748073551</v>
      </c>
      <c r="BB41" s="163">
        <f t="shared" si="15"/>
        <v>434062.36908602156</v>
      </c>
      <c r="BF41" s="117">
        <f t="shared" si="40"/>
        <v>2038</v>
      </c>
      <c r="BG41" s="85">
        <f t="shared" si="16"/>
        <v>478.70361173951767</v>
      </c>
      <c r="BH41" s="85">
        <f t="shared" si="17"/>
        <v>0.22795410082834172</v>
      </c>
      <c r="BI41" s="85">
        <f t="shared" si="18"/>
        <v>2.2104640080324044E-2</v>
      </c>
      <c r="BJ41" s="85">
        <f t="shared" si="19"/>
        <v>895.72672426627003</v>
      </c>
      <c r="BK41" s="85">
        <f t="shared" si="20"/>
        <v>4.71435118034879E-2</v>
      </c>
      <c r="BL41" s="85">
        <f t="shared" si="21"/>
        <v>4.71435118034879E-2</v>
      </c>
      <c r="BM41" s="85">
        <f t="shared" si="22"/>
        <v>2.3129162784269961</v>
      </c>
      <c r="BN41" s="85">
        <f t="shared" si="23"/>
        <v>2.2725960263466523E-3</v>
      </c>
      <c r="BO41" s="85">
        <f t="shared" si="24"/>
        <v>7.3309549236988783E-6</v>
      </c>
      <c r="BQ41" s="39">
        <f t="shared" si="41"/>
        <v>1376.7432522842146</v>
      </c>
      <c r="BR41" s="39">
        <f t="shared" si="41"/>
        <v>0.2773702086581763</v>
      </c>
      <c r="BS41" s="39">
        <f t="shared" si="41"/>
        <v>6.9255482838735644E-2</v>
      </c>
      <c r="BT41" s="159">
        <f t="shared" si="26"/>
        <v>1404.3156413866122</v>
      </c>
    </row>
    <row r="42" spans="1:72" x14ac:dyDescent="0.25">
      <c r="A42" s="117">
        <f t="shared" si="38"/>
        <v>2039</v>
      </c>
      <c r="B42" s="66">
        <f>INDEX((Proj_PasMob!$Q$6:$Q$46),MATCH(A42,Proj_PasMob!$M$6:M$46,0))</f>
        <v>11332573339.975914</v>
      </c>
      <c r="C42" s="119">
        <f>B42*Table110[Gasoline]%</f>
        <v>6225023575.8663378</v>
      </c>
      <c r="D42" s="123">
        <f>B42*Table110[[Diesel ]]%</f>
        <v>5101341379.103569</v>
      </c>
      <c r="E42" s="121">
        <f>B42*Table110[LPG]%</f>
        <v>6208385.0060077859</v>
      </c>
      <c r="F42" s="66">
        <f t="shared" si="4"/>
        <v>0</v>
      </c>
      <c r="H42" s="31">
        <f>C42*Table211[Autocycle]%</f>
        <v>704129443.40812016</v>
      </c>
      <c r="I42" s="66">
        <f>C42*Table211[Motocycle]%</f>
        <v>458440780.8293792</v>
      </c>
      <c r="J42" s="66">
        <f>C42*Table211[cars]%</f>
        <v>4842278347.5128241</v>
      </c>
      <c r="K42" s="66">
        <f>C42*Table211[DPV]%</f>
        <v>157017129.64561462</v>
      </c>
      <c r="L42" s="66">
        <f>C42*Table211[Hybrid]%</f>
        <v>63157874.470399871</v>
      </c>
      <c r="M42" s="66">
        <f t="shared" si="5"/>
        <v>0</v>
      </c>
      <c r="P42" s="66">
        <f>D42*Table312[Cars]%</f>
        <v>431391072.90690374</v>
      </c>
      <c r="Q42" s="66">
        <f>D42*Table312[DPV]%</f>
        <v>622226873.61899972</v>
      </c>
      <c r="R42" s="66">
        <f>D42*Table312[Buses]%</f>
        <v>4047723432.5776653</v>
      </c>
      <c r="S42" s="66">
        <f t="shared" si="6"/>
        <v>0</v>
      </c>
      <c r="W42" s="66">
        <f>E42*Table413[Cars]%</f>
        <v>5867840.68078373</v>
      </c>
      <c r="X42" s="66">
        <f>E42*Table413[DPV]%</f>
        <v>340544.32522405573</v>
      </c>
      <c r="Y42" s="66">
        <f t="shared" si="7"/>
        <v>0</v>
      </c>
      <c r="AB42" s="117">
        <f t="shared" si="39"/>
        <v>2039</v>
      </c>
      <c r="AD42" s="66">
        <f>H42*Table514[Autocycle]*0.01*$AD$7/1000</f>
        <v>12498.297620494131</v>
      </c>
      <c r="AE42" s="66">
        <f>I42*Table514[Motocycle]*0.01*$AD$7/1000</f>
        <v>9764.7886316657768</v>
      </c>
      <c r="AF42" s="66">
        <f>J42*Table514[Car]*0.01*$AD$7/$AL$8/1000</f>
        <v>117616.39249353517</v>
      </c>
      <c r="AG42" s="66">
        <f>K42*Table514[DPV]*0.01*$AD$7/$AL$8/1000</f>
        <v>6747.6045450339125</v>
      </c>
      <c r="AH42" s="66">
        <f>L42*Table514[Car_Hbrid]*0.01*$AD$7/$AL$8/1000</f>
        <v>944.04401839966113</v>
      </c>
      <c r="AI42" s="66">
        <f>Freight!E34*$AG$8*$AI$8*$AD$7/1000</f>
        <v>7041.2054900003395</v>
      </c>
      <c r="AJ42" s="66">
        <f t="shared" si="30"/>
        <v>154612.33279912901</v>
      </c>
      <c r="AK42" s="66">
        <f>P42*Table514[Car_Dsl]*0.01*$AD$8/$AL$8/1000</f>
        <v>13509.352019979355</v>
      </c>
      <c r="AL42" s="66">
        <f>Q42*Table514[DPV_Dsl]*0.01*$AD$8/$AL$8/1000</f>
        <v>31455.205900581543</v>
      </c>
      <c r="AM42" s="66">
        <f>R42*Table514[Bus]*0.01*$AD$8/$AL$9/1000</f>
        <v>29785.462001725075</v>
      </c>
      <c r="AN42" s="66">
        <f>Freight!E34*$AG$9*$AI$9*$AD$8/1000</f>
        <v>213861.71806500125</v>
      </c>
      <c r="AO42" s="66">
        <f t="shared" si="9"/>
        <v>288611.73798728723</v>
      </c>
      <c r="AQ42" s="66">
        <f>W42*Table514[Car_LPG]*0.01*$AD$9/$AL$8/1000</f>
        <v>137.53029545934905</v>
      </c>
      <c r="AR42" s="66">
        <f>X42*Table514[DPV_LPG]*0.01*$AD$9/$AL$8/1000</f>
        <v>14.121414265915307</v>
      </c>
      <c r="AS42" s="31">
        <f t="shared" si="31"/>
        <v>519.35705334015165</v>
      </c>
      <c r="AT42" s="66">
        <f t="shared" si="10"/>
        <v>671.00876306541602</v>
      </c>
      <c r="AU42" s="31">
        <f t="shared" si="11"/>
        <v>6710.0876306541604</v>
      </c>
      <c r="AW42" s="148">
        <f t="shared" si="3"/>
        <v>443895.07954948163</v>
      </c>
      <c r="AY42" s="163">
        <f t="shared" si="35"/>
        <v>152293.14780714209</v>
      </c>
      <c r="AZ42" s="163">
        <f t="shared" si="36"/>
        <v>284282.56191747793</v>
      </c>
      <c r="BA42" s="163">
        <f t="shared" si="37"/>
        <v>660.94363161943477</v>
      </c>
      <c r="BB42" s="163">
        <f t="shared" si="15"/>
        <v>437236.65335623943</v>
      </c>
      <c r="BF42" s="117">
        <f t="shared" si="40"/>
        <v>2039</v>
      </c>
      <c r="BG42" s="85">
        <f t="shared" si="16"/>
        <v>472.81539840796563</v>
      </c>
      <c r="BH42" s="85">
        <f t="shared" si="17"/>
        <v>0.22515018971807882</v>
      </c>
      <c r="BI42" s="85">
        <f t="shared" si="18"/>
        <v>2.1832745669631885E-2</v>
      </c>
      <c r="BJ42" s="85">
        <f t="shared" si="19"/>
        <v>912.12912838908539</v>
      </c>
      <c r="BK42" s="85">
        <f t="shared" si="20"/>
        <v>4.8006796231004491E-2</v>
      </c>
      <c r="BL42" s="85">
        <f t="shared" si="21"/>
        <v>4.8006796231004491E-2</v>
      </c>
      <c r="BM42" s="85">
        <f t="shared" si="22"/>
        <v>2.1770293527007265</v>
      </c>
      <c r="BN42" s="85">
        <f t="shared" si="23"/>
        <v>2.1390779693731387E-3</v>
      </c>
      <c r="BO42" s="85">
        <f t="shared" si="24"/>
        <v>6.9002515141068989E-6</v>
      </c>
      <c r="BQ42" s="39">
        <f t="shared" si="41"/>
        <v>1387.1215561497515</v>
      </c>
      <c r="BR42" s="39">
        <f t="shared" si="41"/>
        <v>0.27529606391845646</v>
      </c>
      <c r="BS42" s="39">
        <f t="shared" si="41"/>
        <v>6.9846442152150481E-2</v>
      </c>
      <c r="BT42" s="159">
        <f t="shared" si="26"/>
        <v>1414.8181975090538</v>
      </c>
    </row>
    <row r="43" spans="1:72" x14ac:dyDescent="0.25">
      <c r="A43" s="117">
        <f t="shared" si="38"/>
        <v>2040</v>
      </c>
      <c r="B43" s="66">
        <f>INDEX((Proj_PasMob!$Q$6:$Q$46),MATCH(A43,Proj_PasMob!$M$6:M$46,0))</f>
        <v>11247537992.736448</v>
      </c>
      <c r="C43" s="119">
        <f>B43*Table110[Gasoline]%</f>
        <v>6178313351.6774178</v>
      </c>
      <c r="D43" s="123">
        <f>B43*Table110[[Diesel ]]%</f>
        <v>5063062841.4276724</v>
      </c>
      <c r="E43" s="121">
        <f>B43*Table110[LPG]%</f>
        <v>6161799.6313585993</v>
      </c>
      <c r="F43" s="66">
        <f t="shared" si="4"/>
        <v>0</v>
      </c>
      <c r="H43" s="31">
        <f>C43*Table211[Autocycle]%</f>
        <v>698845922.18787551</v>
      </c>
      <c r="I43" s="66">
        <f>C43*Table211[Motocycle]%</f>
        <v>455000814.47601426</v>
      </c>
      <c r="J43" s="66">
        <f>C43*Table211[cars]%</f>
        <v>4805943720.9140806</v>
      </c>
      <c r="K43" s="66">
        <f>C43*Table211[DPV]%</f>
        <v>155838932.44879091</v>
      </c>
      <c r="L43" s="66">
        <f>C43*Table211[Hybrid]%</f>
        <v>62683961.650656462</v>
      </c>
      <c r="M43" s="66">
        <f t="shared" si="5"/>
        <v>0</v>
      </c>
      <c r="P43" s="66">
        <f>D43*Table312[Cars]%</f>
        <v>428154077.33845305</v>
      </c>
      <c r="Q43" s="66">
        <f>D43*Table312[DPV]%</f>
        <v>617557918.32768261</v>
      </c>
      <c r="R43" s="66">
        <f>D43*Table312[Buses]%</f>
        <v>4017350845.7615366</v>
      </c>
      <c r="S43" s="66">
        <f t="shared" si="6"/>
        <v>0</v>
      </c>
      <c r="W43" s="66">
        <f>E43*Table413[Cars]%</f>
        <v>5823810.6220435705</v>
      </c>
      <c r="X43" s="66">
        <f>E43*Table413[DPV]%</f>
        <v>337989.00931502861</v>
      </c>
      <c r="Y43" s="66">
        <f t="shared" si="7"/>
        <v>0</v>
      </c>
      <c r="AB43" s="117">
        <f t="shared" si="39"/>
        <v>2040</v>
      </c>
      <c r="AD43" s="66">
        <f>H43*Table514[Autocycle]*0.01*$AD$7/1000</f>
        <v>12404.51511883479</v>
      </c>
      <c r="AE43" s="66">
        <f>I43*Table514[Motocycle]*0.01*$AD$7/1000</f>
        <v>9691.5173483391045</v>
      </c>
      <c r="AF43" s="66">
        <f>J43*Table514[Car]*0.01*$AD$7/$AL$8/1000</f>
        <v>116733.84353693938</v>
      </c>
      <c r="AG43" s="66">
        <f>K43*Table514[DPV]*0.01*$AD$7/$AL$8/1000</f>
        <v>6696.9730707598819</v>
      </c>
      <c r="AH43" s="66">
        <f>L43*Table514[Car_Hbrid]*0.01*$AD$7/$AL$8/1000</f>
        <v>936.96026888349661</v>
      </c>
      <c r="AI43" s="66">
        <f>Freight!E35*$AG$8*$AI$8*$AD$7/1000</f>
        <v>7253.5918744692608</v>
      </c>
      <c r="AJ43" s="66">
        <f t="shared" si="30"/>
        <v>153717.40121822595</v>
      </c>
      <c r="AK43" s="66">
        <f>P43*Table514[Car_Dsl]*0.01*$AD$8/$AL$8/1000</f>
        <v>13407.982948230501</v>
      </c>
      <c r="AL43" s="66">
        <f>Q43*Table514[DPV_Dsl]*0.01*$AD$8/$AL$8/1000</f>
        <v>31219.177923881005</v>
      </c>
      <c r="AM43" s="66">
        <f>R43*Table514[Bus]*0.01*$AD$8/$AL$9/1000</f>
        <v>29561.963152168108</v>
      </c>
      <c r="AN43" s="66">
        <f>Freight!E35*$AG$9*$AI$9*$AD$8/1000</f>
        <v>220312.50509864814</v>
      </c>
      <c r="AO43" s="66">
        <f t="shared" si="9"/>
        <v>294501.62912292778</v>
      </c>
      <c r="AQ43" s="66">
        <f>W43*Table514[Car_LPG]*0.01*$AD$9/$AL$8/1000</f>
        <v>136.49832010128296</v>
      </c>
      <c r="AR43" s="66">
        <f>X43*Table514[DPV_LPG]*0.01*$AD$9/$AL$8/1000</f>
        <v>14.015452510399589</v>
      </c>
      <c r="AS43" s="31">
        <f t="shared" si="31"/>
        <v>482.48270255300093</v>
      </c>
      <c r="AT43" s="66">
        <f t="shared" si="10"/>
        <v>632.99647516468349</v>
      </c>
      <c r="AU43" s="31">
        <f t="shared" si="11"/>
        <v>6329.9647516468349</v>
      </c>
      <c r="AW43" s="148">
        <f t="shared" si="3"/>
        <v>448852.02681631839</v>
      </c>
      <c r="AY43" s="163">
        <f t="shared" si="35"/>
        <v>151411.64019995256</v>
      </c>
      <c r="AZ43" s="163">
        <f t="shared" si="36"/>
        <v>290084.10468608385</v>
      </c>
      <c r="BA43" s="163">
        <f t="shared" si="37"/>
        <v>623.50152803721323</v>
      </c>
      <c r="BB43" s="163">
        <f t="shared" si="15"/>
        <v>442119.24641407363</v>
      </c>
      <c r="BF43" s="117">
        <f t="shared" si="40"/>
        <v>2040</v>
      </c>
      <c r="BG43" s="85">
        <f t="shared" si="16"/>
        <v>470.07863463038069</v>
      </c>
      <c r="BH43" s="85">
        <f t="shared" si="17"/>
        <v>0.22384696887160982</v>
      </c>
      <c r="BI43" s="85">
        <f t="shared" si="18"/>
        <v>2.1706372739065196E-2</v>
      </c>
      <c r="BJ43" s="85">
        <f t="shared" si="19"/>
        <v>930.74355240844045</v>
      </c>
      <c r="BK43" s="85">
        <f t="shared" si="20"/>
        <v>4.8986502758338969E-2</v>
      </c>
      <c r="BL43" s="85">
        <f t="shared" si="21"/>
        <v>4.8986502758338969E-2</v>
      </c>
      <c r="BM43" s="85">
        <f t="shared" si="22"/>
        <v>2.0537018030795333</v>
      </c>
      <c r="BN43" s="85">
        <f t="shared" si="23"/>
        <v>2.0179003453396371E-3</v>
      </c>
      <c r="BO43" s="85">
        <f t="shared" si="24"/>
        <v>6.509355952708506E-6</v>
      </c>
      <c r="BQ43" s="39">
        <f t="shared" si="41"/>
        <v>1402.8758888419006</v>
      </c>
      <c r="BR43" s="39">
        <f t="shared" si="41"/>
        <v>0.27485137197528847</v>
      </c>
      <c r="BS43" s="39">
        <f t="shared" si="41"/>
        <v>7.0699384853356875E-2</v>
      </c>
      <c r="BT43" s="159">
        <f t="shared" si="26"/>
        <v>1430.8155898275834</v>
      </c>
    </row>
    <row r="44" spans="1:72" x14ac:dyDescent="0.25">
      <c r="A44" s="117">
        <f t="shared" si="38"/>
        <v>2041</v>
      </c>
      <c r="B44" s="66">
        <f>INDEX((Proj_PasMob!$Q$6:$Q$46),MATCH(A44,Proj_PasMob!$M$6:M$46,0))</f>
        <v>11160440688.593815</v>
      </c>
      <c r="C44" s="119">
        <f>B44*Table110[Gasoline]%</f>
        <v>6130470487.0943375</v>
      </c>
      <c r="D44" s="123">
        <f>B44*Table110[[Diesel ]]%</f>
        <v>5023856116.8557825</v>
      </c>
      <c r="E44" s="121">
        <f>B44*Table110[LPG]%</f>
        <v>6114084.6436959673</v>
      </c>
      <c r="F44" s="66">
        <f t="shared" si="4"/>
        <v>0</v>
      </c>
      <c r="H44" s="31">
        <f>C44*Table211[Autocycle]%</f>
        <v>693434284.914639</v>
      </c>
      <c r="I44" s="66">
        <f>C44*Table211[Motocycle]%</f>
        <v>451477435.01740247</v>
      </c>
      <c r="J44" s="66">
        <f>C44*Table211[cars]%</f>
        <v>4768728043.8278465</v>
      </c>
      <c r="K44" s="66">
        <f>C44*Table211[DPV]%</f>
        <v>154632166.05195624</v>
      </c>
      <c r="L44" s="66">
        <f>C44*Table211[Hybrid]%</f>
        <v>62198557.282493569</v>
      </c>
      <c r="M44" s="66">
        <f t="shared" si="5"/>
        <v>0</v>
      </c>
      <c r="P44" s="66">
        <f>D44*Table312[Cars]%</f>
        <v>424838590.34761667</v>
      </c>
      <c r="Q44" s="66">
        <f>D44*Table312[DPV]%</f>
        <v>612775749.12114048</v>
      </c>
      <c r="R44" s="66">
        <f>D44*Table312[Buses]%</f>
        <v>3986241777.3870254</v>
      </c>
      <c r="S44" s="66">
        <f t="shared" si="6"/>
        <v>0</v>
      </c>
      <c r="W44" s="66">
        <f>E44*Table413[Cars]%</f>
        <v>5778712.9121852182</v>
      </c>
      <c r="X44" s="66">
        <f>E44*Table413[DPV]%</f>
        <v>335371.73151074926</v>
      </c>
      <c r="Y44" s="66">
        <f t="shared" si="7"/>
        <v>0</v>
      </c>
      <c r="AB44" s="117">
        <f t="shared" si="39"/>
        <v>2041</v>
      </c>
      <c r="AD44" s="66">
        <f>H44*Table514[Autocycle]*0.01*$AD$7/1000</f>
        <v>12308.458557234842</v>
      </c>
      <c r="AE44" s="66">
        <f>I44*Table514[Motocycle]*0.01*$AD$7/1000</f>
        <v>9616.469365870671</v>
      </c>
      <c r="AF44" s="66">
        <f>J44*Table514[Car]*0.01*$AD$7/$AL$8/1000</f>
        <v>115829.89432771323</v>
      </c>
      <c r="AG44" s="66">
        <f>K44*Table514[DPV]*0.01*$AD$7/$AL$8/1000</f>
        <v>6645.1138727064344</v>
      </c>
      <c r="AH44" s="66">
        <f>L44*Table514[Car_Hbrid]*0.01*$AD$7/$AL$8/1000</f>
        <v>929.70475095937752</v>
      </c>
      <c r="AI44" s="66">
        <f>Freight!E36*$AG$8*$AI$8*$AD$7/1000</f>
        <v>7472.3421617092827</v>
      </c>
      <c r="AJ44" s="66">
        <f t="shared" si="30"/>
        <v>152801.98303619382</v>
      </c>
      <c r="AK44" s="66">
        <f>P44*Table514[Car_Dsl]*0.01*$AD$8/$AL$8/1000</f>
        <v>13304.155855622734</v>
      </c>
      <c r="AL44" s="66">
        <f>Q44*Table514[DPV_Dsl]*0.01*$AD$8/$AL$8/1000</f>
        <v>30977.426685834496</v>
      </c>
      <c r="AM44" s="66">
        <f>R44*Table514[Bus]*0.01*$AD$8/$AL$9/1000</f>
        <v>29333.044850457954</v>
      </c>
      <c r="AN44" s="66">
        <f>Freight!E36*$AG$9*$AI$9*$AD$8/1000</f>
        <v>226956.58221339819</v>
      </c>
      <c r="AO44" s="66">
        <f t="shared" si="9"/>
        <v>300571.20960531337</v>
      </c>
      <c r="AQ44" s="66">
        <f>W44*Table514[Car_LPG]*0.01*$AD$9/$AL$8/1000</f>
        <v>135.44132116440474</v>
      </c>
      <c r="AR44" s="66">
        <f>X44*Table514[DPV_LPG]*0.01*$AD$9/$AL$8/1000</f>
        <v>13.906921369559413</v>
      </c>
      <c r="AS44" s="31">
        <f t="shared" si="31"/>
        <v>448.22643067173789</v>
      </c>
      <c r="AT44" s="66">
        <f t="shared" si="10"/>
        <v>597.57467320570208</v>
      </c>
      <c r="AU44" s="31">
        <f t="shared" si="11"/>
        <v>5975.7467320570213</v>
      </c>
      <c r="AW44" s="148">
        <f t="shared" si="3"/>
        <v>453970.76731471292</v>
      </c>
      <c r="AY44" s="163">
        <f t="shared" si="35"/>
        <v>150509.95329065091</v>
      </c>
      <c r="AZ44" s="163">
        <f t="shared" si="36"/>
        <v>296062.64146123367</v>
      </c>
      <c r="BA44" s="163">
        <f t="shared" si="37"/>
        <v>588.6110531076165</v>
      </c>
      <c r="BB44" s="163">
        <f t="shared" si="15"/>
        <v>447161.20580499218</v>
      </c>
      <c r="BF44" s="117">
        <f t="shared" si="40"/>
        <v>2041</v>
      </c>
      <c r="BG44" s="85">
        <f t="shared" si="16"/>
        <v>467.27922138428642</v>
      </c>
      <c r="BH44" s="85">
        <f t="shared" si="17"/>
        <v>0.22251391494489825</v>
      </c>
      <c r="BI44" s="85">
        <f t="shared" si="18"/>
        <v>2.1577106903747711E-2</v>
      </c>
      <c r="BJ44" s="85">
        <f t="shared" si="19"/>
        <v>949.92586700761194</v>
      </c>
      <c r="BK44" s="85">
        <f t="shared" si="20"/>
        <v>4.9996098263558525E-2</v>
      </c>
      <c r="BL44" s="85">
        <f t="shared" si="21"/>
        <v>4.9996098263558525E-2</v>
      </c>
      <c r="BM44" s="85">
        <f t="shared" si="22"/>
        <v>1.9387788589469293</v>
      </c>
      <c r="BN44" s="85">
        <f t="shared" si="23"/>
        <v>1.90498081227749E-3</v>
      </c>
      <c r="BO44" s="85">
        <f t="shared" si="24"/>
        <v>6.1450993944435166E-6</v>
      </c>
      <c r="BQ44" s="39">
        <f t="shared" si="41"/>
        <v>1419.1438672508452</v>
      </c>
      <c r="BR44" s="39">
        <f t="shared" si="41"/>
        <v>0.27441499402073427</v>
      </c>
      <c r="BS44" s="39">
        <f t="shared" si="41"/>
        <v>7.1579350266700689E-2</v>
      </c>
      <c r="BT44" s="159">
        <f t="shared" si="26"/>
        <v>1447.3348884808404</v>
      </c>
    </row>
    <row r="45" spans="1:72" x14ac:dyDescent="0.25">
      <c r="A45" s="117">
        <f t="shared" si="38"/>
        <v>2042</v>
      </c>
      <c r="B45" s="66">
        <f>INDEX((Proj_PasMob!$Q$6:$Q$46),MATCH(A45,Proj_PasMob!$M$6:M$46,0))</f>
        <v>11071531741.267399</v>
      </c>
      <c r="C45" s="119">
        <f>B45*Table110[Gasoline]%</f>
        <v>6081632480.3496513</v>
      </c>
      <c r="D45" s="123">
        <f>B45*Table110[[Diesel ]]%</f>
        <v>4983833883.744009</v>
      </c>
      <c r="E45" s="121">
        <f>B45*Table110[LPG]%</f>
        <v>6065377.1737399483</v>
      </c>
      <c r="F45" s="66">
        <f t="shared" si="4"/>
        <v>0</v>
      </c>
      <c r="H45" s="31">
        <f>C45*Table211[Autocycle]%</f>
        <v>687910084.3895812</v>
      </c>
      <c r="I45" s="66">
        <f>C45*Table211[Motocycle]%</f>
        <v>447880768.48701614</v>
      </c>
      <c r="J45" s="66">
        <f>C45*Table211[cars]%</f>
        <v>4730738272.4296608</v>
      </c>
      <c r="K45" s="66">
        <f>C45*Table211[DPV]%</f>
        <v>153400298.64724579</v>
      </c>
      <c r="L45" s="66">
        <f>C45*Table211[Hybrid]%</f>
        <v>61703056.396147743</v>
      </c>
      <c r="M45" s="66">
        <f t="shared" si="5"/>
        <v>0</v>
      </c>
      <c r="P45" s="66">
        <f>D45*Table312[Cars]%</f>
        <v>421454140.49430144</v>
      </c>
      <c r="Q45" s="66">
        <f>D45*Table312[DPV]%</f>
        <v>607894109.73774254</v>
      </c>
      <c r="R45" s="66">
        <f>D45*Table312[Buses]%</f>
        <v>3954485633.5119648</v>
      </c>
      <c r="S45" s="66">
        <f t="shared" si="6"/>
        <v>0</v>
      </c>
      <c r="W45" s="66">
        <f>E45*Table413[Cars]%</f>
        <v>5732677.1599904997</v>
      </c>
      <c r="X45" s="66">
        <f>E45*Table413[DPV]%</f>
        <v>332700.01374944864</v>
      </c>
      <c r="Y45" s="66">
        <f t="shared" si="7"/>
        <v>0</v>
      </c>
      <c r="AB45" s="117">
        <f t="shared" si="39"/>
        <v>2042</v>
      </c>
      <c r="AD45" s="66">
        <f>H45*Table514[Autocycle]*0.01*$AD$7/1000</f>
        <v>12210.403997915068</v>
      </c>
      <c r="AE45" s="66">
        <f>I45*Table514[Motocycle]*0.01*$AD$7/1000</f>
        <v>9539.860368773443</v>
      </c>
      <c r="AF45" s="66">
        <f>J45*Table514[Car]*0.01*$AD$7/$AL$8/1000</f>
        <v>114907.14277506781</v>
      </c>
      <c r="AG45" s="66">
        <f>K45*Table514[DPV]*0.01*$AD$7/$AL$8/1000</f>
        <v>6592.1759918671678</v>
      </c>
      <c r="AH45" s="66">
        <f>L45*Table514[Car_Hbrid]*0.01*$AD$7/$AL$8/1000</f>
        <v>922.29831665820848</v>
      </c>
      <c r="AI45" s="66">
        <f>Freight!E37*$AG$8*$AI$8*$AD$7/1000</f>
        <v>7697.6472688035337</v>
      </c>
      <c r="AJ45" s="66">
        <f t="shared" si="30"/>
        <v>151869.52871908524</v>
      </c>
      <c r="AK45" s="66">
        <f>P45*Table514[Car_Dsl]*0.01*$AD$8/$AL$8/1000</f>
        <v>13198.169136532073</v>
      </c>
      <c r="AL45" s="66">
        <f>Q45*Table514[DPV_Dsl]*0.01*$AD$8/$AL$8/1000</f>
        <v>30730.646968584308</v>
      </c>
      <c r="AM45" s="66">
        <f>R45*Table514[Bus]*0.01*$AD$8/$AL$9/1000</f>
        <v>29099.364997457331</v>
      </c>
      <c r="AN45" s="66">
        <f>Freight!E37*$AG$9*$AI$9*$AD$8/1000</f>
        <v>233799.74811168434</v>
      </c>
      <c r="AO45" s="66">
        <f t="shared" si="9"/>
        <v>306827.92921425804</v>
      </c>
      <c r="AQ45" s="66">
        <f>W45*Table514[Car_LPG]*0.01*$AD$9/$AL$8/1000</f>
        <v>134.36233641593208</v>
      </c>
      <c r="AR45" s="66">
        <f>X45*Table514[DPV_LPG]*0.01*$AD$9/$AL$8/1000</f>
        <v>13.796132756993027</v>
      </c>
      <c r="AS45" s="31">
        <f t="shared" si="31"/>
        <v>416.40235409404454</v>
      </c>
      <c r="AT45" s="66">
        <f t="shared" si="10"/>
        <v>564.56082326696969</v>
      </c>
      <c r="AU45" s="31">
        <f t="shared" si="11"/>
        <v>5645.6082326696969</v>
      </c>
      <c r="AW45" s="148">
        <f t="shared" si="3"/>
        <v>459262.01875661022</v>
      </c>
      <c r="AY45" s="163">
        <f t="shared" si="35"/>
        <v>149591.48578829895</v>
      </c>
      <c r="AZ45" s="163">
        <f t="shared" si="36"/>
        <v>302225.51027604414</v>
      </c>
      <c r="BA45" s="163">
        <f t="shared" si="37"/>
        <v>556.09241091796514</v>
      </c>
      <c r="BB45" s="163">
        <f t="shared" si="15"/>
        <v>452373.08847526106</v>
      </c>
      <c r="BF45" s="117">
        <f t="shared" si="40"/>
        <v>2042</v>
      </c>
      <c r="BG45" s="85">
        <f t="shared" si="16"/>
        <v>464.42771043778441</v>
      </c>
      <c r="BH45" s="85">
        <f t="shared" si="17"/>
        <v>0.22115605258942111</v>
      </c>
      <c r="BI45" s="85">
        <f t="shared" si="18"/>
        <v>2.1445435402610534E-2</v>
      </c>
      <c r="BJ45" s="85">
        <f t="shared" si="19"/>
        <v>969.69961648599588</v>
      </c>
      <c r="BK45" s="85">
        <f t="shared" si="20"/>
        <v>5.103682192031557E-2</v>
      </c>
      <c r="BL45" s="85">
        <f t="shared" si="21"/>
        <v>5.103682192031557E-2</v>
      </c>
      <c r="BM45" s="85">
        <f t="shared" si="22"/>
        <v>1.8316683049298117</v>
      </c>
      <c r="BN45" s="85">
        <f t="shared" si="23"/>
        <v>1.7997374786949023E-3</v>
      </c>
      <c r="BO45" s="85">
        <f t="shared" si="24"/>
        <v>5.8056047699835558E-6</v>
      </c>
      <c r="BQ45" s="39">
        <f t="shared" si="41"/>
        <v>1435.9589952287101</v>
      </c>
      <c r="BR45" s="39">
        <f t="shared" si="41"/>
        <v>0.27399261198843156</v>
      </c>
      <c r="BS45" s="39">
        <f t="shared" si="41"/>
        <v>7.2488062927696079E-2</v>
      </c>
      <c r="BT45" s="159">
        <f t="shared" si="26"/>
        <v>1464.4102532808745</v>
      </c>
    </row>
    <row r="46" spans="1:72" x14ac:dyDescent="0.25">
      <c r="A46" s="117">
        <f t="shared" si="38"/>
        <v>2043</v>
      </c>
      <c r="B46" s="66">
        <f>INDEX((Proj_PasMob!$Q$6:$Q$46),MATCH(A46,Proj_PasMob!$M$6:M$46,0))</f>
        <v>10981044657.809532</v>
      </c>
      <c r="C46" s="119">
        <f>B46*Table110[Gasoline]%</f>
        <v>6031927597.7128353</v>
      </c>
      <c r="D46" s="123">
        <f>B46*Table110[[Diesel ]]%</f>
        <v>4943101254.9517736</v>
      </c>
      <c r="E46" s="121">
        <f>B46*Table110[LPG]%</f>
        <v>6015805.1449231999</v>
      </c>
      <c r="F46" s="66">
        <f t="shared" si="4"/>
        <v>0</v>
      </c>
      <c r="H46" s="31">
        <f>C46*Table211[Autocycle]%</f>
        <v>682287829.16127777</v>
      </c>
      <c r="I46" s="66">
        <f>C46*Table211[Motocycle]%</f>
        <v>444220261.03200889</v>
      </c>
      <c r="J46" s="66">
        <f>C46*Table211[cars]%</f>
        <v>4692074181.5993824</v>
      </c>
      <c r="K46" s="66">
        <f>C46*Table211[DPV]%</f>
        <v>152146565.56400701</v>
      </c>
      <c r="L46" s="66">
        <f>C46*Table211[Hybrid]%</f>
        <v>61198760.356159635</v>
      </c>
      <c r="M46" s="66">
        <f t="shared" si="5"/>
        <v>0</v>
      </c>
      <c r="P46" s="66">
        <f>D46*Table312[Cars]%</f>
        <v>418009616.56791234</v>
      </c>
      <c r="Q46" s="66">
        <f>D46*Table312[DPV]%</f>
        <v>602925821.12810445</v>
      </c>
      <c r="R46" s="66">
        <f>D46*Table312[Buses]%</f>
        <v>3922165817.2557569</v>
      </c>
      <c r="S46" s="66">
        <f t="shared" si="6"/>
        <v>0</v>
      </c>
      <c r="W46" s="66">
        <f>E46*Table413[Cars]%</f>
        <v>5685824.2719949232</v>
      </c>
      <c r="X46" s="66">
        <f>E46*Table413[DPV]%</f>
        <v>329980.87292827677</v>
      </c>
      <c r="Y46" s="66">
        <f t="shared" si="7"/>
        <v>0</v>
      </c>
      <c r="AB46" s="117">
        <f t="shared" si="39"/>
        <v>2043</v>
      </c>
      <c r="AD46" s="66">
        <f>H46*Table514[Autocycle]*0.01*$AD$7/1000</f>
        <v>12110.608967612678</v>
      </c>
      <c r="AE46" s="66">
        <f>I46*Table514[Motocycle]*0.01*$AD$7/1000</f>
        <v>9461.8915599817901</v>
      </c>
      <c r="AF46" s="66">
        <f>J46*Table514[Car]*0.01*$AD$7/$AL$8/1000</f>
        <v>113968.01235832184</v>
      </c>
      <c r="AG46" s="66">
        <f>K46*Table514[DPV]*0.01*$AD$7/$AL$8/1000</f>
        <v>6538.298462263775</v>
      </c>
      <c r="AH46" s="66">
        <f>L46*Table514[Car_Hbrid]*0.01*$AD$7/$AL$8/1000</f>
        <v>914.76041795522826</v>
      </c>
      <c r="AI46" s="66">
        <f>Freight!E38*$AG$8*$AI$8*$AD$7/1000</f>
        <v>7929.7038403476463</v>
      </c>
      <c r="AJ46" s="66">
        <f t="shared" si="30"/>
        <v>150923.27560648296</v>
      </c>
      <c r="AK46" s="66">
        <f>P46*Table514[Car_Dsl]*0.01*$AD$8/$AL$8/1000</f>
        <v>13090.301150416202</v>
      </c>
      <c r="AL46" s="66">
        <f>Q46*Table514[DPV_Dsl]*0.01*$AD$8/$AL$8/1000</f>
        <v>30479.486904923386</v>
      </c>
      <c r="AM46" s="66">
        <f>R46*Table514[Bus]*0.01*$AD$8/$AL$9/1000</f>
        <v>28861.537320977721</v>
      </c>
      <c r="AN46" s="66">
        <f>Freight!E38*$AG$9*$AI$9*$AD$8/1000</f>
        <v>240847.97545701289</v>
      </c>
      <c r="AO46" s="66">
        <f t="shared" si="9"/>
        <v>313279.3008333302</v>
      </c>
      <c r="AQ46" s="66">
        <f>W46*Table514[Car_LPG]*0.01*$AD$9/$AL$8/1000</f>
        <v>133.2641996600625</v>
      </c>
      <c r="AR46" s="66">
        <f>X46*Table514[DPV_LPG]*0.01*$AD$9/$AL$8/1000</f>
        <v>13.683377643667132</v>
      </c>
      <c r="AS46" s="31">
        <f t="shared" si="31"/>
        <v>386.83778695336741</v>
      </c>
      <c r="AT46" s="66">
        <f t="shared" si="10"/>
        <v>533.78536425709706</v>
      </c>
      <c r="AU46" s="31">
        <f t="shared" si="11"/>
        <v>5337.8536425709708</v>
      </c>
      <c r="AW46" s="148">
        <f t="shared" si="3"/>
        <v>464736.3618040703</v>
      </c>
      <c r="AY46" s="163">
        <f t="shared" si="35"/>
        <v>148659.4264723857</v>
      </c>
      <c r="AZ46" s="163">
        <f t="shared" si="36"/>
        <v>308580.11132083024</v>
      </c>
      <c r="BA46" s="163">
        <f t="shared" si="37"/>
        <v>525.77858379324061</v>
      </c>
      <c r="BB46" s="163">
        <f t="shared" si="15"/>
        <v>457765.31637700921</v>
      </c>
      <c r="BF46" s="117">
        <f t="shared" si="40"/>
        <v>2043</v>
      </c>
      <c r="BG46" s="85">
        <f t="shared" si="16"/>
        <v>461.53400180322751</v>
      </c>
      <c r="BH46" s="85">
        <f t="shared" si="17"/>
        <v>0.21977809609677498</v>
      </c>
      <c r="BI46" s="85">
        <f t="shared" si="18"/>
        <v>2.1311815379081212E-2</v>
      </c>
      <c r="BJ46" s="85">
        <f t="shared" si="19"/>
        <v>990.0885445762234</v>
      </c>
      <c r="BK46" s="85">
        <f t="shared" si="20"/>
        <v>5.2109923398748592E-2</v>
      </c>
      <c r="BL46" s="85">
        <f t="shared" si="21"/>
        <v>5.2109923398748592E-2</v>
      </c>
      <c r="BM46" s="85">
        <f t="shared" si="22"/>
        <v>1.7318200148698517</v>
      </c>
      <c r="BN46" s="85">
        <f t="shared" si="23"/>
        <v>1.7016298085884439E-3</v>
      </c>
      <c r="BO46" s="85">
        <f t="shared" si="24"/>
        <v>5.4891284148014325E-6</v>
      </c>
      <c r="BQ46" s="39">
        <f t="shared" si="41"/>
        <v>1453.3543663943206</v>
      </c>
      <c r="BR46" s="39">
        <f t="shared" si="41"/>
        <v>0.273589649304112</v>
      </c>
      <c r="BS46" s="39">
        <f t="shared" si="41"/>
        <v>7.3427227906244605E-2</v>
      </c>
      <c r="BT46" s="159">
        <f t="shared" si="26"/>
        <v>1482.0754215429843</v>
      </c>
    </row>
    <row r="47" spans="1:72" x14ac:dyDescent="0.25">
      <c r="A47" s="117">
        <f>A46+1</f>
        <v>2044</v>
      </c>
      <c r="B47" s="66">
        <f>INDEX((Proj_PasMob!$Q$6:$Q$46),MATCH(A47,Proj_PasMob!$M$6:M$46,0))</f>
        <v>10889195065.958414</v>
      </c>
      <c r="C47" s="119">
        <f>B47*Table110[Gasoline]%</f>
        <v>5981474284.2813673</v>
      </c>
      <c r="D47" s="123">
        <f>B47*Table110[[Diesel ]]%</f>
        <v>4901755294.991291</v>
      </c>
      <c r="E47" s="121">
        <f>B47*Table110[LPG]%</f>
        <v>5965486.6857569236</v>
      </c>
      <c r="F47" s="66">
        <f t="shared" si="4"/>
        <v>0</v>
      </c>
      <c r="H47" s="31">
        <f>C47*Table211[Autocycle]%</f>
        <v>676580916.8786763</v>
      </c>
      <c r="I47" s="66">
        <f>C47*Table211[Motocycle]%</f>
        <v>440504635.52102715</v>
      </c>
      <c r="J47" s="66">
        <f>C47*Table211[cars]%</f>
        <v>4652827906.591424</v>
      </c>
      <c r="K47" s="66">
        <f>C47*Table211[DPV]%</f>
        <v>150873954.40686497</v>
      </c>
      <c r="L47" s="66">
        <f>C47*Table211[Hybrid]%</f>
        <v>60686870.88337528</v>
      </c>
      <c r="M47" s="66">
        <f t="shared" si="5"/>
        <v>0</v>
      </c>
      <c r="P47" s="66">
        <f>D47*Table312[Cars]%</f>
        <v>414513226.75546408</v>
      </c>
      <c r="Q47" s="66">
        <f>D47*Table312[DPV]%</f>
        <v>597882722.56027091</v>
      </c>
      <c r="R47" s="66">
        <f>D47*Table312[Buses]%</f>
        <v>3889359345.6755562</v>
      </c>
      <c r="S47" s="66">
        <f t="shared" si="6"/>
        <v>0</v>
      </c>
      <c r="W47" s="66">
        <f>E47*Table413[Cars]%</f>
        <v>5638265.8970867125</v>
      </c>
      <c r="X47" s="66">
        <f>E47*Table413[DPV]%</f>
        <v>327220.78867021098</v>
      </c>
      <c r="Y47" s="66">
        <f t="shared" si="7"/>
        <v>0</v>
      </c>
      <c r="AB47" s="117">
        <f t="shared" si="39"/>
        <v>2044</v>
      </c>
      <c r="AD47" s="66">
        <f>H47*Table514[Autocycle]*0.01*$AD$7/1000</f>
        <v>12009.311274596503</v>
      </c>
      <c r="AE47" s="66">
        <f>I47*Table514[Motocycle]*0.01*$AD$7/1000</f>
        <v>9382.7487365978795</v>
      </c>
      <c r="AF47" s="66">
        <f>J47*Table514[Car]*0.01*$AD$7/$AL$8/1000</f>
        <v>113014.74099431274</v>
      </c>
      <c r="AG47" s="66">
        <f>K47*Table514[DPV]*0.01*$AD$7/$AL$8/1000</f>
        <v>6483.6096722739612</v>
      </c>
      <c r="AH47" s="66">
        <f>L47*Table514[Car_Hbrid]*0.01*$AD$7/$AL$8/1000</f>
        <v>907.10901741466205</v>
      </c>
      <c r="AI47" s="66">
        <f>Freight!E39*$AG$8*$AI$8*$AD$7/1000</f>
        <v>8168.7144202751133</v>
      </c>
      <c r="AJ47" s="66">
        <f t="shared" si="30"/>
        <v>149966.23411547087</v>
      </c>
      <c r="AK47" s="66">
        <f>P47*Table514[Car_Dsl]*0.01*$AD$8/$AL$8/1000</f>
        <v>12980.808943131638</v>
      </c>
      <c r="AL47" s="66">
        <f>Q47*Table514[DPV_Dsl]*0.01*$AD$8/$AL$8/1000</f>
        <v>30224.54500100738</v>
      </c>
      <c r="AM47" s="66">
        <f>R47*Table514[Bus]*0.01*$AD$8/$AL$9/1000</f>
        <v>28620.128556535419</v>
      </c>
      <c r="AN47" s="66">
        <f>Freight!E39*$AG$9*$AI$9*$AD$8/1000</f>
        <v>248107.41609279497</v>
      </c>
      <c r="AO47" s="66">
        <f t="shared" si="9"/>
        <v>319932.89859346941</v>
      </c>
      <c r="AQ47" s="66">
        <f>W47*Table514[Car_LPG]*0.01*$AD$9/$AL$8/1000</f>
        <v>132.14952772050003</v>
      </c>
      <c r="AR47" s="66">
        <f>X47*Table514[DPV_LPG]*0.01*$AD$9/$AL$8/1000</f>
        <v>13.568924721301341</v>
      </c>
      <c r="AS47" s="31">
        <f t="shared" si="31"/>
        <v>359.37230407967837</v>
      </c>
      <c r="AT47" s="66">
        <f t="shared" si="10"/>
        <v>505.09075652147976</v>
      </c>
      <c r="AU47" s="31">
        <f t="shared" si="11"/>
        <v>5050.9075652147976</v>
      </c>
      <c r="AW47" s="148">
        <f t="shared" si="3"/>
        <v>470404.22346546175</v>
      </c>
      <c r="AY47" s="163">
        <f t="shared" si="35"/>
        <v>147716.74060373881</v>
      </c>
      <c r="AZ47" s="163">
        <f t="shared" si="36"/>
        <v>315133.90511456737</v>
      </c>
      <c r="BA47" s="163">
        <f t="shared" si="37"/>
        <v>497.51439517365753</v>
      </c>
      <c r="BB47" s="163">
        <f t="shared" si="15"/>
        <v>463348.16011347983</v>
      </c>
      <c r="BF47" s="117">
        <f t="shared" si="40"/>
        <v>2044</v>
      </c>
      <c r="BG47" s="85">
        <f t="shared" si="16"/>
        <v>458.60730154799165</v>
      </c>
      <c r="BH47" s="85">
        <f t="shared" si="17"/>
        <v>0.21838442930856744</v>
      </c>
      <c r="BI47" s="85">
        <f t="shared" si="18"/>
        <v>2.1176671932951995E-2</v>
      </c>
      <c r="BJ47" s="85">
        <f t="shared" si="19"/>
        <v>1011.1165885772429</v>
      </c>
      <c r="BK47" s="85">
        <f t="shared" si="20"/>
        <v>5.3216662556696978E-2</v>
      </c>
      <c r="BL47" s="85">
        <f t="shared" si="21"/>
        <v>5.3216662556696978E-2</v>
      </c>
      <c r="BM47" s="85">
        <f t="shared" si="22"/>
        <v>1.6387228651108965</v>
      </c>
      <c r="BN47" s="85">
        <f t="shared" si="23"/>
        <v>1.6101555885400251E-3</v>
      </c>
      <c r="BO47" s="85">
        <f t="shared" si="24"/>
        <v>5.194050285612985E-6</v>
      </c>
      <c r="BQ47" s="39">
        <f t="shared" si="41"/>
        <v>1471.3626129903453</v>
      </c>
      <c r="BR47" s="39">
        <f t="shared" si="41"/>
        <v>0.27321124745380448</v>
      </c>
      <c r="BS47" s="39">
        <f t="shared" si="41"/>
        <v>7.4398528539934575E-2</v>
      </c>
      <c r="BT47" s="159">
        <f t="shared" si="26"/>
        <v>1500.3636556815909</v>
      </c>
    </row>
    <row r="48" spans="1:72" x14ac:dyDescent="0.25">
      <c r="A48" s="117">
        <f t="shared" si="38"/>
        <v>2045</v>
      </c>
      <c r="B48" s="66">
        <f>INDEX((Proj_PasMob!$Q$6:$Q$46),MATCH(A48,Proj_PasMob!$M$6:M$46,0))</f>
        <v>10784141087.93745</v>
      </c>
      <c r="C48" s="119">
        <f>B48*Table110[Gasoline]%</f>
        <v>5923767753.7079296</v>
      </c>
      <c r="D48" s="123">
        <f>B48*Table110[[Diesel ]]%</f>
        <v>4854465399.833293</v>
      </c>
      <c r="E48" s="121">
        <f>B48*Table110[LPG]%</f>
        <v>5907934.3962282846</v>
      </c>
      <c r="F48" s="66">
        <f t="shared" si="4"/>
        <v>0</v>
      </c>
      <c r="H48" s="31">
        <f>C48*Table211[Autocycle]%</f>
        <v>670053573.36608028</v>
      </c>
      <c r="I48" s="66">
        <f>C48*Table211[Motocycle]%</f>
        <v>436254848.09249365</v>
      </c>
      <c r="J48" s="66">
        <f>C48*Table211[cars]%</f>
        <v>4607939549.1257324</v>
      </c>
      <c r="K48" s="66">
        <f>C48*Table211[DPV]%</f>
        <v>149418391.43878624</v>
      </c>
      <c r="L48" s="66">
        <f>C48*Table211[Hybrid]%</f>
        <v>60101391.684837103</v>
      </c>
      <c r="M48" s="66">
        <f t="shared" si="5"/>
        <v>0</v>
      </c>
      <c r="P48" s="66">
        <f>D48*Table312[Cars]%</f>
        <v>410514192.56155002</v>
      </c>
      <c r="Q48" s="66">
        <f>D48*Table312[DPV]%</f>
        <v>592114623.26417899</v>
      </c>
      <c r="R48" s="66">
        <f>D48*Table312[Buses]%</f>
        <v>3851836584.0075641</v>
      </c>
      <c r="S48" s="66">
        <f t="shared" si="6"/>
        <v>0</v>
      </c>
      <c r="W48" s="66">
        <f>E48*Table413[Cars]%</f>
        <v>5583870.484198885</v>
      </c>
      <c r="X48" s="66">
        <f>E48*Table413[DPV]%</f>
        <v>324063.91202939954</v>
      </c>
      <c r="Y48" s="66">
        <f t="shared" si="7"/>
        <v>0</v>
      </c>
      <c r="AB48" s="117">
        <f t="shared" si="39"/>
        <v>2045</v>
      </c>
      <c r="AD48" s="66">
        <f>H48*Table514[Autocycle]*0.01*$AD$7/1000</f>
        <v>11893.450927247924</v>
      </c>
      <c r="AE48" s="66">
        <f>I48*Table514[Motocycle]*0.01*$AD$7/1000</f>
        <v>9292.2282643701146</v>
      </c>
      <c r="AF48" s="66">
        <f>J48*Table514[Car]*0.01*$AD$7/$AL$8/1000</f>
        <v>111924.4264169224</v>
      </c>
      <c r="AG48" s="66">
        <f>K48*Table514[DPV]*0.01*$AD$7/$AL$8/1000</f>
        <v>6421.0587689352087</v>
      </c>
      <c r="AH48" s="66">
        <f>L48*Table514[Car_Hbrid]*0.01*$AD$7/$AL$8/1000</f>
        <v>898.35764413124934</v>
      </c>
      <c r="AI48" s="66">
        <f>Freight!E40*$AG$8*$AI$8*$AD$7/1000</f>
        <v>8414.9194745784989</v>
      </c>
      <c r="AJ48" s="66">
        <f t="shared" si="30"/>
        <v>148844.44149618541</v>
      </c>
      <c r="AK48" s="66">
        <f>P48*Table514[Car_Dsl]*0.01*$AD$8/$AL$8/1000</f>
        <v>12855.57603021696</v>
      </c>
      <c r="AL48" s="66">
        <f>Q48*Table514[DPV_Dsl]*0.01*$AD$8/$AL$8/1000</f>
        <v>29932.952402381263</v>
      </c>
      <c r="AM48" s="66">
        <f>R48*Table514[Bus]*0.01*$AD$8/$AL$9/1000</f>
        <v>28344.014634604235</v>
      </c>
      <c r="AN48" s="66">
        <f>Freight!E40*$AG$9*$AI$9*$AD$8/1000</f>
        <v>255585.37366474574</v>
      </c>
      <c r="AO48" s="66">
        <f t="shared" si="9"/>
        <v>326717.91673194821</v>
      </c>
      <c r="AQ48" s="66">
        <f>W48*Table514[Car_LPG]*0.01*$AD$9/$AL$8/1000</f>
        <v>130.87460946469335</v>
      </c>
      <c r="AR48" s="66">
        <f>X48*Table514[DPV_LPG]*0.01*$AD$9/$AL$8/1000</f>
        <v>13.438017936106906</v>
      </c>
      <c r="AS48" s="31">
        <f t="shared" si="31"/>
        <v>333.85687049002121</v>
      </c>
      <c r="AT48" s="66">
        <f t="shared" si="10"/>
        <v>478.1694978908215</v>
      </c>
      <c r="AU48" s="31">
        <f t="shared" si="11"/>
        <v>4781.6949789082155</v>
      </c>
      <c r="AW48" s="148">
        <f t="shared" si="3"/>
        <v>476040.52772602439</v>
      </c>
      <c r="AY48" s="163">
        <f t="shared" si="35"/>
        <v>146611.77487374263</v>
      </c>
      <c r="AZ48" s="163">
        <f t="shared" si="36"/>
        <v>321817.14798096899</v>
      </c>
      <c r="BA48" s="163">
        <f t="shared" si="37"/>
        <v>470.99695542245917</v>
      </c>
      <c r="BB48" s="163">
        <f t="shared" si="15"/>
        <v>468899.9198101341</v>
      </c>
      <c r="BF48" s="117">
        <f t="shared" si="40"/>
        <v>2045</v>
      </c>
      <c r="BG48" s="85">
        <f t="shared" si="16"/>
        <v>455.1767807440163</v>
      </c>
      <c r="BH48" s="85">
        <f t="shared" si="17"/>
        <v>0.21675084797334104</v>
      </c>
      <c r="BI48" s="85">
        <f t="shared" si="18"/>
        <v>2.1018264045899741E-2</v>
      </c>
      <c r="BJ48" s="85">
        <f t="shared" si="19"/>
        <v>1032.5599738113783</v>
      </c>
      <c r="BK48" s="85">
        <f t="shared" si="20"/>
        <v>5.4345261779546225E-2</v>
      </c>
      <c r="BL48" s="85">
        <f t="shared" si="21"/>
        <v>5.4345261779546225E-2</v>
      </c>
      <c r="BM48" s="85">
        <f t="shared" si="22"/>
        <v>1.5513791917096043</v>
      </c>
      <c r="BN48" s="85">
        <f t="shared" si="23"/>
        <v>1.5243345465292468E-3</v>
      </c>
      <c r="BO48" s="85">
        <f t="shared" si="24"/>
        <v>4.9172082146104741E-6</v>
      </c>
      <c r="BQ48" s="39">
        <f t="shared" si="41"/>
        <v>1489.2881337471042</v>
      </c>
      <c r="BR48" s="39">
        <f t="shared" si="41"/>
        <v>0.27262044429941651</v>
      </c>
      <c r="BS48" s="39">
        <f t="shared" si="41"/>
        <v>7.5368443033660568E-2</v>
      </c>
      <c r="BT48" s="159">
        <f t="shared" si="26"/>
        <v>1518.5634408786204</v>
      </c>
    </row>
    <row r="49" spans="1:72" x14ac:dyDescent="0.25">
      <c r="A49" s="117">
        <f t="shared" si="38"/>
        <v>2046</v>
      </c>
      <c r="B49" s="66">
        <f>INDEX((Proj_PasMob!$Q$6:$Q$46),MATCH(A49,Proj_PasMob!$M$6:M$46,0))</f>
        <v>10678041059.924702</v>
      </c>
      <c r="C49" s="119">
        <f>B49*Table110[Gasoline]%</f>
        <v>5865486624.0857983</v>
      </c>
      <c r="D49" s="123">
        <f>B49*Table110[[Diesel ]]%</f>
        <v>4806704626.795434</v>
      </c>
      <c r="E49" s="121">
        <f>B49*Table110[LPG]%</f>
        <v>5849809.0434694597</v>
      </c>
      <c r="F49" s="66">
        <f t="shared" si="4"/>
        <v>0</v>
      </c>
      <c r="H49" s="31">
        <f>C49*Table211[Autocycle]%</f>
        <v>663461235.38343799</v>
      </c>
      <c r="I49" s="66">
        <f>C49*Table211[Motocycle]%</f>
        <v>431962744.41674662</v>
      </c>
      <c r="J49" s="66">
        <f>C49*Table211[cars]%</f>
        <v>4562604226.5203781</v>
      </c>
      <c r="K49" s="66">
        <f>C49*Table211[DPV]%</f>
        <v>147948335.04875925</v>
      </c>
      <c r="L49" s="66">
        <f>C49*Table211[Hybrid]%</f>
        <v>59510082.716476224</v>
      </c>
      <c r="M49" s="66">
        <f t="shared" si="5"/>
        <v>0</v>
      </c>
      <c r="P49" s="66">
        <f>D49*Table312[Cars]%</f>
        <v>406475338.93609715</v>
      </c>
      <c r="Q49" s="66">
        <f>D49*Table312[DPV]%</f>
        <v>586289089.49168801</v>
      </c>
      <c r="R49" s="66">
        <f>D49*Table312[Buses]%</f>
        <v>3813940198.3676486</v>
      </c>
      <c r="S49" s="66">
        <f t="shared" si="6"/>
        <v>0</v>
      </c>
      <c r="W49" s="66">
        <f>E49*Table413[Cars]%</f>
        <v>5528933.4419289408</v>
      </c>
      <c r="X49" s="66">
        <f>E49*Table413[DPV]%</f>
        <v>320875.60154051887</v>
      </c>
      <c r="Y49" s="66">
        <f t="shared" si="7"/>
        <v>0</v>
      </c>
      <c r="AB49" s="117">
        <f t="shared" si="39"/>
        <v>2046</v>
      </c>
      <c r="AD49" s="66">
        <f>H49*Table514[Autocycle]*0.01*$AD$7/1000</f>
        <v>11776.436928056024</v>
      </c>
      <c r="AE49" s="66">
        <f>I49*Table514[Motocycle]*0.01*$AD$7/1000</f>
        <v>9200.8064560767016</v>
      </c>
      <c r="AF49" s="66">
        <f>J49*Table514[Car]*0.01*$AD$7/$AL$8/1000</f>
        <v>110823.25529153446</v>
      </c>
      <c r="AG49" s="66">
        <f>K49*Table514[DPV]*0.01*$AD$7/$AL$8/1000</f>
        <v>6357.885029858523</v>
      </c>
      <c r="AH49" s="66">
        <f>L49*Table514[Car_Hbrid]*0.01*$AD$7/$AL$8/1000</f>
        <v>889.51913113048681</v>
      </c>
      <c r="AI49" s="66">
        <f>Freight!E41*$AG$8*$AI$8*$AD$7/1000</f>
        <v>8668.5020363757885</v>
      </c>
      <c r="AJ49" s="66">
        <f t="shared" si="30"/>
        <v>147716.40487303198</v>
      </c>
      <c r="AK49" s="66">
        <f>P49*Table514[Car_Dsl]*0.01*$AD$8/$AL$8/1000</f>
        <v>12729.096140367255</v>
      </c>
      <c r="AL49" s="66">
        <f>Q49*Table514[DPV_Dsl]*0.01*$AD$8/$AL$8/1000</f>
        <v>29638.456339829809</v>
      </c>
      <c r="AM49" s="66">
        <f>R49*Table514[Bus]*0.01*$AD$8/$AL$9/1000</f>
        <v>28065.151373988221</v>
      </c>
      <c r="AN49" s="66">
        <f>Freight!E41*$AG$9*$AI$9*$AD$8/1000</f>
        <v>263287.40741653868</v>
      </c>
      <c r="AO49" s="66">
        <f t="shared" si="9"/>
        <v>333720.11127072398</v>
      </c>
      <c r="AQ49" s="66">
        <f>W49*Table514[Car_LPG]*0.01*$AD$9/$AL$8/1000</f>
        <v>129.58699651368207</v>
      </c>
      <c r="AR49" s="66">
        <f>X49*Table514[DPV_LPG]*0.01*$AD$9/$AL$8/1000</f>
        <v>13.305807677744138</v>
      </c>
      <c r="AS49" s="31">
        <f t="shared" si="31"/>
        <v>310.15303268522973</v>
      </c>
      <c r="AT49" s="66">
        <f t="shared" si="10"/>
        <v>453.04583687665593</v>
      </c>
      <c r="AU49" s="31">
        <f t="shared" si="11"/>
        <v>4530.458368766559</v>
      </c>
      <c r="AW49" s="148">
        <f t="shared" si="3"/>
        <v>481889.5619806326</v>
      </c>
      <c r="AY49" s="163">
        <f t="shared" si="35"/>
        <v>145500.6587999365</v>
      </c>
      <c r="AZ49" s="163">
        <f t="shared" si="36"/>
        <v>328714.30960166309</v>
      </c>
      <c r="BA49" s="163">
        <f t="shared" si="37"/>
        <v>446.25014932350609</v>
      </c>
      <c r="BB49" s="163">
        <f t="shared" si="15"/>
        <v>474661.21855092305</v>
      </c>
      <c r="BF49" s="117">
        <f t="shared" si="40"/>
        <v>2046</v>
      </c>
      <c r="BG49" s="85">
        <f t="shared" si="16"/>
        <v>451.72716533663487</v>
      </c>
      <c r="BH49" s="85">
        <f t="shared" si="17"/>
        <v>0.21510817396982609</v>
      </c>
      <c r="BI49" s="85">
        <f t="shared" si="18"/>
        <v>2.0858974445558894E-2</v>
      </c>
      <c r="BJ49" s="85">
        <f t="shared" si="19"/>
        <v>1054.689723786224</v>
      </c>
      <c r="BK49" s="85">
        <f t="shared" si="20"/>
        <v>5.550998546243284E-2</v>
      </c>
      <c r="BL49" s="85">
        <f t="shared" si="21"/>
        <v>5.550998546243284E-2</v>
      </c>
      <c r="BM49" s="85">
        <f t="shared" si="22"/>
        <v>1.4698676668447508</v>
      </c>
      <c r="BN49" s="85">
        <f t="shared" si="23"/>
        <v>1.4442439832705952E-3</v>
      </c>
      <c r="BO49" s="85">
        <f t="shared" si="24"/>
        <v>4.658851558937404E-6</v>
      </c>
      <c r="BQ49" s="39">
        <f t="shared" si="41"/>
        <v>1507.8867567897037</v>
      </c>
      <c r="BR49" s="39">
        <f t="shared" si="41"/>
        <v>0.27206240341552951</v>
      </c>
      <c r="BS49" s="39">
        <f t="shared" si="41"/>
        <v>7.6373618759550677E-2</v>
      </c>
      <c r="BT49" s="159">
        <f t="shared" si="26"/>
        <v>1537.447655265438</v>
      </c>
    </row>
    <row r="50" spans="1:72" x14ac:dyDescent="0.25">
      <c r="A50" s="117">
        <f t="shared" si="38"/>
        <v>2047</v>
      </c>
      <c r="B50" s="66">
        <f>INDEX((Proj_PasMob!$Q$6:$Q$46),MATCH(A50,Proj_PasMob!$M$6:M$46,0))</f>
        <v>10571068961.036474</v>
      </c>
      <c r="C50" s="119">
        <f>B50*Table110[Gasoline]%</f>
        <v>5806726462.7736168</v>
      </c>
      <c r="D50" s="123">
        <f>B50*Table110[[Diesel ]]%</f>
        <v>4758551292.3234568</v>
      </c>
      <c r="E50" s="121">
        <f>B50*Table110[LPG]%</f>
        <v>5791205.9394016359</v>
      </c>
      <c r="F50" s="66">
        <f t="shared" si="4"/>
        <v>0</v>
      </c>
      <c r="H50" s="31">
        <f>C50*Table211[Autocycle]%</f>
        <v>656814712.81608212</v>
      </c>
      <c r="I50" s="66">
        <f>C50*Table211[Motocycle]%</f>
        <v>427635362.53532654</v>
      </c>
      <c r="J50" s="66">
        <f>C50*Table211[cars]%</f>
        <v>4516896278.05229</v>
      </c>
      <c r="K50" s="66">
        <f>C50*Table211[DPV]%</f>
        <v>146466195.78385407</v>
      </c>
      <c r="L50" s="66">
        <f>C50*Table211[Hybrid]%</f>
        <v>58913913.586064748</v>
      </c>
      <c r="M50" s="66">
        <f t="shared" si="5"/>
        <v>0</v>
      </c>
      <c r="P50" s="66">
        <f>D50*Table312[Cars]%</f>
        <v>402403288.65006799</v>
      </c>
      <c r="Q50" s="66">
        <f>D50*Table312[DPV]%</f>
        <v>580415673.7493968</v>
      </c>
      <c r="R50" s="66">
        <f>D50*Table312[Buses]%</f>
        <v>3775732329.9239917</v>
      </c>
      <c r="S50" s="66">
        <f t="shared" si="6"/>
        <v>0</v>
      </c>
      <c r="W50" s="66">
        <f>E50*Table413[Cars]%</f>
        <v>5473544.8541180016</v>
      </c>
      <c r="X50" s="66">
        <f>E50*Table413[DPV]%</f>
        <v>317661.08528363402</v>
      </c>
      <c r="Y50" s="66">
        <f t="shared" si="7"/>
        <v>0</v>
      </c>
      <c r="AB50" s="117">
        <f t="shared" si="39"/>
        <v>2047</v>
      </c>
      <c r="AD50" s="66">
        <f>H50*Table514[Autocycle]*0.01*$AD$7/1000</f>
        <v>11658.461152485457</v>
      </c>
      <c r="AE50" s="66">
        <f>I50*Table514[Motocycle]*0.01*$AD$7/1000</f>
        <v>9108.633222002456</v>
      </c>
      <c r="AF50" s="66">
        <f>J50*Table514[Car]*0.01*$AD$7/$AL$8/1000</f>
        <v>109713.03328005959</v>
      </c>
      <c r="AG50" s="66">
        <f>K50*Table514[DPV]*0.01*$AD$7/$AL$8/1000</f>
        <v>6294.1920451324668</v>
      </c>
      <c r="AH50" s="66">
        <f>L50*Table514[Car_Hbrid]*0.01*$AD$7/$AL$8/1000</f>
        <v>880.60797149696793</v>
      </c>
      <c r="AI50" s="66">
        <f>Freight!E42*$AG$8*$AI$8*$AD$7/1000</f>
        <v>8929.6834308917969</v>
      </c>
      <c r="AJ50" s="66">
        <f t="shared" si="30"/>
        <v>146584.61110206874</v>
      </c>
      <c r="AK50" s="66">
        <f>P50*Table514[Car_Dsl]*0.01*$AD$8/$AL$8/1000</f>
        <v>12601.576670883707</v>
      </c>
      <c r="AL50" s="66">
        <f>Q50*Table514[DPV_Dsl]*0.01*$AD$8/$AL$8/1000</f>
        <v>29341.539717699772</v>
      </c>
      <c r="AM50" s="66">
        <f>R50*Table514[Bus]*0.01*$AD$8/$AL$9/1000</f>
        <v>27783.996044912117</v>
      </c>
      <c r="AN50" s="66">
        <f>Freight!E42*$AG$9*$AI$9*$AD$8/1000</f>
        <v>271220.2396335692</v>
      </c>
      <c r="AO50" s="66">
        <f t="shared" si="9"/>
        <v>340947.35206706478</v>
      </c>
      <c r="AQ50" s="66">
        <f>W50*Table514[Car_LPG]*0.01*$AD$9/$AL$8/1000</f>
        <v>128.28880025016369</v>
      </c>
      <c r="AR50" s="66">
        <f>X50*Table514[DPV_LPG]*0.01*$AD$9/$AL$8/1000</f>
        <v>13.172510739972163</v>
      </c>
      <c r="AS50" s="31">
        <f t="shared" si="31"/>
        <v>288.13216736457844</v>
      </c>
      <c r="AT50" s="66">
        <f t="shared" si="10"/>
        <v>429.59347835471431</v>
      </c>
      <c r="AU50" s="31">
        <f t="shared" si="11"/>
        <v>4295.9347835471435</v>
      </c>
      <c r="AW50" s="148">
        <f t="shared" si="3"/>
        <v>487961.55664748827</v>
      </c>
      <c r="AY50" s="163">
        <f t="shared" si="35"/>
        <v>144385.8419355377</v>
      </c>
      <c r="AZ50" s="163">
        <f t="shared" si="36"/>
        <v>335833.14178605878</v>
      </c>
      <c r="BA50" s="163">
        <f t="shared" si="37"/>
        <v>423.14957617939359</v>
      </c>
      <c r="BB50" s="163">
        <f t="shared" si="15"/>
        <v>480642.13329777587</v>
      </c>
      <c r="BF50" s="117">
        <f t="shared" si="40"/>
        <v>2047</v>
      </c>
      <c r="BG50" s="85">
        <f t="shared" si="16"/>
        <v>448.26606030674776</v>
      </c>
      <c r="BH50" s="85">
        <f t="shared" si="17"/>
        <v>0.21346002871749889</v>
      </c>
      <c r="BI50" s="85">
        <f t="shared" si="18"/>
        <v>2.0699154299878682E-2</v>
      </c>
      <c r="BJ50" s="85">
        <f t="shared" si="19"/>
        <v>1077.530710414823</v>
      </c>
      <c r="BK50" s="85">
        <f t="shared" si="20"/>
        <v>5.6712142653411741E-2</v>
      </c>
      <c r="BL50" s="85">
        <f t="shared" si="21"/>
        <v>5.6712142653411741E-2</v>
      </c>
      <c r="BM50" s="85">
        <f t="shared" si="22"/>
        <v>1.3937785370112101</v>
      </c>
      <c r="BN50" s="85">
        <f t="shared" si="23"/>
        <v>1.3694812883469894E-3</v>
      </c>
      <c r="BO50" s="85">
        <f t="shared" si="24"/>
        <v>4.4176815753128692E-6</v>
      </c>
      <c r="BQ50" s="39">
        <f t="shared" si="41"/>
        <v>1527.190549258582</v>
      </c>
      <c r="BR50" s="39">
        <f t="shared" si="41"/>
        <v>0.27154165265925762</v>
      </c>
      <c r="BS50" s="39">
        <f t="shared" si="41"/>
        <v>7.741571463486574E-2</v>
      </c>
      <c r="BT50" s="159">
        <f t="shared" si="26"/>
        <v>1557.0489735362535</v>
      </c>
    </row>
    <row r="51" spans="1:72" x14ac:dyDescent="0.25">
      <c r="A51" s="117">
        <f t="shared" si="38"/>
        <v>2048</v>
      </c>
      <c r="B51" s="66">
        <f>INDEX((Proj_PasMob!$Q$6:$Q$46),MATCH(A51,Proj_PasMob!$M$6:M$46,0))</f>
        <v>10463377993.913282</v>
      </c>
      <c r="C51" s="119">
        <f>B51*Table110[Gasoline]%</f>
        <v>5747571424.5366306</v>
      </c>
      <c r="D51" s="123">
        <f>B51*Table110[[Diesel ]]%</f>
        <v>4710074360.3627949</v>
      </c>
      <c r="E51" s="121">
        <f>B51*Table110[LPG]%</f>
        <v>5732209.0138567872</v>
      </c>
      <c r="F51" s="66">
        <f t="shared" si="4"/>
        <v>0</v>
      </c>
      <c r="H51" s="31">
        <f>C51*Table211[Autocycle]%</f>
        <v>650123524.63969064</v>
      </c>
      <c r="I51" s="66">
        <f>C51*Table211[Motocycle]%</f>
        <v>423278900.01131409</v>
      </c>
      <c r="J51" s="66">
        <f>C51*Table211[cars]%</f>
        <v>4470881165.4490595</v>
      </c>
      <c r="K51" s="66">
        <f>C51*Table211[DPV]%</f>
        <v>144974096.32513747</v>
      </c>
      <c r="L51" s="66">
        <f>C51*Table211[Hybrid]%</f>
        <v>58313738.111429162</v>
      </c>
      <c r="M51" s="66">
        <f t="shared" si="5"/>
        <v>0</v>
      </c>
      <c r="P51" s="66">
        <f>D51*Table312[Cars]%</f>
        <v>398303873.58731449</v>
      </c>
      <c r="Q51" s="66">
        <f>D51*Table312[DPV]%</f>
        <v>574502787.78962123</v>
      </c>
      <c r="R51" s="66">
        <f>D51*Table312[Buses]%</f>
        <v>3737267698.9858589</v>
      </c>
      <c r="S51" s="66">
        <f t="shared" si="6"/>
        <v>0</v>
      </c>
      <c r="W51" s="66">
        <f>E51*Table413[Cars]%</f>
        <v>5417784.0468519842</v>
      </c>
      <c r="X51" s="66">
        <f>E51*Table413[DPV]%</f>
        <v>314424.96700480266</v>
      </c>
      <c r="Y51" s="66">
        <f t="shared" si="7"/>
        <v>0</v>
      </c>
      <c r="AB51" s="117">
        <f t="shared" si="39"/>
        <v>2048</v>
      </c>
      <c r="AD51" s="66">
        <f>H51*Table514[Autocycle]*0.01*$AD$7/1000</f>
        <v>11539.692562354507</v>
      </c>
      <c r="AE51" s="66">
        <f>I51*Table514[Motocycle]*0.01*$AD$7/1000</f>
        <v>9015.8405702409891</v>
      </c>
      <c r="AF51" s="66">
        <f>J51*Table514[Car]*0.01*$AD$7/$AL$8/1000</f>
        <v>108595.35041340742</v>
      </c>
      <c r="AG51" s="66">
        <f>K51*Table514[DPV]*0.01*$AD$7/$AL$8/1000</f>
        <v>6230.0710341828808</v>
      </c>
      <c r="AH51" s="66">
        <f>L51*Table514[Car_Hbrid]*0.01*$AD$7/$AL$8/1000</f>
        <v>871.63692756030957</v>
      </c>
      <c r="AI51" s="66">
        <f>Freight!E43*$AG$8*$AI$8*$AD$7/1000</f>
        <v>9198.6916231080813</v>
      </c>
      <c r="AJ51" s="66">
        <f t="shared" si="30"/>
        <v>145451.28313085419</v>
      </c>
      <c r="AK51" s="66">
        <f>P51*Table514[Car_Dsl]*0.01*$AD$8/$AL$8/1000</f>
        <v>12473.200251813269</v>
      </c>
      <c r="AL51" s="66">
        <f>Q51*Table514[DPV_Dsl]*0.01*$AD$8/$AL$8/1000</f>
        <v>29042.627772206906</v>
      </c>
      <c r="AM51" s="66">
        <f>R51*Table514[Bus]*0.01*$AD$8/$AL$9/1000</f>
        <v>27500.95131068023</v>
      </c>
      <c r="AN51" s="66">
        <f>Freight!E43*$AG$9*$AI$9*$AD$8/1000</f>
        <v>279390.79426979419</v>
      </c>
      <c r="AO51" s="66">
        <f t="shared" si="9"/>
        <v>348407.57360449457</v>
      </c>
      <c r="AQ51" s="66">
        <f>W51*Table514[Car_LPG]*0.01*$AD$9/$AL$8/1000</f>
        <v>126.98187991685242</v>
      </c>
      <c r="AR51" s="66">
        <f>X51*Table514[DPV_LPG]*0.01*$AD$9/$AL$8/1000</f>
        <v>13.038318027176812</v>
      </c>
      <c r="AS51" s="31">
        <f t="shared" si="31"/>
        <v>267.6747834816934</v>
      </c>
      <c r="AT51" s="66">
        <f t="shared" si="10"/>
        <v>407.69498142572263</v>
      </c>
      <c r="AU51" s="31">
        <f t="shared" si="11"/>
        <v>4076.9498142572265</v>
      </c>
      <c r="AW51" s="148">
        <f t="shared" si="3"/>
        <v>494266.55171677447</v>
      </c>
      <c r="AY51" s="163">
        <f t="shared" si="35"/>
        <v>143269.51388389137</v>
      </c>
      <c r="AZ51" s="163">
        <f t="shared" si="36"/>
        <v>343181.46000042715</v>
      </c>
      <c r="BA51" s="163">
        <f t="shared" si="37"/>
        <v>401.57955670433677</v>
      </c>
      <c r="BB51" s="163">
        <f t="shared" si="15"/>
        <v>486852.55344102287</v>
      </c>
      <c r="BF51" s="117">
        <f t="shared" si="40"/>
        <v>2048</v>
      </c>
      <c r="BG51" s="85">
        <f t="shared" si="16"/>
        <v>444.80026358448447</v>
      </c>
      <c r="BH51" s="85">
        <f t="shared" si="17"/>
        <v>0.21180964932594498</v>
      </c>
      <c r="BI51" s="85">
        <f t="shared" si="18"/>
        <v>2.0539117510394663E-2</v>
      </c>
      <c r="BJ51" s="85">
        <f t="shared" si="19"/>
        <v>1101.1080098551704</v>
      </c>
      <c r="BK51" s="85">
        <f t="shared" si="20"/>
        <v>5.7953053150272126E-2</v>
      </c>
      <c r="BL51" s="85">
        <f t="shared" si="21"/>
        <v>5.7953053150272126E-2</v>
      </c>
      <c r="BM51" s="85">
        <f t="shared" si="22"/>
        <v>1.3227307754638784</v>
      </c>
      <c r="BN51" s="85">
        <f t="shared" si="23"/>
        <v>1.2996720773179155E-3</v>
      </c>
      <c r="BO51" s="85">
        <f t="shared" si="24"/>
        <v>4.1924905719932756E-6</v>
      </c>
      <c r="BQ51" s="39">
        <f t="shared" si="41"/>
        <v>1547.2310042151187</v>
      </c>
      <c r="BR51" s="39">
        <f t="shared" si="41"/>
        <v>0.27106237455353499</v>
      </c>
      <c r="BS51" s="39">
        <f t="shared" si="41"/>
        <v>7.8496363151238785E-2</v>
      </c>
      <c r="BT51" s="159">
        <f t="shared" si="26"/>
        <v>1577.3994797980263</v>
      </c>
    </row>
    <row r="52" spans="1:72" x14ac:dyDescent="0.25">
      <c r="A52" s="117">
        <f t="shared" si="38"/>
        <v>2049</v>
      </c>
      <c r="B52" s="66">
        <f>INDEX((Proj_PasMob!$Q$6:$Q$46),MATCH(A52,Proj_PasMob!$M$6:M$46,0))</f>
        <v>10355101402.684845</v>
      </c>
      <c r="C52" s="119">
        <f>B52*Table110[Gasoline]%</f>
        <v>5688094700.8578329</v>
      </c>
      <c r="D52" s="123">
        <f>B52*Table110[[Diesel ]]%</f>
        <v>4661333810.5643253</v>
      </c>
      <c r="E52" s="121">
        <f>B52*Table110[LPG]%</f>
        <v>5672891.2626878638</v>
      </c>
      <c r="F52" s="66">
        <f t="shared" si="4"/>
        <v>0</v>
      </c>
      <c r="H52" s="31">
        <f>C52*Table211[Autocycle]%</f>
        <v>643395949.74309886</v>
      </c>
      <c r="I52" s="66">
        <f>C52*Table211[Motocycle]%</f>
        <v>418898747.01877111</v>
      </c>
      <c r="J52" s="66">
        <f>C52*Table211[cars]%</f>
        <v>4424615822.395999</v>
      </c>
      <c r="K52" s="66">
        <f>C52*Table211[DPV]%</f>
        <v>143473882.82089055</v>
      </c>
      <c r="L52" s="66">
        <f>C52*Table211[Hybrid]%</f>
        <v>57710298.879073583</v>
      </c>
      <c r="M52" s="66">
        <f t="shared" si="5"/>
        <v>0</v>
      </c>
      <c r="P52" s="66">
        <f>D52*Table312[Cars]%</f>
        <v>394182165.88161904</v>
      </c>
      <c r="Q52" s="66">
        <f>D52*Table312[DPV]%</f>
        <v>568557747.52162373</v>
      </c>
      <c r="R52" s="66">
        <f>D52*Table312[Buses]%</f>
        <v>3698593897.1610823</v>
      </c>
      <c r="S52" s="66">
        <f t="shared" si="6"/>
        <v>0</v>
      </c>
      <c r="W52" s="66">
        <f>E52*Table413[Cars]%</f>
        <v>5361720.011991905</v>
      </c>
      <c r="X52" s="66">
        <f>E52*Table413[DPV]%</f>
        <v>311171.25069595873</v>
      </c>
      <c r="Y52" s="66">
        <f t="shared" si="7"/>
        <v>0</v>
      </c>
      <c r="AB52" s="117">
        <f t="shared" si="39"/>
        <v>2049</v>
      </c>
      <c r="AD52" s="66">
        <f>H52*Table514[Autocycle]*0.01*$AD$7/1000</f>
        <v>11420.278107940003</v>
      </c>
      <c r="AE52" s="66">
        <f>I52*Table514[Motocycle]*0.01*$AD$7/1000</f>
        <v>8922.543311499825</v>
      </c>
      <c r="AF52" s="66">
        <f>J52*Table514[Car]*0.01*$AD$7/$AL$8/1000</f>
        <v>107471.58958082912</v>
      </c>
      <c r="AG52" s="66">
        <f>K52*Table514[DPV]*0.01*$AD$7/$AL$8/1000</f>
        <v>6165.6013328030076</v>
      </c>
      <c r="AH52" s="66">
        <f>L52*Table514[Car_Hbrid]*0.01*$AD$7/$AL$8/1000</f>
        <v>862.61709903457358</v>
      </c>
      <c r="AI52" s="66">
        <f>Freight!E44*$AG$8*$AI$8*$AD$7/1000</f>
        <v>9475.76141695566</v>
      </c>
      <c r="AJ52" s="66">
        <f t="shared" si="30"/>
        <v>144318.39084906218</v>
      </c>
      <c r="AK52" s="66">
        <f>P52*Table514[Car_Dsl]*0.01*$AD$8/$AL$8/1000</f>
        <v>12344.12572102965</v>
      </c>
      <c r="AL52" s="66">
        <f>Q52*Table514[DPV_Dsl]*0.01*$AD$8/$AL$8/1000</f>
        <v>28742.090341816824</v>
      </c>
      <c r="AM52" s="66">
        <f>R52*Table514[Bus]*0.01*$AD$8/$AL$9/1000</f>
        <v>27216.367377538194</v>
      </c>
      <c r="AN52" s="66">
        <f>Freight!E44*$AG$9*$AI$9*$AD$8/1000</f>
        <v>287806.20299778954</v>
      </c>
      <c r="AO52" s="66">
        <f t="shared" si="9"/>
        <v>356108.7864381742</v>
      </c>
      <c r="AQ52" s="66">
        <f>W52*Table514[Car_LPG]*0.01*$AD$9/$AL$8/1000</f>
        <v>125.66785254317125</v>
      </c>
      <c r="AR52" s="66">
        <f>X52*Table514[DPV_LPG]*0.01*$AD$9/$AL$8/1000</f>
        <v>12.90339557362919</v>
      </c>
      <c r="AS52" s="31">
        <f t="shared" si="31"/>
        <v>248.66987385449318</v>
      </c>
      <c r="AT52" s="66">
        <f t="shared" si="10"/>
        <v>387.24112197129364</v>
      </c>
      <c r="AU52" s="31">
        <f t="shared" si="11"/>
        <v>3872.4112197129361</v>
      </c>
      <c r="AW52" s="148">
        <f t="shared" si="3"/>
        <v>500814.41840920766</v>
      </c>
      <c r="AY52" s="163">
        <f t="shared" si="35"/>
        <v>142153.61498632625</v>
      </c>
      <c r="AZ52" s="163">
        <f t="shared" si="36"/>
        <v>350767.15464160161</v>
      </c>
      <c r="BA52" s="163">
        <f t="shared" si="37"/>
        <v>381.43250514172422</v>
      </c>
      <c r="BB52" s="163">
        <f t="shared" si="15"/>
        <v>493302.20213306957</v>
      </c>
      <c r="BF52" s="117">
        <f t="shared" si="40"/>
        <v>2049</v>
      </c>
      <c r="BG52" s="85">
        <f t="shared" si="16"/>
        <v>441.33579923114792</v>
      </c>
      <c r="BH52" s="85">
        <f t="shared" si="17"/>
        <v>0.21015990439578472</v>
      </c>
      <c r="BI52" s="85">
        <f t="shared" si="18"/>
        <v>2.0379142244439732E-2</v>
      </c>
      <c r="BJ52" s="85">
        <f t="shared" si="19"/>
        <v>1125.4469386822179</v>
      </c>
      <c r="BK52" s="85">
        <f t="shared" si="20"/>
        <v>5.9234049404327249E-2</v>
      </c>
      <c r="BL52" s="85">
        <f t="shared" si="21"/>
        <v>5.9234049404327249E-2</v>
      </c>
      <c r="BM52" s="85">
        <f t="shared" si="22"/>
        <v>1.256370014085914</v>
      </c>
      <c r="BN52" s="85">
        <f t="shared" si="23"/>
        <v>1.2344681596406764E-3</v>
      </c>
      <c r="BO52" s="85">
        <f t="shared" si="24"/>
        <v>3.9821553536796007E-6</v>
      </c>
      <c r="BQ52" s="39">
        <f t="shared" si="41"/>
        <v>1568.0391079274518</v>
      </c>
      <c r="BR52" s="39">
        <f t="shared" si="41"/>
        <v>0.27062842195975267</v>
      </c>
      <c r="BS52" s="39">
        <f t="shared" si="41"/>
        <v>7.9617173804120658E-2</v>
      </c>
      <c r="BT52" s="159">
        <f t="shared" si="26"/>
        <v>1598.5307362700737</v>
      </c>
    </row>
    <row r="53" spans="1:72" x14ac:dyDescent="0.25">
      <c r="A53" s="117">
        <f>A52+1</f>
        <v>2050</v>
      </c>
      <c r="B53" s="66">
        <f>INDEX((Proj_PasMob!$Q$6:$Q$46),MATCH(A53,Proj_PasMob!$M$6:M$46,0))</f>
        <v>10241580100.230583</v>
      </c>
      <c r="C53" s="119">
        <f>B53*Table110[Gasoline]%</f>
        <v>5625737038.3092899</v>
      </c>
      <c r="D53" s="123">
        <f>B53*Table110[[Diesel ]]%</f>
        <v>4610232361.6483202</v>
      </c>
      <c r="E53" s="121">
        <f>B53*Table110[LPG]%</f>
        <v>5610700.2729738709</v>
      </c>
      <c r="F53" s="66">
        <f t="shared" si="4"/>
        <v>0</v>
      </c>
      <c r="H53" s="31">
        <f>C53*Table211[Autocycle]%</f>
        <v>636342503.97097957</v>
      </c>
      <c r="I53" s="66">
        <f>C53*Table211[Motocycle]%</f>
        <v>414306427.78318167</v>
      </c>
      <c r="J53" s="66">
        <f>C53*Table211[cars]%</f>
        <v>4376109474.5114775</v>
      </c>
      <c r="K53" s="66">
        <f>C53*Table211[DPV]%</f>
        <v>141901001.84052905</v>
      </c>
      <c r="L53" s="66">
        <f>C53*Table211[Hybrid]%</f>
        <v>57077630.20312237</v>
      </c>
      <c r="M53" s="66">
        <f t="shared" si="5"/>
        <v>0</v>
      </c>
      <c r="P53" s="66">
        <f>D53*Table312[Cars]%</f>
        <v>389860810.52883404</v>
      </c>
      <c r="Q53" s="66">
        <f>D53*Table312[DPV]%</f>
        <v>562324740.86054146</v>
      </c>
      <c r="R53" s="66">
        <f>D53*Table312[Buses]%</f>
        <v>3658046810.2589445</v>
      </c>
      <c r="S53" s="66">
        <f t="shared" si="6"/>
        <v>0</v>
      </c>
      <c r="W53" s="66">
        <f>E53*Table413[Cars]%</f>
        <v>5302940.3423888059</v>
      </c>
      <c r="X53" s="66">
        <f>E53*Table413[DPV]%</f>
        <v>307759.93058506463</v>
      </c>
      <c r="Y53" s="66">
        <f t="shared" si="7"/>
        <v>0</v>
      </c>
      <c r="AB53" s="117">
        <f t="shared" si="39"/>
        <v>2050</v>
      </c>
      <c r="AD53" s="66">
        <f>H53*Table514[Autocycle]*0.01*$AD$7/1000</f>
        <v>11295.079445484887</v>
      </c>
      <c r="AE53" s="66">
        <f>I53*Table514[Motocycle]*0.01*$AD$7/1000</f>
        <v>8824.7269117817686</v>
      </c>
      <c r="AF53" s="66">
        <f>J53*Table514[Car]*0.01*$AD$7/$AL$8/1000</f>
        <v>106293.39592037089</v>
      </c>
      <c r="AG53" s="66">
        <f>K53*Table514[DPV]*0.01*$AD$7/$AL$8/1000</f>
        <v>6098.0088422522085</v>
      </c>
      <c r="AH53" s="66">
        <f>L53*Table514[Car_Hbrid]*0.01*$AD$7/$AL$8/1000</f>
        <v>853.16036724667129</v>
      </c>
      <c r="AI53" s="66">
        <f>Freight!E45*$AG$8*$AI$8*$AD$7/1000</f>
        <v>9761.1471782169028</v>
      </c>
      <c r="AJ53" s="66">
        <f t="shared" si="30"/>
        <v>143125.5186653533</v>
      </c>
      <c r="AK53" s="66">
        <f>P53*Table514[Car_Dsl]*0.01*$AD$8/$AL$8/1000</f>
        <v>12208.799066560858</v>
      </c>
      <c r="AL53" s="66">
        <f>Q53*Table514[DPV_Dsl]*0.01*$AD$8/$AL$8/1000</f>
        <v>28426.995452450006</v>
      </c>
      <c r="AM53" s="66">
        <f>R53*Table514[Bus]*0.01*$AD$8/$AL$9/1000</f>
        <v>26917.998742348322</v>
      </c>
      <c r="AN53" s="66">
        <f>Freight!E45*$AG$9*$AI$9*$AD$8/1000</f>
        <v>296474.19163997512</v>
      </c>
      <c r="AO53" s="66">
        <f t="shared" si="9"/>
        <v>364027.98490133428</v>
      </c>
      <c r="AQ53" s="66">
        <f>W53*Table514[Car_LPG]*0.01*$AD$9/$AL$8/1000</f>
        <v>124.29017619384722</v>
      </c>
      <c r="AR53" s="66">
        <f>X53*Table514[DPV_LPG]*0.01*$AD$9/$AL$8/1000</f>
        <v>12.761937734189667</v>
      </c>
      <c r="AS53" s="31">
        <f t="shared" si="31"/>
        <v>231.01431281082418</v>
      </c>
      <c r="AT53" s="66">
        <f t="shared" si="10"/>
        <v>368.06642673886108</v>
      </c>
      <c r="AU53" s="31">
        <f t="shared" si="11"/>
        <v>3680.6642673886108</v>
      </c>
      <c r="AW53" s="148">
        <f t="shared" si="3"/>
        <v>507521.56999342644</v>
      </c>
      <c r="AY53" s="163">
        <f t="shared" si="35"/>
        <v>140978.63588537299</v>
      </c>
      <c r="AZ53" s="163">
        <f t="shared" si="36"/>
        <v>358567.56512781425</v>
      </c>
      <c r="BA53" s="163">
        <f t="shared" si="37"/>
        <v>362.54543033777816</v>
      </c>
      <c r="BB53" s="163">
        <f t="shared" si="15"/>
        <v>499908.74644352501</v>
      </c>
      <c r="BF53" s="117">
        <f t="shared" si="40"/>
        <v>2050</v>
      </c>
      <c r="BG53" s="85">
        <f t="shared" si="16"/>
        <v>437.68791211516441</v>
      </c>
      <c r="BH53" s="85">
        <f t="shared" si="17"/>
        <v>0.20842281529293538</v>
      </c>
      <c r="BI53" s="85">
        <f t="shared" si="18"/>
        <v>2.0210697240527067E-2</v>
      </c>
      <c r="BJ53" s="85">
        <f t="shared" si="19"/>
        <v>1150.4747897395457</v>
      </c>
      <c r="BK53" s="85">
        <f t="shared" si="20"/>
        <v>6.0551304723133983E-2</v>
      </c>
      <c r="BL53" s="85">
        <f t="shared" si="21"/>
        <v>6.0551304723133983E-2</v>
      </c>
      <c r="BM53" s="85">
        <f t="shared" si="22"/>
        <v>1.1941593893551803</v>
      </c>
      <c r="BN53" s="85">
        <f t="shared" si="23"/>
        <v>1.1733420307451852E-3</v>
      </c>
      <c r="BO53" s="85">
        <f t="shared" si="24"/>
        <v>3.7849742927264037E-6</v>
      </c>
      <c r="BQ53" s="39">
        <f t="shared" si="41"/>
        <v>1589.3568612440654</v>
      </c>
      <c r="BR53" s="39">
        <f t="shared" si="41"/>
        <v>0.27014746204681456</v>
      </c>
      <c r="BS53" s="39">
        <f t="shared" si="41"/>
        <v>8.0765786937953776E-2</v>
      </c>
      <c r="BT53" s="159">
        <f t="shared" si="26"/>
        <v>1620.178752302746</v>
      </c>
    </row>
  </sheetData>
  <mergeCells count="20">
    <mergeCell ref="AB3:AC3"/>
    <mergeCell ref="AB4:AC4"/>
    <mergeCell ref="A7:E7"/>
    <mergeCell ref="H7:M7"/>
    <mergeCell ref="O7:S7"/>
    <mergeCell ref="U7:Z7"/>
    <mergeCell ref="AQ8:AU9"/>
    <mergeCell ref="AW9:AW10"/>
    <mergeCell ref="C11:F11"/>
    <mergeCell ref="I11:L11"/>
    <mergeCell ref="P11:R11"/>
    <mergeCell ref="W11:Y11"/>
    <mergeCell ref="AD11:AI11"/>
    <mergeCell ref="AK11:AN11"/>
    <mergeCell ref="AQ11:AS11"/>
    <mergeCell ref="BG11:BI11"/>
    <mergeCell ref="BJ11:BL11"/>
    <mergeCell ref="BM11:BO11"/>
    <mergeCell ref="BQ11:BT11"/>
    <mergeCell ref="AY11:BB11"/>
  </mergeCells>
  <pageMargins left="0.7" right="0.7" top="0.75" bottom="0.75" header="0.3" footer="0.3"/>
  <pageSetup orientation="portrait" horizontalDpi="0" verticalDpi="0" r:id="rId1"/>
  <drawing r:id="rId2"/>
  <tableParts count="8">
    <tablePart r:id="rId3"/>
    <tablePart r:id="rId4"/>
    <tablePart r:id="rId5"/>
    <tablePart r:id="rId6"/>
    <tablePart r:id="rId7"/>
    <tablePart r:id="rId8"/>
    <tablePart r:id="rId9"/>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3"/>
  <sheetViews>
    <sheetView topLeftCell="AK5" zoomScale="80" zoomScaleNormal="80" workbookViewId="0">
      <selection activeCell="AY33" sqref="AY33"/>
    </sheetView>
  </sheetViews>
  <sheetFormatPr defaultRowHeight="15" outlineLevelCol="1" x14ac:dyDescent="0.25"/>
  <cols>
    <col min="2" max="2" width="17.42578125" customWidth="1"/>
    <col min="3" max="3" width="14.7109375" customWidth="1"/>
    <col min="4" max="4" width="15.140625" customWidth="1"/>
    <col min="5" max="5" width="14.7109375" customWidth="1"/>
    <col min="6" max="6" width="9.140625" customWidth="1"/>
    <col min="7" max="7" width="9.5703125" customWidth="1"/>
    <col min="8" max="8" width="11.85546875" customWidth="1"/>
    <col min="9" max="9" width="12.42578125" customWidth="1"/>
    <col min="10" max="10" width="13.85546875" customWidth="1"/>
    <col min="11" max="11" width="11.85546875" customWidth="1"/>
    <col min="12" max="12" width="10.5703125" customWidth="1"/>
    <col min="13" max="13" width="10.140625" customWidth="1"/>
    <col min="14" max="14" width="3" customWidth="1"/>
    <col min="15" max="15" width="9.140625" customWidth="1"/>
    <col min="16" max="16" width="12.42578125" customWidth="1"/>
    <col min="17" max="17" width="11.85546875" customWidth="1"/>
    <col min="18" max="18" width="16" customWidth="1"/>
    <col min="19" max="19" width="13.5703125" customWidth="1"/>
    <col min="20" max="20" width="3" customWidth="1"/>
    <col min="21" max="22" width="9.140625" customWidth="1" outlineLevel="1"/>
    <col min="23" max="23" width="10.85546875" customWidth="1" outlineLevel="1"/>
    <col min="24" max="24" width="10.5703125" customWidth="1" outlineLevel="1"/>
    <col min="25" max="26" width="9.140625" customWidth="1" outlineLevel="1"/>
    <col min="27" max="27" width="2.85546875" style="130" customWidth="1" outlineLevel="1"/>
    <col min="30" max="30" width="15.28515625" customWidth="1"/>
    <col min="31" max="31" width="12.42578125" customWidth="1"/>
    <col min="34" max="34" width="10" customWidth="1"/>
    <col min="35" max="35" width="14.5703125" customWidth="1"/>
    <col min="36" max="36" width="14.28515625" customWidth="1"/>
    <col min="37" max="37" width="11.85546875" customWidth="1"/>
    <col min="38" max="38" width="11" customWidth="1"/>
    <col min="39" max="39" width="12.5703125" customWidth="1"/>
    <col min="40" max="40" width="10.7109375" customWidth="1"/>
    <col min="41" max="41" width="10.42578125" customWidth="1"/>
    <col min="49" max="49" width="16.140625" customWidth="1"/>
    <col min="50" max="50" width="3" style="130" customWidth="1"/>
    <col min="51" max="52" width="11" customWidth="1"/>
    <col min="53" max="53" width="10.7109375" customWidth="1"/>
    <col min="54" max="54" width="10.85546875" customWidth="1"/>
    <col min="56" max="56" width="2.7109375" style="130" customWidth="1"/>
    <col min="59" max="60" width="10" customWidth="1"/>
    <col min="61" max="61" width="10.5703125" customWidth="1"/>
    <col min="62" max="62" width="10.42578125" customWidth="1"/>
    <col min="63" max="63" width="13.42578125" customWidth="1"/>
    <col min="64" max="64" width="14.140625" customWidth="1"/>
    <col min="65" max="65" width="15.140625" customWidth="1"/>
  </cols>
  <sheetData>
    <row r="1" spans="1:72" x14ac:dyDescent="0.25">
      <c r="A1" s="115" t="s">
        <v>147</v>
      </c>
      <c r="B1" s="115"/>
      <c r="C1" s="115"/>
      <c r="D1" s="115"/>
      <c r="E1" s="115"/>
      <c r="F1" s="115"/>
      <c r="G1" s="115"/>
      <c r="H1" s="115"/>
      <c r="I1" s="115"/>
      <c r="J1" s="115"/>
      <c r="K1" s="115"/>
      <c r="L1" s="115"/>
      <c r="M1" s="115"/>
      <c r="N1" s="115"/>
      <c r="O1" s="115"/>
      <c r="P1" s="115"/>
      <c r="Q1" s="29"/>
      <c r="R1" s="29"/>
      <c r="S1" s="29"/>
      <c r="AB1" s="136" t="s">
        <v>159</v>
      </c>
      <c r="AC1" s="136"/>
      <c r="AD1" s="136"/>
      <c r="AE1" s="136"/>
      <c r="AF1" s="136"/>
      <c r="AG1" s="136"/>
      <c r="AH1" s="136"/>
      <c r="AI1" s="136"/>
      <c r="AJ1" s="136"/>
      <c r="AK1" s="136"/>
      <c r="AL1" s="136"/>
      <c r="AM1" s="136"/>
      <c r="AN1" s="136"/>
      <c r="AY1" s="136" t="s">
        <v>223</v>
      </c>
      <c r="BE1" s="136" t="s">
        <v>187</v>
      </c>
      <c r="BF1" s="136"/>
      <c r="BG1" s="136"/>
      <c r="BH1" s="136"/>
      <c r="BI1" s="136"/>
      <c r="BJ1" s="136"/>
      <c r="BK1" s="136"/>
      <c r="BL1" s="136"/>
      <c r="BM1" s="136"/>
      <c r="BN1" s="136"/>
      <c r="BO1" s="136"/>
      <c r="BP1" s="136"/>
    </row>
    <row r="2" spans="1:72" x14ac:dyDescent="0.25">
      <c r="A2" s="115" t="s">
        <v>148</v>
      </c>
      <c r="B2" s="115"/>
      <c r="C2" s="115"/>
      <c r="D2" s="115"/>
      <c r="E2" s="115"/>
      <c r="F2" s="115"/>
      <c r="G2" s="115"/>
      <c r="H2" s="115"/>
      <c r="I2" s="115"/>
      <c r="J2" s="115"/>
      <c r="K2" s="115"/>
      <c r="L2" s="115"/>
      <c r="M2" s="115"/>
      <c r="N2" s="115"/>
      <c r="O2" s="115"/>
      <c r="P2" s="115"/>
      <c r="Q2" s="29"/>
      <c r="R2" s="29"/>
      <c r="S2" s="29"/>
    </row>
    <row r="3" spans="1:72" x14ac:dyDescent="0.25">
      <c r="A3" s="115" t="s">
        <v>149</v>
      </c>
      <c r="B3" s="115"/>
      <c r="C3" s="115"/>
      <c r="D3" s="115"/>
      <c r="E3" s="115"/>
      <c r="F3" s="115"/>
      <c r="G3" s="115"/>
      <c r="H3" s="115"/>
      <c r="I3" s="115"/>
      <c r="J3" s="115"/>
      <c r="K3" s="115"/>
      <c r="L3" s="115"/>
      <c r="M3" s="115"/>
      <c r="N3" s="115"/>
      <c r="O3" s="115"/>
      <c r="P3" s="115"/>
      <c r="Q3" s="29"/>
      <c r="R3" s="29"/>
      <c r="S3" s="29"/>
      <c r="AB3" s="219" t="s">
        <v>160</v>
      </c>
      <c r="AC3" s="219"/>
      <c r="AD3" s="117" t="s">
        <v>5</v>
      </c>
      <c r="AE3" s="117" t="s">
        <v>62</v>
      </c>
      <c r="AF3" s="117" t="s">
        <v>63</v>
      </c>
      <c r="AG3" s="117" t="s">
        <v>64</v>
      </c>
      <c r="AH3" s="117" t="s">
        <v>165</v>
      </c>
      <c r="AI3" s="117" t="s">
        <v>166</v>
      </c>
      <c r="AJ3" s="117" t="s">
        <v>119</v>
      </c>
      <c r="AK3" s="117" t="s">
        <v>167</v>
      </c>
      <c r="AL3" s="117" t="s">
        <v>168</v>
      </c>
      <c r="AM3" s="117" t="s">
        <v>169</v>
      </c>
      <c r="AY3" s="28" t="s">
        <v>224</v>
      </c>
      <c r="AZ3" s="28"/>
      <c r="BA3" s="28"/>
      <c r="BB3" s="28"/>
      <c r="BC3" s="28"/>
      <c r="BE3" s="149" t="s">
        <v>188</v>
      </c>
      <c r="BF3" s="149"/>
      <c r="BG3" s="149"/>
      <c r="BO3" s="149" t="s">
        <v>206</v>
      </c>
      <c r="BP3" s="149"/>
      <c r="BQ3" s="149"/>
      <c r="BR3" s="149"/>
    </row>
    <row r="4" spans="1:72" x14ac:dyDescent="0.25">
      <c r="A4" s="29"/>
      <c r="B4" s="29"/>
      <c r="C4" s="29"/>
      <c r="D4" s="29"/>
      <c r="E4" s="29"/>
      <c r="F4" s="29"/>
      <c r="G4" s="29"/>
      <c r="H4" s="29"/>
      <c r="I4" s="29"/>
      <c r="J4" s="29"/>
      <c r="K4" s="29"/>
      <c r="L4" s="29"/>
      <c r="M4" s="29"/>
      <c r="N4" s="29"/>
      <c r="O4" s="29"/>
      <c r="P4" s="29"/>
      <c r="Q4" s="29"/>
      <c r="R4" s="29"/>
      <c r="S4" s="29"/>
      <c r="AB4" s="219" t="s">
        <v>164</v>
      </c>
      <c r="AC4" s="219"/>
      <c r="AD4" s="108">
        <f>EnergyCal!C$26</f>
        <v>2.5</v>
      </c>
      <c r="AE4" s="108">
        <f>EnergyCal!C27</f>
        <v>3</v>
      </c>
      <c r="AF4" s="108">
        <f>EnergyCal!C28</f>
        <v>6.5</v>
      </c>
      <c r="AG4" s="108">
        <f>EnergyCal!C29</f>
        <v>11.5</v>
      </c>
      <c r="AH4" s="108">
        <f>EnergyCal!C30</f>
        <v>7</v>
      </c>
      <c r="AI4" s="108">
        <f>EnergyCal!C31</f>
        <v>11.3</v>
      </c>
      <c r="AJ4" s="108">
        <f>EnergyCal!C32</f>
        <v>30.3</v>
      </c>
      <c r="AK4" s="108">
        <f>EnergyCal!C35</f>
        <v>4</v>
      </c>
      <c r="AL4" s="108">
        <f>EnergyCal!C36</f>
        <v>7.9950000000000001</v>
      </c>
      <c r="AM4" s="108">
        <f>EnergyCal!C37</f>
        <v>14.145</v>
      </c>
      <c r="AY4" s="28" t="s">
        <v>225</v>
      </c>
      <c r="AZ4" s="28"/>
      <c r="BA4" s="28"/>
      <c r="BB4" s="28"/>
      <c r="BC4" s="28"/>
      <c r="BF4" s="117"/>
      <c r="BG4" s="117"/>
      <c r="BH4" s="117"/>
      <c r="BI4" s="117"/>
      <c r="BJ4" s="152" t="s">
        <v>189</v>
      </c>
      <c r="BK4" s="150" t="s">
        <v>194</v>
      </c>
      <c r="BL4" s="150" t="s">
        <v>195</v>
      </c>
      <c r="BM4" s="150" t="s">
        <v>196</v>
      </c>
      <c r="BN4" s="117"/>
    </row>
    <row r="5" spans="1:72" x14ac:dyDescent="0.25">
      <c r="A5" s="64" t="s">
        <v>150</v>
      </c>
      <c r="B5" s="64"/>
      <c r="C5" s="64"/>
      <c r="D5" s="64"/>
      <c r="E5" s="64"/>
      <c r="F5" s="64"/>
      <c r="G5" s="64"/>
      <c r="H5" s="64"/>
      <c r="I5" s="64"/>
      <c r="J5" s="64"/>
      <c r="K5" s="64"/>
      <c r="L5" s="64"/>
      <c r="M5" s="64"/>
      <c r="N5" s="29"/>
      <c r="O5" s="29"/>
      <c r="P5" s="29"/>
      <c r="Q5" s="29"/>
      <c r="R5" s="29"/>
      <c r="S5" s="29"/>
      <c r="AY5" s="28" t="s">
        <v>226</v>
      </c>
      <c r="AZ5" s="28"/>
      <c r="BA5" s="28"/>
      <c r="BB5" s="28"/>
      <c r="BC5" s="28"/>
      <c r="BF5" s="118" t="s">
        <v>116</v>
      </c>
      <c r="BG5" s="151" t="s">
        <v>190</v>
      </c>
      <c r="BH5" s="151" t="s">
        <v>191</v>
      </c>
      <c r="BI5" s="151" t="s">
        <v>192</v>
      </c>
      <c r="BJ5" s="152" t="s">
        <v>193</v>
      </c>
      <c r="BK5" s="150" t="s">
        <v>197</v>
      </c>
      <c r="BL5" s="150" t="s">
        <v>198</v>
      </c>
      <c r="BM5" s="150" t="s">
        <v>199</v>
      </c>
      <c r="BO5" s="150" t="s">
        <v>208</v>
      </c>
      <c r="BP5" s="150" t="s">
        <v>207</v>
      </c>
    </row>
    <row r="6" spans="1:72" x14ac:dyDescent="0.25">
      <c r="AC6" s="117" t="s">
        <v>170</v>
      </c>
      <c r="AD6" s="117" t="s">
        <v>171</v>
      </c>
      <c r="AF6" s="59" t="s">
        <v>172</v>
      </c>
      <c r="AG6" s="59"/>
      <c r="AH6" s="59"/>
      <c r="AK6" s="141" t="s">
        <v>179</v>
      </c>
      <c r="AL6" s="141"/>
      <c r="AM6" s="141"/>
      <c r="AY6" s="28" t="s">
        <v>227</v>
      </c>
      <c r="AZ6" s="28"/>
      <c r="BA6" s="28"/>
      <c r="BB6" s="28"/>
      <c r="BC6" s="28"/>
      <c r="BF6" s="118" t="s">
        <v>152</v>
      </c>
      <c r="BG6" s="151">
        <v>69300</v>
      </c>
      <c r="BH6" s="151">
        <v>33</v>
      </c>
      <c r="BI6" s="151">
        <v>3.2</v>
      </c>
      <c r="BJ6" s="152">
        <v>44.8</v>
      </c>
      <c r="BK6" s="150">
        <f>BG6*BJ6*0.000001</f>
        <v>3.1046399999999998</v>
      </c>
      <c r="BL6" s="150">
        <f>BH6*BJ6*0.000001</f>
        <v>1.4783999999999997E-3</v>
      </c>
      <c r="BM6" s="150">
        <f>BI6*BJ6*0.000001</f>
        <v>1.4335999999999998E-4</v>
      </c>
      <c r="BO6" s="117" t="s">
        <v>200</v>
      </c>
      <c r="BP6" s="117">
        <v>1</v>
      </c>
    </row>
    <row r="7" spans="1:72" x14ac:dyDescent="0.25">
      <c r="A7" s="227" t="s">
        <v>154</v>
      </c>
      <c r="B7" s="227"/>
      <c r="C7" s="227"/>
      <c r="D7" s="227"/>
      <c r="E7" s="227"/>
      <c r="H7" s="227" t="s">
        <v>151</v>
      </c>
      <c r="I7" s="227"/>
      <c r="J7" s="227"/>
      <c r="K7" s="227"/>
      <c r="L7" s="227"/>
      <c r="M7" s="227"/>
      <c r="O7" s="226" t="s">
        <v>157</v>
      </c>
      <c r="P7" s="226"/>
      <c r="Q7" s="226"/>
      <c r="R7" s="226"/>
      <c r="S7" s="226"/>
      <c r="U7" s="230" t="s">
        <v>158</v>
      </c>
      <c r="V7" s="230"/>
      <c r="W7" s="230"/>
      <c r="X7" s="230"/>
      <c r="Y7" s="230"/>
      <c r="Z7" s="230"/>
      <c r="AC7" s="117" t="s">
        <v>122</v>
      </c>
      <c r="AD7" s="117">
        <f>EnergyCal!G25</f>
        <v>0.71</v>
      </c>
      <c r="AF7" t="s">
        <v>173</v>
      </c>
      <c r="AI7" t="s">
        <v>174</v>
      </c>
      <c r="AK7" t="s">
        <v>180</v>
      </c>
      <c r="AL7" t="s">
        <v>181</v>
      </c>
      <c r="AY7" s="28" t="s">
        <v>228</v>
      </c>
      <c r="AZ7" s="28"/>
      <c r="BA7" s="28"/>
      <c r="BB7" s="28"/>
      <c r="BC7" s="28"/>
      <c r="BF7" s="118" t="s">
        <v>1</v>
      </c>
      <c r="BG7" s="151">
        <v>74100</v>
      </c>
      <c r="BH7" s="151">
        <v>3.9</v>
      </c>
      <c r="BI7" s="151">
        <v>3.9</v>
      </c>
      <c r="BJ7" s="152">
        <v>43.3</v>
      </c>
      <c r="BK7" s="150">
        <f t="shared" ref="BK7:BK8" si="0">BG7*BJ7*0.000001</f>
        <v>3.2085299999999997</v>
      </c>
      <c r="BL7" s="150">
        <f t="shared" ref="BL7:BL8" si="1">BH7*BJ7*0.000001</f>
        <v>1.6886999999999997E-4</v>
      </c>
      <c r="BM7" s="150">
        <f t="shared" ref="BM7:BM8" si="2">BI7*BJ7*0.000001</f>
        <v>1.6886999999999997E-4</v>
      </c>
      <c r="BO7" s="117" t="s">
        <v>201</v>
      </c>
      <c r="BP7" s="117">
        <v>25</v>
      </c>
    </row>
    <row r="8" spans="1:72" x14ac:dyDescent="0.25">
      <c r="A8" t="s">
        <v>34</v>
      </c>
      <c r="B8" t="s">
        <v>152</v>
      </c>
      <c r="C8" t="s">
        <v>153</v>
      </c>
      <c r="D8" t="s">
        <v>2</v>
      </c>
      <c r="E8" t="s">
        <v>12</v>
      </c>
      <c r="G8" t="s">
        <v>34</v>
      </c>
      <c r="H8" s="83" t="s">
        <v>5</v>
      </c>
      <c r="I8" s="83" t="s">
        <v>62</v>
      </c>
      <c r="J8" s="83" t="s">
        <v>101</v>
      </c>
      <c r="K8" s="83" t="s">
        <v>64</v>
      </c>
      <c r="L8" s="83" t="s">
        <v>3</v>
      </c>
      <c r="M8" s="83" t="s">
        <v>104</v>
      </c>
      <c r="O8" s="117" t="s">
        <v>34</v>
      </c>
      <c r="P8" s="83" t="s">
        <v>65</v>
      </c>
      <c r="Q8" s="83" t="s">
        <v>64</v>
      </c>
      <c r="R8" s="83" t="s">
        <v>88</v>
      </c>
      <c r="S8" s="83" t="s">
        <v>104</v>
      </c>
      <c r="T8" s="83"/>
      <c r="V8" s="83" t="s">
        <v>34</v>
      </c>
      <c r="W8" s="83" t="s">
        <v>65</v>
      </c>
      <c r="X8" s="83" t="s">
        <v>64</v>
      </c>
      <c r="Y8" s="83" t="s">
        <v>104</v>
      </c>
      <c r="AC8" s="117" t="s">
        <v>123</v>
      </c>
      <c r="AD8" s="117">
        <f>EnergyCal!G26</f>
        <v>0.85</v>
      </c>
      <c r="AF8" t="s">
        <v>0</v>
      </c>
      <c r="AG8" s="140">
        <v>0.03</v>
      </c>
      <c r="AI8" s="117">
        <f>EnergyCal!P68</f>
        <v>4.6899999999999997E-2</v>
      </c>
      <c r="AK8" s="117" t="s">
        <v>129</v>
      </c>
      <c r="AL8" s="117">
        <f>EnergyCal!G30</f>
        <v>1.9</v>
      </c>
      <c r="AQ8" s="231" t="s">
        <v>183</v>
      </c>
      <c r="AR8" s="231"/>
      <c r="AS8" s="231"/>
      <c r="AT8" s="231"/>
      <c r="AU8" s="231"/>
      <c r="AY8" s="83">
        <v>2018</v>
      </c>
      <c r="AZ8" s="171">
        <v>2.5000000000000001E-2</v>
      </c>
      <c r="BA8" s="83" t="s">
        <v>229</v>
      </c>
      <c r="BB8" s="171">
        <v>0.05</v>
      </c>
      <c r="BF8" s="118" t="s">
        <v>2</v>
      </c>
      <c r="BG8" s="151">
        <v>63100</v>
      </c>
      <c r="BH8" s="151">
        <v>62</v>
      </c>
      <c r="BI8" s="151">
        <v>0.2</v>
      </c>
      <c r="BJ8" s="152">
        <v>52.2</v>
      </c>
      <c r="BK8" s="150">
        <f t="shared" si="0"/>
        <v>3.2938199999999997</v>
      </c>
      <c r="BL8" s="150">
        <f t="shared" si="1"/>
        <v>3.2364E-3</v>
      </c>
      <c r="BM8" s="150">
        <f t="shared" si="2"/>
        <v>1.044E-5</v>
      </c>
      <c r="BO8" s="117" t="s">
        <v>202</v>
      </c>
      <c r="BP8" s="117">
        <v>298</v>
      </c>
    </row>
    <row r="9" spans="1:72" ht="15" customHeight="1" x14ac:dyDescent="0.25">
      <c r="A9">
        <v>2015</v>
      </c>
      <c r="B9" s="85">
        <f>EnergyCal!W8</f>
        <v>54.930362143851504</v>
      </c>
      <c r="C9" s="85">
        <f>EnergyCal!X8</f>
        <v>45.014854314760704</v>
      </c>
      <c r="D9" s="85">
        <f>EnergyCal!Y8</f>
        <v>5.4783541387793754E-2</v>
      </c>
      <c r="E9" s="85">
        <f>B9+C9+D9</f>
        <v>100</v>
      </c>
      <c r="G9" s="117">
        <v>2015</v>
      </c>
      <c r="H9" s="85">
        <f>EnergyCal!C$19</f>
        <v>11.311273520921988</v>
      </c>
      <c r="I9" s="85">
        <f>EnergyCal!D$19</f>
        <v>7.3644826439967002</v>
      </c>
      <c r="J9" s="85">
        <f>EnergyCal!E$19</f>
        <v>77.787309373184556</v>
      </c>
      <c r="K9" s="85">
        <f>EnergyCal!F$19</f>
        <v>2.5223539755632576</v>
      </c>
      <c r="L9" s="85">
        <f>EnergyCal!G$19</f>
        <v>1.0145804863335024</v>
      </c>
      <c r="M9" s="85">
        <f>SUM(H9:L9)</f>
        <v>100.00000000000001</v>
      </c>
      <c r="O9" s="117">
        <v>2015</v>
      </c>
      <c r="P9" s="85">
        <f>EnergyCal!J19</f>
        <v>8.4564243176117291</v>
      </c>
      <c r="Q9" s="85">
        <f>EnergyCal!K19</f>
        <v>12.197318849661857</v>
      </c>
      <c r="R9" s="85">
        <f>EnergyCal!L19</f>
        <v>79.346256832726411</v>
      </c>
      <c r="S9" s="85">
        <f>P9+Q9+R9</f>
        <v>100</v>
      </c>
      <c r="T9" s="85"/>
      <c r="V9" s="117">
        <v>2015</v>
      </c>
      <c r="W9" s="85">
        <f>EnergyCal!O19</f>
        <v>94.514767932489448</v>
      </c>
      <c r="X9" s="85">
        <f>EnergyCal!P19</f>
        <v>5.4852320675105481</v>
      </c>
      <c r="Y9" s="85">
        <f>W9+X9</f>
        <v>100</v>
      </c>
      <c r="AC9" s="117" t="s">
        <v>2</v>
      </c>
      <c r="AD9" s="117">
        <f>EnergyCal!G27</f>
        <v>0.55700000000000005</v>
      </c>
      <c r="AF9" t="s">
        <v>1</v>
      </c>
      <c r="AG9" s="140">
        <v>0.97</v>
      </c>
      <c r="AI9" s="117">
        <f>EnergyCal!N68</f>
        <v>3.6799999999999999E-2</v>
      </c>
      <c r="AK9" s="117" t="s">
        <v>119</v>
      </c>
      <c r="AL9" s="117">
        <f>EnergyCal!G31</f>
        <v>35</v>
      </c>
      <c r="AQ9" s="231"/>
      <c r="AR9" s="231"/>
      <c r="AS9" s="231"/>
      <c r="AT9" s="231"/>
      <c r="AU9" s="231"/>
      <c r="AW9" s="232" t="s">
        <v>185</v>
      </c>
      <c r="AX9" s="164"/>
      <c r="AY9" s="161"/>
      <c r="AZ9" s="161"/>
      <c r="BA9" s="161"/>
      <c r="BB9" s="161"/>
      <c r="BG9" s="151"/>
      <c r="BH9" s="151"/>
      <c r="BI9" s="151"/>
      <c r="BJ9" s="152"/>
      <c r="BK9" s="150"/>
      <c r="BL9" s="150"/>
      <c r="BM9" s="150"/>
    </row>
    <row r="10" spans="1:72" x14ac:dyDescent="0.25">
      <c r="U10" s="39"/>
      <c r="V10" s="39"/>
      <c r="W10" s="39"/>
      <c r="AW10" s="232"/>
      <c r="AX10" s="164"/>
      <c r="AY10" s="161"/>
      <c r="AZ10" s="161"/>
      <c r="BA10" s="161"/>
      <c r="BB10" s="161"/>
    </row>
    <row r="11" spans="1:72" x14ac:dyDescent="0.25">
      <c r="C11" s="228" t="s">
        <v>155</v>
      </c>
      <c r="D11" s="228"/>
      <c r="E11" s="228"/>
      <c r="F11" s="228"/>
      <c r="H11" s="126" t="s">
        <v>109</v>
      </c>
      <c r="I11" s="229" t="s">
        <v>155</v>
      </c>
      <c r="J11" s="229"/>
      <c r="K11" s="229"/>
      <c r="L11" s="229"/>
      <c r="M11" s="127"/>
      <c r="O11" s="128" t="s">
        <v>110</v>
      </c>
      <c r="P11" s="226" t="s">
        <v>155</v>
      </c>
      <c r="Q11" s="226"/>
      <c r="R11" s="226"/>
      <c r="S11" s="128"/>
      <c r="V11" s="124" t="s">
        <v>2</v>
      </c>
      <c r="W11" s="230" t="s">
        <v>155</v>
      </c>
      <c r="X11" s="230"/>
      <c r="Y11" s="230"/>
      <c r="AD11" s="229" t="s">
        <v>176</v>
      </c>
      <c r="AE11" s="229"/>
      <c r="AF11" s="229"/>
      <c r="AG11" s="229"/>
      <c r="AH11" s="229"/>
      <c r="AI11" s="229"/>
      <c r="AK11" s="226" t="s">
        <v>177</v>
      </c>
      <c r="AL11" s="226"/>
      <c r="AM11" s="226"/>
      <c r="AN11" s="226"/>
      <c r="AQ11" s="230" t="s">
        <v>178</v>
      </c>
      <c r="AR11" s="230"/>
      <c r="AS11" s="230"/>
      <c r="AT11" s="147">
        <v>7.0999999999999994E-2</v>
      </c>
      <c r="AW11" s="137" t="s">
        <v>186</v>
      </c>
      <c r="AX11" s="157"/>
      <c r="AY11" s="233" t="s">
        <v>220</v>
      </c>
      <c r="AZ11" s="233"/>
      <c r="BA11" s="233"/>
      <c r="BB11" s="233"/>
      <c r="BG11" s="229" t="s">
        <v>205</v>
      </c>
      <c r="BH11" s="229"/>
      <c r="BI11" s="229"/>
      <c r="BJ11" s="226" t="s">
        <v>203</v>
      </c>
      <c r="BK11" s="226"/>
      <c r="BL11" s="226"/>
      <c r="BM11" s="230" t="s">
        <v>204</v>
      </c>
      <c r="BN11" s="230"/>
      <c r="BO11" s="230"/>
      <c r="BQ11" s="225" t="s">
        <v>211</v>
      </c>
      <c r="BR11" s="225"/>
      <c r="BS11" s="225"/>
      <c r="BT11" s="225"/>
    </row>
    <row r="12" spans="1:72" x14ac:dyDescent="0.25">
      <c r="A12" s="83" t="s">
        <v>34</v>
      </c>
      <c r="B12" s="7" t="s">
        <v>56</v>
      </c>
      <c r="C12" s="118" t="s">
        <v>152</v>
      </c>
      <c r="D12" s="128" t="s">
        <v>1</v>
      </c>
      <c r="E12" s="124" t="s">
        <v>2</v>
      </c>
      <c r="F12" s="83" t="s">
        <v>156</v>
      </c>
      <c r="H12" s="126" t="s">
        <v>5</v>
      </c>
      <c r="I12" s="126" t="s">
        <v>62</v>
      </c>
      <c r="J12" s="126" t="s">
        <v>65</v>
      </c>
      <c r="K12" s="126" t="s">
        <v>64</v>
      </c>
      <c r="L12" s="126" t="s">
        <v>3</v>
      </c>
      <c r="M12" s="126" t="s">
        <v>156</v>
      </c>
      <c r="O12" s="128"/>
      <c r="P12" s="128" t="s">
        <v>65</v>
      </c>
      <c r="Q12" s="128" t="s">
        <v>64</v>
      </c>
      <c r="R12" s="128" t="s">
        <v>88</v>
      </c>
      <c r="S12" s="128" t="s">
        <v>156</v>
      </c>
      <c r="V12" s="129"/>
      <c r="W12" s="124" t="s">
        <v>65</v>
      </c>
      <c r="X12" s="124" t="s">
        <v>64</v>
      </c>
      <c r="Y12" s="124" t="s">
        <v>156</v>
      </c>
      <c r="AB12" s="83" t="s">
        <v>34</v>
      </c>
      <c r="AD12" s="126" t="s">
        <v>5</v>
      </c>
      <c r="AE12" s="126" t="s">
        <v>62</v>
      </c>
      <c r="AF12" s="126" t="s">
        <v>101</v>
      </c>
      <c r="AG12" s="126" t="s">
        <v>64</v>
      </c>
      <c r="AH12" s="126" t="s">
        <v>3</v>
      </c>
      <c r="AI12" s="126" t="s">
        <v>10</v>
      </c>
      <c r="AJ12" s="138" t="s">
        <v>104</v>
      </c>
      <c r="AK12" s="128" t="s">
        <v>65</v>
      </c>
      <c r="AL12" s="128" t="s">
        <v>64</v>
      </c>
      <c r="AM12" s="128" t="s">
        <v>88</v>
      </c>
      <c r="AN12" s="128" t="s">
        <v>98</v>
      </c>
      <c r="AO12" s="139" t="s">
        <v>104</v>
      </c>
      <c r="AQ12" s="124" t="s">
        <v>101</v>
      </c>
      <c r="AR12" s="124" t="s">
        <v>64</v>
      </c>
      <c r="AS12" s="124" t="s">
        <v>175</v>
      </c>
      <c r="AT12" s="157" t="s">
        <v>104</v>
      </c>
      <c r="AU12" s="124" t="s">
        <v>184</v>
      </c>
      <c r="AW12" s="137"/>
      <c r="AX12" s="157"/>
      <c r="AY12" s="162" t="s">
        <v>152</v>
      </c>
      <c r="AZ12" s="162" t="s">
        <v>1</v>
      </c>
      <c r="BA12" s="162" t="s">
        <v>2</v>
      </c>
      <c r="BB12" s="162" t="s">
        <v>12</v>
      </c>
      <c r="BF12" s="83" t="s">
        <v>34</v>
      </c>
      <c r="BG12" s="126" t="s">
        <v>200</v>
      </c>
      <c r="BH12" s="126" t="s">
        <v>201</v>
      </c>
      <c r="BI12" s="126" t="s">
        <v>202</v>
      </c>
      <c r="BJ12" s="128" t="s">
        <v>200</v>
      </c>
      <c r="BK12" s="128" t="s">
        <v>201</v>
      </c>
      <c r="BL12" s="128" t="s">
        <v>202</v>
      </c>
      <c r="BM12" s="124" t="s">
        <v>200</v>
      </c>
      <c r="BN12" s="124" t="s">
        <v>201</v>
      </c>
      <c r="BO12" s="124" t="s">
        <v>202</v>
      </c>
      <c r="BQ12" s="158" t="s">
        <v>200</v>
      </c>
      <c r="BR12" s="158" t="s">
        <v>201</v>
      </c>
      <c r="BS12" s="158" t="s">
        <v>209</v>
      </c>
      <c r="BT12" s="158" t="s">
        <v>210</v>
      </c>
    </row>
    <row r="13" spans="1:72" x14ac:dyDescent="0.25">
      <c r="A13" s="117">
        <v>2010</v>
      </c>
      <c r="B13" s="66">
        <f>INDEX((Proj_PasMob!$Q$6:$Q$46),MATCH(A13,Proj_PasMob!$M$6:M$46,0))</f>
        <v>9991295818.1099663</v>
      </c>
      <c r="C13" s="119">
        <f>B13*Table11018[Gasoline]%</f>
        <v>5488254975.751296</v>
      </c>
      <c r="D13" s="123">
        <f>B13*Table11018[[Diesel ]]%</f>
        <v>4497567256.6789799</v>
      </c>
      <c r="E13" s="121">
        <f>B13*Table11018[LPG]%</f>
        <v>5473585.6796911797</v>
      </c>
      <c r="F13" s="66">
        <f>C13+D13+E13-B13</f>
        <v>0</v>
      </c>
      <c r="H13" s="31">
        <f>C13*Table21119[Autocycle]%</f>
        <v>620791531.83283985</v>
      </c>
      <c r="I13" s="66">
        <f>C13*Table21119[Motocycle]%</f>
        <v>404181585.14748949</v>
      </c>
      <c r="J13" s="66">
        <f>C13*Table21119[cars]%</f>
        <v>4269165877.1768556</v>
      </c>
      <c r="K13" s="66">
        <f>C13*Table21119[DPV]%</f>
        <v>138433217.56991112</v>
      </c>
      <c r="L13" s="66">
        <f>C13*Table21119[Hybrid]%</f>
        <v>55682764.024200149</v>
      </c>
      <c r="M13" s="66">
        <f>SUM(H13:L13)-C13</f>
        <v>0</v>
      </c>
      <c r="P13" s="66">
        <f>D13*Table31220[Cars]%</f>
        <v>380333371.19474393</v>
      </c>
      <c r="Q13" s="66">
        <f>D13*Table31220[DPV]%</f>
        <v>548582618.77512491</v>
      </c>
      <c r="R13" s="66">
        <f>D13*Table31220[Buses]%</f>
        <v>3568651266.7091112</v>
      </c>
      <c r="S13" s="66">
        <f>SUM(P13:R13)-D13</f>
        <v>0</v>
      </c>
      <c r="W13" s="66">
        <f>E13*Table41321[Cars]%</f>
        <v>5173346.8027460938</v>
      </c>
      <c r="X13" s="66">
        <f>E13*Table41321[DPV]%</f>
        <v>300238.87694508577</v>
      </c>
      <c r="Y13" s="66">
        <f>W13+X13-E13</f>
        <v>0</v>
      </c>
      <c r="AB13" s="117">
        <v>2010</v>
      </c>
      <c r="AD13" s="66">
        <f>INDEX((EnergyCal!$B$43:$B$48),MATCH(AB13,EnergyCal!$A$43:$A$48,0))</f>
        <v>12091.4136</v>
      </c>
      <c r="AE13" s="66">
        <f>INDEX((EnergyCal!$C$43:$C$48),MATCH(AB13,EnergyCal!$A$43:$A$48,0))</f>
        <v>5859.7492799999991</v>
      </c>
      <c r="AF13" s="66">
        <f>INDEX((EnergyCal!$D$43:$D$48),MATCH(AB13,EnergyCal!$A$43:$A$48,0))</f>
        <v>82186.965899999996</v>
      </c>
      <c r="AG13" s="66">
        <f>INDEX((EnergyCal!$E$43:$E$48),MATCH(AB13,EnergyCal!$A$43:$A$48,0))</f>
        <v>7038.0258750000003</v>
      </c>
      <c r="AH13" s="66">
        <f>INDEX((EnergyCal!$F$43:$F$48),MATCH(AB13,EnergyCal!$A$43:$A$48,0))</f>
        <v>61.727399999999989</v>
      </c>
      <c r="AI13" s="66">
        <f>INDEX((EnergyCal!$I$43:$I$48),MATCH(AB13,EnergyCal!$A$43:$A$48,0))</f>
        <v>8028.1179449999909</v>
      </c>
      <c r="AJ13" s="66">
        <f>SUM(AD13:AI13)</f>
        <v>115266</v>
      </c>
      <c r="AK13" s="66">
        <f>INDEX((EnergyCal!$B$70:$B$75),MATCH(AB13,EnergyCal!$A$70:$A$75,0))</f>
        <v>10442.25</v>
      </c>
      <c r="AL13" s="66">
        <f>INDEX((EnergyCal!$C$70:$C$75),MATCH(AB13,EnergyCal!$A$70:$A$75,0))</f>
        <v>28080.793799999999</v>
      </c>
      <c r="AM13" s="66">
        <f>INDEX((EnergyCal!$D$70:$D$75),MATCH(AB13,EnergyCal!$A$70:$A$75,0))</f>
        <v>27843.730500000001</v>
      </c>
      <c r="AN13" s="66">
        <f>INDEX((EnergyCal!$K$70:$K$75),MATCH(AB13,EnergyCal!$A$70:$A$75,0))</f>
        <v>77109.410233686634</v>
      </c>
      <c r="AO13" s="66">
        <f>SUM(AK13:AN13)</f>
        <v>143476.18453368664</v>
      </c>
      <c r="AP13" s="66"/>
      <c r="AQ13" s="66">
        <f>INDEX((EnergyCal!$B$57:$B$62),MATCH(AB13,EnergyCal!$A$57:$A$62,0))</f>
        <v>128.65338135000002</v>
      </c>
      <c r="AR13" s="146">
        <f>INDEX((EnergyCal!$C$57:$C$62),MATCH(AB13,EnergyCal!$A$57:$A$62,0))</f>
        <v>12.763599299999999</v>
      </c>
      <c r="AS13" s="66">
        <f>INDEX((EnergyCal!$F$57:$F$62),MATCH(AB13,EnergyCal!$A$57:$A$62,0))</f>
        <v>4499.5830193499996</v>
      </c>
      <c r="AT13" s="66">
        <f>SUM(AQ13:AS13)</f>
        <v>4641</v>
      </c>
      <c r="AU13" s="31">
        <f>AT13*10</f>
        <v>46410</v>
      </c>
      <c r="AW13" s="148">
        <f t="shared" ref="AW13:AW53" si="3">AT13+AO13+AJ13</f>
        <v>263383.18453368661</v>
      </c>
      <c r="AX13" s="165"/>
      <c r="AY13" s="163">
        <f>AJ13</f>
        <v>115266</v>
      </c>
      <c r="AZ13" s="163">
        <f>AO13</f>
        <v>143476.18453368664</v>
      </c>
      <c r="BA13" s="163">
        <f>AT13</f>
        <v>4641</v>
      </c>
      <c r="BB13" s="163">
        <f>BA13+AZ13+AY13</f>
        <v>263383.18453368661</v>
      </c>
      <c r="BF13" s="117">
        <v>2010</v>
      </c>
      <c r="BG13" s="85">
        <f>AY13*$BK$6/1000</f>
        <v>357.85943423999998</v>
      </c>
      <c r="BH13" s="85">
        <f>AY13*$BL$6/1000</f>
        <v>0.17040925439999999</v>
      </c>
      <c r="BI13" s="85">
        <f>AY13*$BM$6/1000</f>
        <v>1.6524533759999998E-2</v>
      </c>
      <c r="BJ13" s="85">
        <f>AZ13*$BK$7/1000</f>
        <v>460.34764236186959</v>
      </c>
      <c r="BK13" s="85">
        <f>AZ13*$BL$7/1000</f>
        <v>2.422882328220366E-2</v>
      </c>
      <c r="BL13" s="85">
        <f>AZ13*$BM$7/1000</f>
        <v>2.422882328220366E-2</v>
      </c>
      <c r="BM13" s="85">
        <f>BA13*$BK$8/1000</f>
        <v>15.286618619999999</v>
      </c>
      <c r="BN13" s="85">
        <f>BA13*$BL$8/1000</f>
        <v>1.50201324E-2</v>
      </c>
      <c r="BO13" s="85">
        <f>BA13*$BM$8/1000</f>
        <v>4.8452039999999999E-5</v>
      </c>
      <c r="BQ13" s="39">
        <f>BG13+BJ13+BM13</f>
        <v>833.49369522186964</v>
      </c>
      <c r="BR13" s="39">
        <f>BH13+BK13+BN13</f>
        <v>0.20965821008220364</v>
      </c>
      <c r="BS13" s="39">
        <f>BI13+BL13+BO13</f>
        <v>4.0801809082203662E-2</v>
      </c>
      <c r="BT13" s="159">
        <f>BQ13+(BR13*$BP$7)+(BS13*$BP$8)</f>
        <v>850.89408958042145</v>
      </c>
    </row>
    <row r="14" spans="1:72" x14ac:dyDescent="0.25">
      <c r="A14" s="117">
        <f>A13+1</f>
        <v>2011</v>
      </c>
      <c r="B14" s="66">
        <f>INDEX((Proj_PasMob!$Q$6:$Q$46),MATCH(A14,Proj_PasMob!$M$6:M$46,0))</f>
        <v>10135465715.034311</v>
      </c>
      <c r="C14" s="119">
        <f>B14*Table11018[Gasoline]%</f>
        <v>5567448022.2342558</v>
      </c>
      <c r="D14" s="123">
        <f>B14*Table11018[[Diesel ]]%</f>
        <v>4562465125.7452145</v>
      </c>
      <c r="E14" s="121">
        <f>B14*Table11018[LPG]%</f>
        <v>5552567.0548414681</v>
      </c>
      <c r="F14" s="66">
        <f t="shared" ref="F14:F53" si="4">C14+D14+E14-B14</f>
        <v>0</v>
      </c>
      <c r="H14" s="31">
        <f>C14*Table21119[Autocycle]%</f>
        <v>629749273.93007827</v>
      </c>
      <c r="I14" s="66">
        <f>C14*Table21119[Motocycle]%</f>
        <v>410013743.31097931</v>
      </c>
      <c r="J14" s="66">
        <f>C14*Table21119[cars]%</f>
        <v>4330768017.2466049</v>
      </c>
      <c r="K14" s="66">
        <f>C14*Table21119[DPV]%</f>
        <v>140430746.52624372</v>
      </c>
      <c r="L14" s="66">
        <f>C14*Table21119[Hybrid]%</f>
        <v>56486241.220349275</v>
      </c>
      <c r="M14" s="66">
        <f t="shared" ref="M14:M53" si="5">SUM(H14:L14)-C14</f>
        <v>0</v>
      </c>
      <c r="P14" s="66">
        <f>D14*Table31220[Cars]%</f>
        <v>385821410.37607282</v>
      </c>
      <c r="Q14" s="66">
        <f>D14*Table31220[DPV]%</f>
        <v>556498418.7917695</v>
      </c>
      <c r="R14" s="66">
        <f>D14*Table31220[Buses]%</f>
        <v>3620145296.5773721</v>
      </c>
      <c r="S14" s="66">
        <f t="shared" ref="S14:S53" si="6">SUM(P14:R14)-D14</f>
        <v>0</v>
      </c>
      <c r="W14" s="66">
        <f>E14*Table41321[Cars]%</f>
        <v>5247995.8661792781</v>
      </c>
      <c r="X14" s="66">
        <f>E14*Table41321[DPV]%</f>
        <v>304571.18866219022</v>
      </c>
      <c r="Y14" s="66">
        <f t="shared" ref="Y14:Y53" si="7">W14+X14-E14</f>
        <v>0</v>
      </c>
      <c r="AB14" s="117">
        <f>AB13+1</f>
        <v>2011</v>
      </c>
      <c r="AD14" s="66">
        <f>INDEX((EnergyCal!$B$43:$B$48),MATCH(AB14,EnergyCal!$A$43:$A$48,0))</f>
        <v>12191.708199999999</v>
      </c>
      <c r="AE14" s="66">
        <f>INDEX((EnergyCal!$C$43:$C$48),MATCH(AB14,EnergyCal!$A$43:$A$48,0))</f>
        <v>6461.6361599999991</v>
      </c>
      <c r="AF14" s="66">
        <f>INDEX((EnergyCal!$D$43:$D$48),MATCH(AB14,EnergyCal!$A$43:$A$48,0))</f>
        <v>86827.256100000013</v>
      </c>
      <c r="AG14" s="66">
        <f>INDEX((EnergyCal!$E$43:$E$48),MATCH(AB14,EnergyCal!$A$43:$A$48,0))</f>
        <v>6837.4118250000001</v>
      </c>
      <c r="AH14" s="66">
        <f>INDEX((EnergyCal!$F$43:$F$48),MATCH(AB14,EnergyCal!$A$43:$A$48,0))</f>
        <v>120.771</v>
      </c>
      <c r="AI14" s="66">
        <f>INDEX((EnergyCal!$I$43:$I$48),MATCH(AB14,EnergyCal!$A$43:$A$48,0))</f>
        <v>4931.2167149999877</v>
      </c>
      <c r="AJ14" s="66">
        <f t="shared" ref="AJ14:AJ17" si="8">SUM(AD14:AI14)</f>
        <v>117370</v>
      </c>
      <c r="AK14" s="66">
        <f>INDEX((EnergyCal!$B$70:$B$75),MATCH(AB14,EnergyCal!$A$70:$A$75,0))</f>
        <v>11001.312</v>
      </c>
      <c r="AL14" s="66">
        <f>INDEX((EnergyCal!$C$70:$C$75),MATCH(AB14,EnergyCal!$A$70:$A$75,0))</f>
        <v>29255.58135</v>
      </c>
      <c r="AM14" s="66">
        <f>INDEX((EnergyCal!$D$70:$D$75),MATCH(AB14,EnergyCal!$A$70:$A$75,0))</f>
        <v>28499.452799999999</v>
      </c>
      <c r="AN14" s="66">
        <f>INDEX((EnergyCal!$K$70:$K$75),MATCH(AB14,EnergyCal!$A$70:$A$75,0))</f>
        <v>80074.815155776363</v>
      </c>
      <c r="AO14" s="66">
        <f t="shared" ref="AO14:AO53" si="9">SUM(AK14:AN14)</f>
        <v>148831.16130577636</v>
      </c>
      <c r="AP14" s="66"/>
      <c r="AQ14" s="66">
        <f>INDEX((EnergyCal!$B$57:$B$62),MATCH(AB14,EnergyCal!$A$57:$A$62,0))</f>
        <v>131.05811745000003</v>
      </c>
      <c r="AR14" s="146">
        <f>INDEX((EnergyCal!$C$57:$C$62),MATCH(AB14,EnergyCal!$A$57:$A$62,0))</f>
        <v>12.763599299999999</v>
      </c>
      <c r="AS14" s="66">
        <f>INDEX((EnergyCal!$F$57:$F$62),MATCH(AB14,EnergyCal!$A$57:$A$62,0))</f>
        <v>4358.1782832500012</v>
      </c>
      <c r="AT14" s="66">
        <f t="shared" ref="AT14:AT53" si="10">SUM(AQ14:AS14)</f>
        <v>4502.0000000000009</v>
      </c>
      <c r="AU14" s="31">
        <f t="shared" ref="AU14:AU53" si="11">AT14*10</f>
        <v>45020.000000000007</v>
      </c>
      <c r="AW14" s="148">
        <f t="shared" si="3"/>
        <v>270703.16130577633</v>
      </c>
      <c r="AX14" s="165"/>
      <c r="AY14" s="163">
        <f t="shared" ref="AY14:AY20" si="12">AJ14</f>
        <v>117370</v>
      </c>
      <c r="AZ14" s="163">
        <f t="shared" ref="AZ14:AZ20" si="13">AO14</f>
        <v>148831.16130577636</v>
      </c>
      <c r="BA14" s="163">
        <f t="shared" ref="BA14:BA53" si="14">AT14</f>
        <v>4502.0000000000009</v>
      </c>
      <c r="BB14" s="163">
        <f t="shared" ref="BB14:BB53" si="15">BA14+AZ14+AY14</f>
        <v>270703.16130577633</v>
      </c>
      <c r="BF14" s="117">
        <f>BF13+1</f>
        <v>2011</v>
      </c>
      <c r="BG14" s="85">
        <f t="shared" ref="BG14:BG53" si="16">AY14*$BK$6/1000</f>
        <v>364.3915968</v>
      </c>
      <c r="BH14" s="85">
        <f t="shared" ref="BH14:BH53" si="17">AY14*$BL$6/1000</f>
        <v>0.17351980799999994</v>
      </c>
      <c r="BI14" s="85">
        <f t="shared" ref="BI14:BI53" si="18">AY14*$BM$6/1000</f>
        <v>1.6826163199999997E-2</v>
      </c>
      <c r="BJ14" s="85">
        <f t="shared" ref="BJ14:BJ53" si="19">AZ14*$BK$7/1000</f>
        <v>477.52924598442257</v>
      </c>
      <c r="BK14" s="85">
        <f t="shared" ref="BK14:BK53" si="20">AZ14*$BL$7/1000</f>
        <v>2.513311820970645E-2</v>
      </c>
      <c r="BL14" s="85">
        <f t="shared" ref="BL14:BL53" si="21">AZ14*$BM$7/1000</f>
        <v>2.513311820970645E-2</v>
      </c>
      <c r="BM14" s="85">
        <f t="shared" ref="BM14:BM53" si="22">BA14*$BK$8/1000</f>
        <v>14.828777640000002</v>
      </c>
      <c r="BN14" s="85">
        <f t="shared" ref="BN14:BN53" si="23">BA14*$BL$8/1000</f>
        <v>1.4570272800000002E-2</v>
      </c>
      <c r="BO14" s="85">
        <f t="shared" ref="BO14:BO53" si="24">BA14*$BM$8/1000</f>
        <v>4.7000880000000011E-5</v>
      </c>
      <c r="BQ14" s="39">
        <f t="shared" ref="BQ14:BS34" si="25">BG14+BJ14+BM14</f>
        <v>856.74962042442257</v>
      </c>
      <c r="BR14" s="39">
        <f t="shared" si="25"/>
        <v>0.2132231990097064</v>
      </c>
      <c r="BS14" s="39">
        <f t="shared" si="25"/>
        <v>4.2006282289706452E-2</v>
      </c>
      <c r="BT14" s="159">
        <f t="shared" ref="BT14:BT53" si="26">BQ14+(BR14*$BP$7)+(BS14*$BP$8)</f>
        <v>874.59807252199778</v>
      </c>
    </row>
    <row r="15" spans="1:72" x14ac:dyDescent="0.25">
      <c r="A15" s="117">
        <f t="shared" ref="A15:A32" si="27">A14+1</f>
        <v>2012</v>
      </c>
      <c r="B15" s="66">
        <f>INDEX((Proj_PasMob!$Q$6:$Q$46),MATCH(A15,Proj_PasMob!$M$6:M$46,0))</f>
        <v>10284155309.520308</v>
      </c>
      <c r="C15" s="119">
        <f>B15*Table11018[Gasoline]%</f>
        <v>5649123754.9556379</v>
      </c>
      <c r="D15" s="123">
        <f>B15*Table11018[[Diesel ]]%</f>
        <v>4629397530.0842943</v>
      </c>
      <c r="E15" s="121">
        <f>B15*Table11018[LPG]%</f>
        <v>5634024.4803760471</v>
      </c>
      <c r="F15" s="66">
        <f t="shared" si="4"/>
        <v>0</v>
      </c>
      <c r="H15" s="31">
        <f>C15*Table21119[Autocycle]%</f>
        <v>638987839.45841098</v>
      </c>
      <c r="I15" s="66">
        <f>C15*Table21119[Motocycle]%</f>
        <v>416028738.47160262</v>
      </c>
      <c r="J15" s="66">
        <f>C15*Table21119[cars]%</f>
        <v>4394301372.1414022</v>
      </c>
      <c r="K15" s="66">
        <f>C15*Table21119[DPV]%</f>
        <v>142490897.61761191</v>
      </c>
      <c r="L15" s="66">
        <f>C15*Table21119[Hybrid]%</f>
        <v>57314907.266610324</v>
      </c>
      <c r="M15" s="66">
        <f t="shared" si="5"/>
        <v>0</v>
      </c>
      <c r="P15" s="66">
        <f>D15*Table31220[Cars]%</f>
        <v>391481498.49296498</v>
      </c>
      <c r="Q15" s="66">
        <f>D15*Table31220[DPV]%</f>
        <v>564662377.56275201</v>
      </c>
      <c r="R15" s="66">
        <f>D15*Table31220[Buses]%</f>
        <v>3673253654.0285773</v>
      </c>
      <c r="S15" s="66">
        <f t="shared" si="6"/>
        <v>0</v>
      </c>
      <c r="W15" s="66">
        <f>E15*Table41321[Cars]%</f>
        <v>5324985.1628870657</v>
      </c>
      <c r="X15" s="66">
        <f>E15*Table41321[DPV]%</f>
        <v>309039.31748898147</v>
      </c>
      <c r="Y15" s="66">
        <f t="shared" si="7"/>
        <v>0</v>
      </c>
      <c r="AB15" s="117">
        <f t="shared" ref="AB15:AB32" si="28">AB14+1</f>
        <v>2012</v>
      </c>
      <c r="AD15" s="66">
        <f>INDEX((EnergyCal!$B$43:$B$48),MATCH(AB15,EnergyCal!$A$43:$A$48,0))</f>
        <v>12398.8578</v>
      </c>
      <c r="AE15" s="66">
        <f>INDEX((EnergyCal!$C$43:$C$48),MATCH(AB15,EnergyCal!$A$43:$A$48,0))</f>
        <v>7169.80152</v>
      </c>
      <c r="AF15" s="66">
        <f>INDEX((EnergyCal!$D$43:$D$48),MATCH(AB15,EnergyCal!$A$43:$A$48,0))</f>
        <v>92660.01615000001</v>
      </c>
      <c r="AG15" s="66">
        <f>INDEX((EnergyCal!$E$43:$E$48),MATCH(AB15,EnergyCal!$A$43:$A$48,0))</f>
        <v>6926.6960999999983</v>
      </c>
      <c r="AH15" s="66">
        <f>INDEX((EnergyCal!$F$43:$F$48),MATCH(AB15,EnergyCal!$A$43:$A$48,0))</f>
        <v>269.53020000000004</v>
      </c>
      <c r="AI15" s="66">
        <f>INDEX((EnergyCal!$I$43:$I$48),MATCH(AB15,EnergyCal!$A$43:$A$48,0))</f>
        <v>3927.0982299999887</v>
      </c>
      <c r="AJ15" s="66">
        <f t="shared" si="8"/>
        <v>123352</v>
      </c>
      <c r="AK15" s="66">
        <f>INDEX((EnergyCal!$B$70:$B$75),MATCH(AB15,EnergyCal!$A$70:$A$75,0))</f>
        <v>11641.502249999998</v>
      </c>
      <c r="AL15" s="66">
        <f>INDEX((EnergyCal!$C$70:$C$75),MATCH(AB15,EnergyCal!$A$70:$A$75,0))</f>
        <v>31271.910975000006</v>
      </c>
      <c r="AM15" s="66">
        <f>INDEX((EnergyCal!$D$70:$D$75),MATCH(AB15,EnergyCal!$A$70:$A$75,0))</f>
        <v>28939.863300000001</v>
      </c>
      <c r="AN15" s="66">
        <f>INDEX((EnergyCal!$K$70:$K$75),MATCH(AB15,EnergyCal!$A$70:$A$75,0))</f>
        <v>83151.826256642613</v>
      </c>
      <c r="AO15" s="66">
        <f t="shared" si="9"/>
        <v>155005.10278164264</v>
      </c>
      <c r="AP15" s="66"/>
      <c r="AQ15" s="66">
        <f>INDEX((EnergyCal!$B$57:$B$62),MATCH(AB15,EnergyCal!$A$57:$A$62,0))</f>
        <v>131.05811745000003</v>
      </c>
      <c r="AR15" s="146">
        <f>INDEX((EnergyCal!$C$57:$C$62),MATCH(AB15,EnergyCal!$A$57:$A$62,0))</f>
        <v>12.763599299999999</v>
      </c>
      <c r="AS15" s="66">
        <f>INDEX((EnergyCal!$F$57:$F$62),MATCH(AB15,EnergyCal!$A$57:$A$62,0))</f>
        <v>4219.1782832500003</v>
      </c>
      <c r="AT15" s="66">
        <f t="shared" si="10"/>
        <v>4363</v>
      </c>
      <c r="AU15" s="31">
        <f t="shared" si="11"/>
        <v>43630</v>
      </c>
      <c r="AW15" s="148">
        <f t="shared" si="3"/>
        <v>282720.10278164264</v>
      </c>
      <c r="AX15" s="165"/>
      <c r="AY15" s="163">
        <f t="shared" si="12"/>
        <v>123352</v>
      </c>
      <c r="AZ15" s="163">
        <f t="shared" si="13"/>
        <v>155005.10278164264</v>
      </c>
      <c r="BA15" s="163">
        <f t="shared" si="14"/>
        <v>4363</v>
      </c>
      <c r="BB15" s="163">
        <f t="shared" si="15"/>
        <v>282720.10278164264</v>
      </c>
      <c r="BF15" s="117">
        <f t="shared" ref="BF15:BF32" si="29">BF14+1</f>
        <v>2012</v>
      </c>
      <c r="BG15" s="85">
        <f t="shared" si="16"/>
        <v>382.96355327999999</v>
      </c>
      <c r="BH15" s="85">
        <f t="shared" si="17"/>
        <v>0.18236359679999994</v>
      </c>
      <c r="BI15" s="85">
        <f t="shared" si="18"/>
        <v>1.7683742719999999E-2</v>
      </c>
      <c r="BJ15" s="85">
        <f t="shared" si="19"/>
        <v>497.33852242798383</v>
      </c>
      <c r="BK15" s="85">
        <f t="shared" si="20"/>
        <v>2.617571170673599E-2</v>
      </c>
      <c r="BL15" s="85">
        <f t="shared" si="21"/>
        <v>2.617571170673599E-2</v>
      </c>
      <c r="BM15" s="85">
        <f t="shared" si="22"/>
        <v>14.37093666</v>
      </c>
      <c r="BN15" s="85">
        <f t="shared" si="23"/>
        <v>1.4120413199999999E-2</v>
      </c>
      <c r="BO15" s="85">
        <f t="shared" si="24"/>
        <v>4.5549720000000003E-5</v>
      </c>
      <c r="BQ15" s="39">
        <f t="shared" si="25"/>
        <v>894.6730123679838</v>
      </c>
      <c r="BR15" s="39">
        <f t="shared" si="25"/>
        <v>0.22265972170673592</v>
      </c>
      <c r="BS15" s="39">
        <f t="shared" si="25"/>
        <v>4.3905004146735989E-2</v>
      </c>
      <c r="BT15" s="159">
        <f t="shared" si="26"/>
        <v>913.32319664637953</v>
      </c>
    </row>
    <row r="16" spans="1:72" x14ac:dyDescent="0.25">
      <c r="A16" s="117">
        <f t="shared" si="27"/>
        <v>2013</v>
      </c>
      <c r="B16" s="66">
        <f>INDEX((Proj_PasMob!$Q$6:$Q$46),MATCH(A16,Proj_PasMob!$M$6:M$46,0))</f>
        <v>10425988957.632849</v>
      </c>
      <c r="C16" s="119">
        <f>B16*Table11018[Gasoline]%</f>
        <v>5727033491.5056925</v>
      </c>
      <c r="D16" s="123">
        <f>B16*Table11018[[Diesel ]]%</f>
        <v>4693243740.1514654</v>
      </c>
      <c r="E16" s="121">
        <f>B16*Table11018[LPG]%</f>
        <v>5711725.9756915988</v>
      </c>
      <c r="F16" s="66">
        <f t="shared" si="4"/>
        <v>0</v>
      </c>
      <c r="H16" s="31">
        <f>C16*Table21119[Autocycle]%</f>
        <v>647800422.85901737</v>
      </c>
      <c r="I16" s="66">
        <f>C16*Table21119[Motocycle]%</f>
        <v>421766387.49781495</v>
      </c>
      <c r="J16" s="66">
        <f>C16*Table21119[cars]%</f>
        <v>4454905259.9434261</v>
      </c>
      <c r="K16" s="66">
        <f>C16*Table21119[DPV]%</f>
        <v>144456056.95483309</v>
      </c>
      <c r="L16" s="66">
        <f>C16*Table21119[Hybrid]%</f>
        <v>58105364.250601023</v>
      </c>
      <c r="M16" s="66">
        <f t="shared" si="5"/>
        <v>0</v>
      </c>
      <c r="P16" s="66">
        <f>D16*Table31220[Cars]%</f>
        <v>396880604.92695874</v>
      </c>
      <c r="Q16" s="66">
        <f>D16*Table31220[DPV]%</f>
        <v>572449903.37806976</v>
      </c>
      <c r="R16" s="66">
        <f>D16*Table31220[Buses]%</f>
        <v>3723913231.846437</v>
      </c>
      <c r="S16" s="66">
        <f t="shared" si="6"/>
        <v>0</v>
      </c>
      <c r="W16" s="66">
        <f>E16*Table41321[Cars]%</f>
        <v>5398424.5508646332</v>
      </c>
      <c r="X16" s="66">
        <f>E16*Table41321[DPV]%</f>
        <v>313301.42482696532</v>
      </c>
      <c r="Y16" s="66">
        <f t="shared" si="7"/>
        <v>0</v>
      </c>
      <c r="AB16" s="117">
        <f t="shared" si="28"/>
        <v>2013</v>
      </c>
      <c r="AD16" s="66">
        <f>INDEX((EnergyCal!$B$43:$B$48),MATCH(AB16,EnergyCal!$A$43:$A$48,0))</f>
        <v>12426.2922</v>
      </c>
      <c r="AE16" s="66">
        <f>INDEX((EnergyCal!$C$43:$C$48),MATCH(AB16,EnergyCal!$A$43:$A$48,0))</f>
        <v>7947.74568</v>
      </c>
      <c r="AF16" s="66">
        <f>INDEX((EnergyCal!$D$43:$D$48),MATCH(AB16,EnergyCal!$A$43:$A$48,0))</f>
        <v>99708.297975000009</v>
      </c>
      <c r="AG16" s="66">
        <f>INDEX((EnergyCal!$E$43:$E$48),MATCH(AB16,EnergyCal!$A$43:$A$48,0))</f>
        <v>6974.0939250000001</v>
      </c>
      <c r="AH16" s="66">
        <f>INDEX((EnergyCal!$F$43:$F$48),MATCH(AB16,EnergyCal!$A$43:$A$48,0))</f>
        <v>532.54259999999999</v>
      </c>
      <c r="AI16" s="66">
        <f>INDEX((EnergyCal!$I$43:$I$48),MATCH(AB16,EnergyCal!$A$43:$A$48,0))</f>
        <v>1339.0276199999935</v>
      </c>
      <c r="AJ16" s="66">
        <f t="shared" si="8"/>
        <v>128928</v>
      </c>
      <c r="AK16" s="66">
        <f>INDEX((EnergyCal!$B$70:$B$75),MATCH(AB16,EnergyCal!$A$70:$A$75,0))</f>
        <v>12162.008250000003</v>
      </c>
      <c r="AL16" s="66">
        <f>INDEX((EnergyCal!$C$70:$C$75),MATCH(AB16,EnergyCal!$A$70:$A$75,0))</f>
        <v>31277.097675000005</v>
      </c>
      <c r="AM16" s="66">
        <f>INDEX((EnergyCal!$D$70:$D$75),MATCH(AB16,EnergyCal!$A$70:$A$75,0))</f>
        <v>28998.584699999999</v>
      </c>
      <c r="AN16" s="66">
        <f>INDEX((EnergyCal!$K$70:$K$75),MATCH(AB16,EnergyCal!$A$70:$A$75,0))</f>
        <v>86346.373610082257</v>
      </c>
      <c r="AO16" s="66">
        <f t="shared" si="9"/>
        <v>158784.06423508227</v>
      </c>
      <c r="AP16" s="66"/>
      <c r="AQ16" s="66">
        <f>INDEX((EnergyCal!$B$57:$B$62),MATCH(AB16,EnergyCal!$A$57:$A$62,0))</f>
        <v>131.05811745000003</v>
      </c>
      <c r="AR16" s="146">
        <f>INDEX((EnergyCal!$C$57:$C$62),MATCH(AB16,EnergyCal!$A$57:$A$62,0))</f>
        <v>12.763599299999999</v>
      </c>
      <c r="AS16" s="66">
        <f>INDEX((EnergyCal!$F$57:$F$62),MATCH(AB16,EnergyCal!$A$57:$A$62,0))</f>
        <v>3924.1782832499998</v>
      </c>
      <c r="AT16" s="66">
        <f t="shared" si="10"/>
        <v>4068</v>
      </c>
      <c r="AU16" s="31">
        <f t="shared" si="11"/>
        <v>40680</v>
      </c>
      <c r="AW16" s="148">
        <f t="shared" si="3"/>
        <v>291780.06423508225</v>
      </c>
      <c r="AX16" s="165"/>
      <c r="AY16" s="163">
        <f t="shared" si="12"/>
        <v>128928</v>
      </c>
      <c r="AZ16" s="163">
        <f t="shared" si="13"/>
        <v>158784.06423508227</v>
      </c>
      <c r="BA16" s="163">
        <f t="shared" si="14"/>
        <v>4068</v>
      </c>
      <c r="BB16" s="163">
        <f t="shared" si="15"/>
        <v>291780.06423508225</v>
      </c>
      <c r="BF16" s="117">
        <f t="shared" si="29"/>
        <v>2013</v>
      </c>
      <c r="BG16" s="85">
        <f t="shared" si="16"/>
        <v>400.27502591999996</v>
      </c>
      <c r="BH16" s="85">
        <f t="shared" si="17"/>
        <v>0.19060715519999996</v>
      </c>
      <c r="BI16" s="85">
        <f t="shared" si="18"/>
        <v>1.8483118079999996E-2</v>
      </c>
      <c r="BJ16" s="85">
        <f t="shared" si="19"/>
        <v>509.46343362018848</v>
      </c>
      <c r="BK16" s="85">
        <f t="shared" si="20"/>
        <v>2.6813864927378341E-2</v>
      </c>
      <c r="BL16" s="85">
        <f t="shared" si="21"/>
        <v>2.6813864927378341E-2</v>
      </c>
      <c r="BM16" s="85">
        <f t="shared" si="22"/>
        <v>13.39925976</v>
      </c>
      <c r="BN16" s="85">
        <f t="shared" si="23"/>
        <v>1.3165675199999999E-2</v>
      </c>
      <c r="BO16" s="85">
        <f t="shared" si="24"/>
        <v>4.2469919999999999E-5</v>
      </c>
      <c r="BQ16" s="160">
        <f t="shared" si="25"/>
        <v>923.13771930018834</v>
      </c>
      <c r="BR16" s="39">
        <f t="shared" si="25"/>
        <v>0.2305866953273783</v>
      </c>
      <c r="BS16" s="39">
        <f t="shared" si="25"/>
        <v>4.5339452927378336E-2</v>
      </c>
      <c r="BT16" s="159">
        <f t="shared" si="26"/>
        <v>942.41354365573159</v>
      </c>
    </row>
    <row r="17" spans="1:72" x14ac:dyDescent="0.25">
      <c r="A17" s="117">
        <f t="shared" si="27"/>
        <v>2014</v>
      </c>
      <c r="B17" s="66">
        <f>INDEX((Proj_PasMob!$Q$6:$Q$46),MATCH(A17,Proj_PasMob!$M$6:M$46,0))</f>
        <v>10561741153.304186</v>
      </c>
      <c r="C17" s="119">
        <f>B17*Table11018[Gasoline]%</f>
        <v>5801602664.2061882</v>
      </c>
      <c r="D17" s="123">
        <f>B17*Table11018[[Diesel ]]%</f>
        <v>4754352393.2620068</v>
      </c>
      <c r="E17" s="121">
        <f>B17*Table11018[LPG]%</f>
        <v>5786095.8359920438</v>
      </c>
      <c r="F17" s="66">
        <f t="shared" si="4"/>
        <v>0</v>
      </c>
      <c r="H17" s="31">
        <f>C17*Table21119[Autocycle]%</f>
        <v>656235145.94545913</v>
      </c>
      <c r="I17" s="66">
        <f>C17*Table21119[Motocycle]%</f>
        <v>427258021.2791149</v>
      </c>
      <c r="J17" s="66">
        <f>C17*Table21119[cars]%</f>
        <v>4512910613.0089855</v>
      </c>
      <c r="K17" s="66">
        <f>C17*Table21119[DPV]%</f>
        <v>146336955.44698867</v>
      </c>
      <c r="L17" s="66">
        <f>C17*Table21119[Hybrid]%</f>
        <v>58861928.525640577</v>
      </c>
      <c r="M17" s="66">
        <f t="shared" si="5"/>
        <v>0</v>
      </c>
      <c r="P17" s="66">
        <f>D17*Table31220[Cars]%</f>
        <v>402048211.92876351</v>
      </c>
      <c r="Q17" s="66">
        <f>D17*Table31220[DPV]%</f>
        <v>579903520.64269638</v>
      </c>
      <c r="R17" s="66">
        <f>D17*Table31220[Buses]%</f>
        <v>3772400660.690547</v>
      </c>
      <c r="S17" s="66">
        <f t="shared" si="6"/>
        <v>0</v>
      </c>
      <c r="W17" s="66">
        <f>E17*Table41321[Cars]%</f>
        <v>5468715.0517393155</v>
      </c>
      <c r="X17" s="66">
        <f>E17*Table41321[DPV]%</f>
        <v>317380.7842527281</v>
      </c>
      <c r="Y17" s="66">
        <f t="shared" si="7"/>
        <v>0</v>
      </c>
      <c r="AB17" s="117">
        <f t="shared" si="28"/>
        <v>2014</v>
      </c>
      <c r="AD17" s="66">
        <f>INDEX((EnergyCal!$B$43:$B$48),MATCH(AB17,EnergyCal!$A$43:$A$48,0))</f>
        <v>12297.072199999999</v>
      </c>
      <c r="AE17" s="66">
        <f>INDEX((EnergyCal!$C$43:$C$48),MATCH(AB17,EnergyCal!$A$43:$A$48,0))</f>
        <v>8836.3816800000004</v>
      </c>
      <c r="AF17" s="66">
        <f>INDEX((EnergyCal!$D$43:$D$48),MATCH(AB17,EnergyCal!$A$43:$A$48,0))</f>
        <v>107193.32032499999</v>
      </c>
      <c r="AG17" s="66">
        <f>INDEX((EnergyCal!$E$43:$E$48),MATCH(AB17,EnergyCal!$A$43:$A$48,0))</f>
        <v>6893.6278499999989</v>
      </c>
      <c r="AH17" s="66">
        <f>INDEX((EnergyCal!$F$43:$F$48),MATCH(AB17,EnergyCal!$A$43:$A$48,0))</f>
        <v>699.3216000000001</v>
      </c>
      <c r="AI17" s="66">
        <f>INDEX((EnergyCal!$I$43:$I$48),MATCH(AB17,EnergyCal!$A$43:$A$48,0))</f>
        <v>1324.2763450000202</v>
      </c>
      <c r="AJ17" s="66">
        <f t="shared" si="8"/>
        <v>137244</v>
      </c>
      <c r="AK17" s="66">
        <f>INDEX((EnergyCal!$B$70:$B$75),MATCH(AB17,EnergyCal!$A$70:$A$75,0))</f>
        <v>12703.39875</v>
      </c>
      <c r="AL17" s="66">
        <f>INDEX((EnergyCal!$C$70:$C$75),MATCH(AB17,EnergyCal!$A$70:$A$75,0))</f>
        <v>31448.258774999998</v>
      </c>
      <c r="AM17" s="66">
        <f>INDEX((EnergyCal!$D$70:$D$75),MATCH(AB17,EnergyCal!$A$70:$A$75,0))</f>
        <v>29419.421399999999</v>
      </c>
      <c r="AN17" s="66">
        <f>INDEX((EnergyCal!$K$70:$K$75),MATCH(AB17,EnergyCal!$A$70:$A$75,0))</f>
        <v>89662.726070838195</v>
      </c>
      <c r="AO17" s="66">
        <f t="shared" si="9"/>
        <v>163233.8049958382</v>
      </c>
      <c r="AP17" s="66"/>
      <c r="AQ17" s="66">
        <f>INDEX((EnergyCal!$B$57:$B$62),MATCH(AB17,EnergyCal!$A$57:$A$62,0))</f>
        <v>132.26048550000004</v>
      </c>
      <c r="AR17" s="146">
        <f>INDEX((EnergyCal!$C$57:$C$62),MATCH(AB17,EnergyCal!$A$57:$A$62,0))</f>
        <v>13.827232575000002</v>
      </c>
      <c r="AS17" s="66">
        <f>INDEX((EnergyCal!$F$57:$F$62),MATCH(AB17,EnergyCal!$A$57:$A$62,0))</f>
        <v>3597.9122819250001</v>
      </c>
      <c r="AT17" s="66">
        <f t="shared" si="10"/>
        <v>3744</v>
      </c>
      <c r="AU17" s="31">
        <f t="shared" si="11"/>
        <v>37440</v>
      </c>
      <c r="AW17" s="148">
        <f t="shared" si="3"/>
        <v>304221.8049958382</v>
      </c>
      <c r="AX17" s="165"/>
      <c r="AY17" s="163">
        <f t="shared" si="12"/>
        <v>137244</v>
      </c>
      <c r="AZ17" s="163">
        <f t="shared" si="13"/>
        <v>163233.8049958382</v>
      </c>
      <c r="BA17" s="163">
        <f t="shared" si="14"/>
        <v>3744</v>
      </c>
      <c r="BB17" s="163">
        <f t="shared" si="15"/>
        <v>304221.8049958382</v>
      </c>
      <c r="BF17" s="117">
        <f t="shared" si="29"/>
        <v>2014</v>
      </c>
      <c r="BG17" s="85">
        <f t="shared" si="16"/>
        <v>426.09321216000001</v>
      </c>
      <c r="BH17" s="85">
        <f t="shared" si="17"/>
        <v>0.20290152959999996</v>
      </c>
      <c r="BI17" s="85">
        <f t="shared" si="18"/>
        <v>1.9675299839999997E-2</v>
      </c>
      <c r="BJ17" s="85">
        <f t="shared" si="19"/>
        <v>523.74056034329669</v>
      </c>
      <c r="BK17" s="85">
        <f t="shared" si="20"/>
        <v>2.7565292649647195E-2</v>
      </c>
      <c r="BL17" s="85">
        <f t="shared" si="21"/>
        <v>2.7565292649647195E-2</v>
      </c>
      <c r="BM17" s="85">
        <f t="shared" si="22"/>
        <v>12.33206208</v>
      </c>
      <c r="BN17" s="85">
        <f t="shared" si="23"/>
        <v>1.2117081600000001E-2</v>
      </c>
      <c r="BO17" s="85">
        <f t="shared" si="24"/>
        <v>3.9087359999999998E-5</v>
      </c>
      <c r="BQ17" s="39">
        <f t="shared" si="25"/>
        <v>962.16583458329671</v>
      </c>
      <c r="BR17" s="39">
        <f t="shared" si="25"/>
        <v>0.24258390384964715</v>
      </c>
      <c r="BS17" s="39">
        <f t="shared" si="25"/>
        <v>4.7279679849647198E-2</v>
      </c>
      <c r="BT17" s="159">
        <f t="shared" si="26"/>
        <v>982.31977677473276</v>
      </c>
    </row>
    <row r="18" spans="1:72" x14ac:dyDescent="0.25">
      <c r="A18" s="117">
        <f t="shared" si="27"/>
        <v>2015</v>
      </c>
      <c r="B18" s="66">
        <f>INDEX((Proj_PasMob!$Q$6:$Q$46),MATCH(A18,Proj_PasMob!$M$6:M$46,0))</f>
        <v>10685868200.205055</v>
      </c>
      <c r="C18" s="119">
        <f>B18*Table11018[Gasoline]%</f>
        <v>5869786100.5873041</v>
      </c>
      <c r="D18" s="123">
        <f>B18*Table11018[[Diesel ]]%</f>
        <v>4810228002.5896473</v>
      </c>
      <c r="E18" s="121">
        <f>B18*Table11018[LPG]%</f>
        <v>5854097.0281044282</v>
      </c>
      <c r="F18" s="66">
        <f t="shared" si="4"/>
        <v>0</v>
      </c>
      <c r="H18" s="31">
        <f>C18*Table21119[Autocycle]%</f>
        <v>663947560.93049109</v>
      </c>
      <c r="I18" s="66">
        <f>C18*Table21119[Motocycle]%</f>
        <v>432279378.61748272</v>
      </c>
      <c r="J18" s="66">
        <f>C18*Table21119[cars]%</f>
        <v>4565948673.6080322</v>
      </c>
      <c r="K18" s="66">
        <f>C18*Table21119[DPV]%</f>
        <v>148056783.0652234</v>
      </c>
      <c r="L18" s="66">
        <f>C18*Table21119[Hybrid]%</f>
        <v>59553704.366075002</v>
      </c>
      <c r="M18" s="66">
        <f t="shared" si="5"/>
        <v>0</v>
      </c>
      <c r="P18" s="66">
        <f>D18*Table31220[Cars]%</f>
        <v>406773290.54355985</v>
      </c>
      <c r="Q18" s="66">
        <f>D18*Table31220[DPV]%</f>
        <v>586718846.87158</v>
      </c>
      <c r="R18" s="66">
        <f>D18*Table31220[Buses]%</f>
        <v>3816735865.1745071</v>
      </c>
      <c r="S18" s="66">
        <f t="shared" si="6"/>
        <v>0</v>
      </c>
      <c r="W18" s="66">
        <f>E18*Table41321[Cars]%</f>
        <v>5532986.220655662</v>
      </c>
      <c r="X18" s="66">
        <f>E18*Table41321[DPV]%</f>
        <v>321110.80744876608</v>
      </c>
      <c r="Y18" s="66">
        <f t="shared" si="7"/>
        <v>0</v>
      </c>
      <c r="AB18" s="117">
        <f t="shared" si="28"/>
        <v>2015</v>
      </c>
      <c r="AD18" s="66">
        <f>H18*Table51422[Autocycle]*0.01*$AD$7/1000</f>
        <v>11785.069206516215</v>
      </c>
      <c r="AE18" s="66">
        <f>I18*Table51422[Motocycle]*0.01*$AD$7/1000</f>
        <v>9207.550764552383</v>
      </c>
      <c r="AF18" s="66">
        <f>J18*Table51422[Car]*0.01*$AD$7/$AL$8/1000</f>
        <v>110904.49015105827</v>
      </c>
      <c r="AG18" s="66">
        <f>INDEX((EnergyCal!$E$43:$E$48),MATCH(AB18,EnergyCal!$A$43:$A$48,0))</f>
        <v>6607.0363499999994</v>
      </c>
      <c r="AH18" s="66">
        <f>L18*Table51422[Car_Hbrid]*0.01*$AD$7/$AL$8/1000</f>
        <v>890.17115999817372</v>
      </c>
      <c r="AI18" s="66">
        <f>INDEX((EnergyCal!$I$43:$I$48),MATCH(AB18,EnergyCal!$A$43:$A$48,0))</f>
        <v>3067.8302799999947</v>
      </c>
      <c r="AJ18" s="66">
        <f>SUM(AD18:AI18)</f>
        <v>142462.14791212504</v>
      </c>
      <c r="AK18" s="66">
        <f>P18*Table51422[Car_Dsl]*0.01*$AD$8/$AL$8/1000</f>
        <v>12738.426730179901</v>
      </c>
      <c r="AL18" s="66">
        <f>INDEX((EnergyCal!$C$70:$C$75),MATCH(AB18,EnergyCal!$A$70:$A$75,0))</f>
        <v>30799.921274999997</v>
      </c>
      <c r="AM18" s="66">
        <f>INDEX((EnergyCal!$D$70:$D$75),MATCH(AB18,EnergyCal!$A$70:$A$75,0))</f>
        <v>29164.962</v>
      </c>
      <c r="AN18" s="66">
        <f>INDEX((EnergyCal!$K$70:$K$75),MATCH(AB18,EnergyCal!$A$70:$A$75,0))</f>
        <v>93106.157905683358</v>
      </c>
      <c r="AO18" s="66">
        <f t="shared" si="9"/>
        <v>165809.46791086326</v>
      </c>
      <c r="AP18" s="66"/>
      <c r="AQ18" s="66">
        <f>INDEX((EnergyCal!$B$57:$B$62),MATCH(AB18,EnergyCal!$A$57:$A$62,0))</f>
        <v>134.66522160000002</v>
      </c>
      <c r="AR18" s="146">
        <f>INDEX((EnergyCal!$C$57:$C$62),MATCH(AB18,EnergyCal!$A$57:$A$62,0))</f>
        <v>13.827232575000002</v>
      </c>
      <c r="AS18" s="66">
        <f>INDEX((EnergyCal!$F$57:$F$62),MATCH(AB18,EnergyCal!$A$57:$A$62,0))</f>
        <v>3041.5075458249999</v>
      </c>
      <c r="AT18" s="66">
        <f>SUM(AQ18:AS18)</f>
        <v>3190</v>
      </c>
      <c r="AU18" s="31">
        <f t="shared" si="11"/>
        <v>31900</v>
      </c>
      <c r="AW18" s="148">
        <f t="shared" si="3"/>
        <v>311461.61582298833</v>
      </c>
      <c r="AX18" s="165"/>
      <c r="AY18" s="163">
        <f t="shared" si="12"/>
        <v>142462.14791212504</v>
      </c>
      <c r="AZ18" s="163">
        <f t="shared" si="13"/>
        <v>165809.46791086326</v>
      </c>
      <c r="BA18" s="163">
        <f t="shared" si="14"/>
        <v>3190</v>
      </c>
      <c r="BB18" s="163">
        <f t="shared" si="15"/>
        <v>311461.61582298833</v>
      </c>
      <c r="BF18" s="117">
        <f t="shared" si="29"/>
        <v>2015</v>
      </c>
      <c r="BG18" s="85">
        <f t="shared" si="16"/>
        <v>442.29368289389987</v>
      </c>
      <c r="BH18" s="85">
        <f t="shared" si="17"/>
        <v>0.21061603947328564</v>
      </c>
      <c r="BI18" s="85">
        <f t="shared" si="18"/>
        <v>2.0423373524682244E-2</v>
      </c>
      <c r="BJ18" s="85">
        <f t="shared" si="19"/>
        <v>532.00465207604202</v>
      </c>
      <c r="BK18" s="85">
        <f t="shared" si="20"/>
        <v>2.8000244846107473E-2</v>
      </c>
      <c r="BL18" s="85">
        <f t="shared" si="21"/>
        <v>2.8000244846107473E-2</v>
      </c>
      <c r="BM18" s="85">
        <f t="shared" si="22"/>
        <v>10.5072858</v>
      </c>
      <c r="BN18" s="85">
        <f t="shared" si="23"/>
        <v>1.0324116E-2</v>
      </c>
      <c r="BO18" s="85">
        <f t="shared" si="24"/>
        <v>3.3303600000000004E-5</v>
      </c>
      <c r="BQ18" s="39">
        <f t="shared" si="25"/>
        <v>984.80562076994181</v>
      </c>
      <c r="BR18" s="39">
        <f t="shared" si="25"/>
        <v>0.2489404003193931</v>
      </c>
      <c r="BS18" s="39">
        <f t="shared" si="25"/>
        <v>4.8456921970789719E-2</v>
      </c>
      <c r="BT18" s="159">
        <f t="shared" si="26"/>
        <v>1005.4692935252219</v>
      </c>
    </row>
    <row r="19" spans="1:72" x14ac:dyDescent="0.25">
      <c r="A19" s="117">
        <f t="shared" si="27"/>
        <v>2016</v>
      </c>
      <c r="B19" s="66">
        <f>INDEX((Proj_PasMob!$Q$6:$Q$46),MATCH(A19,Proj_PasMob!$M$6:M$46,0))</f>
        <v>10805486955.126375</v>
      </c>
      <c r="C19" s="119">
        <f>B19*Table11018[Gasoline]%</f>
        <v>5935493115.8575516</v>
      </c>
      <c r="D19" s="123">
        <f>B19*Table11018[[Diesel ]]%</f>
        <v>4864074210.8506098</v>
      </c>
      <c r="E19" s="121">
        <f>B19*Table11018[LPG]%</f>
        <v>5919628.4182143128</v>
      </c>
      <c r="F19" s="66">
        <f t="shared" si="4"/>
        <v>0</v>
      </c>
      <c r="H19" s="31">
        <f>C19*Table21119[Autocycle]%</f>
        <v>671379861.15014267</v>
      </c>
      <c r="I19" s="66">
        <f>C19*Table21119[Motocycle]%</f>
        <v>437118360.35294837</v>
      </c>
      <c r="J19" s="66">
        <f>C19*Table21119[cars]%</f>
        <v>4617060392.856185</v>
      </c>
      <c r="K19" s="66">
        <f>C19*Table21119[DPV]%</f>
        <v>149714146.57711643</v>
      </c>
      <c r="L19" s="66">
        <f>C19*Table21119[Hybrid]%</f>
        <v>60220354.921159104</v>
      </c>
      <c r="M19" s="66">
        <f t="shared" si="5"/>
        <v>0</v>
      </c>
      <c r="P19" s="66">
        <f>D19*Table31220[Cars]%</f>
        <v>411326754.39305174</v>
      </c>
      <c r="Q19" s="66">
        <f>D19*Table31220[DPV]%</f>
        <v>593286640.5816226</v>
      </c>
      <c r="R19" s="66">
        <f>D19*Table31220[Buses]%</f>
        <v>3859460815.8759356</v>
      </c>
      <c r="S19" s="66">
        <f t="shared" si="6"/>
        <v>0</v>
      </c>
      <c r="W19" s="66">
        <f>E19*Table41321[Cars]%</f>
        <v>5594923.0619409541</v>
      </c>
      <c r="X19" s="66">
        <f>E19*Table41321[DPV]%</f>
        <v>324705.35627335892</v>
      </c>
      <c r="Y19" s="66">
        <f t="shared" si="7"/>
        <v>0</v>
      </c>
      <c r="AB19" s="117">
        <f t="shared" si="28"/>
        <v>2016</v>
      </c>
      <c r="AD19" s="66">
        <f>H19*Table51422[Autocycle]*0.01*$AD$7/1000</f>
        <v>11916.992535415033</v>
      </c>
      <c r="AE19" s="66">
        <f>I19*Table51422[Motocycle]*0.01*$AD$7/1000</f>
        <v>9310.6210755177999</v>
      </c>
      <c r="AF19" s="66">
        <f>J19*Table51422[Car]*0.01*$AD$7/$AL$8/1000</f>
        <v>112145.96691069104</v>
      </c>
      <c r="AG19" s="66">
        <f>K19*Table51422[DPV]*0.01*$AD$7/$AL$8/1000</f>
        <v>6433.7684568534514</v>
      </c>
      <c r="AH19" s="66">
        <f>L19*Table51422[Car_Hbrid]*0.01*$AD$7/$AL$8/1000</f>
        <v>900.13583145311497</v>
      </c>
      <c r="AI19" s="66">
        <f>Freight!E11*$AG$8*$AI$8*$AD$7/1000</f>
        <v>3183.1175452134653</v>
      </c>
      <c r="AJ19" s="66">
        <f t="shared" ref="AJ19:AJ53" si="30">SUM(AD19:AI19)</f>
        <v>143890.6023551439</v>
      </c>
      <c r="AK19" s="66">
        <f>P19*Table51422[Car_Dsl]*0.01*$AD$8/$AL$8/1000</f>
        <v>12881.022045466623</v>
      </c>
      <c r="AL19" s="66">
        <f>Q19*Table51422[DPV_Dsl]*0.01*$AD$8/$AL$8/1000</f>
        <v>29992.200962034138</v>
      </c>
      <c r="AM19" s="66">
        <f>R19*Table51422[Bus]*0.01*$AD$8/$AL$9/1000</f>
        <v>28400.11808939563</v>
      </c>
      <c r="AN19" s="66">
        <f>Freight!E11*$AG$9*$AI$9*$AD$8/1000</f>
        <v>96680.460183838222</v>
      </c>
      <c r="AO19" s="66">
        <f t="shared" si="9"/>
        <v>167953.80128073459</v>
      </c>
      <c r="AP19" s="66"/>
      <c r="AQ19" s="66">
        <f>W19*Table51422[Car_LPG]*0.01*$AD$9/$AL$8/1000</f>
        <v>131.13365949095467</v>
      </c>
      <c r="AR19" s="66">
        <f>X19*Table51422[DPV_LPG]*0.01*$AD$9/$AL$8/1000</f>
        <v>13.464616822731953</v>
      </c>
      <c r="AS19" s="31">
        <f>AS18*(1-$AT$11)</f>
        <v>2825.5605100714251</v>
      </c>
      <c r="AT19" s="66">
        <f t="shared" si="10"/>
        <v>2970.1587863851119</v>
      </c>
      <c r="AU19" s="31">
        <f t="shared" si="11"/>
        <v>29701.58786385112</v>
      </c>
      <c r="AW19" s="148">
        <f t="shared" si="3"/>
        <v>314814.56242226361</v>
      </c>
      <c r="AX19" s="165"/>
      <c r="AY19" s="163">
        <f t="shared" si="12"/>
        <v>143890.6023551439</v>
      </c>
      <c r="AZ19" s="163">
        <f t="shared" si="13"/>
        <v>167953.80128073459</v>
      </c>
      <c r="BA19" s="163">
        <f t="shared" si="14"/>
        <v>2970.1587863851119</v>
      </c>
      <c r="BB19" s="163">
        <f t="shared" si="15"/>
        <v>314814.56242226361</v>
      </c>
      <c r="BF19" s="117">
        <f t="shared" si="29"/>
        <v>2016</v>
      </c>
      <c r="BG19" s="85">
        <f t="shared" si="16"/>
        <v>446.72851969587396</v>
      </c>
      <c r="BH19" s="85">
        <f t="shared" si="17"/>
        <v>0.21272786652184469</v>
      </c>
      <c r="BI19" s="85">
        <f t="shared" si="18"/>
        <v>2.0628156753633428E-2</v>
      </c>
      <c r="BJ19" s="85">
        <f t="shared" si="19"/>
        <v>538.88481002327535</v>
      </c>
      <c r="BK19" s="85">
        <f t="shared" si="20"/>
        <v>2.8362358422277648E-2</v>
      </c>
      <c r="BL19" s="85">
        <f t="shared" si="21"/>
        <v>2.8362358422277648E-2</v>
      </c>
      <c r="BM19" s="85">
        <f t="shared" si="22"/>
        <v>9.7831684137710084</v>
      </c>
      <c r="BN19" s="85">
        <f t="shared" si="23"/>
        <v>9.6126218962567754E-3</v>
      </c>
      <c r="BO19" s="85">
        <f t="shared" si="24"/>
        <v>3.1008457729860564E-5</v>
      </c>
      <c r="BQ19" s="39">
        <f t="shared" si="25"/>
        <v>995.39649813292033</v>
      </c>
      <c r="BR19" s="39">
        <f t="shared" si="25"/>
        <v>0.25070284684037913</v>
      </c>
      <c r="BS19" s="39">
        <f t="shared" si="25"/>
        <v>4.9021523633640936E-2</v>
      </c>
      <c r="BT19" s="159">
        <f t="shared" si="26"/>
        <v>1016.2724833467548</v>
      </c>
    </row>
    <row r="20" spans="1:72" x14ac:dyDescent="0.25">
      <c r="A20" s="117">
        <f t="shared" si="27"/>
        <v>2017</v>
      </c>
      <c r="B20" s="66">
        <f>INDEX((Proj_PasMob!$Q$6:$Q$46),MATCH(A20,Proj_PasMob!$M$6:M$46,0))</f>
        <v>10920457866.053516</v>
      </c>
      <c r="C20" s="119">
        <f>B20*Table11018[Gasoline]%</f>
        <v>5998647053.5899153</v>
      </c>
      <c r="D20" s="123">
        <f>B20*Table11018[[Diesel ]]%</f>
        <v>4915828198.9088163</v>
      </c>
      <c r="E20" s="121">
        <f>B20*Table11018[LPG]%</f>
        <v>5982613.5547860069</v>
      </c>
      <c r="F20" s="66">
        <f t="shared" si="4"/>
        <v>0</v>
      </c>
      <c r="H20" s="31">
        <f>C20*Table21119[Autocycle]%</f>
        <v>678523375.78628314</v>
      </c>
      <c r="I20" s="66">
        <f>C20*Table21119[Motocycle]%</f>
        <v>441769321.13624877</v>
      </c>
      <c r="J20" s="66">
        <f>C20*Table21119[cars]%</f>
        <v>4666186141.7814074</v>
      </c>
      <c r="K20" s="66">
        <f>C20*Table21119[DPV]%</f>
        <v>151307112.43623346</v>
      </c>
      <c r="L20" s="66">
        <f>C20*Table21119[Hybrid]%</f>
        <v>60861102.449742876</v>
      </c>
      <c r="M20" s="66">
        <f t="shared" si="5"/>
        <v>0</v>
      </c>
      <c r="P20" s="66">
        <f>D20*Table31220[Cars]%</f>
        <v>415703291.22453982</v>
      </c>
      <c r="Q20" s="66">
        <f>D20*Table31220[DPV]%</f>
        <v>599599239.52249801</v>
      </c>
      <c r="R20" s="66">
        <f>D20*Table31220[Buses]%</f>
        <v>3900525668.1617785</v>
      </c>
      <c r="S20" s="66">
        <f t="shared" si="6"/>
        <v>0</v>
      </c>
      <c r="W20" s="66">
        <f>E20*Table41321[Cars]%</f>
        <v>5654453.3176036524</v>
      </c>
      <c r="X20" s="66">
        <f>E20*Table41321[DPV]%</f>
        <v>328160.23718235479</v>
      </c>
      <c r="Y20" s="66">
        <f t="shared" si="7"/>
        <v>0</v>
      </c>
      <c r="AB20" s="117">
        <f t="shared" si="28"/>
        <v>2017</v>
      </c>
      <c r="AD20" s="66">
        <f>H20*Table51422[Autocycle]*0.01*$AD$7/1000</f>
        <v>12043.789920206525</v>
      </c>
      <c r="AE20" s="66">
        <f>I20*Table51422[Motocycle]*0.01*$AD$7/1000</f>
        <v>9409.6865402020976</v>
      </c>
      <c r="AF20" s="66">
        <f>J20*Table51422[Car]*0.01*$AD$7/$AL$8/1000</f>
        <v>113339.20549642734</v>
      </c>
      <c r="AG20" s="66">
        <f>K20*Table51422[DPV]*0.01*$AD$7/$AL$8/1000</f>
        <v>6502.224068641297</v>
      </c>
      <c r="AH20" s="66">
        <f>L20*Table51422[Car_Hbrid]*0.01*$AD$7/$AL$8/1000</f>
        <v>909.71332082773563</v>
      </c>
      <c r="AI20" s="66">
        <f>Freight!E12*$AG$8*$AI$8*$AD$7/1000</f>
        <v>3305.2707720748726</v>
      </c>
      <c r="AJ20" s="66">
        <f t="shared" si="30"/>
        <v>145509.89011837984</v>
      </c>
      <c r="AK20" s="66">
        <f>P20*Table51422[Car_Dsl]*0.01*$AD$8/$AL$8/1000</f>
        <v>13018.076751505325</v>
      </c>
      <c r="AL20" s="66">
        <f>Q20*Table51422[DPV_Dsl]*0.01*$AD$8/$AL$8/1000</f>
        <v>30311.319450597861</v>
      </c>
      <c r="AM20" s="66">
        <f>R20*Table51422[Bus]*0.01*$AD$8/$AL$9/1000</f>
        <v>28702.296738144745</v>
      </c>
      <c r="AN20" s="66">
        <f>Freight!E12*$AG$9*$AI$9*$AD$8/1000</f>
        <v>100390.60598214857</v>
      </c>
      <c r="AO20" s="66">
        <f t="shared" si="9"/>
        <v>172422.2989223965</v>
      </c>
      <c r="AP20" s="66"/>
      <c r="AQ20" s="66">
        <f>W20*Table51422[Car_LPG]*0.01*$AD$9/$AL$8/1000</f>
        <v>132.52892805659133</v>
      </c>
      <c r="AR20" s="66">
        <f>X20*Table51422[DPV_LPG]*0.01*$AD$9/$AL$8/1000</f>
        <v>13.607881005810716</v>
      </c>
      <c r="AS20" s="31">
        <f t="shared" ref="AS20:AS53" si="31">AS19*(1-$AT$11)</f>
        <v>2624.9457138563539</v>
      </c>
      <c r="AT20" s="66">
        <f t="shared" si="10"/>
        <v>2771.0825229187558</v>
      </c>
      <c r="AU20" s="31">
        <f t="shared" si="11"/>
        <v>27710.825229187558</v>
      </c>
      <c r="AW20" s="148">
        <f t="shared" si="3"/>
        <v>320703.2715636951</v>
      </c>
      <c r="AX20" s="165"/>
      <c r="AY20" s="163">
        <f t="shared" si="12"/>
        <v>145509.89011837984</v>
      </c>
      <c r="AZ20" s="163">
        <f t="shared" si="13"/>
        <v>172422.2989223965</v>
      </c>
      <c r="BA20" s="163">
        <f t="shared" si="14"/>
        <v>2771.0825229187558</v>
      </c>
      <c r="BB20" s="163">
        <f t="shared" si="15"/>
        <v>320703.2715636951</v>
      </c>
      <c r="BF20" s="117">
        <f t="shared" si="29"/>
        <v>2017</v>
      </c>
      <c r="BG20" s="85">
        <f t="shared" si="16"/>
        <v>451.75582525712679</v>
      </c>
      <c r="BH20" s="85">
        <f t="shared" si="17"/>
        <v>0.21512182155101273</v>
      </c>
      <c r="BI20" s="85">
        <f t="shared" si="18"/>
        <v>2.0860297847370934E-2</v>
      </c>
      <c r="BJ20" s="85">
        <f t="shared" si="19"/>
        <v>553.22211876147685</v>
      </c>
      <c r="BK20" s="85">
        <f t="shared" si="20"/>
        <v>2.9116953619025093E-2</v>
      </c>
      <c r="BL20" s="85">
        <f t="shared" si="21"/>
        <v>2.9116953619025093E-2</v>
      </c>
      <c r="BM20" s="85">
        <f t="shared" si="22"/>
        <v>9.1274470356402571</v>
      </c>
      <c r="BN20" s="85">
        <f t="shared" si="23"/>
        <v>8.9683314771742614E-3</v>
      </c>
      <c r="BO20" s="85">
        <f t="shared" si="24"/>
        <v>2.8930101539271812E-5</v>
      </c>
      <c r="BQ20" s="39">
        <f t="shared" si="25"/>
        <v>1014.1053910542439</v>
      </c>
      <c r="BR20" s="39">
        <f t="shared" si="25"/>
        <v>0.25320710664721208</v>
      </c>
      <c r="BS20" s="39">
        <f t="shared" si="25"/>
        <v>5.00061815679353E-2</v>
      </c>
      <c r="BT20" s="159">
        <f t="shared" si="26"/>
        <v>1035.3374108276689</v>
      </c>
    </row>
    <row r="21" spans="1:72" x14ac:dyDescent="0.25">
      <c r="A21" s="117">
        <f t="shared" si="27"/>
        <v>2018</v>
      </c>
      <c r="B21" s="66">
        <f>INDEX((Proj_PasMob!$Q$6:$Q$46),MATCH(A21,Proj_PasMob!$M$6:M$46,0))</f>
        <v>11030662221.254807</v>
      </c>
      <c r="C21" s="119">
        <f>B21*Table11018[Gasoline]%</f>
        <v>6059182705.0002804</v>
      </c>
      <c r="D21" s="123">
        <f>B21*Table11018[[Diesel ]]%</f>
        <v>4965436528.8511982</v>
      </c>
      <c r="E21" s="121">
        <f>B21*Table11018[LPG]%</f>
        <v>6042987.4033288565</v>
      </c>
      <c r="F21" s="66">
        <f t="shared" si="4"/>
        <v>0</v>
      </c>
      <c r="H21" s="31">
        <f>C21*Table21119[Autocycle]%</f>
        <v>685370728.89498138</v>
      </c>
      <c r="I21" s="66">
        <f>C21*Table21119[Motocycle]%</f>
        <v>446227458.67779541</v>
      </c>
      <c r="J21" s="66">
        <f>C21*Table21119[cars]%</f>
        <v>4713275196.2250605</v>
      </c>
      <c r="K21" s="66">
        <f>C21*Table21119[DPV]%</f>
        <v>152834035.8462159</v>
      </c>
      <c r="L21" s="66">
        <f>C21*Table21119[Hybrid]%</f>
        <v>61475285.356227316</v>
      </c>
      <c r="M21" s="66">
        <f t="shared" si="5"/>
        <v>0</v>
      </c>
      <c r="P21" s="66">
        <f>D21*Table31220[Cars]%</f>
        <v>419898382.10134846</v>
      </c>
      <c r="Q21" s="66">
        <f>D21*Table31220[DPV]%</f>
        <v>605650125.70156252</v>
      </c>
      <c r="R21" s="66">
        <f>D21*Table31220[Buses]%</f>
        <v>3939888021.0482869</v>
      </c>
      <c r="S21" s="66">
        <f t="shared" si="6"/>
        <v>0</v>
      </c>
      <c r="W21" s="66">
        <f>E21*Table41321[Cars]%</f>
        <v>5711515.5204458386</v>
      </c>
      <c r="X21" s="66">
        <f>E21*Table41321[DPV]%</f>
        <v>331471.88288301742</v>
      </c>
      <c r="Y21" s="66">
        <f t="shared" si="7"/>
        <v>0</v>
      </c>
      <c r="AB21" s="117">
        <f t="shared" si="28"/>
        <v>2018</v>
      </c>
      <c r="AD21" s="66">
        <f>H21*Table51422[Autocycle]*0.01*$AD$7/1000</f>
        <v>12165.330437885919</v>
      </c>
      <c r="AE21" s="66">
        <f>I21*Table51422[Motocycle]*0.01*$AD$7/1000</f>
        <v>9504.6448698370423</v>
      </c>
      <c r="AF21" s="66">
        <f>J21*Table51422[Car]*0.01*$AD$7/$AL$8/1000</f>
        <v>114482.97384515083</v>
      </c>
      <c r="AG21" s="66">
        <f>K21*Table51422[DPV]*0.01*$AD$7/$AL$8/1000</f>
        <v>6567.8415930755409</v>
      </c>
      <c r="AH21" s="66">
        <f>L21*Table51422[Car_Hbrid]*0.01*$AD$7/$AL$8/1000</f>
        <v>918.89373900887165</v>
      </c>
      <c r="AI21" s="66">
        <f>Freight!E13*$AG$8*$AI$8*$AD$7/1000</f>
        <v>3432.0664811448746</v>
      </c>
      <c r="AJ21" s="66">
        <f t="shared" si="30"/>
        <v>147071.75096610308</v>
      </c>
      <c r="AK21" s="66">
        <f>P21*Table51422[Car_Dsl]*0.01*$AD$8/$AL$8/1000</f>
        <v>13149.44933422644</v>
      </c>
      <c r="AL21" s="66">
        <f>Q21*Table51422[DPV_Dsl]*0.01*$AD$8/$AL$8/1000</f>
        <v>30617.207670334257</v>
      </c>
      <c r="AM21" s="66">
        <f>R21*Table51422[Bus]*0.01*$AD$8/$AL$9/1000</f>
        <v>28991.94742345675</v>
      </c>
      <c r="AN21" s="66">
        <f>Freight!E13*$AG$9*$AI$9*$AD$8/1000</f>
        <v>104241.75735438037</v>
      </c>
      <c r="AO21" s="66">
        <f t="shared" si="9"/>
        <v>177000.36178239781</v>
      </c>
      <c r="AP21" s="66"/>
      <c r="AQ21" s="66">
        <f>W21*Table51422[Car_LPG]*0.01*$AD$9/$AL$8/1000</f>
        <v>133.86635046516955</v>
      </c>
      <c r="AR21" s="66">
        <f>X21*Table51422[DPV_LPG]*0.01*$AD$9/$AL$8/1000</f>
        <v>13.74520562812009</v>
      </c>
      <c r="AS21" s="31">
        <f t="shared" si="31"/>
        <v>2438.574568172553</v>
      </c>
      <c r="AT21" s="66">
        <f t="shared" si="10"/>
        <v>2586.1861242658424</v>
      </c>
      <c r="AU21" s="31">
        <f t="shared" si="11"/>
        <v>25861.861242658422</v>
      </c>
      <c r="AW21" s="148">
        <f t="shared" si="3"/>
        <v>326658.29887276673</v>
      </c>
      <c r="AX21" s="165"/>
      <c r="AY21" s="163">
        <f>AJ21*(1-$AZ$8)</f>
        <v>143394.9571919505</v>
      </c>
      <c r="AZ21" s="163">
        <f>AO21*(1-$AZ$8)</f>
        <v>172575.35273783785</v>
      </c>
      <c r="BA21" s="163">
        <f t="shared" si="14"/>
        <v>2586.1861242658424</v>
      </c>
      <c r="BB21" s="163">
        <f t="shared" si="15"/>
        <v>318556.49605405418</v>
      </c>
      <c r="BF21" s="117">
        <f t="shared" si="29"/>
        <v>2018</v>
      </c>
      <c r="BG21" s="85">
        <f t="shared" si="16"/>
        <v>445.18971989641716</v>
      </c>
      <c r="BH21" s="85">
        <f t="shared" si="17"/>
        <v>0.21199510471257957</v>
      </c>
      <c r="BI21" s="85">
        <f t="shared" si="18"/>
        <v>2.055710106303802E-2</v>
      </c>
      <c r="BJ21" s="85">
        <f t="shared" si="19"/>
        <v>553.71319651993485</v>
      </c>
      <c r="BK21" s="85">
        <f t="shared" si="20"/>
        <v>2.914279981683867E-2</v>
      </c>
      <c r="BL21" s="85">
        <f t="shared" si="21"/>
        <v>2.914279981683867E-2</v>
      </c>
      <c r="BM21" s="85">
        <f t="shared" si="22"/>
        <v>8.5184315798293149</v>
      </c>
      <c r="BN21" s="85">
        <f t="shared" si="23"/>
        <v>8.3699327725739719E-3</v>
      </c>
      <c r="BO21" s="85">
        <f t="shared" si="24"/>
        <v>2.6999783137335397E-5</v>
      </c>
      <c r="BQ21" s="39">
        <f t="shared" si="25"/>
        <v>1007.4213479961813</v>
      </c>
      <c r="BR21" s="39">
        <f t="shared" si="25"/>
        <v>0.24950783730199222</v>
      </c>
      <c r="BS21" s="39">
        <f t="shared" si="25"/>
        <v>4.9726900663014023E-2</v>
      </c>
      <c r="BT21" s="159">
        <f t="shared" si="26"/>
        <v>1028.4776603263094</v>
      </c>
    </row>
    <row r="22" spans="1:72" x14ac:dyDescent="0.25">
      <c r="A22" s="117">
        <f t="shared" si="27"/>
        <v>2019</v>
      </c>
      <c r="B22" s="66">
        <f>INDEX((Proj_PasMob!$Q$6:$Q$46),MATCH(A22,Proj_PasMob!$M$6:M$46,0))</f>
        <v>11136003379.607237</v>
      </c>
      <c r="C22" s="119">
        <f>B22*Table11018[Gasoline]%</f>
        <v>6117046984.7697983</v>
      </c>
      <c r="D22" s="123">
        <f>B22*Table11018[[Diesel ]]%</f>
        <v>5012855697.8170261</v>
      </c>
      <c r="E22" s="121">
        <f>B22*Table11018[LPG]%</f>
        <v>6100697.0204132423</v>
      </c>
      <c r="F22" s="66">
        <f t="shared" si="4"/>
        <v>0</v>
      </c>
      <c r="H22" s="31">
        <f>C22*Table21119[Autocycle]%</f>
        <v>691915915.85062313</v>
      </c>
      <c r="I22" s="66">
        <f>C22*Table21119[Motocycle]%</f>
        <v>450488863.51849526</v>
      </c>
      <c r="J22" s="66">
        <f>C22*Table21119[cars]%</f>
        <v>4758286262.5459404</v>
      </c>
      <c r="K22" s="66">
        <f>C22*Table21119[DPV]%</f>
        <v>154293577.8074134</v>
      </c>
      <c r="L22" s="66">
        <f>C22*Table21119[Hybrid]%</f>
        <v>62062365.047326267</v>
      </c>
      <c r="M22" s="66">
        <f t="shared" si="5"/>
        <v>0</v>
      </c>
      <c r="P22" s="66">
        <f>D22*Table31220[Cars]%</f>
        <v>423908348.23698407</v>
      </c>
      <c r="Q22" s="66">
        <f>D22*Table31220[DPV]%</f>
        <v>611433992.93618453</v>
      </c>
      <c r="R22" s="66">
        <f>D22*Table31220[Buses]%</f>
        <v>3977513356.6438575</v>
      </c>
      <c r="S22" s="66">
        <f t="shared" si="6"/>
        <v>0</v>
      </c>
      <c r="W22" s="66">
        <f>E22*Table41321[Cars]%</f>
        <v>5766059.6311078742</v>
      </c>
      <c r="X22" s="66">
        <f>E22*Table41321[DPV]%</f>
        <v>334637.38930536772</v>
      </c>
      <c r="Y22" s="66">
        <f t="shared" si="7"/>
        <v>0</v>
      </c>
      <c r="AB22" s="117">
        <f t="shared" si="28"/>
        <v>2019</v>
      </c>
      <c r="AD22" s="66">
        <f>H22*Table51422[Autocycle]*0.01*$AD$7/1000</f>
        <v>12281.50750634856</v>
      </c>
      <c r="AE22" s="66">
        <f>I22*Table51422[Motocycle]*0.01*$AD$7/1000</f>
        <v>9595.4127929439492</v>
      </c>
      <c r="AF22" s="66">
        <f>J22*Table51422[Car]*0.01*$AD$7/$AL$8/1000</f>
        <v>115576.26895605009</v>
      </c>
      <c r="AG22" s="66">
        <f>K22*Table51422[DPV]*0.01*$AD$7/$AL$8/1000</f>
        <v>6630.5634884080555</v>
      </c>
      <c r="AH22" s="66">
        <f>L22*Table51422[Car_Hbrid]*0.01*$AD$7/$AL$8/1000</f>
        <v>927.6690354442452</v>
      </c>
      <c r="AI22" s="66">
        <f>Freight!E14*$AG$8*$AI$8*$AD$7/1000</f>
        <v>3563.6810867473969</v>
      </c>
      <c r="AJ22" s="66">
        <f t="shared" si="30"/>
        <v>148575.10286594226</v>
      </c>
      <c r="AK22" s="66">
        <f>P22*Table51422[Car_Dsl]*0.01*$AD$8/$AL$8/1000</f>
        <v>13275.024589526607</v>
      </c>
      <c r="AL22" s="66">
        <f>Q22*Table51422[DPV_Dsl]*0.01*$AD$8/$AL$8/1000</f>
        <v>30909.597379747647</v>
      </c>
      <c r="AM22" s="66">
        <f>R22*Table51422[Bus]*0.01*$AD$8/$AL$9/1000</f>
        <v>29268.816142960728</v>
      </c>
      <c r="AN22" s="66">
        <f>Freight!E14*$AG$9*$AI$9*$AD$8/1000</f>
        <v>108239.27251234255</v>
      </c>
      <c r="AO22" s="66">
        <f t="shared" si="9"/>
        <v>181692.71062457754</v>
      </c>
      <c r="AP22" s="66"/>
      <c r="AQ22" s="66">
        <f>W22*Table51422[Car_LPG]*0.01*$AD$9/$AL$8/1000</f>
        <v>135.14475389549506</v>
      </c>
      <c r="AR22" s="66">
        <f>X22*Table51422[DPV_LPG]*0.01*$AD$9/$AL$8/1000</f>
        <v>13.876470266055295</v>
      </c>
      <c r="AS22" s="31">
        <f t="shared" si="31"/>
        <v>2265.4357738323019</v>
      </c>
      <c r="AT22" s="66">
        <f t="shared" si="10"/>
        <v>2414.4569979938524</v>
      </c>
      <c r="AU22" s="31">
        <f t="shared" si="11"/>
        <v>24144.569979938526</v>
      </c>
      <c r="AW22" s="148">
        <f t="shared" si="3"/>
        <v>332682.27048851363</v>
      </c>
      <c r="AX22" s="165"/>
      <c r="AY22" s="163">
        <f>AJ22*(1-$BB$8)</f>
        <v>141146.34772264515</v>
      </c>
      <c r="AZ22" s="163">
        <f>AO22*(1-$BB$8)</f>
        <v>172608.07509334866</v>
      </c>
      <c r="BA22" s="163">
        <f t="shared" si="14"/>
        <v>2414.4569979938524</v>
      </c>
      <c r="BB22" s="163">
        <f t="shared" si="15"/>
        <v>316168.87981398765</v>
      </c>
      <c r="BF22" s="117">
        <f t="shared" si="29"/>
        <v>2019</v>
      </c>
      <c r="BG22" s="85">
        <f t="shared" si="16"/>
        <v>438.20859699363302</v>
      </c>
      <c r="BH22" s="85">
        <f t="shared" si="17"/>
        <v>0.20867076047315855</v>
      </c>
      <c r="BI22" s="85">
        <f t="shared" si="18"/>
        <v>2.0234740409518406E-2</v>
      </c>
      <c r="BJ22" s="85">
        <f t="shared" si="19"/>
        <v>553.81818717926194</v>
      </c>
      <c r="BK22" s="85">
        <f t="shared" si="20"/>
        <v>2.9148325641013783E-2</v>
      </c>
      <c r="BL22" s="85">
        <f t="shared" si="21"/>
        <v>2.9148325641013783E-2</v>
      </c>
      <c r="BM22" s="85">
        <f t="shared" si="22"/>
        <v>7.9527867491321107</v>
      </c>
      <c r="BN22" s="85">
        <f t="shared" si="23"/>
        <v>7.8141486283073037E-3</v>
      </c>
      <c r="BO22" s="85">
        <f t="shared" si="24"/>
        <v>2.5206931059055817E-5</v>
      </c>
      <c r="BQ22" s="39">
        <f t="shared" si="25"/>
        <v>999.97957092202705</v>
      </c>
      <c r="BR22" s="39">
        <f t="shared" si="25"/>
        <v>0.24563323474247964</v>
      </c>
      <c r="BS22" s="39">
        <f t="shared" si="25"/>
        <v>4.9408272981591249E-2</v>
      </c>
      <c r="BT22" s="159">
        <f t="shared" si="26"/>
        <v>1020.8440671391032</v>
      </c>
    </row>
    <row r="23" spans="1:72" x14ac:dyDescent="0.25">
      <c r="A23" s="117">
        <f t="shared" si="27"/>
        <v>2020</v>
      </c>
      <c r="B23" s="66">
        <f>INDEX((Proj_PasMob!$Q$6:$Q$46),MATCH(A23,Proj_PasMob!$M$6:M$46,0))</f>
        <v>11226441524.739933</v>
      </c>
      <c r="C23" s="119">
        <f>B23*Table11018[Gasoline]%</f>
        <v>6166724985.4073706</v>
      </c>
      <c r="D23" s="123">
        <f>B23*Table11018[[Diesel ]]%</f>
        <v>5053566297.0934811</v>
      </c>
      <c r="E23" s="121">
        <f>B23*Table11018[LPG]%</f>
        <v>6150242.2390823653</v>
      </c>
      <c r="F23" s="66">
        <f t="shared" si="4"/>
        <v>0</v>
      </c>
      <c r="H23" s="31">
        <f>C23*Table21119[Autocycle]%</f>
        <v>697535130.38246429</v>
      </c>
      <c r="I23" s="66">
        <f>C23*Table21119[Motocycle]%</f>
        <v>454147391.25333387</v>
      </c>
      <c r="J23" s="66">
        <f>C23*Table21119[cars]%</f>
        <v>4796929442.5923014</v>
      </c>
      <c r="K23" s="66">
        <f>C23*Table21119[DPV]%</f>
        <v>155546632.83147553</v>
      </c>
      <c r="L23" s="66">
        <f>C23*Table21119[Hybrid]%</f>
        <v>62566388.34779571</v>
      </c>
      <c r="M23" s="66">
        <f t="shared" si="5"/>
        <v>0</v>
      </c>
      <c r="P23" s="66">
        <f>D23*Table31220[Cars]%</f>
        <v>427351009.2540437</v>
      </c>
      <c r="Q23" s="66">
        <f>D23*Table31220[DPV]%</f>
        <v>616399594.53554189</v>
      </c>
      <c r="R23" s="66">
        <f>D23*Table31220[Buses]%</f>
        <v>4009815693.3038955</v>
      </c>
      <c r="S23" s="66">
        <f t="shared" si="6"/>
        <v>0</v>
      </c>
      <c r="W23" s="66">
        <f>E23*Table41321[Cars]%</f>
        <v>5812887.1795546403</v>
      </c>
      <c r="X23" s="66">
        <f>E23*Table41321[DPV]%</f>
        <v>337355.05952772463</v>
      </c>
      <c r="Y23" s="66">
        <f t="shared" si="7"/>
        <v>0</v>
      </c>
      <c r="AB23" s="117">
        <f t="shared" si="28"/>
        <v>2020</v>
      </c>
      <c r="AD23" s="66">
        <f>H23*Table51422[Autocycle]*0.01*$AD$7/1000</f>
        <v>12381.248564288742</v>
      </c>
      <c r="AE23" s="66">
        <f>I23*Table51422[Motocycle]*0.01*$AD$7/1000</f>
        <v>9673.3394336960118</v>
      </c>
      <c r="AF23" s="66">
        <f>J23*Table51422[Car]*0.01*$AD$7/$AL$8/1000</f>
        <v>116514.89146086037</v>
      </c>
      <c r="AG23" s="66">
        <f>K23*Table51422[DPV]*0.01*$AD$7/$AL$8/1000</f>
        <v>6684.4118793105135</v>
      </c>
      <c r="AH23" s="66">
        <f>L23*Table51422[Car_Hbrid]*0.01*$AD$7/$AL$8/1000</f>
        <v>935.20285740915688</v>
      </c>
      <c r="AI23" s="66">
        <f>Freight!E15*$AG$8*$AI$8*$AD$7/1000</f>
        <v>3700.3341521094567</v>
      </c>
      <c r="AJ23" s="66">
        <f t="shared" si="30"/>
        <v>149889.42834767423</v>
      </c>
      <c r="AK23" s="66">
        <f>P23*Table51422[Car_Dsl]*0.01*$AD$8/$AL$8/1000</f>
        <v>13382.834237166107</v>
      </c>
      <c r="AL23" s="66">
        <f>Q23*Table51422[DPV_Dsl]*0.01*$AD$8/$AL$8/1000</f>
        <v>31160.621607967798</v>
      </c>
      <c r="AM23" s="66">
        <f>R23*Table51422[Bus]*0.01*$AD$8/$AL$9/1000</f>
        <v>29506.515194583382</v>
      </c>
      <c r="AN23" s="66">
        <f>Freight!E15*$AG$9*$AI$9*$AD$8/1000</f>
        <v>112389.82022447552</v>
      </c>
      <c r="AO23" s="66">
        <f t="shared" si="9"/>
        <v>186439.79126419281</v>
      </c>
      <c r="AP23" s="66"/>
      <c r="AQ23" s="66">
        <f>W23*Table51422[Car_LPG]*0.01*$AD$9/$AL$8/1000</f>
        <v>136.24229674368644</v>
      </c>
      <c r="AR23" s="66">
        <f>X23*Table51422[DPV_LPG]*0.01*$AD$9/$AL$8/1000</f>
        <v>13.98916439778923</v>
      </c>
      <c r="AS23" s="31">
        <f t="shared" si="31"/>
        <v>2104.5898338902084</v>
      </c>
      <c r="AT23" s="66">
        <f t="shared" si="10"/>
        <v>2254.8212950316843</v>
      </c>
      <c r="AU23" s="31">
        <f t="shared" si="11"/>
        <v>22548.212950316843</v>
      </c>
      <c r="AW23" s="148">
        <f t="shared" si="3"/>
        <v>338584.04090689874</v>
      </c>
      <c r="AX23" s="165"/>
      <c r="AY23" s="163">
        <f t="shared" ref="AY23:AY53" si="32">AJ23*(1-$BB$8)</f>
        <v>142394.9569302905</v>
      </c>
      <c r="AZ23" s="163">
        <f t="shared" ref="AZ23:AZ53" si="33">AO23*(1-$BB$8)</f>
        <v>177117.80170098317</v>
      </c>
      <c r="BA23" s="163">
        <f t="shared" si="14"/>
        <v>2254.8212950316843</v>
      </c>
      <c r="BB23" s="163">
        <f t="shared" si="15"/>
        <v>321767.57992630533</v>
      </c>
      <c r="BF23" s="117">
        <f t="shared" si="29"/>
        <v>2020</v>
      </c>
      <c r="BG23" s="85">
        <f t="shared" si="16"/>
        <v>442.08507908405704</v>
      </c>
      <c r="BH23" s="85">
        <f t="shared" si="17"/>
        <v>0.21051670432574143</v>
      </c>
      <c r="BI23" s="85">
        <f t="shared" si="18"/>
        <v>2.0413741025526445E-2</v>
      </c>
      <c r="BJ23" s="85">
        <f t="shared" si="19"/>
        <v>568.28778029165539</v>
      </c>
      <c r="BK23" s="85">
        <f t="shared" si="20"/>
        <v>2.9909883173245024E-2</v>
      </c>
      <c r="BL23" s="85">
        <f t="shared" si="21"/>
        <v>2.9909883173245024E-2</v>
      </c>
      <c r="BM23" s="85">
        <f t="shared" si="22"/>
        <v>7.4269754780012613</v>
      </c>
      <c r="BN23" s="85">
        <f t="shared" si="23"/>
        <v>7.2975036392405428E-3</v>
      </c>
      <c r="BO23" s="85">
        <f t="shared" si="24"/>
        <v>2.3540334320130782E-5</v>
      </c>
      <c r="BQ23" s="39">
        <f t="shared" si="25"/>
        <v>1017.7998348537137</v>
      </c>
      <c r="BR23" s="39">
        <f t="shared" si="25"/>
        <v>0.24772409113822699</v>
      </c>
      <c r="BS23" s="39">
        <f t="shared" si="25"/>
        <v>5.0347164533091598E-2</v>
      </c>
      <c r="BT23" s="159">
        <f t="shared" si="26"/>
        <v>1038.9963921630306</v>
      </c>
    </row>
    <row r="24" spans="1:72" x14ac:dyDescent="0.25">
      <c r="A24" s="117">
        <f t="shared" si="27"/>
        <v>2021</v>
      </c>
      <c r="B24" s="66">
        <f>INDEX((Proj_PasMob!$Q$6:$Q$46),MATCH(A24,Proj_PasMob!$M$6:M$46,0))</f>
        <v>11311365658.45142</v>
      </c>
      <c r="C24" s="119">
        <f>B24*Table11018[Gasoline]%</f>
        <v>6213374119.6026182</v>
      </c>
      <c r="D24" s="123">
        <f>B24*Table11018[[Diesel ]]%</f>
        <v>5091794772.1617794</v>
      </c>
      <c r="E24" s="121">
        <f>B24*Table11018[LPG]%</f>
        <v>6196766.6870224234</v>
      </c>
      <c r="F24" s="66">
        <f t="shared" si="4"/>
        <v>0</v>
      </c>
      <c r="H24" s="31">
        <f>C24*Table21119[Autocycle]%</f>
        <v>702811741.54643071</v>
      </c>
      <c r="I24" s="66">
        <f>C24*Table21119[Motocycle]%</f>
        <v>457582858.64471757</v>
      </c>
      <c r="J24" s="66">
        <f>C24*Table21119[cars]%</f>
        <v>4833216548.9286709</v>
      </c>
      <c r="K24" s="66">
        <f>C24*Table21119[DPV]%</f>
        <v>156723289.12241521</v>
      </c>
      <c r="L24" s="66">
        <f>C24*Table21119[Hybrid]%</f>
        <v>63039681.360384218</v>
      </c>
      <c r="M24" s="66">
        <f t="shared" si="5"/>
        <v>0</v>
      </c>
      <c r="P24" s="66">
        <f>D24*Table31220[Cars]%</f>
        <v>430583771.31597143</v>
      </c>
      <c r="Q24" s="66">
        <f>D24*Table31220[DPV]%</f>
        <v>621062443.53098571</v>
      </c>
      <c r="R24" s="66">
        <f>D24*Table31220[Buses]%</f>
        <v>4040148557.3148222</v>
      </c>
      <c r="S24" s="66">
        <f t="shared" si="6"/>
        <v>0</v>
      </c>
      <c r="W24" s="66">
        <f>E24*Table41321[Cars]%</f>
        <v>5856859.6535570584</v>
      </c>
      <c r="X24" s="66">
        <f>E24*Table41321[DPV]%</f>
        <v>339907.03346536495</v>
      </c>
      <c r="Y24" s="66">
        <f t="shared" si="7"/>
        <v>0</v>
      </c>
      <c r="AB24" s="117">
        <f t="shared" si="28"/>
        <v>2021</v>
      </c>
      <c r="AD24" s="66">
        <f>H24*Table51422[Autocycle]*0.01*$AD$7/1000</f>
        <v>12474.908412449146</v>
      </c>
      <c r="AE24" s="66">
        <f>I24*Table51422[Motocycle]*0.01*$AD$7/1000</f>
        <v>9746.5148891324825</v>
      </c>
      <c r="AF24" s="66">
        <f>J24*Table51422[Car]*0.01*$AD$7/$AL$8/1000</f>
        <v>117396.28617529378</v>
      </c>
      <c r="AG24" s="66">
        <f>K24*Table51422[DPV]*0.01*$AD$7/$AL$8/1000</f>
        <v>6734.9771351816853</v>
      </c>
      <c r="AH24" s="66">
        <f>L24*Table51422[Car_Hbrid]*0.01*$AD$7/$AL$8/1000</f>
        <v>942.27734243942723</v>
      </c>
      <c r="AI24" s="66">
        <f>Freight!E16*$AG$8*$AI$8*$AD$7/1000</f>
        <v>3842.1793086271005</v>
      </c>
      <c r="AJ24" s="66">
        <f t="shared" si="30"/>
        <v>151137.14326312361</v>
      </c>
      <c r="AK24" s="66">
        <f>P24*Table51422[Car_Dsl]*0.01*$AD$8/$AL$8/1000</f>
        <v>13484.070733315946</v>
      </c>
      <c r="AL24" s="66">
        <f>Q24*Table51422[DPV_Dsl]*0.01*$AD$8/$AL$8/1000</f>
        <v>31396.340895342728</v>
      </c>
      <c r="AM24" s="66">
        <f>R24*Table51422[Bus]*0.01*$AD$8/$AL$9/1000</f>
        <v>29729.721741040925</v>
      </c>
      <c r="AN24" s="66">
        <f>Freight!E16*$AG$9*$AI$9*$AD$8/1000</f>
        <v>116698.066719361</v>
      </c>
      <c r="AO24" s="66">
        <f t="shared" si="9"/>
        <v>191308.20008906059</v>
      </c>
      <c r="AP24" s="66"/>
      <c r="AQ24" s="66">
        <f>W24*Table51422[Car_LPG]*0.01*$AD$9/$AL$8/1000</f>
        <v>137.27292243218474</v>
      </c>
      <c r="AR24" s="66">
        <f>X24*Table51422[DPV_LPG]*0.01*$AD$9/$AL$8/1000</f>
        <v>14.094987571161825</v>
      </c>
      <c r="AS24" s="31">
        <f t="shared" si="31"/>
        <v>1955.1639556840037</v>
      </c>
      <c r="AT24" s="66">
        <f t="shared" si="10"/>
        <v>2106.5318656873501</v>
      </c>
      <c r="AU24" s="31">
        <f t="shared" si="11"/>
        <v>21065.3186568735</v>
      </c>
      <c r="AW24" s="148">
        <f t="shared" si="3"/>
        <v>344551.87521787151</v>
      </c>
      <c r="AX24" s="165"/>
      <c r="AY24" s="163">
        <f t="shared" si="32"/>
        <v>143580.28609996743</v>
      </c>
      <c r="AZ24" s="163">
        <f t="shared" si="33"/>
        <v>181742.79008460755</v>
      </c>
      <c r="BA24" s="163">
        <f t="shared" si="14"/>
        <v>2106.5318656873501</v>
      </c>
      <c r="BB24" s="163">
        <f t="shared" si="15"/>
        <v>327429.60805026232</v>
      </c>
      <c r="BF24" s="117">
        <f t="shared" si="29"/>
        <v>2021</v>
      </c>
      <c r="BG24" s="85">
        <f t="shared" si="16"/>
        <v>445.76509943740285</v>
      </c>
      <c r="BH24" s="85">
        <f t="shared" si="17"/>
        <v>0.21226909497019181</v>
      </c>
      <c r="BI24" s="85">
        <f t="shared" si="18"/>
        <v>2.058366981529133E-2</v>
      </c>
      <c r="BJ24" s="85">
        <f t="shared" si="19"/>
        <v>583.12719427016577</v>
      </c>
      <c r="BK24" s="85">
        <f t="shared" si="20"/>
        <v>3.0690904961587672E-2</v>
      </c>
      <c r="BL24" s="85">
        <f t="shared" si="21"/>
        <v>3.0690904961587672E-2</v>
      </c>
      <c r="BM24" s="85">
        <f t="shared" si="22"/>
        <v>6.9385367898383068</v>
      </c>
      <c r="BN24" s="85">
        <f t="shared" si="23"/>
        <v>6.8175797301105396E-3</v>
      </c>
      <c r="BO24" s="85">
        <f t="shared" si="24"/>
        <v>2.1992192677775934E-5</v>
      </c>
      <c r="BQ24" s="39">
        <f t="shared" si="25"/>
        <v>1035.8308304974069</v>
      </c>
      <c r="BR24" s="39">
        <f t="shared" si="25"/>
        <v>0.24977757966189001</v>
      </c>
      <c r="BS24" s="39">
        <f t="shared" si="25"/>
        <v>5.1296566969556777E-2</v>
      </c>
      <c r="BT24" s="159">
        <f t="shared" si="26"/>
        <v>1057.3616469458818</v>
      </c>
    </row>
    <row r="25" spans="1:72" x14ac:dyDescent="0.25">
      <c r="A25" s="117">
        <f t="shared" si="27"/>
        <v>2022</v>
      </c>
      <c r="B25" s="66">
        <f>INDEX((Proj_PasMob!$Q$6:$Q$46),MATCH(A25,Proj_PasMob!$M$6:M$46,0))</f>
        <v>11390768424.65041</v>
      </c>
      <c r="C25" s="119">
        <f>B25*Table11018[Gasoline]%</f>
        <v>6256990346.6279593</v>
      </c>
      <c r="D25" s="123">
        <f>B25*Table11018[[Diesel ]]%</f>
        <v>5127537811.6881447</v>
      </c>
      <c r="E25" s="121">
        <f>B25*Table11018[LPG]%</f>
        <v>6240266.3343061004</v>
      </c>
      <c r="F25" s="66">
        <f t="shared" si="4"/>
        <v>0</v>
      </c>
      <c r="H25" s="31">
        <f>C25*Table21119[Autocycle]%</f>
        <v>707745292.28477323</v>
      </c>
      <c r="I25" s="66">
        <f>C25*Table21119[Motocycle]%</f>
        <v>460794968.11396503</v>
      </c>
      <c r="J25" s="66">
        <f>C25*Table21119[cars]%</f>
        <v>4867144438.3817835</v>
      </c>
      <c r="K25" s="66">
        <f>C25*Table21119[DPV]%</f>
        <v>157823444.75877959</v>
      </c>
      <c r="L25" s="66">
        <f>C25*Table21119[Hybrid]%</f>
        <v>63482203.088658251</v>
      </c>
      <c r="M25" s="66">
        <f t="shared" si="5"/>
        <v>0</v>
      </c>
      <c r="P25" s="66">
        <f>D25*Table31220[Cars]%</f>
        <v>433606354.40233254</v>
      </c>
      <c r="Q25" s="66">
        <f>D25*Table31220[DPV]%</f>
        <v>625422136.02857709</v>
      </c>
      <c r="R25" s="66">
        <f>D25*Table31220[Buses]%</f>
        <v>4068509321.2572351</v>
      </c>
      <c r="S25" s="66">
        <f t="shared" si="6"/>
        <v>0</v>
      </c>
      <c r="W25" s="66">
        <f>E25*Table41321[Cars]%</f>
        <v>5897973.2442386774</v>
      </c>
      <c r="X25" s="66">
        <f>E25*Table41321[DPV]%</f>
        <v>342293.09006742318</v>
      </c>
      <c r="Y25" s="66">
        <f t="shared" si="7"/>
        <v>0</v>
      </c>
      <c r="AB25" s="117">
        <f t="shared" si="28"/>
        <v>2022</v>
      </c>
      <c r="AD25" s="66">
        <f>H25*Table51422[Autocycle]*0.01*$AD$7/1000</f>
        <v>12562.478938054726</v>
      </c>
      <c r="AE25" s="66">
        <f>I25*Table51422[Motocycle]*0.01*$AD$7/1000</f>
        <v>9814.9328208274546</v>
      </c>
      <c r="AF25" s="66">
        <f>J25*Table51422[Car]*0.01*$AD$7/$AL$8/1000</f>
        <v>118220.37675332595</v>
      </c>
      <c r="AG25" s="66">
        <f>K25*Table51422[DPV]*0.01*$AD$7/$AL$8/1000</f>
        <v>6782.2548760812388</v>
      </c>
      <c r="AH25" s="66">
        <f>L25*Table51422[Car_Hbrid]*0.01*$AD$7/$AL$8/1000</f>
        <v>948.89187774626021</v>
      </c>
      <c r="AI25" s="66">
        <f>Freight!E17*$AG$8*$AI$8*$AD$7/1000</f>
        <v>3989.4138557642418</v>
      </c>
      <c r="AJ25" s="66">
        <f t="shared" si="30"/>
        <v>152318.3491217999</v>
      </c>
      <c r="AK25" s="66">
        <f>P25*Table51422[Car_Dsl]*0.01*$AD$8/$AL$8/1000</f>
        <v>13578.725308915151</v>
      </c>
      <c r="AL25" s="66">
        <f>Q25*Table51422[DPV_Dsl]*0.01*$AD$8/$AL$8/1000</f>
        <v>31616.734823970964</v>
      </c>
      <c r="AM25" s="66">
        <f>R25*Table51422[Bus]*0.01*$AD$8/$AL$9/1000</f>
        <v>29938.416448280022</v>
      </c>
      <c r="AN25" s="66">
        <f>Freight!E17*$AG$9*$AI$9*$AD$8/1000</f>
        <v>121170.0045507436</v>
      </c>
      <c r="AO25" s="66">
        <f t="shared" si="9"/>
        <v>196303.88113190973</v>
      </c>
      <c r="AP25" s="66"/>
      <c r="AQ25" s="66">
        <f>W25*Table51422[Car_LPG]*0.01*$AD$9/$AL$8/1000</f>
        <v>138.23654168864394</v>
      </c>
      <c r="AR25" s="66">
        <f>X25*Table51422[DPV_LPG]*0.01*$AD$9/$AL$8/1000</f>
        <v>14.193930619816113</v>
      </c>
      <c r="AS25" s="31">
        <f t="shared" si="31"/>
        <v>1816.3473148304395</v>
      </c>
      <c r="AT25" s="66">
        <f t="shared" si="10"/>
        <v>1968.7777871388996</v>
      </c>
      <c r="AU25" s="31">
        <f t="shared" si="11"/>
        <v>19687.777871388997</v>
      </c>
      <c r="AW25" s="148">
        <f t="shared" si="3"/>
        <v>350591.00804084854</v>
      </c>
      <c r="AX25" s="165"/>
      <c r="AY25" s="163">
        <f t="shared" si="32"/>
        <v>144702.43166570988</v>
      </c>
      <c r="AZ25" s="163">
        <f t="shared" si="33"/>
        <v>186488.68707531423</v>
      </c>
      <c r="BA25" s="163">
        <f t="shared" si="14"/>
        <v>1968.7777871388996</v>
      </c>
      <c r="BB25" s="163">
        <f t="shared" si="15"/>
        <v>333159.89652816299</v>
      </c>
      <c r="BF25" s="117">
        <f t="shared" si="29"/>
        <v>2022</v>
      </c>
      <c r="BG25" s="85">
        <f t="shared" si="16"/>
        <v>449.2489574466295</v>
      </c>
      <c r="BH25" s="85">
        <f t="shared" si="17"/>
        <v>0.21392807497458546</v>
      </c>
      <c r="BI25" s="85">
        <f t="shared" si="18"/>
        <v>2.0744540603596168E-2</v>
      </c>
      <c r="BJ25" s="85">
        <f t="shared" si="19"/>
        <v>598.35454714175796</v>
      </c>
      <c r="BK25" s="85">
        <f t="shared" si="20"/>
        <v>3.1492344586408309E-2</v>
      </c>
      <c r="BL25" s="85">
        <f t="shared" si="21"/>
        <v>3.1492344586408309E-2</v>
      </c>
      <c r="BM25" s="85">
        <f t="shared" si="22"/>
        <v>6.4847996508338506</v>
      </c>
      <c r="BN25" s="85">
        <f t="shared" si="23"/>
        <v>6.3717524302963346E-3</v>
      </c>
      <c r="BO25" s="85">
        <f t="shared" si="24"/>
        <v>2.0554040097730112E-5</v>
      </c>
      <c r="BQ25" s="39">
        <f t="shared" si="25"/>
        <v>1054.0883042392213</v>
      </c>
      <c r="BR25" s="39">
        <f t="shared" si="25"/>
        <v>0.25179217199129011</v>
      </c>
      <c r="BS25" s="39">
        <f t="shared" si="25"/>
        <v>5.2257439230102211E-2</v>
      </c>
      <c r="BT25" s="159">
        <f t="shared" si="26"/>
        <v>1075.9558254295741</v>
      </c>
    </row>
    <row r="26" spans="1:72" x14ac:dyDescent="0.25">
      <c r="A26" s="117">
        <f t="shared" si="27"/>
        <v>2023</v>
      </c>
      <c r="B26" s="66">
        <f>INDEX((Proj_PasMob!$Q$6:$Q$46),MATCH(A26,Proj_PasMob!$M$6:M$46,0))</f>
        <v>11464670555.718056</v>
      </c>
      <c r="C26" s="119">
        <f>B26*Table11018[Gasoline]%</f>
        <v>6297585054.8554411</v>
      </c>
      <c r="D26" s="123">
        <f>B26*Table11018[[Diesel ]]%</f>
        <v>5160804748.3237495</v>
      </c>
      <c r="E26" s="121">
        <f>B26*Table11018[LPG]%</f>
        <v>6280752.5388660058</v>
      </c>
      <c r="F26" s="66">
        <f t="shared" si="4"/>
        <v>0</v>
      </c>
      <c r="H26" s="31">
        <f>C26*Table21119[Autocycle]%</f>
        <v>712337070.76740396</v>
      </c>
      <c r="I26" s="66">
        <f>C26*Table21119[Motocycle]%</f>
        <v>463784558.35575902</v>
      </c>
      <c r="J26" s="66">
        <f>C26*Table21119[cars]%</f>
        <v>4898721969.6598358</v>
      </c>
      <c r="K26" s="66">
        <f>C26*Table21119[DPV]%</f>
        <v>158847386.99562377</v>
      </c>
      <c r="L26" s="66">
        <f>C26*Table21119[Hybrid]%</f>
        <v>63894069.076818302</v>
      </c>
      <c r="M26" s="66">
        <f t="shared" si="5"/>
        <v>0</v>
      </c>
      <c r="P26" s="66">
        <f>D26*Table31220[Cars]%</f>
        <v>436419547.72171032</v>
      </c>
      <c r="Q26" s="66">
        <f>D26*Table31220[DPV]%</f>
        <v>629479810.36153686</v>
      </c>
      <c r="R26" s="66">
        <f>D26*Table31220[Buses]%</f>
        <v>4094905390.2405024</v>
      </c>
      <c r="S26" s="66">
        <f t="shared" si="6"/>
        <v>0</v>
      </c>
      <c r="W26" s="66">
        <f>E26*Table41321[Cars]%</f>
        <v>5936238.6865231451</v>
      </c>
      <c r="X26" s="66">
        <f>E26*Table41321[DPV]%</f>
        <v>344513.85234286106</v>
      </c>
      <c r="Y26" s="66">
        <f t="shared" si="7"/>
        <v>0</v>
      </c>
      <c r="AB26" s="117">
        <f t="shared" si="28"/>
        <v>2023</v>
      </c>
      <c r="AD26" s="66">
        <f>H26*Table51422[Autocycle]*0.01*$AD$7/1000</f>
        <v>12643.98300612142</v>
      </c>
      <c r="AE26" s="66">
        <f>I26*Table51422[Motocycle]*0.01*$AD$7/1000</f>
        <v>9878.6110929776678</v>
      </c>
      <c r="AF26" s="66">
        <f>J26*Table51422[Car]*0.01*$AD$7/$AL$8/1000</f>
        <v>118987.37836831654</v>
      </c>
      <c r="AG26" s="66">
        <f>K26*Table51422[DPV]*0.01*$AD$7/$AL$8/1000</f>
        <v>6826.2574464172012</v>
      </c>
      <c r="AH26" s="66">
        <f>L26*Table51422[Car_Hbrid]*0.01*$AD$7/$AL$8/1000</f>
        <v>955.04819041138944</v>
      </c>
      <c r="AI26" s="66">
        <f>Freight!E18*$AG$8*$AI$8*$AD$7/1000</f>
        <v>4142.2425903644207</v>
      </c>
      <c r="AJ26" s="66">
        <f t="shared" si="30"/>
        <v>153433.52069460863</v>
      </c>
      <c r="AK26" s="66">
        <f>P26*Table51422[Car_Dsl]*0.01*$AD$8/$AL$8/1000</f>
        <v>13666.82267865356</v>
      </c>
      <c r="AL26" s="66">
        <f>Q26*Table51422[DPV_Dsl]*0.01*$AD$8/$AL$8/1000</f>
        <v>31821.86093959244</v>
      </c>
      <c r="AM26" s="66">
        <f>R26*Table51422[Bus]*0.01*$AD$8/$AL$9/1000</f>
        <v>30132.653807326893</v>
      </c>
      <c r="AN26" s="66">
        <f>Freight!E18*$AG$9*$AI$9*$AD$8/1000</f>
        <v>125811.85398941019</v>
      </c>
      <c r="AO26" s="66">
        <f t="shared" si="9"/>
        <v>201433.19141498307</v>
      </c>
      <c r="AP26" s="66"/>
      <c r="AQ26" s="66">
        <f>W26*Table51422[Car_LPG]*0.01*$AD$9/$AL$8/1000</f>
        <v>139.13340611792196</v>
      </c>
      <c r="AR26" s="66">
        <f>X26*Table51422[DPV_LPG]*0.01*$AD$9/$AL$8/1000</f>
        <v>14.286019378179482</v>
      </c>
      <c r="AS26" s="31">
        <f t="shared" si="31"/>
        <v>1687.3866554774784</v>
      </c>
      <c r="AT26" s="66">
        <f t="shared" si="10"/>
        <v>1840.8060809735798</v>
      </c>
      <c r="AU26" s="31">
        <f t="shared" si="11"/>
        <v>18408.060809735798</v>
      </c>
      <c r="AW26" s="148">
        <f t="shared" si="3"/>
        <v>356707.51819056529</v>
      </c>
      <c r="AX26" s="165"/>
      <c r="AY26" s="163">
        <f t="shared" si="32"/>
        <v>145761.84465987817</v>
      </c>
      <c r="AZ26" s="163">
        <f t="shared" si="33"/>
        <v>191361.53184423392</v>
      </c>
      <c r="BA26" s="163">
        <f t="shared" si="14"/>
        <v>1840.8060809735798</v>
      </c>
      <c r="BB26" s="163">
        <f t="shared" si="15"/>
        <v>338964.18258508568</v>
      </c>
      <c r="BF26" s="117">
        <f t="shared" si="29"/>
        <v>2023</v>
      </c>
      <c r="BG26" s="85">
        <f t="shared" si="16"/>
        <v>452.53805340484411</v>
      </c>
      <c r="BH26" s="85">
        <f t="shared" si="17"/>
        <v>0.21549431114516387</v>
      </c>
      <c r="BI26" s="85">
        <f t="shared" si="18"/>
        <v>2.0896418050440131E-2</v>
      </c>
      <c r="BJ26" s="85">
        <f t="shared" si="19"/>
        <v>613.98921576817975</v>
      </c>
      <c r="BK26" s="85">
        <f t="shared" si="20"/>
        <v>3.2315221882535772E-2</v>
      </c>
      <c r="BL26" s="85">
        <f t="shared" si="21"/>
        <v>3.2315221882535772E-2</v>
      </c>
      <c r="BM26" s="85">
        <f t="shared" si="22"/>
        <v>6.0632838856323961</v>
      </c>
      <c r="BN26" s="85">
        <f t="shared" si="23"/>
        <v>5.957584800462894E-3</v>
      </c>
      <c r="BO26" s="85">
        <f t="shared" si="24"/>
        <v>1.9218015485364172E-5</v>
      </c>
      <c r="BQ26" s="39">
        <f t="shared" si="25"/>
        <v>1072.5905530586563</v>
      </c>
      <c r="BR26" s="39">
        <f t="shared" si="25"/>
        <v>0.25376711782816253</v>
      </c>
      <c r="BS26" s="39">
        <f t="shared" si="25"/>
        <v>5.3230857948461267E-2</v>
      </c>
      <c r="BT26" s="159">
        <f t="shared" si="26"/>
        <v>1094.7975266730018</v>
      </c>
    </row>
    <row r="27" spans="1:72" x14ac:dyDescent="0.25">
      <c r="A27" s="117">
        <f t="shared" si="27"/>
        <v>2024</v>
      </c>
      <c r="B27" s="66">
        <f>INDEX((Proj_PasMob!$Q$6:$Q$46),MATCH(A27,Proj_PasMob!$M$6:M$46,0))</f>
        <v>11533120767.919504</v>
      </c>
      <c r="C27" s="119">
        <f>B27*Table11018[Gasoline]%</f>
        <v>6335185004.305932</v>
      </c>
      <c r="D27" s="123">
        <f>B27*Table11018[[Diesel ]]%</f>
        <v>5191617511.6243763</v>
      </c>
      <c r="E27" s="121">
        <f>B27*Table11018[LPG]%</f>
        <v>6318251.9891974181</v>
      </c>
      <c r="F27" s="66">
        <f t="shared" si="4"/>
        <v>0</v>
      </c>
      <c r="H27" s="31">
        <f>C27*Table21119[Autocycle]%</f>
        <v>716590103.89347744</v>
      </c>
      <c r="I27" s="66">
        <f>C27*Table21119[Motocycle]%</f>
        <v>466553600.10719198</v>
      </c>
      <c r="J27" s="66">
        <f>C27*Table21119[cars]%</f>
        <v>4927969958.6630507</v>
      </c>
      <c r="K27" s="66">
        <f>C27*Table21119[DPV]%</f>
        <v>159795790.81539801</v>
      </c>
      <c r="L27" s="66">
        <f>C27*Table21119[Hybrid]%</f>
        <v>64275550.826814242</v>
      </c>
      <c r="M27" s="66">
        <f t="shared" si="5"/>
        <v>0</v>
      </c>
      <c r="P27" s="66">
        <f>D27*Table31220[Cars]%</f>
        <v>439025205.73039263</v>
      </c>
      <c r="Q27" s="66">
        <f>D27*Table31220[DPV]%</f>
        <v>633238141.34770584</v>
      </c>
      <c r="R27" s="66">
        <f>D27*Table31220[Buses]%</f>
        <v>4119354164.5462775</v>
      </c>
      <c r="S27" s="66">
        <f t="shared" si="6"/>
        <v>0</v>
      </c>
      <c r="W27" s="66">
        <f>E27*Table41321[Cars]%</f>
        <v>5971681.2049798379</v>
      </c>
      <c r="X27" s="66">
        <f>E27*Table41321[DPV]%</f>
        <v>346570.78421757987</v>
      </c>
      <c r="Y27" s="66">
        <f t="shared" si="7"/>
        <v>0</v>
      </c>
      <c r="AB27" s="117">
        <f t="shared" si="28"/>
        <v>2024</v>
      </c>
      <c r="AD27" s="66">
        <f>H27*Table51422[Autocycle]*0.01*$AD$7/1000</f>
        <v>12719.474344109225</v>
      </c>
      <c r="AE27" s="66">
        <f>I27*Table51422[Motocycle]*0.01*$AD$7/1000</f>
        <v>9937.5916822831896</v>
      </c>
      <c r="AF27" s="66">
        <f>J27*Table51422[Car]*0.01*$AD$7/$AL$8/1000</f>
        <v>119697.79662752622</v>
      </c>
      <c r="AG27" s="66">
        <f>K27*Table51422[DPV]*0.01*$AD$7/$AL$8/1000</f>
        <v>6867.0138526722349</v>
      </c>
      <c r="AH27" s="66">
        <f>L27*Table51422[Car_Hbrid]*0.01*$AD$7/$AL$8/1000</f>
        <v>960.75033867448667</v>
      </c>
      <c r="AI27" s="66">
        <f>Freight!E19*$AG$8*$AI$8*$AD$7/1000</f>
        <v>4300.8780915512325</v>
      </c>
      <c r="AJ27" s="66">
        <f t="shared" si="30"/>
        <v>154483.50493681658</v>
      </c>
      <c r="AK27" s="66">
        <f>P27*Table51422[Car_Dsl]*0.01*$AD$8/$AL$8/1000</f>
        <v>13748.420916293877</v>
      </c>
      <c r="AL27" s="66">
        <f>Q27*Table51422[DPV_Dsl]*0.01*$AD$8/$AL$8/1000</f>
        <v>32011.854461287974</v>
      </c>
      <c r="AM27" s="66">
        <f>R27*Table51422[Bus]*0.01*$AD$8/$AL$9/1000</f>
        <v>30312.561859396967</v>
      </c>
      <c r="AN27" s="66">
        <f>Freight!E19*$AG$9*$AI$9*$AD$8/1000</f>
        <v>130630.07167643761</v>
      </c>
      <c r="AO27" s="66">
        <f t="shared" si="9"/>
        <v>206702.90891341644</v>
      </c>
      <c r="AP27" s="66"/>
      <c r="AQ27" s="66">
        <f>W27*Table51422[Car_LPG]*0.01*$AD$9/$AL$8/1000</f>
        <v>139.96410693281209</v>
      </c>
      <c r="AR27" s="66">
        <f>X27*Table51422[DPV_LPG]*0.01*$AD$9/$AL$8/1000</f>
        <v>14.371314551136951</v>
      </c>
      <c r="AS27" s="31">
        <f t="shared" si="31"/>
        <v>1567.5822029385774</v>
      </c>
      <c r="AT27" s="66">
        <f t="shared" si="10"/>
        <v>1721.9176244225264</v>
      </c>
      <c r="AU27" s="31">
        <f t="shared" si="11"/>
        <v>17219.176244225266</v>
      </c>
      <c r="AW27" s="148">
        <f t="shared" si="3"/>
        <v>362908.33147465554</v>
      </c>
      <c r="AX27" s="165"/>
      <c r="AY27" s="163">
        <f t="shared" si="32"/>
        <v>146759.32968997574</v>
      </c>
      <c r="AZ27" s="163">
        <f t="shared" si="33"/>
        <v>196367.76346774559</v>
      </c>
      <c r="BA27" s="163">
        <f t="shared" si="14"/>
        <v>1721.9176244225264</v>
      </c>
      <c r="BB27" s="163">
        <f t="shared" si="15"/>
        <v>344849.01078214386</v>
      </c>
      <c r="BF27" s="117">
        <f t="shared" si="29"/>
        <v>2024</v>
      </c>
      <c r="BG27" s="85">
        <f t="shared" si="16"/>
        <v>455.63488532868627</v>
      </c>
      <c r="BH27" s="85">
        <f t="shared" si="17"/>
        <v>0.21696899301366007</v>
      </c>
      <c r="BI27" s="85">
        <f t="shared" si="18"/>
        <v>2.103941750435492E-2</v>
      </c>
      <c r="BJ27" s="85">
        <f t="shared" si="19"/>
        <v>630.05186011916578</v>
      </c>
      <c r="BK27" s="85">
        <f t="shared" si="20"/>
        <v>3.316062421679819E-2</v>
      </c>
      <c r="BL27" s="85">
        <f t="shared" si="21"/>
        <v>3.316062421679819E-2</v>
      </c>
      <c r="BM27" s="85">
        <f t="shared" si="22"/>
        <v>5.6716867096754058</v>
      </c>
      <c r="BN27" s="85">
        <f t="shared" si="23"/>
        <v>5.5728141996810648E-3</v>
      </c>
      <c r="BO27" s="85">
        <f t="shared" si="24"/>
        <v>1.7976819998971175E-5</v>
      </c>
      <c r="BQ27" s="39">
        <f t="shared" si="25"/>
        <v>1091.3584321575274</v>
      </c>
      <c r="BR27" s="39">
        <f t="shared" si="25"/>
        <v>0.25570243143013932</v>
      </c>
      <c r="BS27" s="39">
        <f t="shared" si="25"/>
        <v>5.4218018541152088E-2</v>
      </c>
      <c r="BT27" s="159">
        <f t="shared" si="26"/>
        <v>1113.9079624685442</v>
      </c>
    </row>
    <row r="28" spans="1:72" x14ac:dyDescent="0.25">
      <c r="A28" s="117">
        <f t="shared" si="27"/>
        <v>2025</v>
      </c>
      <c r="B28" s="66">
        <f>INDEX((Proj_PasMob!$Q$6:$Q$46),MATCH(A28,Proj_PasMob!$M$6:M$46,0))</f>
        <v>11579968602.290739</v>
      </c>
      <c r="C28" s="119">
        <f>B28*Table11018[Gasoline]%</f>
        <v>6360918689.3826027</v>
      </c>
      <c r="D28" s="123">
        <f>B28*Table11018[[Diesel ]]%</f>
        <v>5212705996.0162077</v>
      </c>
      <c r="E28" s="121">
        <f>B28*Table11018[LPG]%</f>
        <v>6343916.8919294691</v>
      </c>
      <c r="F28" s="66">
        <f t="shared" si="4"/>
        <v>0</v>
      </c>
      <c r="H28" s="31">
        <f>C28*Table21119[Autocycle]%</f>
        <v>719500911.39951229</v>
      </c>
      <c r="I28" s="66">
        <f>C28*Table21119[Motocycle]%</f>
        <v>468448752.87832415</v>
      </c>
      <c r="J28" s="66">
        <f>C28*Table21119[cars]%</f>
        <v>4947987499.8867617</v>
      </c>
      <c r="K28" s="66">
        <f>C28*Table21119[DPV]%</f>
        <v>160444885.44398835</v>
      </c>
      <c r="L28" s="66">
        <f>C28*Table21119[Hybrid]%</f>
        <v>64536639.774016663</v>
      </c>
      <c r="M28" s="66">
        <f t="shared" si="5"/>
        <v>0</v>
      </c>
      <c r="P28" s="66">
        <f>D28*Table31220[Cars]%</f>
        <v>440808537.45271927</v>
      </c>
      <c r="Q28" s="66">
        <f>D28*Table31220[DPV]%</f>
        <v>635810371.02953875</v>
      </c>
      <c r="R28" s="66">
        <f>D28*Table31220[Buses]%</f>
        <v>4136087087.5339499</v>
      </c>
      <c r="S28" s="66">
        <f t="shared" si="6"/>
        <v>0</v>
      </c>
      <c r="W28" s="66">
        <f>E28*Table41321[Cars]%</f>
        <v>5995938.328237135</v>
      </c>
      <c r="X28" s="66">
        <f>E28*Table41321[DPV]%</f>
        <v>347978.5636923337</v>
      </c>
      <c r="Y28" s="66">
        <f t="shared" si="7"/>
        <v>0</v>
      </c>
      <c r="AB28" s="117">
        <f t="shared" si="28"/>
        <v>2025</v>
      </c>
      <c r="AD28" s="66">
        <f>H28*Table51422[Autocycle]*0.01*$AD$7/1000</f>
        <v>12771.141177341342</v>
      </c>
      <c r="AE28" s="66">
        <f>I28*Table51422[Motocycle]*0.01*$AD$7/1000</f>
        <v>9977.9584363083031</v>
      </c>
      <c r="AF28" s="66">
        <f>J28*Table51422[Car]*0.01*$AD$7/$AL$8/1000</f>
        <v>120184.01216830211</v>
      </c>
      <c r="AG28" s="66">
        <f>K28*Table51422[DPV]*0.01*$AD$7/$AL$8/1000</f>
        <v>6894.9078402640253</v>
      </c>
      <c r="AH28" s="66">
        <f>L28*Table51422[Car_Hbrid]*0.01*$AD$7/$AL$8/1000</f>
        <v>964.65293135898594</v>
      </c>
      <c r="AI28" s="66">
        <f>Freight!E20*$AG$8*$AI$8*$AD$7/1000</f>
        <v>4465.5936066152526</v>
      </c>
      <c r="AJ28" s="66">
        <f t="shared" si="30"/>
        <v>155258.26616019005</v>
      </c>
      <c r="AK28" s="66">
        <f>P28*Table51422[Car_Dsl]*0.01*$AD$8/$AL$8/1000</f>
        <v>13804.267357072</v>
      </c>
      <c r="AL28" s="66">
        <f>Q28*Table51422[DPV_Dsl]*0.01*$AD$8/$AL$8/1000</f>
        <v>32141.887440730105</v>
      </c>
      <c r="AM28" s="66">
        <f>R28*Table51422[Bus]*0.01*$AD$8/$AL$9/1000</f>
        <v>30435.692268410538</v>
      </c>
      <c r="AN28" s="66">
        <f>Freight!E20*$AG$9*$AI$9*$AD$8/1000</f>
        <v>135632.95692010506</v>
      </c>
      <c r="AO28" s="66">
        <f t="shared" si="9"/>
        <v>212014.80398631771</v>
      </c>
      <c r="AP28" s="66"/>
      <c r="AQ28" s="66">
        <f>W28*Table51422[Car_LPG]*0.01*$AD$9/$AL$8/1000</f>
        <v>140.53264474937126</v>
      </c>
      <c r="AR28" s="66">
        <f>X28*Table51422[DPV_LPG]*0.01*$AD$9/$AL$8/1000</f>
        <v>14.429691201944367</v>
      </c>
      <c r="AS28" s="31">
        <f t="shared" si="31"/>
        <v>1456.2838665299385</v>
      </c>
      <c r="AT28" s="66">
        <f t="shared" si="10"/>
        <v>1611.2462024812542</v>
      </c>
      <c r="AU28" s="31">
        <f t="shared" si="11"/>
        <v>16112.462024812541</v>
      </c>
      <c r="AW28" s="148">
        <f t="shared" si="3"/>
        <v>368884.31634898903</v>
      </c>
      <c r="AX28" s="165"/>
      <c r="AY28" s="163">
        <f t="shared" si="32"/>
        <v>147495.35285218054</v>
      </c>
      <c r="AZ28" s="163">
        <f t="shared" si="33"/>
        <v>201414.06378700183</v>
      </c>
      <c r="BA28" s="163">
        <f t="shared" si="14"/>
        <v>1611.2462024812542</v>
      </c>
      <c r="BB28" s="163">
        <f t="shared" si="15"/>
        <v>350520.66284166358</v>
      </c>
      <c r="BF28" s="117">
        <f t="shared" si="29"/>
        <v>2025</v>
      </c>
      <c r="BG28" s="85">
        <f t="shared" si="16"/>
        <v>457.91997227899373</v>
      </c>
      <c r="BH28" s="85">
        <f t="shared" si="17"/>
        <v>0.21805712965666368</v>
      </c>
      <c r="BI28" s="85">
        <f t="shared" si="18"/>
        <v>2.11449337848886E-2</v>
      </c>
      <c r="BJ28" s="85">
        <f t="shared" si="19"/>
        <v>646.2430660825089</v>
      </c>
      <c r="BK28" s="85">
        <f t="shared" si="20"/>
        <v>3.4012792951710995E-2</v>
      </c>
      <c r="BL28" s="85">
        <f t="shared" si="21"/>
        <v>3.4012792951710995E-2</v>
      </c>
      <c r="BM28" s="85">
        <f t="shared" si="22"/>
        <v>5.3071549666568041</v>
      </c>
      <c r="BN28" s="85">
        <f t="shared" si="23"/>
        <v>5.214637209710331E-3</v>
      </c>
      <c r="BO28" s="85">
        <f t="shared" si="24"/>
        <v>1.6821410353904293E-5</v>
      </c>
      <c r="BQ28" s="39">
        <f t="shared" si="25"/>
        <v>1109.4701933281594</v>
      </c>
      <c r="BR28" s="39">
        <f t="shared" si="25"/>
        <v>0.25728455981808501</v>
      </c>
      <c r="BS28" s="39">
        <f t="shared" si="25"/>
        <v>5.5174548146953495E-2</v>
      </c>
      <c r="BT28" s="159">
        <f t="shared" si="26"/>
        <v>1132.3443226714037</v>
      </c>
    </row>
    <row r="29" spans="1:72" x14ac:dyDescent="0.25">
      <c r="A29" s="117">
        <f t="shared" si="27"/>
        <v>2026</v>
      </c>
      <c r="B29" s="66">
        <f>INDEX((Proj_PasMob!$Q$6:$Q$46),MATCH(A29,Proj_PasMob!$M$6:M$46,0))</f>
        <v>11620868294.841003</v>
      </c>
      <c r="C29" s="119">
        <f>B29*Table11018[Gasoline]%</f>
        <v>6383385038.6161852</v>
      </c>
      <c r="D29" s="123">
        <f>B29*Table11018[[Diesel ]]%</f>
        <v>5231116933.0328941</v>
      </c>
      <c r="E29" s="121">
        <f>B29*Table11018[LPG]%</f>
        <v>6366323.1919252239</v>
      </c>
      <c r="F29" s="66">
        <f t="shared" si="4"/>
        <v>0</v>
      </c>
      <c r="H29" s="31">
        <f>C29*Table21119[Autocycle]%</f>
        <v>722042141.61148834</v>
      </c>
      <c r="I29" s="66">
        <f>C29*Table21119[Motocycle]%</f>
        <v>470103283.26837105</v>
      </c>
      <c r="J29" s="66">
        <f>C29*Table21119[cars]%</f>
        <v>4965463468.4699488</v>
      </c>
      <c r="K29" s="66">
        <f>C29*Table21119[DPV]%</f>
        <v>161011566.29704553</v>
      </c>
      <c r="L29" s="66">
        <f>C29*Table21119[Hybrid]%</f>
        <v>64764578.969332129</v>
      </c>
      <c r="M29" s="66">
        <f t="shared" si="5"/>
        <v>0</v>
      </c>
      <c r="P29" s="66">
        <f>D29*Table31220[Cars]%</f>
        <v>442365444.40769851</v>
      </c>
      <c r="Q29" s="66">
        <f>D29*Table31220[DPV]%</f>
        <v>638056011.7206744</v>
      </c>
      <c r="R29" s="66">
        <f>D29*Table31220[Buses]%</f>
        <v>4150695476.904521</v>
      </c>
      <c r="S29" s="66">
        <f t="shared" si="6"/>
        <v>0</v>
      </c>
      <c r="W29" s="66">
        <f>E29*Table41321[Cars]%</f>
        <v>6017115.5906803804</v>
      </c>
      <c r="X29" s="66">
        <f>E29*Table41321[DPV]%</f>
        <v>349207.60124484351</v>
      </c>
      <c r="Y29" s="66">
        <f t="shared" si="7"/>
        <v>0</v>
      </c>
      <c r="AB29" s="117">
        <f t="shared" si="28"/>
        <v>2026</v>
      </c>
      <c r="AD29" s="66">
        <f>H29*Table51422[Autocycle]*0.01*$AD$7/1000</f>
        <v>12816.248013603916</v>
      </c>
      <c r="AE29" s="66">
        <f>I29*Table51422[Motocycle]*0.01*$AD$7/1000</f>
        <v>10013.199933616303</v>
      </c>
      <c r="AF29" s="66">
        <f>J29*Table51422[Car]*0.01*$AD$7/$AL$8/1000</f>
        <v>120608.49424730954</v>
      </c>
      <c r="AG29" s="66">
        <f>K29*Table51422[DPV]*0.01*$AD$7/$AL$8/1000</f>
        <v>6919.260204291455</v>
      </c>
      <c r="AH29" s="66">
        <f>L29*Table51422[Car_Hbrid]*0.01*$AD$7/$AL$8/1000</f>
        <v>968.06002248896448</v>
      </c>
      <c r="AI29" s="66">
        <f>Freight!E21*$AG$8*$AI$8*$AD$7/1000</f>
        <v>4636.5655874974436</v>
      </c>
      <c r="AJ29" s="66">
        <f t="shared" si="30"/>
        <v>155961.82800880761</v>
      </c>
      <c r="AK29" s="66">
        <f>P29*Table51422[Car_Dsl]*0.01*$AD$8/$AL$8/1000</f>
        <v>13853.023127504242</v>
      </c>
      <c r="AL29" s="66">
        <f>Q29*Table51422[DPV_Dsl]*0.01*$AD$8/$AL$8/1000</f>
        <v>32255.410487247773</v>
      </c>
      <c r="AM29" s="66">
        <f>R29*Table51422[Bus]*0.01*$AD$8/$AL$9/1000</f>
        <v>30543.18914505027</v>
      </c>
      <c r="AN29" s="66">
        <f>Freight!E21*$AG$9*$AI$9*$AD$8/1000</f>
        <v>140825.86907475945</v>
      </c>
      <c r="AO29" s="66">
        <f t="shared" si="9"/>
        <v>217477.49183456175</v>
      </c>
      <c r="AP29" s="66"/>
      <c r="AQ29" s="66">
        <f>W29*Table51422[Car_LPG]*0.01*$AD$9/$AL$8/1000</f>
        <v>141.02899686921967</v>
      </c>
      <c r="AR29" s="66">
        <f>X29*Table51422[DPV_LPG]*0.01*$AD$9/$AL$8/1000</f>
        <v>14.480655928535947</v>
      </c>
      <c r="AS29" s="31">
        <f t="shared" si="31"/>
        <v>1352.887712006313</v>
      </c>
      <c r="AT29" s="66">
        <f t="shared" si="10"/>
        <v>1508.3973648040687</v>
      </c>
      <c r="AU29" s="31">
        <f t="shared" si="11"/>
        <v>15083.973648040686</v>
      </c>
      <c r="AW29" s="148">
        <f t="shared" si="3"/>
        <v>374947.71720817342</v>
      </c>
      <c r="AX29" s="165"/>
      <c r="AY29" s="163">
        <f t="shared" si="32"/>
        <v>148163.73660836724</v>
      </c>
      <c r="AZ29" s="163">
        <f t="shared" si="33"/>
        <v>206603.61724283366</v>
      </c>
      <c r="BA29" s="163">
        <f t="shared" si="14"/>
        <v>1508.3973648040687</v>
      </c>
      <c r="BB29" s="163">
        <f t="shared" si="15"/>
        <v>356275.75121600495</v>
      </c>
      <c r="BF29" s="117">
        <f t="shared" si="29"/>
        <v>2026</v>
      </c>
      <c r="BG29" s="85">
        <f t="shared" si="16"/>
        <v>459.99506322380125</v>
      </c>
      <c r="BH29" s="85">
        <f t="shared" si="17"/>
        <v>0.21904526820181008</v>
      </c>
      <c r="BI29" s="85">
        <f t="shared" si="18"/>
        <v>2.1240753280175526E-2</v>
      </c>
      <c r="BJ29" s="85">
        <f t="shared" si="19"/>
        <v>662.89390403214895</v>
      </c>
      <c r="BK29" s="85">
        <f t="shared" si="20"/>
        <v>3.4889152843797309E-2</v>
      </c>
      <c r="BL29" s="85">
        <f t="shared" si="21"/>
        <v>3.4889152843797309E-2</v>
      </c>
      <c r="BM29" s="85">
        <f t="shared" si="22"/>
        <v>4.968389408138937</v>
      </c>
      <c r="BN29" s="85">
        <f t="shared" si="23"/>
        <v>4.8817772314518884E-3</v>
      </c>
      <c r="BO29" s="85">
        <f t="shared" si="24"/>
        <v>1.5747668488554476E-5</v>
      </c>
      <c r="BQ29" s="39">
        <f t="shared" si="25"/>
        <v>1127.8573566640894</v>
      </c>
      <c r="BR29" s="39">
        <f t="shared" si="25"/>
        <v>0.25881619827705926</v>
      </c>
      <c r="BS29" s="39">
        <f t="shared" si="25"/>
        <v>5.6145653792461392E-2</v>
      </c>
      <c r="BT29" s="159">
        <f t="shared" si="26"/>
        <v>1151.0591664511694</v>
      </c>
    </row>
    <row r="30" spans="1:72" x14ac:dyDescent="0.25">
      <c r="A30" s="117">
        <f t="shared" si="27"/>
        <v>2027</v>
      </c>
      <c r="B30" s="66">
        <f>INDEX((Proj_PasMob!$Q$6:$Q$46),MATCH(A30,Proj_PasMob!$M$6:M$46,0))</f>
        <v>11655992787.406569</v>
      </c>
      <c r="C30" s="119">
        <f>B30*Table11018[Gasoline]%</f>
        <v>6402679049.5836401</v>
      </c>
      <c r="D30" s="123">
        <f>B30*Table11018[[Diesel ]]%</f>
        <v>5246928172.1900826</v>
      </c>
      <c r="E30" s="121">
        <f>B30*Table11018[LPG]%</f>
        <v>6385565.6328471322</v>
      </c>
      <c r="F30" s="66">
        <f t="shared" si="4"/>
        <v>0</v>
      </c>
      <c r="H30" s="31">
        <f>C30*Table21119[Autocycle]%</f>
        <v>724224539.96517396</v>
      </c>
      <c r="I30" s="66">
        <f>C30*Table21119[Motocycle]%</f>
        <v>471524187.35740006</v>
      </c>
      <c r="J30" s="66">
        <f>C30*Table21119[cars]%</f>
        <v>4980471760.4716988</v>
      </c>
      <c r="K30" s="66">
        <f>C30*Table21119[DPV]%</f>
        <v>161498229.54972875</v>
      </c>
      <c r="L30" s="66">
        <f>C30*Table21119[Hybrid]%</f>
        <v>64960332.239638969</v>
      </c>
      <c r="M30" s="66">
        <f t="shared" si="5"/>
        <v>0</v>
      </c>
      <c r="P30" s="66">
        <f>D30*Table31220[Cars]%</f>
        <v>443702509.88070273</v>
      </c>
      <c r="Q30" s="66">
        <f>D30*Table31220[DPV]%</f>
        <v>639984558.97475922</v>
      </c>
      <c r="R30" s="66">
        <f>D30*Table31220[Buses]%</f>
        <v>4163241103.3346205</v>
      </c>
      <c r="S30" s="66">
        <f t="shared" si="6"/>
        <v>0</v>
      </c>
      <c r="W30" s="66">
        <f>E30*Table41321[Cars]%</f>
        <v>6035302.5390622681</v>
      </c>
      <c r="X30" s="66">
        <f>E30*Table41321[DPV]%</f>
        <v>350263.09378486377</v>
      </c>
      <c r="Y30" s="66">
        <f t="shared" si="7"/>
        <v>0</v>
      </c>
      <c r="AB30" s="117">
        <f t="shared" si="28"/>
        <v>2027</v>
      </c>
      <c r="AD30" s="66">
        <f>H30*Table51422[Autocycle]*0.01*$AD$7/1000</f>
        <v>12854.985584381835</v>
      </c>
      <c r="AE30" s="66">
        <f>I30*Table51422[Motocycle]*0.01*$AD$7/1000</f>
        <v>10043.465190712621</v>
      </c>
      <c r="AF30" s="66">
        <f>J30*Table51422[Car]*0.01*$AD$7/$AL$8/1000</f>
        <v>120973.03776093101</v>
      </c>
      <c r="AG30" s="66">
        <f>K30*Table51422[DPV]*0.01*$AD$7/$AL$8/1000</f>
        <v>6940.1739172291327</v>
      </c>
      <c r="AH30" s="66">
        <f>L30*Table51422[Car_Hbrid]*0.01*$AD$7/$AL$8/1000</f>
        <v>970.98601873986672</v>
      </c>
      <c r="AI30" s="66">
        <f>Freight!E22*$AG$8*$AI$8*$AD$7/1000</f>
        <v>4814.0317798988908</v>
      </c>
      <c r="AJ30" s="66">
        <f t="shared" si="30"/>
        <v>156596.68025189335</v>
      </c>
      <c r="AK30" s="66">
        <f>P30*Table51422[Car_Dsl]*0.01*$AD$8/$AL$8/1000</f>
        <v>13894.894388369376</v>
      </c>
      <c r="AL30" s="66">
        <f>Q30*Table51422[DPV_Dsl]*0.01*$AD$8/$AL$8/1000</f>
        <v>32352.90362606612</v>
      </c>
      <c r="AM30" s="66">
        <f>R30*Table51422[Bus]*0.01*$AD$8/$AL$9/1000</f>
        <v>30635.507033252328</v>
      </c>
      <c r="AN30" s="66">
        <f>Freight!E22*$AG$9*$AI$9*$AD$8/1000</f>
        <v>146216.02916301816</v>
      </c>
      <c r="AO30" s="66">
        <f t="shared" si="9"/>
        <v>223099.334210706</v>
      </c>
      <c r="AP30" s="66"/>
      <c r="AQ30" s="66">
        <f>W30*Table51422[Car_LPG]*0.01*$AD$9/$AL$8/1000</f>
        <v>141.45526208679044</v>
      </c>
      <c r="AR30" s="66">
        <f>X30*Table51422[DPV_LPG]*0.01*$AD$9/$AL$8/1000</f>
        <v>14.524424232125805</v>
      </c>
      <c r="AS30" s="31">
        <f t="shared" si="31"/>
        <v>1256.8326844538649</v>
      </c>
      <c r="AT30" s="66">
        <f t="shared" si="10"/>
        <v>1412.8123707727812</v>
      </c>
      <c r="AU30" s="31">
        <f t="shared" si="11"/>
        <v>14128.123707727811</v>
      </c>
      <c r="AW30" s="148">
        <f t="shared" si="3"/>
        <v>381108.82683337212</v>
      </c>
      <c r="AX30" s="165"/>
      <c r="AY30" s="163">
        <f t="shared" si="32"/>
        <v>148766.84623929867</v>
      </c>
      <c r="AZ30" s="163">
        <f t="shared" si="33"/>
        <v>211944.36750017069</v>
      </c>
      <c r="BA30" s="163">
        <f t="shared" si="14"/>
        <v>1412.8123707727812</v>
      </c>
      <c r="BB30" s="163">
        <f t="shared" si="15"/>
        <v>362124.02611024212</v>
      </c>
      <c r="BF30" s="117">
        <f t="shared" si="29"/>
        <v>2027</v>
      </c>
      <c r="BG30" s="85">
        <f t="shared" si="16"/>
        <v>461.86750150837622</v>
      </c>
      <c r="BH30" s="85">
        <f t="shared" si="17"/>
        <v>0.21993690548017913</v>
      </c>
      <c r="BI30" s="85">
        <f t="shared" si="18"/>
        <v>2.1327215076865854E-2</v>
      </c>
      <c r="BJ30" s="85">
        <f t="shared" si="19"/>
        <v>680.02986145532259</v>
      </c>
      <c r="BK30" s="85">
        <f t="shared" si="20"/>
        <v>3.5791045339753816E-2</v>
      </c>
      <c r="BL30" s="85">
        <f t="shared" si="21"/>
        <v>3.5791045339753816E-2</v>
      </c>
      <c r="BM30" s="85">
        <f t="shared" si="22"/>
        <v>4.6535496430988017</v>
      </c>
      <c r="BN30" s="85">
        <f t="shared" si="23"/>
        <v>4.5724259567690283E-3</v>
      </c>
      <c r="BO30" s="85">
        <f t="shared" si="24"/>
        <v>1.4749761150867836E-5</v>
      </c>
      <c r="BQ30" s="39">
        <f t="shared" si="25"/>
        <v>1146.5509126067977</v>
      </c>
      <c r="BR30" s="39">
        <f t="shared" si="25"/>
        <v>0.26030037677670198</v>
      </c>
      <c r="BS30" s="39">
        <f t="shared" si="25"/>
        <v>5.7133010177770539E-2</v>
      </c>
      <c r="BT30" s="159">
        <f t="shared" si="26"/>
        <v>1170.0840590591908</v>
      </c>
    </row>
    <row r="31" spans="1:72" x14ac:dyDescent="0.25">
      <c r="A31" s="117">
        <f t="shared" si="27"/>
        <v>2028</v>
      </c>
      <c r="B31" s="66">
        <f>INDEX((Proj_PasMob!$Q$6:$Q$46),MATCH(A31,Proj_PasMob!$M$6:M$46,0))</f>
        <v>11685542498.092731</v>
      </c>
      <c r="C31" s="119">
        <f>B31*Table11018[Gasoline]%</f>
        <v>6418910812.6760092</v>
      </c>
      <c r="D31" s="123">
        <f>B31*Table11018[[Diesel ]]%</f>
        <v>5260229931.4058914</v>
      </c>
      <c r="E31" s="121">
        <f>B31*Table11018[LPG]%</f>
        <v>6401754.0108308597</v>
      </c>
      <c r="F31" s="66">
        <f t="shared" si="4"/>
        <v>0</v>
      </c>
      <c r="H31" s="31">
        <f>C31*Table21119[Autocycle]%</f>
        <v>726060559.08581984</v>
      </c>
      <c r="I31" s="66">
        <f>C31*Table21119[Motocycle]%</f>
        <v>472719572.73315227</v>
      </c>
      <c r="J31" s="66">
        <f>C31*Table21119[cars]%</f>
        <v>4993098012.2450819</v>
      </c>
      <c r="K31" s="66">
        <f>C31*Table21119[DPV]%</f>
        <v>161907652.07139313</v>
      </c>
      <c r="L31" s="66">
        <f>C31*Table21119[Hybrid]%</f>
        <v>65125016.540562026</v>
      </c>
      <c r="M31" s="66">
        <f t="shared" si="5"/>
        <v>0</v>
      </c>
      <c r="P31" s="66">
        <f>D31*Table31220[Cars]%</f>
        <v>444827363.08169854</v>
      </c>
      <c r="Q31" s="66">
        <f>D31*Table31220[DPV]%</f>
        <v>641607016.95892572</v>
      </c>
      <c r="R31" s="66">
        <f>D31*Table31220[Buses]%</f>
        <v>4173795551.3652673</v>
      </c>
      <c r="S31" s="66">
        <f t="shared" si="6"/>
        <v>0</v>
      </c>
      <c r="W31" s="66">
        <f>E31*Table41321[Cars]%</f>
        <v>6050602.9469456226</v>
      </c>
      <c r="X31" s="66">
        <f>E31*Table41321[DPV]%</f>
        <v>351151.06388523703</v>
      </c>
      <c r="Y31" s="66">
        <f t="shared" si="7"/>
        <v>0</v>
      </c>
      <c r="AB31" s="117">
        <f t="shared" si="28"/>
        <v>2028</v>
      </c>
      <c r="AD31" s="66">
        <f>H31*Table51422[Autocycle]*0.01*$AD$7/1000</f>
        <v>12887.574923773302</v>
      </c>
      <c r="AE31" s="66">
        <f>I31*Table51422[Motocycle]*0.01*$AD$7/1000</f>
        <v>10068.926899216141</v>
      </c>
      <c r="AF31" s="66">
        <f>J31*Table51422[Car]*0.01*$AD$7/$AL$8/1000</f>
        <v>121279.7227711108</v>
      </c>
      <c r="AG31" s="66">
        <f>K31*Table51422[DPV]*0.01*$AD$7/$AL$8/1000</f>
        <v>6957.7683113838166</v>
      </c>
      <c r="AH31" s="66">
        <f>L31*Table51422[Car_Hbrid]*0.01*$AD$7/$AL$8/1000</f>
        <v>973.44761565892702</v>
      </c>
      <c r="AI31" s="66">
        <f>Freight!E23*$AG$8*$AI$8*$AD$7/1000</f>
        <v>4998.2389638573313</v>
      </c>
      <c r="AJ31" s="66">
        <f t="shared" si="30"/>
        <v>157165.67948500029</v>
      </c>
      <c r="AK31" s="66">
        <f>P31*Table51422[Car_Dsl]*0.01*$AD$8/$AL$8/1000</f>
        <v>13930.120054400559</v>
      </c>
      <c r="AL31" s="66">
        <f>Q31*Table51422[DPV_Dsl]*0.01*$AD$8/$AL$8/1000</f>
        <v>32434.923146792018</v>
      </c>
      <c r="AM31" s="66">
        <f>R31*Table51422[Bus]*0.01*$AD$8/$AL$9/1000</f>
        <v>30713.172692974989</v>
      </c>
      <c r="AN31" s="66">
        <f>Freight!E23*$AG$9*$AI$9*$AD$8/1000</f>
        <v>151810.93260635817</v>
      </c>
      <c r="AO31" s="66">
        <f t="shared" si="9"/>
        <v>228889.14850052574</v>
      </c>
      <c r="AP31" s="66"/>
      <c r="AQ31" s="66">
        <f>W31*Table51422[Car_LPG]*0.01*$AD$9/$AL$8/1000</f>
        <v>141.81387264411819</v>
      </c>
      <c r="AR31" s="66">
        <f>X31*Table51422[DPV_LPG]*0.01*$AD$9/$AL$8/1000</f>
        <v>14.561245851851419</v>
      </c>
      <c r="AS31" s="31">
        <f t="shared" si="31"/>
        <v>1167.5975638576406</v>
      </c>
      <c r="AT31" s="66">
        <f t="shared" si="10"/>
        <v>1323.9726823536103</v>
      </c>
      <c r="AU31" s="31">
        <f t="shared" si="11"/>
        <v>13239.726823536103</v>
      </c>
      <c r="AW31" s="148">
        <f t="shared" si="3"/>
        <v>387378.80066787964</v>
      </c>
      <c r="AX31" s="165"/>
      <c r="AY31" s="163">
        <f t="shared" si="32"/>
        <v>149307.39551075027</v>
      </c>
      <c r="AZ31" s="163">
        <f t="shared" si="33"/>
        <v>217444.69107549943</v>
      </c>
      <c r="BA31" s="163">
        <f t="shared" si="14"/>
        <v>1323.9726823536103</v>
      </c>
      <c r="BB31" s="163">
        <f t="shared" si="15"/>
        <v>368076.05926860333</v>
      </c>
      <c r="BF31" s="117">
        <f t="shared" si="29"/>
        <v>2028</v>
      </c>
      <c r="BG31" s="85">
        <f t="shared" si="16"/>
        <v>463.54571239849571</v>
      </c>
      <c r="BH31" s="85">
        <f t="shared" si="17"/>
        <v>0.22073605352309314</v>
      </c>
      <c r="BI31" s="85">
        <f t="shared" si="18"/>
        <v>2.1404708220421155E-2</v>
      </c>
      <c r="BJ31" s="85">
        <f t="shared" si="19"/>
        <v>697.67781465647204</v>
      </c>
      <c r="BK31" s="85">
        <f t="shared" si="20"/>
        <v>3.6719884981919582E-2</v>
      </c>
      <c r="BL31" s="85">
        <f t="shared" si="21"/>
        <v>3.6719884981919582E-2</v>
      </c>
      <c r="BM31" s="85">
        <f t="shared" si="22"/>
        <v>4.3609277005899685</v>
      </c>
      <c r="BN31" s="85">
        <f t="shared" si="23"/>
        <v>4.2849051891692249E-3</v>
      </c>
      <c r="BO31" s="85">
        <f t="shared" si="24"/>
        <v>1.382227480377169E-5</v>
      </c>
      <c r="BQ31" s="39">
        <f t="shared" si="25"/>
        <v>1165.5844547555575</v>
      </c>
      <c r="BR31" s="39">
        <f t="shared" si="25"/>
        <v>0.26174084369418193</v>
      </c>
      <c r="BS31" s="39">
        <f t="shared" si="25"/>
        <v>5.813841547714451E-2</v>
      </c>
      <c r="BT31" s="159">
        <f t="shared" si="26"/>
        <v>1189.453223660101</v>
      </c>
    </row>
    <row r="32" spans="1:72" x14ac:dyDescent="0.25">
      <c r="A32" s="117">
        <f t="shared" si="27"/>
        <v>2029</v>
      </c>
      <c r="B32" s="66">
        <f>INDEX((Proj_PasMob!$Q$6:$Q$46),MATCH(A32,Proj_PasMob!$M$6:M$46,0))</f>
        <v>11709742850.126944</v>
      </c>
      <c r="C32" s="119">
        <f>B32*Table11018[Gasoline]%</f>
        <v>6432204153.688489</v>
      </c>
      <c r="D32" s="123">
        <f>B32*Table11018[[Diesel ]]%</f>
        <v>5271123684.6177521</v>
      </c>
      <c r="E32" s="121">
        <f>B32*Table11018[LPG]%</f>
        <v>6415011.8207035139</v>
      </c>
      <c r="F32" s="66">
        <f t="shared" si="4"/>
        <v>0</v>
      </c>
      <c r="H32" s="31">
        <f>C32*Table21119[Autocycle]%</f>
        <v>727564205.24781036</v>
      </c>
      <c r="I32" s="66">
        <f>C32*Table21119[Motocycle]%</f>
        <v>473698558.52482361</v>
      </c>
      <c r="J32" s="66">
        <f>C32*Table21119[cars]%</f>
        <v>5003438544.5444918</v>
      </c>
      <c r="K32" s="66">
        <f>C32*Table21119[DPV]%</f>
        <v>162242957.18690661</v>
      </c>
      <c r="L32" s="66">
        <f>C32*Table21119[Hybrid]%</f>
        <v>65259888.184456415</v>
      </c>
      <c r="M32" s="66">
        <f t="shared" si="5"/>
        <v>0</v>
      </c>
      <c r="P32" s="66">
        <f>D32*Table31220[Cars]%</f>
        <v>445748585.07740694</v>
      </c>
      <c r="Q32" s="66">
        <f>D32*Table31220[DPV]%</f>
        <v>642935762.77287161</v>
      </c>
      <c r="R32" s="66">
        <f>D32*Table31220[Buses]%</f>
        <v>4182439336.7674732</v>
      </c>
      <c r="S32" s="66">
        <f t="shared" si="6"/>
        <v>0</v>
      </c>
      <c r="W32" s="66">
        <f>E32*Table41321[Cars]%</f>
        <v>6063133.5351796923</v>
      </c>
      <c r="X32" s="66">
        <f>E32*Table41321[DPV]%</f>
        <v>351878.28552382143</v>
      </c>
      <c r="Y32" s="66">
        <f t="shared" si="7"/>
        <v>0</v>
      </c>
      <c r="AB32" s="117">
        <f t="shared" si="28"/>
        <v>2029</v>
      </c>
      <c r="AD32" s="66">
        <f>H32*Table51422[Autocycle]*0.01*$AD$7/1000</f>
        <v>12914.264643148632</v>
      </c>
      <c r="AE32" s="66">
        <f>I32*Table51422[Motocycle]*0.01*$AD$7/1000</f>
        <v>10089.779296578743</v>
      </c>
      <c r="AF32" s="66">
        <f>J32*Table51422[Car]*0.01*$AD$7/$AL$8/1000</f>
        <v>121530.88885827803</v>
      </c>
      <c r="AG32" s="66">
        <f>K32*Table51422[DPV]*0.01*$AD$7/$AL$8/1000</f>
        <v>6972.1776075320658</v>
      </c>
      <c r="AH32" s="66">
        <f>L32*Table51422[Car_Hbrid]*0.01*$AD$7/$AL$8/1000</f>
        <v>975.4635918097697</v>
      </c>
      <c r="AI32" s="66">
        <f>Freight!E24*$AG$8*$AI$8*$AD$7/1000</f>
        <v>5189.4432970519274</v>
      </c>
      <c r="AJ32" s="66">
        <f t="shared" si="30"/>
        <v>157672.01729439918</v>
      </c>
      <c r="AK32" s="66">
        <f>P32*Table51422[Car_Dsl]*0.01*$AD$8/$AL$8/1000</f>
        <v>13958.968848476692</v>
      </c>
      <c r="AL32" s="66">
        <f>Q32*Table51422[DPV_Dsl]*0.01*$AD$8/$AL$8/1000</f>
        <v>32502.094744386482</v>
      </c>
      <c r="AM32" s="66">
        <f>R32*Table51422[Bus]*0.01*$AD$8/$AL$9/1000</f>
        <v>30776.778605270367</v>
      </c>
      <c r="AN32" s="66">
        <f>Freight!E24*$AG$9*$AI$9*$AD$8/1000</f>
        <v>157618.35965227257</v>
      </c>
      <c r="AO32" s="66">
        <f t="shared" si="9"/>
        <v>234856.20185040613</v>
      </c>
      <c r="AP32" s="66"/>
      <c r="AQ32" s="66">
        <f>W32*Table51422[Car_LPG]*0.01*$AD$9/$AL$8/1000</f>
        <v>142.10756424139601</v>
      </c>
      <c r="AR32" s="66">
        <f>X32*Table51422[DPV_LPG]*0.01*$AD$9/$AL$8/1000</f>
        <v>14.591401685500481</v>
      </c>
      <c r="AS32" s="31">
        <f t="shared" si="31"/>
        <v>1084.6981368237482</v>
      </c>
      <c r="AT32" s="66">
        <f t="shared" si="10"/>
        <v>1241.3971027506448</v>
      </c>
      <c r="AU32" s="31">
        <f t="shared" si="11"/>
        <v>12413.971027506448</v>
      </c>
      <c r="AW32" s="148">
        <f t="shared" si="3"/>
        <v>393769.61624755594</v>
      </c>
      <c r="AX32" s="165"/>
      <c r="AY32" s="163">
        <f>AJ32*(1-$BB$8)</f>
        <v>149788.4164296792</v>
      </c>
      <c r="AZ32" s="163">
        <f t="shared" si="33"/>
        <v>223113.39175788581</v>
      </c>
      <c r="BA32" s="163">
        <f t="shared" si="14"/>
        <v>1241.3971027506448</v>
      </c>
      <c r="BB32" s="163">
        <f t="shared" si="15"/>
        <v>374143.20529031567</v>
      </c>
      <c r="BF32" s="117">
        <f t="shared" si="29"/>
        <v>2029</v>
      </c>
      <c r="BG32" s="85">
        <f t="shared" si="16"/>
        <v>465.03910918423924</v>
      </c>
      <c r="BH32" s="85">
        <f t="shared" si="17"/>
        <v>0.22144719484963771</v>
      </c>
      <c r="BI32" s="85">
        <f t="shared" si="18"/>
        <v>2.1473667379358807E-2</v>
      </c>
      <c r="BJ32" s="85">
        <f t="shared" si="19"/>
        <v>715.86601085692928</v>
      </c>
      <c r="BK32" s="85">
        <f t="shared" si="20"/>
        <v>3.7677158466154166E-2</v>
      </c>
      <c r="BL32" s="85">
        <f t="shared" si="21"/>
        <v>3.7677158466154166E-2</v>
      </c>
      <c r="BM32" s="85">
        <f t="shared" si="22"/>
        <v>4.0889386049821281</v>
      </c>
      <c r="BN32" s="85">
        <f t="shared" si="23"/>
        <v>4.0176575833421871E-3</v>
      </c>
      <c r="BO32" s="85">
        <f t="shared" si="24"/>
        <v>1.2960185752716732E-5</v>
      </c>
      <c r="BQ32" s="39">
        <f t="shared" si="25"/>
        <v>1184.9940586461507</v>
      </c>
      <c r="BR32" s="39">
        <f t="shared" si="25"/>
        <v>0.26314201089913403</v>
      </c>
      <c r="BS32" s="39">
        <f t="shared" si="25"/>
        <v>5.9163786031265687E-2</v>
      </c>
      <c r="BT32" s="159">
        <f t="shared" si="26"/>
        <v>1209.2034171559462</v>
      </c>
    </row>
    <row r="33" spans="1:72" x14ac:dyDescent="0.25">
      <c r="A33" s="117">
        <f>A32+1</f>
        <v>2030</v>
      </c>
      <c r="B33" s="66">
        <f>INDEX((Proj_PasMob!$Q$6:$Q$46),MATCH(A33,Proj_PasMob!$M$6:M$46,0))</f>
        <v>11728841435.309381</v>
      </c>
      <c r="C33" s="119">
        <f>B33*Table11018[Gasoline]%</f>
        <v>6442695075.6935539</v>
      </c>
      <c r="D33" s="123">
        <f>B33*Table11018[[Diesel ]]%</f>
        <v>5279720884.9138069</v>
      </c>
      <c r="E33" s="121">
        <f>B33*Table11018[LPG]%</f>
        <v>6425474.7020214181</v>
      </c>
      <c r="F33" s="66">
        <f t="shared" si="4"/>
        <v>0</v>
      </c>
      <c r="H33" s="31">
        <f>C33*Table21119[Autocycle]%</f>
        <v>728750862.13066983</v>
      </c>
      <c r="I33" s="66">
        <f>C33*Table21119[Motocycle]%</f>
        <v>474471160.65508187</v>
      </c>
      <c r="J33" s="66">
        <f>C33*Table21119[cars]%</f>
        <v>5011599150.5006714</v>
      </c>
      <c r="K33" s="66">
        <f>C33*Table21119[DPV]%</f>
        <v>162507575.37517458</v>
      </c>
      <c r="L33" s="66">
        <f>C33*Table21119[Hybrid]%</f>
        <v>65366327.03195627</v>
      </c>
      <c r="M33" s="66">
        <f t="shared" si="5"/>
        <v>0</v>
      </c>
      <c r="P33" s="66">
        <f>D33*Table31220[Cars]%</f>
        <v>446475600.81387633</v>
      </c>
      <c r="Q33" s="66">
        <f>D33*Table31220[DPV]%</f>
        <v>643984390.70512557</v>
      </c>
      <c r="R33" s="66">
        <f>D33*Table31220[Buses]%</f>
        <v>4189260893.394805</v>
      </c>
      <c r="S33" s="66">
        <f t="shared" si="6"/>
        <v>0</v>
      </c>
      <c r="W33" s="66">
        <f>E33*Table41321[Cars]%</f>
        <v>6073022.5031763613</v>
      </c>
      <c r="X33" s="66">
        <f>E33*Table41321[DPV]%</f>
        <v>352452.19884505664</v>
      </c>
      <c r="Y33" s="66">
        <f t="shared" si="7"/>
        <v>0</v>
      </c>
      <c r="AB33" s="117">
        <f>AB32+1</f>
        <v>2030</v>
      </c>
      <c r="AD33" s="66">
        <f>H33*Table51422[Autocycle]*0.01*$AD$7/1000</f>
        <v>12935.327802819387</v>
      </c>
      <c r="AE33" s="66">
        <f>I33*Table51422[Motocycle]*0.01*$AD$7/1000</f>
        <v>10106.235721953242</v>
      </c>
      <c r="AF33" s="66">
        <f>J33*Table51422[Car]*0.01*$AD$7/$AL$8/1000</f>
        <v>121729.1056818979</v>
      </c>
      <c r="AG33" s="66">
        <f>K33*Table51422[DPV]*0.01*$AD$7/$AL$8/1000</f>
        <v>6983.5492259910561</v>
      </c>
      <c r="AH33" s="66">
        <f>L33*Table51422[Car_Hbrid]*0.01*$AD$7/$AL$8/1000</f>
        <v>977.05457247766208</v>
      </c>
      <c r="AI33" s="66">
        <f>Freight!E25*$AG$8*$AI$8*$AD$7/1000</f>
        <v>5387.9106711536515</v>
      </c>
      <c r="AJ33" s="66">
        <f t="shared" si="30"/>
        <v>158119.18367629295</v>
      </c>
      <c r="AK33" s="66">
        <f>P33*Table51422[Car_Dsl]*0.01*$AD$8/$AL$8/1000</f>
        <v>13981.735920224024</v>
      </c>
      <c r="AL33" s="66">
        <f>Q33*Table51422[DPV_Dsl]*0.01*$AD$8/$AL$8/1000</f>
        <v>32555.105645909116</v>
      </c>
      <c r="AM33" s="66">
        <f>R33*Table51422[Bus]*0.01*$AD$8/$AL$9/1000</f>
        <v>30826.975516966631</v>
      </c>
      <c r="AN33" s="66">
        <f>Freight!E25*$AG$9*$AI$9*$AD$8/1000</f>
        <v>163646.38619765919</v>
      </c>
      <c r="AO33" s="66">
        <f t="shared" si="9"/>
        <v>241010.20328075896</v>
      </c>
      <c r="AP33" s="66"/>
      <c r="AQ33" s="66">
        <f>W33*Table51422[Car_LPG]*0.01*$AD$9/$AL$8/1000</f>
        <v>142.33934161306593</v>
      </c>
      <c r="AR33" s="66">
        <f>X33*Table51422[DPV_LPG]*0.01*$AD$9/$AL$8/1000</f>
        <v>14.615200254913017</v>
      </c>
      <c r="AS33" s="31">
        <f t="shared" si="31"/>
        <v>1007.6845691092622</v>
      </c>
      <c r="AT33" s="66">
        <f t="shared" si="10"/>
        <v>1164.6391109772412</v>
      </c>
      <c r="AU33" s="31">
        <f t="shared" si="11"/>
        <v>11646.391109772412</v>
      </c>
      <c r="AW33" s="148">
        <f t="shared" si="3"/>
        <v>400294.02606802911</v>
      </c>
      <c r="AX33" s="165"/>
      <c r="AY33" s="163">
        <f t="shared" si="32"/>
        <v>150213.2244924783</v>
      </c>
      <c r="AZ33" s="163">
        <f t="shared" si="33"/>
        <v>228959.693116721</v>
      </c>
      <c r="BA33" s="163">
        <f t="shared" si="14"/>
        <v>1164.6391109772412</v>
      </c>
      <c r="BB33" s="163">
        <f t="shared" si="15"/>
        <v>380337.55672017654</v>
      </c>
      <c r="BF33" s="117">
        <f>BF32+1</f>
        <v>2030</v>
      </c>
      <c r="BG33" s="85">
        <f t="shared" si="16"/>
        <v>466.35798528832777</v>
      </c>
      <c r="BH33" s="85">
        <f t="shared" si="17"/>
        <v>0.22207523108967989</v>
      </c>
      <c r="BI33" s="85">
        <f t="shared" si="18"/>
        <v>2.1534567863241687E-2</v>
      </c>
      <c r="BJ33" s="85">
        <f t="shared" si="19"/>
        <v>734.62404415579283</v>
      </c>
      <c r="BK33" s="85">
        <f t="shared" si="20"/>
        <v>3.8664423376620669E-2</v>
      </c>
      <c r="BL33" s="85">
        <f t="shared" si="21"/>
        <v>3.8664423376620669E-2</v>
      </c>
      <c r="BM33" s="85">
        <f t="shared" si="22"/>
        <v>3.8361115965190566</v>
      </c>
      <c r="BN33" s="85">
        <f t="shared" si="23"/>
        <v>3.7692380187667432E-3</v>
      </c>
      <c r="BO33" s="85">
        <f t="shared" si="24"/>
        <v>1.2158832318602397E-5</v>
      </c>
      <c r="BQ33" s="39">
        <f t="shared" si="25"/>
        <v>1204.8181410406396</v>
      </c>
      <c r="BR33" s="39">
        <f t="shared" si="25"/>
        <v>0.26450889248506726</v>
      </c>
      <c r="BS33" s="39">
        <f t="shared" si="25"/>
        <v>6.0211150072180961E-2</v>
      </c>
      <c r="BT33" s="159">
        <f t="shared" si="26"/>
        <v>1229.373786074276</v>
      </c>
    </row>
    <row r="34" spans="1:72" x14ac:dyDescent="0.25">
      <c r="A34" s="117">
        <f t="shared" ref="A34:A52" si="34">A33+1</f>
        <v>2031</v>
      </c>
      <c r="B34" s="66">
        <f>INDEX((Proj_PasMob!$Q$6:$Q$46),MATCH(A34,Proj_PasMob!$M$6:M$46,0))</f>
        <v>11735439516.144716</v>
      </c>
      <c r="C34" s="119">
        <f>B34*Table11018[Gasoline]%</f>
        <v>6446319425.3909473</v>
      </c>
      <c r="D34" s="123">
        <f>B34*Table11018[[Diesel ]]%</f>
        <v>5282691001.3894024</v>
      </c>
      <c r="E34" s="121">
        <f>B34*Table11018[LPG]%</f>
        <v>6429089.3643666441</v>
      </c>
      <c r="F34" s="66">
        <f t="shared" si="4"/>
        <v>0</v>
      </c>
      <c r="H34" s="31">
        <f>C34*Table21119[Autocycle]%</f>
        <v>729160822.23829675</v>
      </c>
      <c r="I34" s="66">
        <f>C34*Table21119[Motocycle]%</f>
        <v>474738075.25950414</v>
      </c>
      <c r="J34" s="66">
        <f>C34*Table21119[cars]%</f>
        <v>5014418434.6125488</v>
      </c>
      <c r="K34" s="66">
        <f>C34*Table21119[DPV]%</f>
        <v>162598994.30385512</v>
      </c>
      <c r="L34" s="66">
        <f>C34*Table21119[Hybrid]%</f>
        <v>65403098.976742513</v>
      </c>
      <c r="M34" s="66">
        <f t="shared" si="5"/>
        <v>0</v>
      </c>
      <c r="P34" s="66">
        <f>D34*Table31220[Cars]%</f>
        <v>446726766.46577996</v>
      </c>
      <c r="Q34" s="66">
        <f>D34*Table31220[DPV]%</f>
        <v>644346665.28186023</v>
      </c>
      <c r="R34" s="66">
        <f>D34*Table31220[Buses]%</f>
        <v>4191617569.6417623</v>
      </c>
      <c r="S34" s="66">
        <f t="shared" si="6"/>
        <v>0</v>
      </c>
      <c r="W34" s="66">
        <f>E34*Table41321[Cars]%</f>
        <v>6076438.8929034946</v>
      </c>
      <c r="X34" s="66">
        <f>E34*Table41321[DPV]%</f>
        <v>352650.47146314924</v>
      </c>
      <c r="Y34" s="66">
        <f t="shared" si="7"/>
        <v>0</v>
      </c>
      <c r="AB34" s="117">
        <f t="shared" ref="AB34:AB53" si="35">AB33+1</f>
        <v>2031</v>
      </c>
      <c r="AD34" s="66">
        <f>H34*Table51422[Autocycle]*0.01*$AD$7/1000</f>
        <v>12942.604594729766</v>
      </c>
      <c r="AE34" s="66">
        <f>I34*Table51422[Motocycle]*0.01*$AD$7/1000</f>
        <v>10111.921003027437</v>
      </c>
      <c r="AF34" s="66">
        <f>J34*Table51422[Car]*0.01*$AD$7/$AL$8/1000</f>
        <v>121797.58460914165</v>
      </c>
      <c r="AG34" s="66">
        <f>K34*Table51422[DPV]*0.01*$AD$7/$AL$8/1000</f>
        <v>6987.4778341630381</v>
      </c>
      <c r="AH34" s="66">
        <f>L34*Table51422[Car_Hbrid]*0.01*$AD$7/$AL$8/1000</f>
        <v>977.60421628394067</v>
      </c>
      <c r="AI34" s="66">
        <f>Freight!E26*$AG$8*$AI$8*$AD$7/1000</f>
        <v>5550.5624011233949</v>
      </c>
      <c r="AJ34" s="66">
        <f t="shared" si="30"/>
        <v>158367.75465846923</v>
      </c>
      <c r="AK34" s="66">
        <f>P34*Table51422[Car_Dsl]*0.01*$AD$8/$AL$8/1000</f>
        <v>13989.601370902057</v>
      </c>
      <c r="AL34" s="66">
        <f>Q34*Table51422[DPV_Dsl]*0.01*$AD$8/$AL$8/1000</f>
        <v>32573.419579117202</v>
      </c>
      <c r="AM34" s="66">
        <f>R34*Table51422[Bus]*0.01*$AD$8/$AL$9/1000</f>
        <v>30844.317287463884</v>
      </c>
      <c r="AN34" s="66">
        <f>Freight!E26*$AG$9*$AI$9*$AD$8/1000</f>
        <v>168586.5883359116</v>
      </c>
      <c r="AO34" s="66">
        <f t="shared" si="9"/>
        <v>245993.92657339474</v>
      </c>
      <c r="AQ34" s="66">
        <f>W34*Table51422[Car_LPG]*0.01*$AD$9/$AL$8/1000</f>
        <v>142.41941486558548</v>
      </c>
      <c r="AR34" s="66">
        <f>X34*Table51422[DPV_LPG]*0.01*$AD$9/$AL$8/1000</f>
        <v>14.623422062091365</v>
      </c>
      <c r="AS34" s="31">
        <f t="shared" si="31"/>
        <v>936.13896470250461</v>
      </c>
      <c r="AT34" s="66">
        <f t="shared" si="10"/>
        <v>1093.1818016301813</v>
      </c>
      <c r="AU34" s="31">
        <f t="shared" si="11"/>
        <v>10931.818016301813</v>
      </c>
      <c r="AW34" s="148">
        <f t="shared" si="3"/>
        <v>405454.86303349416</v>
      </c>
      <c r="AX34" s="165"/>
      <c r="AY34" s="163">
        <f t="shared" si="32"/>
        <v>150449.36692554576</v>
      </c>
      <c r="AZ34" s="163">
        <f t="shared" si="33"/>
        <v>233694.23024472498</v>
      </c>
      <c r="BA34" s="163">
        <f t="shared" si="14"/>
        <v>1093.1818016301813</v>
      </c>
      <c r="BB34" s="163">
        <f t="shared" si="15"/>
        <v>385236.77897190093</v>
      </c>
      <c r="BF34" s="117">
        <f t="shared" ref="BF34:BF53" si="36">BF33+1</f>
        <v>2031</v>
      </c>
      <c r="BG34" s="85">
        <f t="shared" si="16"/>
        <v>467.0911225317264</v>
      </c>
      <c r="BH34" s="85">
        <f t="shared" si="17"/>
        <v>0.22242434406272682</v>
      </c>
      <c r="BI34" s="85">
        <f t="shared" si="18"/>
        <v>2.1568421242446238E-2</v>
      </c>
      <c r="BJ34" s="85">
        <f t="shared" si="19"/>
        <v>749.81494856710731</v>
      </c>
      <c r="BK34" s="85">
        <f t="shared" si="20"/>
        <v>3.9463944661426699E-2</v>
      </c>
      <c r="BL34" s="85">
        <f t="shared" si="21"/>
        <v>3.9463944661426699E-2</v>
      </c>
      <c r="BM34" s="85">
        <f t="shared" si="22"/>
        <v>3.6007440818455234</v>
      </c>
      <c r="BN34" s="85">
        <f t="shared" si="23"/>
        <v>3.5379735827959185E-3</v>
      </c>
      <c r="BO34" s="85">
        <f t="shared" si="24"/>
        <v>1.1412818009019093E-5</v>
      </c>
      <c r="BQ34" s="39">
        <f t="shared" si="25"/>
        <v>1220.5068151806793</v>
      </c>
      <c r="BR34" s="39">
        <f t="shared" si="25"/>
        <v>0.26542626230694943</v>
      </c>
      <c r="BS34" s="39">
        <f t="shared" si="25"/>
        <v>6.1043778721881957E-2</v>
      </c>
      <c r="BT34" s="159">
        <f t="shared" si="26"/>
        <v>1245.3335177974736</v>
      </c>
    </row>
    <row r="35" spans="1:72" x14ac:dyDescent="0.25">
      <c r="A35" s="117">
        <f t="shared" si="34"/>
        <v>2032</v>
      </c>
      <c r="B35" s="66">
        <f>INDEX((Proj_PasMob!$Q$6:$Q$46),MATCH(A35,Proj_PasMob!$M$6:M$46,0))</f>
        <v>11739028415.162449</v>
      </c>
      <c r="C35" s="119">
        <f>B35*Table11018[Gasoline]%</f>
        <v>6448290820.6183653</v>
      </c>
      <c r="D35" s="123">
        <f>B35*Table11018[[Diesel ]]%</f>
        <v>5284306539.0537386</v>
      </c>
      <c r="E35" s="121">
        <f>B35*Table11018[LPG]%</f>
        <v>6431055.4903453896</v>
      </c>
      <c r="F35" s="66">
        <f t="shared" si="4"/>
        <v>0</v>
      </c>
      <c r="H35" s="31">
        <f>C35*Table21119[Autocycle]%</f>
        <v>729383812.14464831</v>
      </c>
      <c r="I35" s="66">
        <f>C35*Table21119[Motocycle]%</f>
        <v>474883258.31887192</v>
      </c>
      <c r="J35" s="66">
        <f>C35*Table21119[cars]%</f>
        <v>5015951929.9170685</v>
      </c>
      <c r="K35" s="66">
        <f>C35*Table21119[DPV]%</f>
        <v>162648719.86974794</v>
      </c>
      <c r="L35" s="66">
        <f>C35*Table21119[Hybrid]%</f>
        <v>65423100.36802841</v>
      </c>
      <c r="M35" s="66">
        <f t="shared" si="5"/>
        <v>0</v>
      </c>
      <c r="P35" s="66">
        <f>D35*Table31220[Cars]%</f>
        <v>446863383.18568707</v>
      </c>
      <c r="Q35" s="66">
        <f>D35*Table31220[DPV]%</f>
        <v>644543717.56191576</v>
      </c>
      <c r="R35" s="66">
        <f>D35*Table31220[Buses]%</f>
        <v>4192899438.3061357</v>
      </c>
      <c r="S35" s="66">
        <f t="shared" si="6"/>
        <v>0</v>
      </c>
      <c r="W35" s="66">
        <f>E35*Table41321[Cars]%</f>
        <v>6078297.1723095663</v>
      </c>
      <c r="X35" s="66">
        <f>E35*Table41321[DPV]%</f>
        <v>352758.31803582306</v>
      </c>
      <c r="Y35" s="66">
        <f t="shared" si="7"/>
        <v>0</v>
      </c>
      <c r="AB35" s="117">
        <f t="shared" si="35"/>
        <v>2032</v>
      </c>
      <c r="AD35" s="66">
        <f>H35*Table51422[Autocycle]*0.01*$AD$7/1000</f>
        <v>12946.56266556751</v>
      </c>
      <c r="AE35" s="66">
        <f>I35*Table51422[Motocycle]*0.01*$AD$7/1000</f>
        <v>10115.013402191971</v>
      </c>
      <c r="AF35" s="66">
        <f>J35*Table51422[Car]*0.01*$AD$7/$AL$8/1000</f>
        <v>121834.83240298563</v>
      </c>
      <c r="AG35" s="66">
        <f>K35*Table51422[DPV]*0.01*$AD$7/$AL$8/1000</f>
        <v>6989.6147249289033</v>
      </c>
      <c r="AH35" s="66">
        <f>L35*Table51422[Car_Hbrid]*0.01*$AD$7/$AL$8/1000</f>
        <v>977.90318444842455</v>
      </c>
      <c r="AI35" s="66">
        <f>Freight!E27*$AG$8*$AI$8*$AD$7/1000</f>
        <v>5718.0915326599152</v>
      </c>
      <c r="AJ35" s="66">
        <f t="shared" si="30"/>
        <v>158582.01791278235</v>
      </c>
      <c r="AK35" s="66">
        <f>P35*Table51422[Car_Dsl]*0.01*$AD$8/$AL$8/1000</f>
        <v>13993.879631341253</v>
      </c>
      <c r="AL35" s="66">
        <f>Q35*Table51422[DPV_Dsl]*0.01*$AD$8/$AL$8/1000</f>
        <v>32583.381090432642</v>
      </c>
      <c r="AM35" s="66">
        <f>R35*Table51422[Bus]*0.01*$AD$8/$AL$9/1000</f>
        <v>30853.750009592724</v>
      </c>
      <c r="AN35" s="66">
        <f>Freight!E27*$AG$9*$AI$9*$AD$8/1000</f>
        <v>173674.93122651742</v>
      </c>
      <c r="AO35" s="66">
        <f t="shared" si="9"/>
        <v>251105.94195788406</v>
      </c>
      <c r="AQ35" s="66">
        <f>W35*Table51422[Car_LPG]*0.01*$AD$9/$AL$8/1000</f>
        <v>142.4629691694029</v>
      </c>
      <c r="AR35" s="66">
        <f>X35*Table51422[DPV_LPG]*0.01*$AD$9/$AL$8/1000</f>
        <v>14.627894155786905</v>
      </c>
      <c r="AS35" s="31">
        <f t="shared" si="31"/>
        <v>869.67309820862681</v>
      </c>
      <c r="AT35" s="66">
        <f t="shared" si="10"/>
        <v>1026.7639615338167</v>
      </c>
      <c r="AU35" s="31">
        <f t="shared" si="11"/>
        <v>10267.639615338167</v>
      </c>
      <c r="AW35" s="148">
        <f t="shared" si="3"/>
        <v>410714.72383220022</v>
      </c>
      <c r="AY35" s="163">
        <f t="shared" si="32"/>
        <v>150652.91701714322</v>
      </c>
      <c r="AZ35" s="163">
        <f t="shared" si="33"/>
        <v>238550.64485998984</v>
      </c>
      <c r="BA35" s="163">
        <f t="shared" si="14"/>
        <v>1026.7639615338167</v>
      </c>
      <c r="BB35" s="163">
        <f t="shared" si="15"/>
        <v>390230.32583866687</v>
      </c>
      <c r="BF35" s="117">
        <f t="shared" si="36"/>
        <v>2032</v>
      </c>
      <c r="BG35" s="85">
        <f t="shared" si="16"/>
        <v>467.72307228810354</v>
      </c>
      <c r="BH35" s="85">
        <f t="shared" si="17"/>
        <v>0.2227252725181445</v>
      </c>
      <c r="BI35" s="85">
        <f t="shared" si="18"/>
        <v>2.159760218357765E-2</v>
      </c>
      <c r="BJ35" s="85">
        <f t="shared" si="19"/>
        <v>765.39690055262304</v>
      </c>
      <c r="BK35" s="85">
        <f t="shared" si="20"/>
        <v>4.0284047397506476E-2</v>
      </c>
      <c r="BL35" s="85">
        <f t="shared" si="21"/>
        <v>4.0284047397506476E-2</v>
      </c>
      <c r="BM35" s="85">
        <f t="shared" si="22"/>
        <v>3.3819756717793159</v>
      </c>
      <c r="BN35" s="85">
        <f t="shared" si="23"/>
        <v>3.3230188851080438E-3</v>
      </c>
      <c r="BO35" s="85">
        <f t="shared" si="24"/>
        <v>1.0719415758413045E-5</v>
      </c>
      <c r="BQ35" s="39">
        <f t="shared" ref="BQ35:BS53" si="37">BG35+BJ35+BM35</f>
        <v>1236.501948512506</v>
      </c>
      <c r="BR35" s="39">
        <f t="shared" si="37"/>
        <v>0.26633233880075902</v>
      </c>
      <c r="BS35" s="39">
        <f t="shared" si="37"/>
        <v>6.1892368996842535E-2</v>
      </c>
      <c r="BT35" s="159">
        <f t="shared" si="26"/>
        <v>1261.604182943584</v>
      </c>
    </row>
    <row r="36" spans="1:72" x14ac:dyDescent="0.25">
      <c r="A36" s="117">
        <f t="shared" si="34"/>
        <v>2033</v>
      </c>
      <c r="B36" s="66">
        <f>INDEX((Proj_PasMob!$Q$6:$Q$46),MATCH(A36,Proj_PasMob!$M$6:M$46,0))</f>
        <v>11739762981.532864</v>
      </c>
      <c r="C36" s="119">
        <f>B36*Table11018[Gasoline]%</f>
        <v>6448694320.5858212</v>
      </c>
      <c r="D36" s="123">
        <f>B36*Table11018[[Diesel ]]%</f>
        <v>5284637203.0352259</v>
      </c>
      <c r="E36" s="121">
        <f>B36*Table11018[LPG]%</f>
        <v>6431457.9118169462</v>
      </c>
      <c r="F36" s="66">
        <f t="shared" si="4"/>
        <v>0</v>
      </c>
      <c r="H36" s="31">
        <f>C36*Table21119[Autocycle]%</f>
        <v>729429453.12962413</v>
      </c>
      <c r="I36" s="66">
        <f>C36*Table21119[Motocycle]%</f>
        <v>474912974.00394374</v>
      </c>
      <c r="J36" s="66">
        <f>C36*Table21119[cars]%</f>
        <v>5016265801.6850748</v>
      </c>
      <c r="K36" s="66">
        <f>C36*Table21119[DPV]%</f>
        <v>162658897.56721848</v>
      </c>
      <c r="L36" s="66">
        <f>C36*Table21119[Hybrid]%</f>
        <v>65427194.199960575</v>
      </c>
      <c r="M36" s="66">
        <f t="shared" si="5"/>
        <v>0</v>
      </c>
      <c r="P36" s="66">
        <f>D36*Table31220[Cars]%</f>
        <v>446891345.53502715</v>
      </c>
      <c r="Q36" s="66">
        <f>D36*Table31220[DPV]%</f>
        <v>644584049.70205867</v>
      </c>
      <c r="R36" s="66">
        <f>D36*Table31220[Buses]%</f>
        <v>4193161807.79814</v>
      </c>
      <c r="S36" s="66">
        <f t="shared" si="6"/>
        <v>0</v>
      </c>
      <c r="W36" s="66">
        <f>E36*Table41321[Cars]%</f>
        <v>6078677.5200295188</v>
      </c>
      <c r="X36" s="66">
        <f>E36*Table41321[DPV]%</f>
        <v>352780.39178742742</v>
      </c>
      <c r="Y36" s="66">
        <f t="shared" si="7"/>
        <v>0</v>
      </c>
      <c r="AB36" s="117">
        <f t="shared" si="35"/>
        <v>2033</v>
      </c>
      <c r="AD36" s="66">
        <f>H36*Table51422[Autocycle]*0.01*$AD$7/1000</f>
        <v>12947.372793050827</v>
      </c>
      <c r="AE36" s="66">
        <f>I36*Table51422[Motocycle]*0.01*$AD$7/1000</f>
        <v>10115.646346284002</v>
      </c>
      <c r="AF36" s="66">
        <f>J36*Table51422[Car]*0.01*$AD$7/$AL$8/1000</f>
        <v>121842.45618303487</v>
      </c>
      <c r="AG36" s="66">
        <f>K36*Table51422[DPV]*0.01*$AD$7/$AL$8/1000</f>
        <v>6990.0520980859956</v>
      </c>
      <c r="AH36" s="66">
        <f>L36*Table51422[Car_Hbrid]*0.01*$AD$7/$AL$8/1000</f>
        <v>977.96437646256868</v>
      </c>
      <c r="AI36" s="66">
        <f>Freight!E28*$AG$8*$AI$8*$AD$7/1000</f>
        <v>5890.6443878102173</v>
      </c>
      <c r="AJ36" s="66">
        <f t="shared" si="30"/>
        <v>158764.13618472847</v>
      </c>
      <c r="AK36" s="66">
        <f>P36*Table51422[Car_Dsl]*0.01*$AD$8/$AL$8/1000</f>
        <v>13994.755294386379</v>
      </c>
      <c r="AL36" s="66">
        <f>Q36*Table51422[DPV_Dsl]*0.01*$AD$8/$AL$8/1000</f>
        <v>32585.419986254074</v>
      </c>
      <c r="AM36" s="66">
        <f>R36*Table51422[Bus]*0.01*$AD$8/$AL$9/1000</f>
        <v>30855.68067424031</v>
      </c>
      <c r="AN36" s="66">
        <f>Freight!E28*$AG$9*$AI$9*$AD$8/1000</f>
        <v>178915.85909204735</v>
      </c>
      <c r="AO36" s="66">
        <f t="shared" si="9"/>
        <v>256351.71504692812</v>
      </c>
      <c r="AQ36" s="66">
        <f>W36*Table51422[Car_LPG]*0.01*$AD$9/$AL$8/1000</f>
        <v>142.47188374925398</v>
      </c>
      <c r="AR36" s="66">
        <f>X36*Table51422[DPV_LPG]*0.01*$AD$9/$AL$8/1000</f>
        <v>14.628809492110902</v>
      </c>
      <c r="AS36" s="31">
        <f t="shared" si="31"/>
        <v>807.9263082358143</v>
      </c>
      <c r="AT36" s="66">
        <f t="shared" si="10"/>
        <v>965.02700147717917</v>
      </c>
      <c r="AU36" s="31">
        <f t="shared" si="11"/>
        <v>9650.2700147717915</v>
      </c>
      <c r="AW36" s="148">
        <f t="shared" si="3"/>
        <v>416080.87823313376</v>
      </c>
      <c r="AY36" s="163">
        <f t="shared" si="32"/>
        <v>150825.92937549204</v>
      </c>
      <c r="AZ36" s="163">
        <f t="shared" si="33"/>
        <v>243534.12929458171</v>
      </c>
      <c r="BA36" s="163">
        <f t="shared" si="14"/>
        <v>965.02700147717917</v>
      </c>
      <c r="BB36" s="163">
        <f t="shared" si="15"/>
        <v>395325.08567155094</v>
      </c>
      <c r="BF36" s="117">
        <f t="shared" si="36"/>
        <v>2033</v>
      </c>
      <c r="BG36" s="85">
        <f t="shared" si="16"/>
        <v>468.26021337632761</v>
      </c>
      <c r="BH36" s="85">
        <f t="shared" si="17"/>
        <v>0.22298105398872739</v>
      </c>
      <c r="BI36" s="85">
        <f t="shared" si="18"/>
        <v>2.1622405235270533E-2</v>
      </c>
      <c r="BJ36" s="85">
        <f t="shared" si="19"/>
        <v>781.3865598655442</v>
      </c>
      <c r="BK36" s="85">
        <f t="shared" si="20"/>
        <v>4.1125608413976007E-2</v>
      </c>
      <c r="BL36" s="85">
        <f t="shared" si="21"/>
        <v>4.1125608413976007E-2</v>
      </c>
      <c r="BM36" s="85">
        <f t="shared" si="22"/>
        <v>3.1786252380055622</v>
      </c>
      <c r="BN36" s="85">
        <f t="shared" si="23"/>
        <v>3.1232133875807424E-3</v>
      </c>
      <c r="BO36" s="85">
        <f t="shared" si="24"/>
        <v>1.007488189542175E-5</v>
      </c>
      <c r="BQ36" s="39">
        <f t="shared" si="37"/>
        <v>1252.8253984798773</v>
      </c>
      <c r="BR36" s="39">
        <f t="shared" si="37"/>
        <v>0.26722987579028418</v>
      </c>
      <c r="BS36" s="39">
        <f t="shared" si="37"/>
        <v>6.2758088531141953E-2</v>
      </c>
      <c r="BT36" s="159">
        <f t="shared" si="26"/>
        <v>1278.2080557569147</v>
      </c>
    </row>
    <row r="37" spans="1:72" x14ac:dyDescent="0.25">
      <c r="A37" s="117">
        <f t="shared" si="34"/>
        <v>2034</v>
      </c>
      <c r="B37" s="66">
        <f>INDEX((Proj_PasMob!$Q$6:$Q$46),MATCH(A37,Proj_PasMob!$M$6:M$46,0))</f>
        <v>11624757297.551462</v>
      </c>
      <c r="C37" s="119">
        <f>B37*Table11018[Gasoline]%</f>
        <v>6385521281.8888235</v>
      </c>
      <c r="D37" s="123">
        <f>B37*Table11018[[Diesel ]]%</f>
        <v>5232867561.9373045</v>
      </c>
      <c r="E37" s="121">
        <f>B37*Table11018[LPG]%</f>
        <v>6368453.7253346797</v>
      </c>
      <c r="F37" s="66">
        <f t="shared" si="4"/>
        <v>0</v>
      </c>
      <c r="H37" s="31">
        <f>C37*Table21119[Autocycle]%</f>
        <v>722283777.93112886</v>
      </c>
      <c r="I37" s="66">
        <f>C37*Table21119[Motocycle]%</f>
        <v>470260606.533418</v>
      </c>
      <c r="J37" s="66">
        <f>C37*Table21119[cars]%</f>
        <v>4967125194.633399</v>
      </c>
      <c r="K37" s="66">
        <f>C37*Table21119[DPV]%</f>
        <v>161065449.91416064</v>
      </c>
      <c r="L37" s="66">
        <f>C37*Table21119[Hybrid]%</f>
        <v>64786252.876716927</v>
      </c>
      <c r="M37" s="66">
        <f t="shared" si="5"/>
        <v>0</v>
      </c>
      <c r="P37" s="66">
        <f>D37*Table31220[Cars]%</f>
        <v>442513485.01608217</v>
      </c>
      <c r="Q37" s="66">
        <f>D37*Table31220[DPV]%</f>
        <v>638269541.51001966</v>
      </c>
      <c r="R37" s="66">
        <f>D37*Table31220[Buses]%</f>
        <v>4152084535.4112024</v>
      </c>
      <c r="S37" s="66">
        <f t="shared" si="6"/>
        <v>0</v>
      </c>
      <c r="W37" s="66">
        <f>E37*Table41321[Cars]%</f>
        <v>6019129.2593880519</v>
      </c>
      <c r="X37" s="66">
        <f>E37*Table41321[DPV]%</f>
        <v>349324.46594662796</v>
      </c>
      <c r="Y37" s="66">
        <f t="shared" si="7"/>
        <v>0</v>
      </c>
      <c r="AB37" s="117">
        <f t="shared" si="35"/>
        <v>2034</v>
      </c>
      <c r="AD37" s="66">
        <f>H37*Table51422[Autocycle]*0.01*$AD$7/1000</f>
        <v>12820.537058277538</v>
      </c>
      <c r="AE37" s="66">
        <f>I37*Table51422[Motocycle]*0.01*$AD$7/1000</f>
        <v>10016.550919161804</v>
      </c>
      <c r="AF37" s="66">
        <f>J37*Table51422[Car]*0.01*$AD$7/$AL$8/1000</f>
        <v>120648.85670122702</v>
      </c>
      <c r="AG37" s="66">
        <f>K37*Table51422[DPV]*0.01*$AD$7/$AL$8/1000</f>
        <v>6921.5757818374841</v>
      </c>
      <c r="AH37" s="66">
        <f>L37*Table51422[Car_Hbrid]*0.01*$AD$7/$AL$8/1000</f>
        <v>968.38399036776889</v>
      </c>
      <c r="AI37" s="66">
        <f>Freight!E29*$AG$8*$AI$8*$AD$7/1000</f>
        <v>6068.6914423461449</v>
      </c>
      <c r="AJ37" s="66">
        <f t="shared" si="30"/>
        <v>157444.59589321775</v>
      </c>
      <c r="AK37" s="66">
        <f>P37*Table51422[Car_Dsl]*0.01*$AD$8/$AL$8/1000</f>
        <v>13857.659136029943</v>
      </c>
      <c r="AL37" s="66">
        <f>Q37*Table51422[DPV_Dsl]*0.01*$AD$8/$AL$8/1000</f>
        <v>32266.20498001968</v>
      </c>
      <c r="AM37" s="66">
        <f>R37*Table51422[Bus]*0.01*$AD$8/$AL$9/1000</f>
        <v>30553.410631290149</v>
      </c>
      <c r="AN37" s="66">
        <f>Freight!E29*$AG$9*$AI$9*$AD$8/1000</f>
        <v>184323.66163857753</v>
      </c>
      <c r="AO37" s="66">
        <f t="shared" si="9"/>
        <v>261000.9363859173</v>
      </c>
      <c r="AQ37" s="66">
        <f>W37*Table51422[Car_LPG]*0.01*$AD$9/$AL$8/1000</f>
        <v>141.07619318339877</v>
      </c>
      <c r="AR37" s="66">
        <f>X37*Table51422[DPV_LPG]*0.01*$AD$9/$AL$8/1000</f>
        <v>14.485501978652549</v>
      </c>
      <c r="AS37" s="31">
        <f t="shared" si="31"/>
        <v>750.56354035107154</v>
      </c>
      <c r="AT37" s="66">
        <f t="shared" si="10"/>
        <v>906.12523551312279</v>
      </c>
      <c r="AU37" s="31">
        <f t="shared" si="11"/>
        <v>9061.2523551312279</v>
      </c>
      <c r="AW37" s="148">
        <f t="shared" si="3"/>
        <v>419351.65751464816</v>
      </c>
      <c r="AY37" s="163">
        <f t="shared" si="32"/>
        <v>149572.36609855684</v>
      </c>
      <c r="AZ37" s="163">
        <f t="shared" si="33"/>
        <v>247950.88956662142</v>
      </c>
      <c r="BA37" s="163">
        <f t="shared" si="14"/>
        <v>906.12523551312279</v>
      </c>
      <c r="BB37" s="163">
        <f t="shared" si="15"/>
        <v>398429.38090069138</v>
      </c>
      <c r="BF37" s="117">
        <f t="shared" si="36"/>
        <v>2034</v>
      </c>
      <c r="BG37" s="85">
        <f t="shared" si="16"/>
        <v>464.36835068422346</v>
      </c>
      <c r="BH37" s="85">
        <f t="shared" si="17"/>
        <v>0.22112778604010641</v>
      </c>
      <c r="BI37" s="85">
        <f t="shared" si="18"/>
        <v>2.1442694403889108E-2</v>
      </c>
      <c r="BJ37" s="85">
        <f t="shared" si="19"/>
        <v>795.55786770119175</v>
      </c>
      <c r="BK37" s="85">
        <f t="shared" si="20"/>
        <v>4.1871466721115351E-2</v>
      </c>
      <c r="BL37" s="85">
        <f t="shared" si="21"/>
        <v>4.1871466721115351E-2</v>
      </c>
      <c r="BM37" s="85">
        <f t="shared" si="22"/>
        <v>2.9846134232378341</v>
      </c>
      <c r="BN37" s="85">
        <f t="shared" si="23"/>
        <v>2.9325837122146704E-3</v>
      </c>
      <c r="BO37" s="85">
        <f t="shared" si="24"/>
        <v>9.4599474587570025E-6</v>
      </c>
      <c r="BQ37" s="39">
        <f t="shared" si="37"/>
        <v>1262.910831808653</v>
      </c>
      <c r="BR37" s="39">
        <f t="shared" si="37"/>
        <v>0.26593183647343643</v>
      </c>
      <c r="BS37" s="39">
        <f t="shared" si="37"/>
        <v>6.3323621072463213E-2</v>
      </c>
      <c r="BT37" s="159">
        <f t="shared" si="26"/>
        <v>1288.429566800083</v>
      </c>
    </row>
    <row r="38" spans="1:72" x14ac:dyDescent="0.25">
      <c r="A38" s="117">
        <f t="shared" si="34"/>
        <v>2035</v>
      </c>
      <c r="B38" s="66">
        <f>INDEX((Proj_PasMob!$Q$6:$Q$46),MATCH(A38,Proj_PasMob!$M$6:M$46,0))</f>
        <v>11596440643.258757</v>
      </c>
      <c r="C38" s="119">
        <f>B38*Table11018[Gasoline]%</f>
        <v>6369966841.1388187</v>
      </c>
      <c r="D38" s="123">
        <f>B38*Table11018[[Diesel ]]%</f>
        <v>5220120861.2606287</v>
      </c>
      <c r="E38" s="121">
        <f>B38*Table11018[LPG]%</f>
        <v>6352940.8593105972</v>
      </c>
      <c r="F38" s="66">
        <f t="shared" si="4"/>
        <v>0</v>
      </c>
      <c r="H38" s="31">
        <f>C38*Table21119[Autocycle]%</f>
        <v>720524372.59324598</v>
      </c>
      <c r="I38" s="66">
        <f>C38*Table21119[Motocycle]%</f>
        <v>469115102.44401318</v>
      </c>
      <c r="J38" s="66">
        <f>C38*Table21119[cars]%</f>
        <v>4955025813.6859245</v>
      </c>
      <c r="K38" s="66">
        <f>C38*Table21119[DPV]%</f>
        <v>160673111.85952625</v>
      </c>
      <c r="L38" s="66">
        <f>C38*Table21119[Hybrid]%</f>
        <v>64628440.556109071</v>
      </c>
      <c r="M38" s="66">
        <f t="shared" si="5"/>
        <v>0</v>
      </c>
      <c r="P38" s="66">
        <f>D38*Table31220[Cars]%</f>
        <v>441435569.92036659</v>
      </c>
      <c r="Q38" s="66">
        <f>D38*Table31220[DPV]%</f>
        <v>636714785.7856735</v>
      </c>
      <c r="R38" s="66">
        <f>D38*Table31220[Buses]%</f>
        <v>4141970505.5545883</v>
      </c>
      <c r="S38" s="66">
        <f t="shared" si="6"/>
        <v>0</v>
      </c>
      <c r="W38" s="66">
        <f>E38*Table41321[Cars]%</f>
        <v>6004467.3100657118</v>
      </c>
      <c r="X38" s="66">
        <f>E38*Table41321[DPV]%</f>
        <v>348473.54924488504</v>
      </c>
      <c r="Y38" s="66">
        <f t="shared" si="7"/>
        <v>0</v>
      </c>
      <c r="AB38" s="117">
        <f t="shared" si="35"/>
        <v>2035</v>
      </c>
      <c r="AD38" s="66">
        <f>H38*Table51422[Autocycle]*0.01*$AD$7/1000</f>
        <v>12789.307613530114</v>
      </c>
      <c r="AE38" s="66">
        <f>I38*Table51422[Motocycle]*0.01*$AD$7/1000</f>
        <v>9992.1516820574816</v>
      </c>
      <c r="AF38" s="66">
        <f>J38*Table51422[Car]*0.01*$AD$7/$AL$8/1000</f>
        <v>120354.96910610812</v>
      </c>
      <c r="AG38" s="66">
        <f>K38*Table51422[DPV]*0.01*$AD$7/$AL$8/1000</f>
        <v>6904.715570173852</v>
      </c>
      <c r="AH38" s="66">
        <f>L38*Table51422[Car_Hbrid]*0.01*$AD$7/$AL$8/1000</f>
        <v>966.02511147026178</v>
      </c>
      <c r="AI38" s="66">
        <f>Freight!E30*$AG$8*$AI$8*$AD$7/1000</f>
        <v>6251.8123540131874</v>
      </c>
      <c r="AJ38" s="66">
        <f t="shared" si="30"/>
        <v>157258.98143735298</v>
      </c>
      <c r="AK38" s="66">
        <f>P38*Table51422[Car_Dsl]*0.01*$AD$8/$AL$8/1000</f>
        <v>13823.903373822006</v>
      </c>
      <c r="AL38" s="66">
        <f>Q38*Table51422[DPV_Dsl]*0.01*$AD$8/$AL$8/1000</f>
        <v>32187.607986691553</v>
      </c>
      <c r="AM38" s="66">
        <f>R38*Table51422[Bus]*0.01*$AD$8/$AL$9/1000</f>
        <v>30478.985820159553</v>
      </c>
      <c r="AN38" s="66">
        <f>Freight!E30*$AG$9*$AI$9*$AD$8/1000</f>
        <v>189885.57185954187</v>
      </c>
      <c r="AO38" s="66">
        <f t="shared" si="9"/>
        <v>266376.06904021499</v>
      </c>
      <c r="AQ38" s="66">
        <f>W38*Table51422[Car_LPG]*0.01*$AD$9/$AL$8/1000</f>
        <v>140.73254680102258</v>
      </c>
      <c r="AR38" s="66">
        <f>X38*Table51422[DPV_LPG]*0.01*$AD$9/$AL$8/1000</f>
        <v>14.450216859033564</v>
      </c>
      <c r="AS38" s="31">
        <f t="shared" si="31"/>
        <v>697.27352898614549</v>
      </c>
      <c r="AT38" s="66">
        <f t="shared" si="10"/>
        <v>852.45629264620163</v>
      </c>
      <c r="AU38" s="31">
        <f t="shared" si="11"/>
        <v>8524.5629264620165</v>
      </c>
      <c r="AW38" s="148">
        <f t="shared" si="3"/>
        <v>424487.50677021418</v>
      </c>
      <c r="AY38" s="163">
        <f t="shared" si="32"/>
        <v>149396.03236548533</v>
      </c>
      <c r="AZ38" s="163">
        <f t="shared" si="33"/>
        <v>253057.26558820423</v>
      </c>
      <c r="BA38" s="163">
        <f t="shared" si="14"/>
        <v>852.45629264620163</v>
      </c>
      <c r="BB38" s="163">
        <f t="shared" si="15"/>
        <v>403305.75424633577</v>
      </c>
      <c r="BF38" s="117">
        <f t="shared" si="36"/>
        <v>2035</v>
      </c>
      <c r="BG38" s="85">
        <f t="shared" si="16"/>
        <v>463.82089792318038</v>
      </c>
      <c r="BH38" s="85">
        <f t="shared" si="17"/>
        <v>0.22086709424913345</v>
      </c>
      <c r="BI38" s="85">
        <f t="shared" si="18"/>
        <v>2.1417415199915975E-2</v>
      </c>
      <c r="BJ38" s="85">
        <f t="shared" si="19"/>
        <v>811.94182835772085</v>
      </c>
      <c r="BK38" s="85">
        <f t="shared" si="20"/>
        <v>4.2733780439880041E-2</v>
      </c>
      <c r="BL38" s="85">
        <f t="shared" si="21"/>
        <v>4.2733780439880041E-2</v>
      </c>
      <c r="BM38" s="85">
        <f t="shared" si="22"/>
        <v>2.8078375858439117</v>
      </c>
      <c r="BN38" s="85">
        <f t="shared" si="23"/>
        <v>2.7588895455201668E-3</v>
      </c>
      <c r="BO38" s="85">
        <f t="shared" si="24"/>
        <v>8.8996436952263451E-6</v>
      </c>
      <c r="BQ38" s="39">
        <f t="shared" si="37"/>
        <v>1278.570563866745</v>
      </c>
      <c r="BR38" s="39">
        <f t="shared" si="37"/>
        <v>0.26635976423453367</v>
      </c>
      <c r="BS38" s="39">
        <f t="shared" si="37"/>
        <v>6.4160095283491245E-2</v>
      </c>
      <c r="BT38" s="159">
        <f t="shared" si="26"/>
        <v>1304.3492663670886</v>
      </c>
    </row>
    <row r="39" spans="1:72" x14ac:dyDescent="0.25">
      <c r="A39" s="117">
        <f t="shared" si="34"/>
        <v>2036</v>
      </c>
      <c r="B39" s="66">
        <f>INDEX((Proj_PasMob!$Q$6:$Q$46),MATCH(A39,Proj_PasMob!$M$6:M$46,0))</f>
        <v>11565453970.828867</v>
      </c>
      <c r="C39" s="119">
        <f>B39*Table11018[Gasoline]%</f>
        <v>6352945749.7567511</v>
      </c>
      <c r="D39" s="123">
        <f>B39*Table11018[[Diesel ]]%</f>
        <v>5206172255.8093214</v>
      </c>
      <c r="E39" s="121">
        <f>B39*Table11018[LPG]%</f>
        <v>6335965.2627952686</v>
      </c>
      <c r="F39" s="66">
        <f t="shared" si="4"/>
        <v>0</v>
      </c>
      <c r="H39" s="31">
        <f>C39*Table21119[Autocycle]%</f>
        <v>718599070.39077425</v>
      </c>
      <c r="I39" s="66">
        <f>C39*Table21119[Motocycle]%</f>
        <v>467861587.123362</v>
      </c>
      <c r="J39" s="66">
        <f>C39*Table21119[cars]%</f>
        <v>4941785564.6738634</v>
      </c>
      <c r="K39" s="66">
        <f>C39*Table21119[DPV]%</f>
        <v>160243779.68436641</v>
      </c>
      <c r="L39" s="66">
        <f>C39*Table21119[Hybrid]%</f>
        <v>64455747.884385616</v>
      </c>
      <c r="M39" s="66">
        <f t="shared" si="5"/>
        <v>0</v>
      </c>
      <c r="P39" s="66">
        <f>D39*Table31220[Cars]%</f>
        <v>440256016.65701455</v>
      </c>
      <c r="Q39" s="66">
        <f>D39*Table31220[DPV]%</f>
        <v>635013429.90369618</v>
      </c>
      <c r="R39" s="66">
        <f>D39*Table31220[Buses]%</f>
        <v>4130902809.2486105</v>
      </c>
      <c r="S39" s="66">
        <f t="shared" si="6"/>
        <v>0</v>
      </c>
      <c r="W39" s="66">
        <f>E39*Table41321[Cars]%</f>
        <v>5988422.8644140931</v>
      </c>
      <c r="X39" s="66">
        <f>E39*Table41321[DPV]%</f>
        <v>347542.39838117507</v>
      </c>
      <c r="Y39" s="66">
        <f t="shared" si="7"/>
        <v>0</v>
      </c>
      <c r="AB39" s="117">
        <f t="shared" si="35"/>
        <v>2036</v>
      </c>
      <c r="AD39" s="66">
        <f>H39*Table51422[Autocycle]*0.01*$AD$7/1000</f>
        <v>12755.133499436242</v>
      </c>
      <c r="AE39" s="66">
        <f>I39*Table51422[Motocycle]*0.01*$AD$7/1000</f>
        <v>9965.4518057276109</v>
      </c>
      <c r="AF39" s="66">
        <f>J39*Table51422[Car]*0.01*$AD$7/$AL$8/1000</f>
        <v>120033.37042615726</v>
      </c>
      <c r="AG39" s="66">
        <f>K39*Table51422[DPV]*0.01*$AD$7/$AL$8/1000</f>
        <v>6886.2655848571148</v>
      </c>
      <c r="AH39" s="66">
        <f>L39*Table51422[Car_Hbrid]*0.01*$AD$7/$AL$8/1000</f>
        <v>963.44381048239552</v>
      </c>
      <c r="AI39" s="66">
        <f>Freight!E31*$AG$8*$AI$8*$AD$7/1000</f>
        <v>6440.4228241135461</v>
      </c>
      <c r="AJ39" s="66">
        <f t="shared" si="30"/>
        <v>157044.08795077418</v>
      </c>
      <c r="AK39" s="66">
        <f>P39*Table51422[Car_Dsl]*0.01*$AD$8/$AL$8/1000</f>
        <v>13786.964732153878</v>
      </c>
      <c r="AL39" s="66">
        <f>Q39*Table51422[DPV_Dsl]*0.01*$AD$8/$AL$8/1000</f>
        <v>32101.599969605275</v>
      </c>
      <c r="AM39" s="66">
        <f>R39*Table51422[Bus]*0.01*$AD$8/$AL$9/1000</f>
        <v>30397.543386342273</v>
      </c>
      <c r="AN39" s="66">
        <f>Freight!E31*$AG$9*$AI$9*$AD$8/1000</f>
        <v>195614.21580240008</v>
      </c>
      <c r="AO39" s="66">
        <f t="shared" si="9"/>
        <v>271900.32389050152</v>
      </c>
      <c r="AQ39" s="66">
        <f>W39*Table51422[Car_LPG]*0.01*$AD$9/$AL$8/1000</f>
        <v>140.35649750606214</v>
      </c>
      <c r="AR39" s="66">
        <f>X39*Table51422[DPV_LPG]*0.01*$AD$9/$AL$8/1000</f>
        <v>14.411604654640312</v>
      </c>
      <c r="AS39" s="31">
        <f t="shared" si="31"/>
        <v>647.76710842812918</v>
      </c>
      <c r="AT39" s="66">
        <f t="shared" si="10"/>
        <v>802.53521058883166</v>
      </c>
      <c r="AU39" s="31">
        <f t="shared" si="11"/>
        <v>8025.3521058883161</v>
      </c>
      <c r="AW39" s="148">
        <f t="shared" si="3"/>
        <v>429746.94705186452</v>
      </c>
      <c r="AY39" s="163">
        <f t="shared" si="32"/>
        <v>149191.88355323547</v>
      </c>
      <c r="AZ39" s="163">
        <f t="shared" si="33"/>
        <v>258305.30769597643</v>
      </c>
      <c r="BA39" s="163">
        <f t="shared" si="14"/>
        <v>802.53521058883166</v>
      </c>
      <c r="BB39" s="163">
        <f t="shared" si="15"/>
        <v>408299.72645980073</v>
      </c>
      <c r="BF39" s="117">
        <f t="shared" si="36"/>
        <v>2036</v>
      </c>
      <c r="BG39" s="85">
        <f t="shared" si="16"/>
        <v>463.18708935471693</v>
      </c>
      <c r="BH39" s="85">
        <f t="shared" si="17"/>
        <v>0.22056528064510328</v>
      </c>
      <c r="BI39" s="85">
        <f t="shared" si="18"/>
        <v>2.1388148426191834E-2</v>
      </c>
      <c r="BJ39" s="85">
        <f t="shared" si="19"/>
        <v>828.78032890177121</v>
      </c>
      <c r="BK39" s="85">
        <f t="shared" si="20"/>
        <v>4.3620017310619534E-2</v>
      </c>
      <c r="BL39" s="85">
        <f t="shared" si="21"/>
        <v>4.3620017310619534E-2</v>
      </c>
      <c r="BM39" s="85">
        <f t="shared" si="22"/>
        <v>2.6434065273417056</v>
      </c>
      <c r="BN39" s="85">
        <f t="shared" si="23"/>
        <v>2.5973249555496947E-3</v>
      </c>
      <c r="BO39" s="85">
        <f t="shared" si="24"/>
        <v>8.3784675985474034E-6</v>
      </c>
      <c r="BQ39" s="39">
        <f t="shared" si="37"/>
        <v>1294.6108247838299</v>
      </c>
      <c r="BR39" s="39">
        <f t="shared" si="37"/>
        <v>0.26678262291127253</v>
      </c>
      <c r="BS39" s="39">
        <f t="shared" si="37"/>
        <v>6.5016544204409915E-2</v>
      </c>
      <c r="BT39" s="159">
        <f t="shared" si="26"/>
        <v>1320.6553205295259</v>
      </c>
    </row>
    <row r="40" spans="1:72" x14ac:dyDescent="0.25">
      <c r="A40" s="117">
        <f t="shared" si="34"/>
        <v>2037</v>
      </c>
      <c r="B40" s="66">
        <f>INDEX((Proj_PasMob!$Q$6:$Q$46),MATCH(A40,Proj_PasMob!$M$6:M$46,0))</f>
        <v>11532002952.297762</v>
      </c>
      <c r="C40" s="119">
        <f>B40*Table11018[Gasoline]%</f>
        <v>6334570984.1368084</v>
      </c>
      <c r="D40" s="123">
        <f>B40*Table11018[[Diesel ]]%</f>
        <v>5191114328.5507412</v>
      </c>
      <c r="E40" s="121">
        <f>B40*Table11018[LPG]%</f>
        <v>6317639.610213642</v>
      </c>
      <c r="F40" s="66">
        <f t="shared" si="4"/>
        <v>0</v>
      </c>
      <c r="H40" s="31">
        <f>C40*Table21119[Autocycle]%</f>
        <v>716520650.39267421</v>
      </c>
      <c r="I40" s="66">
        <f>C40*Table21119[Motocycle]%</f>
        <v>466508380.69840622</v>
      </c>
      <c r="J40" s="66">
        <f>C40*Table21119[cars]%</f>
        <v>4927492328.8944807</v>
      </c>
      <c r="K40" s="66">
        <f>C40*Table21119[DPV]%</f>
        <v>159780303.05325136</v>
      </c>
      <c r="L40" s="66">
        <f>C40*Table21119[Hybrid]%</f>
        <v>64269321.09799616</v>
      </c>
      <c r="M40" s="66">
        <f t="shared" si="5"/>
        <v>0</v>
      </c>
      <c r="P40" s="66">
        <f>D40*Table31220[Cars]%</f>
        <v>438982654.43459165</v>
      </c>
      <c r="Q40" s="66">
        <f>D40*Table31220[DPV]%</f>
        <v>633176766.50381708</v>
      </c>
      <c r="R40" s="66">
        <f>D40*Table31220[Buses]%</f>
        <v>4118954907.6123323</v>
      </c>
      <c r="S40" s="66">
        <f t="shared" si="6"/>
        <v>0</v>
      </c>
      <c r="W40" s="66">
        <f>E40*Table41321[Cars]%</f>
        <v>5971102.416404455</v>
      </c>
      <c r="X40" s="66">
        <f>E40*Table41321[DPV]%</f>
        <v>346537.1938091871</v>
      </c>
      <c r="Y40" s="66">
        <f t="shared" si="7"/>
        <v>0</v>
      </c>
      <c r="AB40" s="117">
        <f t="shared" si="35"/>
        <v>2037</v>
      </c>
      <c r="AD40" s="66">
        <f>H40*Table51422[Autocycle]*0.01*$AD$7/1000</f>
        <v>12718.241544469965</v>
      </c>
      <c r="AE40" s="66">
        <f>I40*Table51422[Motocycle]*0.01*$AD$7/1000</f>
        <v>9936.6285088760524</v>
      </c>
      <c r="AF40" s="66">
        <f>J40*Table51422[Car]*0.01*$AD$7/$AL$8/1000</f>
        <v>119686.19525183174</v>
      </c>
      <c r="AG40" s="66">
        <f>K40*Table51422[DPV]*0.01*$AD$7/$AL$8/1000</f>
        <v>6866.3482864726184</v>
      </c>
      <c r="AH40" s="66">
        <f>L40*Table51422[Car_Hbrid]*0.01*$AD$7/$AL$8/1000</f>
        <v>960.65722062267957</v>
      </c>
      <c r="AI40" s="66">
        <f>Freight!E32*$AG$8*$AI$8*$AD$7/1000</f>
        <v>6634.6875394002236</v>
      </c>
      <c r="AJ40" s="66">
        <f t="shared" si="30"/>
        <v>156802.75835167326</v>
      </c>
      <c r="AK40" s="66">
        <f>P40*Table51422[Car_Dsl]*0.01*$AD$8/$AL$8/1000</f>
        <v>13747.088388872739</v>
      </c>
      <c r="AL40" s="66">
        <f>Q40*Table51422[DPV_Dsl]*0.01*$AD$8/$AL$8/1000</f>
        <v>32008.751801416645</v>
      </c>
      <c r="AM40" s="66">
        <f>R40*Table51422[Bus]*0.01*$AD$8/$AL$9/1000</f>
        <v>30309.623898730177</v>
      </c>
      <c r="AN40" s="66">
        <f>Freight!E32*$AG$9*$AI$9*$AD$8/1000</f>
        <v>201514.595478809</v>
      </c>
      <c r="AO40" s="66">
        <f t="shared" si="9"/>
        <v>277580.05956782855</v>
      </c>
      <c r="AQ40" s="66">
        <f>W40*Table51422[Car_LPG]*0.01*$AD$9/$AL$8/1000</f>
        <v>139.95054130141355</v>
      </c>
      <c r="AR40" s="66">
        <f>X40*Table51422[DPV_LPG]*0.01*$AD$9/$AL$8/1000</f>
        <v>14.369921651484423</v>
      </c>
      <c r="AS40" s="31">
        <f t="shared" si="31"/>
        <v>601.775643729732</v>
      </c>
      <c r="AT40" s="66">
        <f t="shared" si="10"/>
        <v>756.09610668262997</v>
      </c>
      <c r="AU40" s="31">
        <f t="shared" si="11"/>
        <v>7560.9610668262994</v>
      </c>
      <c r="AW40" s="148">
        <f t="shared" si="3"/>
        <v>435138.91402618441</v>
      </c>
      <c r="AY40" s="163">
        <f t="shared" si="32"/>
        <v>148962.62043408959</v>
      </c>
      <c r="AZ40" s="163">
        <f t="shared" si="33"/>
        <v>263701.05658943712</v>
      </c>
      <c r="BA40" s="163">
        <f t="shared" si="14"/>
        <v>756.09610668262997</v>
      </c>
      <c r="BB40" s="163">
        <f t="shared" si="15"/>
        <v>413419.7731302093</v>
      </c>
      <c r="BF40" s="117">
        <f t="shared" si="36"/>
        <v>2037</v>
      </c>
      <c r="BG40" s="85">
        <f t="shared" si="16"/>
        <v>462.47530990449189</v>
      </c>
      <c r="BH40" s="85">
        <f t="shared" si="17"/>
        <v>0.220226338049758</v>
      </c>
      <c r="BI40" s="85">
        <f t="shared" si="18"/>
        <v>2.135528126543108E-2</v>
      </c>
      <c r="BJ40" s="85">
        <f t="shared" si="19"/>
        <v>846.09275109890666</v>
      </c>
      <c r="BK40" s="85">
        <f t="shared" si="20"/>
        <v>4.4531197426258239E-2</v>
      </c>
      <c r="BL40" s="85">
        <f t="shared" si="21"/>
        <v>4.4531197426258239E-2</v>
      </c>
      <c r="BM40" s="85">
        <f t="shared" si="22"/>
        <v>2.4904444781133801</v>
      </c>
      <c r="BN40" s="85">
        <f t="shared" si="23"/>
        <v>2.4470294396676637E-3</v>
      </c>
      <c r="BO40" s="85">
        <f t="shared" si="24"/>
        <v>7.8936433537666573E-6</v>
      </c>
      <c r="BQ40" s="39">
        <f t="shared" si="37"/>
        <v>1311.0585054815119</v>
      </c>
      <c r="BR40" s="39">
        <f t="shared" si="37"/>
        <v>0.2672045649156839</v>
      </c>
      <c r="BS40" s="39">
        <f t="shared" si="37"/>
        <v>6.5894372335043083E-2</v>
      </c>
      <c r="BT40" s="159">
        <f t="shared" si="26"/>
        <v>1337.3751425602468</v>
      </c>
    </row>
    <row r="41" spans="1:72" x14ac:dyDescent="0.25">
      <c r="A41" s="117">
        <f t="shared" si="34"/>
        <v>2038</v>
      </c>
      <c r="B41" s="66">
        <f>INDEX((Proj_PasMob!$Q$6:$Q$46),MATCH(A41,Proj_PasMob!$M$6:M$46,0))</f>
        <v>11496290126.490973</v>
      </c>
      <c r="C41" s="119">
        <f>B41*Table11018[Gasoline]%</f>
        <v>6314953799.5893354</v>
      </c>
      <c r="D41" s="123">
        <f>B41*Table11018[[Diesel ]]%</f>
        <v>5175038252.0421305</v>
      </c>
      <c r="E41" s="121">
        <f>B41*Table11018[LPG]%</f>
        <v>6298074.8595070289</v>
      </c>
      <c r="F41" s="66">
        <f t="shared" si="4"/>
        <v>0</v>
      </c>
      <c r="H41" s="31">
        <f>C41*Table21119[Autocycle]%</f>
        <v>714301696.99140549</v>
      </c>
      <c r="I41" s="66">
        <f>C41*Table21119[Motocycle]%</f>
        <v>465063676.54716676</v>
      </c>
      <c r="J41" s="66">
        <f>C41*Table21119[cars]%</f>
        <v>4912232648.8602295</v>
      </c>
      <c r="K41" s="66">
        <f>C41*Table21119[DPV]%</f>
        <v>159285488.21892461</v>
      </c>
      <c r="L41" s="66">
        <f>C41*Table21119[Hybrid]%</f>
        <v>64070288.971609473</v>
      </c>
      <c r="M41" s="66">
        <f t="shared" si="5"/>
        <v>0</v>
      </c>
      <c r="P41" s="66">
        <f>D41*Table31220[Cars]%</f>
        <v>437623193.19139963</v>
      </c>
      <c r="Q41" s="66">
        <f>D41*Table31220[DPV]%</f>
        <v>631215916.19354618</v>
      </c>
      <c r="R41" s="66">
        <f>D41*Table31220[Buses]%</f>
        <v>4106199142.6571846</v>
      </c>
      <c r="S41" s="66">
        <f t="shared" si="6"/>
        <v>0</v>
      </c>
      <c r="W41" s="66">
        <f>E41*Table41321[Cars]%</f>
        <v>5952610.8376775291</v>
      </c>
      <c r="X41" s="66">
        <f>E41*Table41321[DPV]%</f>
        <v>345464.02182949946</v>
      </c>
      <c r="Y41" s="66">
        <f t="shared" si="7"/>
        <v>0</v>
      </c>
      <c r="AB41" s="117">
        <f t="shared" si="35"/>
        <v>2038</v>
      </c>
      <c r="AD41" s="66">
        <f>H41*Table51422[Autocycle]*0.01*$AD$7/1000</f>
        <v>12678.855121597446</v>
      </c>
      <c r="AE41" s="66">
        <f>I41*Table51422[Motocycle]*0.01*$AD$7/1000</f>
        <v>9905.856310454652</v>
      </c>
      <c r="AF41" s="66">
        <f>J41*Table51422[Car]*0.01*$AD$7/$AL$8/1000</f>
        <v>119315.54565521031</v>
      </c>
      <c r="AG41" s="66">
        <f>K41*Table51422[DPV]*0.01*$AD$7/$AL$8/1000</f>
        <v>6845.0842700395751</v>
      </c>
      <c r="AH41" s="66">
        <f>L41*Table51422[Car_Hbrid]*0.01*$AD$7/$AL$8/1000</f>
        <v>957.68221410195213</v>
      </c>
      <c r="AI41" s="66">
        <f>Freight!E33*$AG$8*$AI$8*$AD$7/1000</f>
        <v>6834.7761272288035</v>
      </c>
      <c r="AJ41" s="66">
        <f t="shared" si="30"/>
        <v>156537.79969863273</v>
      </c>
      <c r="AK41" s="66">
        <f>P41*Table51422[Car_Dsl]*0.01*$AD$8/$AL$8/1000</f>
        <v>13704.515786783306</v>
      </c>
      <c r="AL41" s="66">
        <f>Q41*Table51422[DPV_Dsl]*0.01*$AD$8/$AL$8/1000</f>
        <v>31909.62565810006</v>
      </c>
      <c r="AM41" s="66">
        <f>R41*Table51422[Bus]*0.01*$AD$8/$AL$9/1000</f>
        <v>30215.759691181651</v>
      </c>
      <c r="AN41" s="66">
        <f>Freight!E33*$AG$9*$AI$9*$AD$8/1000</f>
        <v>207591.86296077512</v>
      </c>
      <c r="AO41" s="66">
        <f t="shared" si="9"/>
        <v>283421.76409684017</v>
      </c>
      <c r="AQ41" s="66">
        <f>W41*Table51422[Car_LPG]*0.01*$AD$9/$AL$8/1000</f>
        <v>139.51713616583234</v>
      </c>
      <c r="AR41" s="66">
        <f>X41*Table51422[DPV_LPG]*0.01*$AD$9/$AL$8/1000</f>
        <v>14.325420231313139</v>
      </c>
      <c r="AS41" s="31">
        <f t="shared" si="31"/>
        <v>559.04957302492107</v>
      </c>
      <c r="AT41" s="66">
        <f t="shared" si="10"/>
        <v>712.89212942206655</v>
      </c>
      <c r="AU41" s="31">
        <f t="shared" si="11"/>
        <v>7128.921294220665</v>
      </c>
      <c r="AW41" s="148">
        <f t="shared" si="3"/>
        <v>440672.45592489495</v>
      </c>
      <c r="AY41" s="163">
        <f t="shared" si="32"/>
        <v>148710.90971370108</v>
      </c>
      <c r="AZ41" s="163">
        <f t="shared" si="33"/>
        <v>269250.67589199817</v>
      </c>
      <c r="BA41" s="163">
        <f t="shared" si="14"/>
        <v>712.89212942206655</v>
      </c>
      <c r="BB41" s="163">
        <f t="shared" si="15"/>
        <v>418674.47773512127</v>
      </c>
      <c r="BF41" s="117">
        <f t="shared" si="36"/>
        <v>2038</v>
      </c>
      <c r="BG41" s="85">
        <f t="shared" si="16"/>
        <v>461.69383873354491</v>
      </c>
      <c r="BH41" s="85">
        <f t="shared" si="17"/>
        <v>0.21985420892073562</v>
      </c>
      <c r="BI41" s="85">
        <f t="shared" si="18"/>
        <v>2.1319196016556182E-2</v>
      </c>
      <c r="BJ41" s="85">
        <f t="shared" si="19"/>
        <v>863.89887111975281</v>
      </c>
      <c r="BK41" s="85">
        <f t="shared" si="20"/>
        <v>4.5468361637881718E-2</v>
      </c>
      <c r="BL41" s="85">
        <f t="shared" si="21"/>
        <v>4.5468361637881718E-2</v>
      </c>
      <c r="BM41" s="85">
        <f t="shared" si="22"/>
        <v>2.348138353732991</v>
      </c>
      <c r="BN41" s="85">
        <f t="shared" si="23"/>
        <v>2.3072040876615761E-3</v>
      </c>
      <c r="BO41" s="85">
        <f t="shared" si="24"/>
        <v>7.4425938311663741E-6</v>
      </c>
      <c r="BQ41" s="39">
        <f t="shared" si="37"/>
        <v>1327.9408482070307</v>
      </c>
      <c r="BR41" s="39">
        <f t="shared" si="37"/>
        <v>0.26762977464627891</v>
      </c>
      <c r="BS41" s="39">
        <f t="shared" si="37"/>
        <v>6.6795000248269065E-2</v>
      </c>
      <c r="BT41" s="159">
        <f t="shared" si="26"/>
        <v>1354.5365026471718</v>
      </c>
    </row>
    <row r="42" spans="1:72" x14ac:dyDescent="0.25">
      <c r="A42" s="117">
        <f t="shared" si="34"/>
        <v>2039</v>
      </c>
      <c r="B42" s="66">
        <f>INDEX((Proj_PasMob!$Q$6:$Q$46),MATCH(A42,Proj_PasMob!$M$6:M$46,0))</f>
        <v>11332573339.975914</v>
      </c>
      <c r="C42" s="119">
        <f>B42*Table11018[Gasoline]%</f>
        <v>6225023575.8663378</v>
      </c>
      <c r="D42" s="123">
        <f>B42*Table11018[[Diesel ]]%</f>
        <v>5101341379.103569</v>
      </c>
      <c r="E42" s="121">
        <f>B42*Table11018[LPG]%</f>
        <v>6208385.0060077859</v>
      </c>
      <c r="F42" s="66">
        <f t="shared" si="4"/>
        <v>0</v>
      </c>
      <c r="H42" s="31">
        <f>C42*Table21119[Autocycle]%</f>
        <v>704129443.40812016</v>
      </c>
      <c r="I42" s="66">
        <f>C42*Table21119[Motocycle]%</f>
        <v>458440780.8293792</v>
      </c>
      <c r="J42" s="66">
        <f>C42*Table21119[cars]%</f>
        <v>4842278347.5128241</v>
      </c>
      <c r="K42" s="66">
        <f>C42*Table21119[DPV]%</f>
        <v>157017129.64561462</v>
      </c>
      <c r="L42" s="66">
        <f>C42*Table21119[Hybrid]%</f>
        <v>63157874.470399871</v>
      </c>
      <c r="M42" s="66">
        <f t="shared" si="5"/>
        <v>0</v>
      </c>
      <c r="P42" s="66">
        <f>D42*Table31220[Cars]%</f>
        <v>431391072.90690374</v>
      </c>
      <c r="Q42" s="66">
        <f>D42*Table31220[DPV]%</f>
        <v>622226873.61899972</v>
      </c>
      <c r="R42" s="66">
        <f>D42*Table31220[Buses]%</f>
        <v>4047723432.5776653</v>
      </c>
      <c r="S42" s="66">
        <f t="shared" si="6"/>
        <v>0</v>
      </c>
      <c r="W42" s="66">
        <f>E42*Table41321[Cars]%</f>
        <v>5867840.68078373</v>
      </c>
      <c r="X42" s="66">
        <f>E42*Table41321[DPV]%</f>
        <v>340544.32522405573</v>
      </c>
      <c r="Y42" s="66">
        <f t="shared" si="7"/>
        <v>0</v>
      </c>
      <c r="AB42" s="117">
        <f t="shared" si="35"/>
        <v>2039</v>
      </c>
      <c r="AD42" s="66">
        <f>H42*Table51422[Autocycle]*0.01*$AD$7/1000</f>
        <v>12498.297620494131</v>
      </c>
      <c r="AE42" s="66">
        <f>I42*Table51422[Motocycle]*0.01*$AD$7/1000</f>
        <v>9764.7886316657768</v>
      </c>
      <c r="AF42" s="66">
        <f>J42*Table51422[Car]*0.01*$AD$7/$AL$8/1000</f>
        <v>117616.39249353517</v>
      </c>
      <c r="AG42" s="66">
        <f>K42*Table51422[DPV]*0.01*$AD$7/$AL$8/1000</f>
        <v>6747.6045450339125</v>
      </c>
      <c r="AH42" s="66">
        <f>L42*Table51422[Car_Hbrid]*0.01*$AD$7/$AL$8/1000</f>
        <v>944.04401839966113</v>
      </c>
      <c r="AI42" s="66">
        <f>Freight!E34*$AG$8*$AI$8*$AD$7/1000</f>
        <v>7041.2054900003395</v>
      </c>
      <c r="AJ42" s="66">
        <f t="shared" si="30"/>
        <v>154612.33279912901</v>
      </c>
      <c r="AK42" s="66">
        <f>P42*Table51422[Car_Dsl]*0.01*$AD$8/$AL$8/1000</f>
        <v>13509.352019979355</v>
      </c>
      <c r="AL42" s="66">
        <f>Q42*Table51422[DPV_Dsl]*0.01*$AD$8/$AL$8/1000</f>
        <v>31455.205900581543</v>
      </c>
      <c r="AM42" s="66">
        <f>R42*Table51422[Bus]*0.01*$AD$8/$AL$9/1000</f>
        <v>29785.462001725075</v>
      </c>
      <c r="AN42" s="66">
        <f>Freight!E34*$AG$9*$AI$9*$AD$8/1000</f>
        <v>213861.71806500125</v>
      </c>
      <c r="AO42" s="66">
        <f t="shared" si="9"/>
        <v>288611.73798728723</v>
      </c>
      <c r="AQ42" s="66">
        <f>W42*Table51422[Car_LPG]*0.01*$AD$9/$AL$8/1000</f>
        <v>137.53029545934905</v>
      </c>
      <c r="AR42" s="66">
        <f>X42*Table51422[DPV_LPG]*0.01*$AD$9/$AL$8/1000</f>
        <v>14.121414265915307</v>
      </c>
      <c r="AS42" s="31">
        <f t="shared" si="31"/>
        <v>519.35705334015165</v>
      </c>
      <c r="AT42" s="66">
        <f t="shared" si="10"/>
        <v>671.00876306541602</v>
      </c>
      <c r="AU42" s="31">
        <f t="shared" si="11"/>
        <v>6710.0876306541604</v>
      </c>
      <c r="AW42" s="148">
        <f t="shared" si="3"/>
        <v>443895.07954948163</v>
      </c>
      <c r="AY42" s="163">
        <f t="shared" si="32"/>
        <v>146881.71615917256</v>
      </c>
      <c r="AZ42" s="163">
        <f t="shared" si="33"/>
        <v>274181.15108792286</v>
      </c>
      <c r="BA42" s="163">
        <f t="shared" si="14"/>
        <v>671.00876306541602</v>
      </c>
      <c r="BB42" s="163">
        <f t="shared" si="15"/>
        <v>421733.87601016078</v>
      </c>
      <c r="BF42" s="117">
        <f t="shared" si="36"/>
        <v>2039</v>
      </c>
      <c r="BG42" s="85">
        <f t="shared" si="16"/>
        <v>456.01485125641352</v>
      </c>
      <c r="BH42" s="85">
        <f t="shared" si="17"/>
        <v>0.21714992916972067</v>
      </c>
      <c r="BI42" s="85">
        <f t="shared" si="18"/>
        <v>2.1056962828578975E-2</v>
      </c>
      <c r="BJ42" s="85">
        <f t="shared" si="19"/>
        <v>879.71844870013297</v>
      </c>
      <c r="BK42" s="85">
        <f t="shared" si="20"/>
        <v>4.6300970984217531E-2</v>
      </c>
      <c r="BL42" s="85">
        <f t="shared" si="21"/>
        <v>4.6300970984217531E-2</v>
      </c>
      <c r="BM42" s="85">
        <f t="shared" si="22"/>
        <v>2.2101820839601283</v>
      </c>
      <c r="BN42" s="85">
        <f t="shared" si="23"/>
        <v>2.1716527607849121E-3</v>
      </c>
      <c r="BO42" s="85">
        <f t="shared" si="24"/>
        <v>7.0053314864029435E-6</v>
      </c>
      <c r="BQ42" s="39">
        <f t="shared" si="37"/>
        <v>1337.9434820405065</v>
      </c>
      <c r="BR42" s="39">
        <f t="shared" si="37"/>
        <v>0.26562255291472309</v>
      </c>
      <c r="BS42" s="39">
        <f t="shared" si="37"/>
        <v>6.7364939144282904E-2</v>
      </c>
      <c r="BT42" s="159">
        <f t="shared" si="26"/>
        <v>1364.6587977283709</v>
      </c>
    </row>
    <row r="43" spans="1:72" x14ac:dyDescent="0.25">
      <c r="A43" s="117">
        <f t="shared" si="34"/>
        <v>2040</v>
      </c>
      <c r="B43" s="66">
        <f>INDEX((Proj_PasMob!$Q$6:$Q$46),MATCH(A43,Proj_PasMob!$M$6:M$46,0))</f>
        <v>11247537992.736448</v>
      </c>
      <c r="C43" s="119">
        <f>B43*Table11018[Gasoline]%</f>
        <v>6178313351.6774178</v>
      </c>
      <c r="D43" s="123">
        <f>B43*Table11018[[Diesel ]]%</f>
        <v>5063062841.4276724</v>
      </c>
      <c r="E43" s="121">
        <f>B43*Table11018[LPG]%</f>
        <v>6161799.6313585993</v>
      </c>
      <c r="F43" s="66">
        <f t="shared" si="4"/>
        <v>0</v>
      </c>
      <c r="H43" s="31">
        <f>C43*Table21119[Autocycle]%</f>
        <v>698845922.18787551</v>
      </c>
      <c r="I43" s="66">
        <f>C43*Table21119[Motocycle]%</f>
        <v>455000814.47601426</v>
      </c>
      <c r="J43" s="66">
        <f>C43*Table21119[cars]%</f>
        <v>4805943720.9140806</v>
      </c>
      <c r="K43" s="66">
        <f>C43*Table21119[DPV]%</f>
        <v>155838932.44879091</v>
      </c>
      <c r="L43" s="66">
        <f>C43*Table21119[Hybrid]%</f>
        <v>62683961.650656462</v>
      </c>
      <c r="M43" s="66">
        <f t="shared" si="5"/>
        <v>0</v>
      </c>
      <c r="P43" s="66">
        <f>D43*Table31220[Cars]%</f>
        <v>428154077.33845305</v>
      </c>
      <c r="Q43" s="66">
        <f>D43*Table31220[DPV]%</f>
        <v>617557918.32768261</v>
      </c>
      <c r="R43" s="66">
        <f>D43*Table31220[Buses]%</f>
        <v>4017350845.7615366</v>
      </c>
      <c r="S43" s="66">
        <f t="shared" si="6"/>
        <v>0</v>
      </c>
      <c r="W43" s="66">
        <f>E43*Table41321[Cars]%</f>
        <v>5823810.6220435705</v>
      </c>
      <c r="X43" s="66">
        <f>E43*Table41321[DPV]%</f>
        <v>337989.00931502861</v>
      </c>
      <c r="Y43" s="66">
        <f t="shared" si="7"/>
        <v>0</v>
      </c>
      <c r="AB43" s="117">
        <f t="shared" si="35"/>
        <v>2040</v>
      </c>
      <c r="AD43" s="66">
        <f>H43*Table51422[Autocycle]*0.01*$AD$7/1000</f>
        <v>12404.51511883479</v>
      </c>
      <c r="AE43" s="66">
        <f>I43*Table51422[Motocycle]*0.01*$AD$7/1000</f>
        <v>9691.5173483391045</v>
      </c>
      <c r="AF43" s="66">
        <f>J43*Table51422[Car]*0.01*$AD$7/$AL$8/1000</f>
        <v>116733.84353693938</v>
      </c>
      <c r="AG43" s="66">
        <f>K43*Table51422[DPV]*0.01*$AD$7/$AL$8/1000</f>
        <v>6696.9730707598819</v>
      </c>
      <c r="AH43" s="66">
        <f>L43*Table51422[Car_Hbrid]*0.01*$AD$7/$AL$8/1000</f>
        <v>936.96026888349661</v>
      </c>
      <c r="AI43" s="66">
        <f>Freight!E35*$AG$8*$AI$8*$AD$7/1000</f>
        <v>7253.5918744692608</v>
      </c>
      <c r="AJ43" s="66">
        <f t="shared" si="30"/>
        <v>153717.40121822595</v>
      </c>
      <c r="AK43" s="66">
        <f>P43*Table51422[Car_Dsl]*0.01*$AD$8/$AL$8/1000</f>
        <v>13407.982948230501</v>
      </c>
      <c r="AL43" s="66">
        <f>Q43*Table51422[DPV_Dsl]*0.01*$AD$8/$AL$8/1000</f>
        <v>31219.177923881005</v>
      </c>
      <c r="AM43" s="66">
        <f>R43*Table51422[Bus]*0.01*$AD$8/$AL$9/1000</f>
        <v>29561.963152168108</v>
      </c>
      <c r="AN43" s="66">
        <f>Freight!E35*$AG$9*$AI$9*$AD$8/1000</f>
        <v>220312.50509864814</v>
      </c>
      <c r="AO43" s="66">
        <f t="shared" si="9"/>
        <v>294501.62912292778</v>
      </c>
      <c r="AQ43" s="66">
        <f>W43*Table51422[Car_LPG]*0.01*$AD$9/$AL$8/1000</f>
        <v>136.49832010128296</v>
      </c>
      <c r="AR43" s="66">
        <f>X43*Table51422[DPV_LPG]*0.01*$AD$9/$AL$8/1000</f>
        <v>14.015452510399589</v>
      </c>
      <c r="AS43" s="31">
        <f t="shared" si="31"/>
        <v>482.48270255300093</v>
      </c>
      <c r="AT43" s="66">
        <f t="shared" si="10"/>
        <v>632.99647516468349</v>
      </c>
      <c r="AU43" s="31">
        <f t="shared" si="11"/>
        <v>6329.9647516468349</v>
      </c>
      <c r="AW43" s="148">
        <f t="shared" si="3"/>
        <v>448852.02681631839</v>
      </c>
      <c r="AY43" s="163">
        <f t="shared" si="32"/>
        <v>146031.53115731463</v>
      </c>
      <c r="AZ43" s="163">
        <f t="shared" si="33"/>
        <v>279776.54766678141</v>
      </c>
      <c r="BA43" s="163">
        <f t="shared" si="14"/>
        <v>632.99647516468349</v>
      </c>
      <c r="BB43" s="163">
        <f t="shared" si="15"/>
        <v>426441.07529926067</v>
      </c>
      <c r="BF43" s="117">
        <f t="shared" si="36"/>
        <v>2040</v>
      </c>
      <c r="BG43" s="85">
        <f t="shared" si="16"/>
        <v>453.37533289224524</v>
      </c>
      <c r="BH43" s="85">
        <f t="shared" si="17"/>
        <v>0.21589301566297392</v>
      </c>
      <c r="BI43" s="85">
        <f t="shared" si="18"/>
        <v>2.0935080306712626E-2</v>
      </c>
      <c r="BJ43" s="85">
        <f t="shared" si="19"/>
        <v>897.67144648529813</v>
      </c>
      <c r="BK43" s="85">
        <f t="shared" si="20"/>
        <v>4.7245865604489366E-2</v>
      </c>
      <c r="BL43" s="85">
        <f t="shared" si="21"/>
        <v>4.7245865604489366E-2</v>
      </c>
      <c r="BM43" s="85">
        <f t="shared" si="22"/>
        <v>2.0849764498269376</v>
      </c>
      <c r="BN43" s="85">
        <f t="shared" si="23"/>
        <v>2.0486297922229814E-3</v>
      </c>
      <c r="BO43" s="85">
        <f t="shared" si="24"/>
        <v>6.6084832007192957E-6</v>
      </c>
      <c r="BQ43" s="39">
        <f t="shared" si="37"/>
        <v>1353.1317558273702</v>
      </c>
      <c r="BR43" s="39">
        <f t="shared" si="37"/>
        <v>0.26518751105968624</v>
      </c>
      <c r="BS43" s="39">
        <f t="shared" si="37"/>
        <v>6.8187554394402716E-2</v>
      </c>
      <c r="BT43" s="159">
        <f t="shared" si="26"/>
        <v>1380.0813348133943</v>
      </c>
    </row>
    <row r="44" spans="1:72" x14ac:dyDescent="0.25">
      <c r="A44" s="117">
        <f t="shared" si="34"/>
        <v>2041</v>
      </c>
      <c r="B44" s="66">
        <f>INDEX((Proj_PasMob!$Q$6:$Q$46),MATCH(A44,Proj_PasMob!$M$6:M$46,0))</f>
        <v>11160440688.593815</v>
      </c>
      <c r="C44" s="119">
        <f>B44*Table11018[Gasoline]%</f>
        <v>6130470487.0943375</v>
      </c>
      <c r="D44" s="123">
        <f>B44*Table11018[[Diesel ]]%</f>
        <v>5023856116.8557825</v>
      </c>
      <c r="E44" s="121">
        <f>B44*Table11018[LPG]%</f>
        <v>6114084.6436959673</v>
      </c>
      <c r="F44" s="66">
        <f t="shared" si="4"/>
        <v>0</v>
      </c>
      <c r="H44" s="31">
        <f>C44*Table21119[Autocycle]%</f>
        <v>693434284.914639</v>
      </c>
      <c r="I44" s="66">
        <f>C44*Table21119[Motocycle]%</f>
        <v>451477435.01740247</v>
      </c>
      <c r="J44" s="66">
        <f>C44*Table21119[cars]%</f>
        <v>4768728043.8278465</v>
      </c>
      <c r="K44" s="66">
        <f>C44*Table21119[DPV]%</f>
        <v>154632166.05195624</v>
      </c>
      <c r="L44" s="66">
        <f>C44*Table21119[Hybrid]%</f>
        <v>62198557.282493569</v>
      </c>
      <c r="M44" s="66">
        <f t="shared" si="5"/>
        <v>0</v>
      </c>
      <c r="P44" s="66">
        <f>D44*Table31220[Cars]%</f>
        <v>424838590.34761667</v>
      </c>
      <c r="Q44" s="66">
        <f>D44*Table31220[DPV]%</f>
        <v>612775749.12114048</v>
      </c>
      <c r="R44" s="66">
        <f>D44*Table31220[Buses]%</f>
        <v>3986241777.3870254</v>
      </c>
      <c r="S44" s="66">
        <f t="shared" si="6"/>
        <v>0</v>
      </c>
      <c r="W44" s="66">
        <f>E44*Table41321[Cars]%</f>
        <v>5778712.9121852182</v>
      </c>
      <c r="X44" s="66">
        <f>E44*Table41321[DPV]%</f>
        <v>335371.73151074926</v>
      </c>
      <c r="Y44" s="66">
        <f t="shared" si="7"/>
        <v>0</v>
      </c>
      <c r="AB44" s="117">
        <f t="shared" si="35"/>
        <v>2041</v>
      </c>
      <c r="AD44" s="66">
        <f>H44*Table51422[Autocycle]*0.01*$AD$7/1000</f>
        <v>12308.458557234842</v>
      </c>
      <c r="AE44" s="66">
        <f>I44*Table51422[Motocycle]*0.01*$AD$7/1000</f>
        <v>9616.469365870671</v>
      </c>
      <c r="AF44" s="66">
        <f>J44*Table51422[Car]*0.01*$AD$7/$AL$8/1000</f>
        <v>115829.89432771323</v>
      </c>
      <c r="AG44" s="66">
        <f>K44*Table51422[DPV]*0.01*$AD$7/$AL$8/1000</f>
        <v>6645.1138727064344</v>
      </c>
      <c r="AH44" s="66">
        <f>L44*Table51422[Car_Hbrid]*0.01*$AD$7/$AL$8/1000</f>
        <v>929.70475095937752</v>
      </c>
      <c r="AI44" s="66">
        <f>Freight!E36*$AG$8*$AI$8*$AD$7/1000</f>
        <v>7472.3421617092827</v>
      </c>
      <c r="AJ44" s="66">
        <f t="shared" si="30"/>
        <v>152801.98303619382</v>
      </c>
      <c r="AK44" s="66">
        <f>P44*Table51422[Car_Dsl]*0.01*$AD$8/$AL$8/1000</f>
        <v>13304.155855622734</v>
      </c>
      <c r="AL44" s="66">
        <f>Q44*Table51422[DPV_Dsl]*0.01*$AD$8/$AL$8/1000</f>
        <v>30977.426685834496</v>
      </c>
      <c r="AM44" s="66">
        <f>R44*Table51422[Bus]*0.01*$AD$8/$AL$9/1000</f>
        <v>29333.044850457954</v>
      </c>
      <c r="AN44" s="66">
        <f>Freight!E36*$AG$9*$AI$9*$AD$8/1000</f>
        <v>226956.58221339819</v>
      </c>
      <c r="AO44" s="66">
        <f t="shared" si="9"/>
        <v>300571.20960531337</v>
      </c>
      <c r="AQ44" s="66">
        <f>W44*Table51422[Car_LPG]*0.01*$AD$9/$AL$8/1000</f>
        <v>135.44132116440474</v>
      </c>
      <c r="AR44" s="66">
        <f>X44*Table51422[DPV_LPG]*0.01*$AD$9/$AL$8/1000</f>
        <v>13.906921369559413</v>
      </c>
      <c r="AS44" s="31">
        <f t="shared" si="31"/>
        <v>448.22643067173789</v>
      </c>
      <c r="AT44" s="66">
        <f t="shared" si="10"/>
        <v>597.57467320570208</v>
      </c>
      <c r="AU44" s="31">
        <f t="shared" si="11"/>
        <v>5975.7467320570213</v>
      </c>
      <c r="AW44" s="148">
        <f t="shared" si="3"/>
        <v>453970.76731471292</v>
      </c>
      <c r="AY44" s="163">
        <f t="shared" si="32"/>
        <v>145161.88388438412</v>
      </c>
      <c r="AZ44" s="163">
        <f t="shared" si="33"/>
        <v>285542.64912504767</v>
      </c>
      <c r="BA44" s="163">
        <f t="shared" si="14"/>
        <v>597.57467320570208</v>
      </c>
      <c r="BB44" s="163">
        <f t="shared" si="15"/>
        <v>431302.10768263752</v>
      </c>
      <c r="BF44" s="117">
        <f t="shared" si="36"/>
        <v>2041</v>
      </c>
      <c r="BG44" s="85">
        <f t="shared" si="16"/>
        <v>450.67539118281434</v>
      </c>
      <c r="BH44" s="85">
        <f t="shared" si="17"/>
        <v>0.21460732913467345</v>
      </c>
      <c r="BI44" s="85">
        <f t="shared" si="18"/>
        <v>2.0810407673665307E-2</v>
      </c>
      <c r="BJ44" s="85">
        <f t="shared" si="19"/>
        <v>916.17215599718907</v>
      </c>
      <c r="BK44" s="85">
        <f t="shared" si="20"/>
        <v>4.8219587157746796E-2</v>
      </c>
      <c r="BL44" s="85">
        <f t="shared" si="21"/>
        <v>4.8219587157746796E-2</v>
      </c>
      <c r="BM44" s="85">
        <f t="shared" si="22"/>
        <v>1.9683034100984056</v>
      </c>
      <c r="BN44" s="85">
        <f t="shared" si="23"/>
        <v>1.933990672362934E-3</v>
      </c>
      <c r="BO44" s="85">
        <f t="shared" si="24"/>
        <v>6.2386795882675296E-6</v>
      </c>
      <c r="BQ44" s="39">
        <f t="shared" si="37"/>
        <v>1368.8158505901017</v>
      </c>
      <c r="BR44" s="39">
        <f t="shared" si="37"/>
        <v>0.26476090696478322</v>
      </c>
      <c r="BS44" s="39">
        <f t="shared" si="37"/>
        <v>6.9036233511000369E-2</v>
      </c>
      <c r="BT44" s="159">
        <f t="shared" si="26"/>
        <v>1396.0076708504994</v>
      </c>
    </row>
    <row r="45" spans="1:72" x14ac:dyDescent="0.25">
      <c r="A45" s="117">
        <f t="shared" si="34"/>
        <v>2042</v>
      </c>
      <c r="B45" s="66">
        <f>INDEX((Proj_PasMob!$Q$6:$Q$46),MATCH(A45,Proj_PasMob!$M$6:M$46,0))</f>
        <v>11071531741.267399</v>
      </c>
      <c r="C45" s="119">
        <f>B45*Table11018[Gasoline]%</f>
        <v>6081632480.3496513</v>
      </c>
      <c r="D45" s="123">
        <f>B45*Table11018[[Diesel ]]%</f>
        <v>4983833883.744009</v>
      </c>
      <c r="E45" s="121">
        <f>B45*Table11018[LPG]%</f>
        <v>6065377.1737399483</v>
      </c>
      <c r="F45" s="66">
        <f t="shared" si="4"/>
        <v>0</v>
      </c>
      <c r="H45" s="31">
        <f>C45*Table21119[Autocycle]%</f>
        <v>687910084.3895812</v>
      </c>
      <c r="I45" s="66">
        <f>C45*Table21119[Motocycle]%</f>
        <v>447880768.48701614</v>
      </c>
      <c r="J45" s="66">
        <f>C45*Table21119[cars]%</f>
        <v>4730738272.4296608</v>
      </c>
      <c r="K45" s="66">
        <f>C45*Table21119[DPV]%</f>
        <v>153400298.64724579</v>
      </c>
      <c r="L45" s="66">
        <f>C45*Table21119[Hybrid]%</f>
        <v>61703056.396147743</v>
      </c>
      <c r="M45" s="66">
        <f t="shared" si="5"/>
        <v>0</v>
      </c>
      <c r="P45" s="66">
        <f>D45*Table31220[Cars]%</f>
        <v>421454140.49430144</v>
      </c>
      <c r="Q45" s="66">
        <f>D45*Table31220[DPV]%</f>
        <v>607894109.73774254</v>
      </c>
      <c r="R45" s="66">
        <f>D45*Table31220[Buses]%</f>
        <v>3954485633.5119648</v>
      </c>
      <c r="S45" s="66">
        <f t="shared" si="6"/>
        <v>0</v>
      </c>
      <c r="W45" s="66">
        <f>E45*Table41321[Cars]%</f>
        <v>5732677.1599904997</v>
      </c>
      <c r="X45" s="66">
        <f>E45*Table41321[DPV]%</f>
        <v>332700.01374944864</v>
      </c>
      <c r="Y45" s="66">
        <f t="shared" si="7"/>
        <v>0</v>
      </c>
      <c r="AB45" s="117">
        <f t="shared" si="35"/>
        <v>2042</v>
      </c>
      <c r="AD45" s="66">
        <f>H45*Table51422[Autocycle]*0.01*$AD$7/1000</f>
        <v>12210.403997915068</v>
      </c>
      <c r="AE45" s="66">
        <f>I45*Table51422[Motocycle]*0.01*$AD$7/1000</f>
        <v>9539.860368773443</v>
      </c>
      <c r="AF45" s="66">
        <f>J45*Table51422[Car]*0.01*$AD$7/$AL$8/1000</f>
        <v>114907.14277506781</v>
      </c>
      <c r="AG45" s="66">
        <f>K45*Table51422[DPV]*0.01*$AD$7/$AL$8/1000</f>
        <v>6592.1759918671678</v>
      </c>
      <c r="AH45" s="66">
        <f>L45*Table51422[Car_Hbrid]*0.01*$AD$7/$AL$8/1000</f>
        <v>922.29831665820848</v>
      </c>
      <c r="AI45" s="66">
        <f>Freight!E37*$AG$8*$AI$8*$AD$7/1000</f>
        <v>7697.6472688035337</v>
      </c>
      <c r="AJ45" s="66">
        <f t="shared" si="30"/>
        <v>151869.52871908524</v>
      </c>
      <c r="AK45" s="66">
        <f>P45*Table51422[Car_Dsl]*0.01*$AD$8/$AL$8/1000</f>
        <v>13198.169136532073</v>
      </c>
      <c r="AL45" s="66">
        <f>Q45*Table51422[DPV_Dsl]*0.01*$AD$8/$AL$8/1000</f>
        <v>30730.646968584308</v>
      </c>
      <c r="AM45" s="66">
        <f>R45*Table51422[Bus]*0.01*$AD$8/$AL$9/1000</f>
        <v>29099.364997457331</v>
      </c>
      <c r="AN45" s="66">
        <f>Freight!E37*$AG$9*$AI$9*$AD$8/1000</f>
        <v>233799.74811168434</v>
      </c>
      <c r="AO45" s="66">
        <f t="shared" si="9"/>
        <v>306827.92921425804</v>
      </c>
      <c r="AQ45" s="66">
        <f>W45*Table51422[Car_LPG]*0.01*$AD$9/$AL$8/1000</f>
        <v>134.36233641593208</v>
      </c>
      <c r="AR45" s="66">
        <f>X45*Table51422[DPV_LPG]*0.01*$AD$9/$AL$8/1000</f>
        <v>13.796132756993027</v>
      </c>
      <c r="AS45" s="31">
        <f t="shared" si="31"/>
        <v>416.40235409404454</v>
      </c>
      <c r="AT45" s="66">
        <f t="shared" si="10"/>
        <v>564.56082326696969</v>
      </c>
      <c r="AU45" s="31">
        <f t="shared" si="11"/>
        <v>5645.6082326696969</v>
      </c>
      <c r="AW45" s="148">
        <f t="shared" si="3"/>
        <v>459262.01875661022</v>
      </c>
      <c r="AY45" s="163">
        <f t="shared" si="32"/>
        <v>144276.05228313096</v>
      </c>
      <c r="AZ45" s="163">
        <f t="shared" si="33"/>
        <v>291486.53275354515</v>
      </c>
      <c r="BA45" s="163">
        <f t="shared" si="14"/>
        <v>564.56082326696969</v>
      </c>
      <c r="BB45" s="163">
        <f t="shared" si="15"/>
        <v>436327.14585994312</v>
      </c>
      <c r="BF45" s="117">
        <f t="shared" si="36"/>
        <v>2042</v>
      </c>
      <c r="BG45" s="85">
        <f t="shared" si="16"/>
        <v>447.92520296029966</v>
      </c>
      <c r="BH45" s="85">
        <f t="shared" si="17"/>
        <v>0.21329771569538078</v>
      </c>
      <c r="BI45" s="85">
        <f t="shared" si="18"/>
        <v>2.0683414855309654E-2</v>
      </c>
      <c r="BJ45" s="85">
        <f t="shared" si="19"/>
        <v>935.24328493573216</v>
      </c>
      <c r="BK45" s="85">
        <f t="shared" si="20"/>
        <v>4.922333078609116E-2</v>
      </c>
      <c r="BL45" s="85">
        <f t="shared" si="21"/>
        <v>4.922333078609116E-2</v>
      </c>
      <c r="BM45" s="85">
        <f t="shared" si="22"/>
        <v>1.85956173089321</v>
      </c>
      <c r="BN45" s="85">
        <f t="shared" si="23"/>
        <v>1.8271446484212205E-3</v>
      </c>
      <c r="BO45" s="85">
        <f t="shared" si="24"/>
        <v>5.8940149949071636E-6</v>
      </c>
      <c r="BQ45" s="39">
        <f t="shared" si="37"/>
        <v>1385.0280496269249</v>
      </c>
      <c r="BR45" s="39">
        <f t="shared" si="37"/>
        <v>0.26434819112989316</v>
      </c>
      <c r="BS45" s="39">
        <f t="shared" si="37"/>
        <v>6.9912639656395714E-2</v>
      </c>
      <c r="BT45" s="159">
        <f t="shared" si="26"/>
        <v>1412.4707210227782</v>
      </c>
    </row>
    <row r="46" spans="1:72" x14ac:dyDescent="0.25">
      <c r="A46" s="117">
        <f t="shared" si="34"/>
        <v>2043</v>
      </c>
      <c r="B46" s="66">
        <f>INDEX((Proj_PasMob!$Q$6:$Q$46),MATCH(A46,Proj_PasMob!$M$6:M$46,0))</f>
        <v>10981044657.809532</v>
      </c>
      <c r="C46" s="119">
        <f>B46*Table11018[Gasoline]%</f>
        <v>6031927597.7128353</v>
      </c>
      <c r="D46" s="123">
        <f>B46*Table11018[[Diesel ]]%</f>
        <v>4943101254.9517736</v>
      </c>
      <c r="E46" s="121">
        <f>B46*Table11018[LPG]%</f>
        <v>6015805.1449231999</v>
      </c>
      <c r="F46" s="66">
        <f t="shared" si="4"/>
        <v>0</v>
      </c>
      <c r="H46" s="31">
        <f>C46*Table21119[Autocycle]%</f>
        <v>682287829.16127777</v>
      </c>
      <c r="I46" s="66">
        <f>C46*Table21119[Motocycle]%</f>
        <v>444220261.03200889</v>
      </c>
      <c r="J46" s="66">
        <f>C46*Table21119[cars]%</f>
        <v>4692074181.5993824</v>
      </c>
      <c r="K46" s="66">
        <f>C46*Table21119[DPV]%</f>
        <v>152146565.56400701</v>
      </c>
      <c r="L46" s="66">
        <f>C46*Table21119[Hybrid]%</f>
        <v>61198760.356159635</v>
      </c>
      <c r="M46" s="66">
        <f t="shared" si="5"/>
        <v>0</v>
      </c>
      <c r="P46" s="66">
        <f>D46*Table31220[Cars]%</f>
        <v>418009616.56791234</v>
      </c>
      <c r="Q46" s="66">
        <f>D46*Table31220[DPV]%</f>
        <v>602925821.12810445</v>
      </c>
      <c r="R46" s="66">
        <f>D46*Table31220[Buses]%</f>
        <v>3922165817.2557569</v>
      </c>
      <c r="S46" s="66">
        <f t="shared" si="6"/>
        <v>0</v>
      </c>
      <c r="W46" s="66">
        <f>E46*Table41321[Cars]%</f>
        <v>5685824.2719949232</v>
      </c>
      <c r="X46" s="66">
        <f>E46*Table41321[DPV]%</f>
        <v>329980.87292827677</v>
      </c>
      <c r="Y46" s="66">
        <f t="shared" si="7"/>
        <v>0</v>
      </c>
      <c r="AB46" s="117">
        <f t="shared" si="35"/>
        <v>2043</v>
      </c>
      <c r="AD46" s="66">
        <f>H46*Table51422[Autocycle]*0.01*$AD$7/1000</f>
        <v>12110.608967612678</v>
      </c>
      <c r="AE46" s="66">
        <f>I46*Table51422[Motocycle]*0.01*$AD$7/1000</f>
        <v>9461.8915599817901</v>
      </c>
      <c r="AF46" s="66">
        <f>J46*Table51422[Car]*0.01*$AD$7/$AL$8/1000</f>
        <v>113968.01235832184</v>
      </c>
      <c r="AG46" s="66">
        <f>K46*Table51422[DPV]*0.01*$AD$7/$AL$8/1000</f>
        <v>6538.298462263775</v>
      </c>
      <c r="AH46" s="66">
        <f>L46*Table51422[Car_Hbrid]*0.01*$AD$7/$AL$8/1000</f>
        <v>914.76041795522826</v>
      </c>
      <c r="AI46" s="66">
        <f>Freight!E38*$AG$8*$AI$8*$AD$7/1000</f>
        <v>7929.7038403476463</v>
      </c>
      <c r="AJ46" s="66">
        <f t="shared" si="30"/>
        <v>150923.27560648296</v>
      </c>
      <c r="AK46" s="66">
        <f>P46*Table51422[Car_Dsl]*0.01*$AD$8/$AL$8/1000</f>
        <v>13090.301150416202</v>
      </c>
      <c r="AL46" s="66">
        <f>Q46*Table51422[DPV_Dsl]*0.01*$AD$8/$AL$8/1000</f>
        <v>30479.486904923386</v>
      </c>
      <c r="AM46" s="66">
        <f>R46*Table51422[Bus]*0.01*$AD$8/$AL$9/1000</f>
        <v>28861.537320977721</v>
      </c>
      <c r="AN46" s="66">
        <f>Freight!E38*$AG$9*$AI$9*$AD$8/1000</f>
        <v>240847.97545701289</v>
      </c>
      <c r="AO46" s="66">
        <f t="shared" si="9"/>
        <v>313279.3008333302</v>
      </c>
      <c r="AQ46" s="66">
        <f>W46*Table51422[Car_LPG]*0.01*$AD$9/$AL$8/1000</f>
        <v>133.2641996600625</v>
      </c>
      <c r="AR46" s="66">
        <f>X46*Table51422[DPV_LPG]*0.01*$AD$9/$AL$8/1000</f>
        <v>13.683377643667132</v>
      </c>
      <c r="AS46" s="31">
        <f t="shared" si="31"/>
        <v>386.83778695336741</v>
      </c>
      <c r="AT46" s="66">
        <f t="shared" si="10"/>
        <v>533.78536425709706</v>
      </c>
      <c r="AU46" s="31">
        <f t="shared" si="11"/>
        <v>5337.8536425709708</v>
      </c>
      <c r="AW46" s="148">
        <f t="shared" si="3"/>
        <v>464736.3618040703</v>
      </c>
      <c r="AY46" s="163">
        <f t="shared" si="32"/>
        <v>143377.1118261588</v>
      </c>
      <c r="AZ46" s="163">
        <f t="shared" si="33"/>
        <v>297615.33579166367</v>
      </c>
      <c r="BA46" s="163">
        <f t="shared" si="14"/>
        <v>533.78536425709706</v>
      </c>
      <c r="BB46" s="163">
        <f t="shared" si="15"/>
        <v>441526.23298207961</v>
      </c>
      <c r="BF46" s="117">
        <f t="shared" si="36"/>
        <v>2043</v>
      </c>
      <c r="BG46" s="85">
        <f t="shared" si="16"/>
        <v>445.13431645996559</v>
      </c>
      <c r="BH46" s="85">
        <f t="shared" si="17"/>
        <v>0.21196872212379314</v>
      </c>
      <c r="BI46" s="85">
        <f t="shared" si="18"/>
        <v>2.0554542751398123E-2</v>
      </c>
      <c r="BJ46" s="85">
        <f t="shared" si="19"/>
        <v>954.9077333476265</v>
      </c>
      <c r="BK46" s="85">
        <f t="shared" si="20"/>
        <v>5.0258301755138235E-2</v>
      </c>
      <c r="BL46" s="85">
        <f t="shared" si="21"/>
        <v>5.0258301755138235E-2</v>
      </c>
      <c r="BM46" s="85">
        <f t="shared" si="22"/>
        <v>1.7581929084973111</v>
      </c>
      <c r="BN46" s="85">
        <f t="shared" si="23"/>
        <v>1.7275429528816688E-3</v>
      </c>
      <c r="BO46" s="85">
        <f t="shared" si="24"/>
        <v>5.5727192028440938E-6</v>
      </c>
      <c r="BQ46" s="39">
        <f t="shared" si="37"/>
        <v>1401.8002427160893</v>
      </c>
      <c r="BR46" s="39">
        <f t="shared" si="37"/>
        <v>0.26395456683181306</v>
      </c>
      <c r="BS46" s="39">
        <f t="shared" si="37"/>
        <v>7.08184172257392E-2</v>
      </c>
      <c r="BT46" s="159">
        <f t="shared" si="26"/>
        <v>1429.5029952201551</v>
      </c>
    </row>
    <row r="47" spans="1:72" x14ac:dyDescent="0.25">
      <c r="A47" s="117">
        <f t="shared" si="34"/>
        <v>2044</v>
      </c>
      <c r="B47" s="66">
        <f>INDEX((Proj_PasMob!$Q$6:$Q$46),MATCH(A47,Proj_PasMob!$M$6:M$46,0))</f>
        <v>10889195065.958414</v>
      </c>
      <c r="C47" s="119">
        <f>B47*Table11018[Gasoline]%</f>
        <v>5981474284.2813673</v>
      </c>
      <c r="D47" s="123">
        <f>B47*Table11018[[Diesel ]]%</f>
        <v>4901755294.991291</v>
      </c>
      <c r="E47" s="121">
        <f>B47*Table11018[LPG]%</f>
        <v>5965486.6857569236</v>
      </c>
      <c r="F47" s="66">
        <f t="shared" si="4"/>
        <v>0</v>
      </c>
      <c r="H47" s="31">
        <f>C47*Table21119[Autocycle]%</f>
        <v>676580916.8786763</v>
      </c>
      <c r="I47" s="66">
        <f>C47*Table21119[Motocycle]%</f>
        <v>440504635.52102715</v>
      </c>
      <c r="J47" s="66">
        <f>C47*Table21119[cars]%</f>
        <v>4652827906.591424</v>
      </c>
      <c r="K47" s="66">
        <f>C47*Table21119[DPV]%</f>
        <v>150873954.40686497</v>
      </c>
      <c r="L47" s="66">
        <f>C47*Table21119[Hybrid]%</f>
        <v>60686870.88337528</v>
      </c>
      <c r="M47" s="66">
        <f t="shared" si="5"/>
        <v>0</v>
      </c>
      <c r="P47" s="66">
        <f>D47*Table31220[Cars]%</f>
        <v>414513226.75546408</v>
      </c>
      <c r="Q47" s="66">
        <f>D47*Table31220[DPV]%</f>
        <v>597882722.56027091</v>
      </c>
      <c r="R47" s="66">
        <f>D47*Table31220[Buses]%</f>
        <v>3889359345.6755562</v>
      </c>
      <c r="S47" s="66">
        <f t="shared" si="6"/>
        <v>0</v>
      </c>
      <c r="W47" s="66">
        <f>E47*Table41321[Cars]%</f>
        <v>5638265.8970867125</v>
      </c>
      <c r="X47" s="66">
        <f>E47*Table41321[DPV]%</f>
        <v>327220.78867021098</v>
      </c>
      <c r="Y47" s="66">
        <f t="shared" si="7"/>
        <v>0</v>
      </c>
      <c r="AB47" s="117">
        <f t="shared" si="35"/>
        <v>2044</v>
      </c>
      <c r="AD47" s="66">
        <f>H47*Table51422[Autocycle]*0.01*$AD$7/1000</f>
        <v>12009.311274596503</v>
      </c>
      <c r="AE47" s="66">
        <f>I47*Table51422[Motocycle]*0.01*$AD$7/1000</f>
        <v>9382.7487365978795</v>
      </c>
      <c r="AF47" s="66">
        <f>J47*Table51422[Car]*0.01*$AD$7/$AL$8/1000</f>
        <v>113014.74099431274</v>
      </c>
      <c r="AG47" s="66">
        <f>K47*Table51422[DPV]*0.01*$AD$7/$AL$8/1000</f>
        <v>6483.6096722739612</v>
      </c>
      <c r="AH47" s="66">
        <f>L47*Table51422[Car_Hbrid]*0.01*$AD$7/$AL$8/1000</f>
        <v>907.10901741466205</v>
      </c>
      <c r="AI47" s="66">
        <f>Freight!E39*$AG$8*$AI$8*$AD$7/1000</f>
        <v>8168.7144202751133</v>
      </c>
      <c r="AJ47" s="66">
        <f t="shared" si="30"/>
        <v>149966.23411547087</v>
      </c>
      <c r="AK47" s="66">
        <f>P47*Table51422[Car_Dsl]*0.01*$AD$8/$AL$8/1000</f>
        <v>12980.808943131638</v>
      </c>
      <c r="AL47" s="66">
        <f>Q47*Table51422[DPV_Dsl]*0.01*$AD$8/$AL$8/1000</f>
        <v>30224.54500100738</v>
      </c>
      <c r="AM47" s="66">
        <f>R47*Table51422[Bus]*0.01*$AD$8/$AL$9/1000</f>
        <v>28620.128556535419</v>
      </c>
      <c r="AN47" s="66">
        <f>Freight!E39*$AG$9*$AI$9*$AD$8/1000</f>
        <v>248107.41609279497</v>
      </c>
      <c r="AO47" s="66">
        <f t="shared" si="9"/>
        <v>319932.89859346941</v>
      </c>
      <c r="AQ47" s="66">
        <f>W47*Table51422[Car_LPG]*0.01*$AD$9/$AL$8/1000</f>
        <v>132.14952772050003</v>
      </c>
      <c r="AR47" s="66">
        <f>X47*Table51422[DPV_LPG]*0.01*$AD$9/$AL$8/1000</f>
        <v>13.568924721301341</v>
      </c>
      <c r="AS47" s="31">
        <f t="shared" si="31"/>
        <v>359.37230407967837</v>
      </c>
      <c r="AT47" s="66">
        <f t="shared" si="10"/>
        <v>505.09075652147976</v>
      </c>
      <c r="AU47" s="31">
        <f t="shared" si="11"/>
        <v>5050.9075652147976</v>
      </c>
      <c r="AW47" s="148">
        <f t="shared" si="3"/>
        <v>470404.22346546175</v>
      </c>
      <c r="AY47" s="163">
        <f t="shared" si="32"/>
        <v>142467.92240969732</v>
      </c>
      <c r="AZ47" s="163">
        <f t="shared" si="33"/>
        <v>303936.25366379594</v>
      </c>
      <c r="BA47" s="163">
        <f t="shared" si="14"/>
        <v>505.09075652147976</v>
      </c>
      <c r="BB47" s="163">
        <f t="shared" si="15"/>
        <v>446909.26683001476</v>
      </c>
      <c r="BF47" s="117">
        <f t="shared" si="36"/>
        <v>2044</v>
      </c>
      <c r="BG47" s="85">
        <f t="shared" si="16"/>
        <v>442.31161063004265</v>
      </c>
      <c r="BH47" s="85">
        <f t="shared" si="17"/>
        <v>0.21062457649049648</v>
      </c>
      <c r="BI47" s="85">
        <f t="shared" si="18"/>
        <v>2.0424201356654206E-2</v>
      </c>
      <c r="BJ47" s="85">
        <f t="shared" si="19"/>
        <v>975.18858796789902</v>
      </c>
      <c r="BK47" s="85">
        <f t="shared" si="20"/>
        <v>5.1325715156205216E-2</v>
      </c>
      <c r="BL47" s="85">
        <f t="shared" si="21"/>
        <v>5.1325715156205216E-2</v>
      </c>
      <c r="BM47" s="85">
        <f t="shared" si="22"/>
        <v>1.6636780356455805</v>
      </c>
      <c r="BN47" s="85">
        <f t="shared" si="23"/>
        <v>1.6346757244061171E-3</v>
      </c>
      <c r="BO47" s="85">
        <f t="shared" si="24"/>
        <v>5.273147498084249E-6</v>
      </c>
      <c r="BQ47" s="39">
        <f t="shared" si="37"/>
        <v>1419.1638766335871</v>
      </c>
      <c r="BR47" s="39">
        <f t="shared" si="37"/>
        <v>0.26358496737110781</v>
      </c>
      <c r="BS47" s="39">
        <f t="shared" si="37"/>
        <v>7.1755189660357502E-2</v>
      </c>
      <c r="BT47" s="159">
        <f t="shared" si="26"/>
        <v>1447.1365473366513</v>
      </c>
    </row>
    <row r="48" spans="1:72" x14ac:dyDescent="0.25">
      <c r="A48" s="117">
        <f t="shared" si="34"/>
        <v>2045</v>
      </c>
      <c r="B48" s="66">
        <f>INDEX((Proj_PasMob!$Q$6:$Q$46),MATCH(A48,Proj_PasMob!$M$6:M$46,0))</f>
        <v>10784141087.93745</v>
      </c>
      <c r="C48" s="119">
        <f>B48*Table11018[Gasoline]%</f>
        <v>5923767753.7079296</v>
      </c>
      <c r="D48" s="123">
        <f>B48*Table11018[[Diesel ]]%</f>
        <v>4854465399.833293</v>
      </c>
      <c r="E48" s="121">
        <f>B48*Table11018[LPG]%</f>
        <v>5907934.3962282846</v>
      </c>
      <c r="F48" s="66">
        <f t="shared" si="4"/>
        <v>0</v>
      </c>
      <c r="H48" s="31">
        <f>C48*Table21119[Autocycle]%</f>
        <v>670053573.36608028</v>
      </c>
      <c r="I48" s="66">
        <f>C48*Table21119[Motocycle]%</f>
        <v>436254848.09249365</v>
      </c>
      <c r="J48" s="66">
        <f>C48*Table21119[cars]%</f>
        <v>4607939549.1257324</v>
      </c>
      <c r="K48" s="66">
        <f>C48*Table21119[DPV]%</f>
        <v>149418391.43878624</v>
      </c>
      <c r="L48" s="66">
        <f>C48*Table21119[Hybrid]%</f>
        <v>60101391.684837103</v>
      </c>
      <c r="M48" s="66">
        <f t="shared" si="5"/>
        <v>0</v>
      </c>
      <c r="P48" s="66">
        <f>D48*Table31220[Cars]%</f>
        <v>410514192.56155002</v>
      </c>
      <c r="Q48" s="66">
        <f>D48*Table31220[DPV]%</f>
        <v>592114623.26417899</v>
      </c>
      <c r="R48" s="66">
        <f>D48*Table31220[Buses]%</f>
        <v>3851836584.0075641</v>
      </c>
      <c r="S48" s="66">
        <f t="shared" si="6"/>
        <v>0</v>
      </c>
      <c r="W48" s="66">
        <f>E48*Table41321[Cars]%</f>
        <v>5583870.484198885</v>
      </c>
      <c r="X48" s="66">
        <f>E48*Table41321[DPV]%</f>
        <v>324063.91202939954</v>
      </c>
      <c r="Y48" s="66">
        <f t="shared" si="7"/>
        <v>0</v>
      </c>
      <c r="AB48" s="117">
        <f t="shared" si="35"/>
        <v>2045</v>
      </c>
      <c r="AD48" s="66">
        <f>H48*Table51422[Autocycle]*0.01*$AD$7/1000</f>
        <v>11893.450927247924</v>
      </c>
      <c r="AE48" s="66">
        <f>I48*Table51422[Motocycle]*0.01*$AD$7/1000</f>
        <v>9292.2282643701146</v>
      </c>
      <c r="AF48" s="66">
        <f>J48*Table51422[Car]*0.01*$AD$7/$AL$8/1000</f>
        <v>111924.4264169224</v>
      </c>
      <c r="AG48" s="66">
        <f>K48*Table51422[DPV]*0.01*$AD$7/$AL$8/1000</f>
        <v>6421.0587689352087</v>
      </c>
      <c r="AH48" s="66">
        <f>L48*Table51422[Car_Hbrid]*0.01*$AD$7/$AL$8/1000</f>
        <v>898.35764413124934</v>
      </c>
      <c r="AI48" s="66">
        <f>Freight!E40*$AG$8*$AI$8*$AD$7/1000</f>
        <v>8414.9194745784989</v>
      </c>
      <c r="AJ48" s="66">
        <f t="shared" si="30"/>
        <v>148844.44149618541</v>
      </c>
      <c r="AK48" s="66">
        <f>P48*Table51422[Car_Dsl]*0.01*$AD$8/$AL$8/1000</f>
        <v>12855.57603021696</v>
      </c>
      <c r="AL48" s="66">
        <f>Q48*Table51422[DPV_Dsl]*0.01*$AD$8/$AL$8/1000</f>
        <v>29932.952402381263</v>
      </c>
      <c r="AM48" s="66">
        <f>R48*Table51422[Bus]*0.01*$AD$8/$AL$9/1000</f>
        <v>28344.014634604235</v>
      </c>
      <c r="AN48" s="66">
        <f>Freight!E40*$AG$9*$AI$9*$AD$8/1000</f>
        <v>255585.37366474574</v>
      </c>
      <c r="AO48" s="66">
        <f t="shared" si="9"/>
        <v>326717.91673194821</v>
      </c>
      <c r="AQ48" s="66">
        <f>W48*Table51422[Car_LPG]*0.01*$AD$9/$AL$8/1000</f>
        <v>130.87460946469335</v>
      </c>
      <c r="AR48" s="66">
        <f>X48*Table51422[DPV_LPG]*0.01*$AD$9/$AL$8/1000</f>
        <v>13.438017936106906</v>
      </c>
      <c r="AS48" s="31">
        <f t="shared" si="31"/>
        <v>333.85687049002121</v>
      </c>
      <c r="AT48" s="66">
        <f t="shared" si="10"/>
        <v>478.1694978908215</v>
      </c>
      <c r="AU48" s="31">
        <f t="shared" si="11"/>
        <v>4781.6949789082155</v>
      </c>
      <c r="AW48" s="148">
        <f t="shared" si="3"/>
        <v>476040.52772602439</v>
      </c>
      <c r="AY48" s="163">
        <f t="shared" si="32"/>
        <v>141402.21942137612</v>
      </c>
      <c r="AZ48" s="163">
        <f t="shared" si="33"/>
        <v>310382.02089535078</v>
      </c>
      <c r="BA48" s="163">
        <f t="shared" si="14"/>
        <v>478.1694978908215</v>
      </c>
      <c r="BB48" s="163">
        <f t="shared" si="15"/>
        <v>452262.40981461771</v>
      </c>
      <c r="BF48" s="117">
        <f t="shared" si="36"/>
        <v>2045</v>
      </c>
      <c r="BG48" s="85">
        <f t="shared" si="16"/>
        <v>439.00298650438117</v>
      </c>
      <c r="BH48" s="85">
        <f t="shared" si="17"/>
        <v>0.2090490411925624</v>
      </c>
      <c r="BI48" s="85">
        <f t="shared" si="18"/>
        <v>2.0271422176248478E-2</v>
      </c>
      <c r="BJ48" s="85">
        <f t="shared" si="19"/>
        <v>995.87002550335978</v>
      </c>
      <c r="BK48" s="85">
        <f t="shared" si="20"/>
        <v>5.2414211868597883E-2</v>
      </c>
      <c r="BL48" s="85">
        <f t="shared" si="21"/>
        <v>5.2414211868597883E-2</v>
      </c>
      <c r="BM48" s="85">
        <f t="shared" si="22"/>
        <v>1.5750042555427455</v>
      </c>
      <c r="BN48" s="85">
        <f t="shared" si="23"/>
        <v>1.5475477629738547E-3</v>
      </c>
      <c r="BO48" s="85">
        <f t="shared" si="24"/>
        <v>4.9920895579801765E-6</v>
      </c>
      <c r="BQ48" s="39">
        <f t="shared" si="37"/>
        <v>1436.4480162632838</v>
      </c>
      <c r="BR48" s="39">
        <f t="shared" si="37"/>
        <v>0.26301080082413414</v>
      </c>
      <c r="BS48" s="39">
        <f t="shared" si="37"/>
        <v>7.2690626134404343E-2</v>
      </c>
      <c r="BT48" s="159">
        <f t="shared" si="26"/>
        <v>1464.6850928719396</v>
      </c>
    </row>
    <row r="49" spans="1:72" x14ac:dyDescent="0.25">
      <c r="A49" s="117">
        <f t="shared" si="34"/>
        <v>2046</v>
      </c>
      <c r="B49" s="66">
        <f>INDEX((Proj_PasMob!$Q$6:$Q$46),MATCH(A49,Proj_PasMob!$M$6:M$46,0))</f>
        <v>10678041059.924702</v>
      </c>
      <c r="C49" s="119">
        <f>B49*Table11018[Gasoline]%</f>
        <v>5865486624.0857983</v>
      </c>
      <c r="D49" s="123">
        <f>B49*Table11018[[Diesel ]]%</f>
        <v>4806704626.795434</v>
      </c>
      <c r="E49" s="121">
        <f>B49*Table11018[LPG]%</f>
        <v>5849809.0434694597</v>
      </c>
      <c r="F49" s="66">
        <f t="shared" si="4"/>
        <v>0</v>
      </c>
      <c r="H49" s="31">
        <f>C49*Table21119[Autocycle]%</f>
        <v>663461235.38343799</v>
      </c>
      <c r="I49" s="66">
        <f>C49*Table21119[Motocycle]%</f>
        <v>431962744.41674662</v>
      </c>
      <c r="J49" s="66">
        <f>C49*Table21119[cars]%</f>
        <v>4562604226.5203781</v>
      </c>
      <c r="K49" s="66">
        <f>C49*Table21119[DPV]%</f>
        <v>147948335.04875925</v>
      </c>
      <c r="L49" s="66">
        <f>C49*Table21119[Hybrid]%</f>
        <v>59510082.716476224</v>
      </c>
      <c r="M49" s="66">
        <f t="shared" si="5"/>
        <v>0</v>
      </c>
      <c r="P49" s="66">
        <f>D49*Table31220[Cars]%</f>
        <v>406475338.93609715</v>
      </c>
      <c r="Q49" s="66">
        <f>D49*Table31220[DPV]%</f>
        <v>586289089.49168801</v>
      </c>
      <c r="R49" s="66">
        <f>D49*Table31220[Buses]%</f>
        <v>3813940198.3676486</v>
      </c>
      <c r="S49" s="66">
        <f t="shared" si="6"/>
        <v>0</v>
      </c>
      <c r="W49" s="66">
        <f>E49*Table41321[Cars]%</f>
        <v>5528933.4419289408</v>
      </c>
      <c r="X49" s="66">
        <f>E49*Table41321[DPV]%</f>
        <v>320875.60154051887</v>
      </c>
      <c r="Y49" s="66">
        <f t="shared" si="7"/>
        <v>0</v>
      </c>
      <c r="AB49" s="117">
        <f t="shared" si="35"/>
        <v>2046</v>
      </c>
      <c r="AD49" s="66">
        <f>H49*Table51422[Autocycle]*0.01*$AD$7/1000</f>
        <v>11776.436928056024</v>
      </c>
      <c r="AE49" s="66">
        <f>I49*Table51422[Motocycle]*0.01*$AD$7/1000</f>
        <v>9200.8064560767016</v>
      </c>
      <c r="AF49" s="66">
        <f>J49*Table51422[Car]*0.01*$AD$7/$AL$8/1000</f>
        <v>110823.25529153446</v>
      </c>
      <c r="AG49" s="66">
        <f>K49*Table51422[DPV]*0.01*$AD$7/$AL$8/1000</f>
        <v>6357.885029858523</v>
      </c>
      <c r="AH49" s="66">
        <f>L49*Table51422[Car_Hbrid]*0.01*$AD$7/$AL$8/1000</f>
        <v>889.51913113048681</v>
      </c>
      <c r="AI49" s="66">
        <f>Freight!E41*$AG$8*$AI$8*$AD$7/1000</f>
        <v>8668.5020363757885</v>
      </c>
      <c r="AJ49" s="66">
        <f t="shared" si="30"/>
        <v>147716.40487303198</v>
      </c>
      <c r="AK49" s="66">
        <f>P49*Table51422[Car_Dsl]*0.01*$AD$8/$AL$8/1000</f>
        <v>12729.096140367255</v>
      </c>
      <c r="AL49" s="66">
        <f>Q49*Table51422[DPV_Dsl]*0.01*$AD$8/$AL$8/1000</f>
        <v>29638.456339829809</v>
      </c>
      <c r="AM49" s="66">
        <f>R49*Table51422[Bus]*0.01*$AD$8/$AL$9/1000</f>
        <v>28065.151373988221</v>
      </c>
      <c r="AN49" s="66">
        <f>Freight!E41*$AG$9*$AI$9*$AD$8/1000</f>
        <v>263287.40741653868</v>
      </c>
      <c r="AO49" s="66">
        <f t="shared" si="9"/>
        <v>333720.11127072398</v>
      </c>
      <c r="AQ49" s="66">
        <f>W49*Table51422[Car_LPG]*0.01*$AD$9/$AL$8/1000</f>
        <v>129.58699651368207</v>
      </c>
      <c r="AR49" s="66">
        <f>X49*Table51422[DPV_LPG]*0.01*$AD$9/$AL$8/1000</f>
        <v>13.305807677744138</v>
      </c>
      <c r="AS49" s="31">
        <f t="shared" si="31"/>
        <v>310.15303268522973</v>
      </c>
      <c r="AT49" s="66">
        <f t="shared" si="10"/>
        <v>453.04583687665593</v>
      </c>
      <c r="AU49" s="31">
        <f t="shared" si="11"/>
        <v>4530.458368766559</v>
      </c>
      <c r="AW49" s="148">
        <f t="shared" si="3"/>
        <v>481889.5619806326</v>
      </c>
      <c r="AY49" s="163">
        <f t="shared" si="32"/>
        <v>140330.58462938038</v>
      </c>
      <c r="AZ49" s="163">
        <f t="shared" si="33"/>
        <v>317034.10570718779</v>
      </c>
      <c r="BA49" s="163">
        <f t="shared" si="14"/>
        <v>453.04583687665593</v>
      </c>
      <c r="BB49" s="163">
        <f t="shared" si="15"/>
        <v>457817.73617344484</v>
      </c>
      <c r="BF49" s="117">
        <f t="shared" si="36"/>
        <v>2046</v>
      </c>
      <c r="BG49" s="85">
        <f t="shared" si="16"/>
        <v>435.67594626375944</v>
      </c>
      <c r="BH49" s="85">
        <f t="shared" si="17"/>
        <v>0.20746473631607593</v>
      </c>
      <c r="BI49" s="85">
        <f t="shared" si="18"/>
        <v>2.0117792612467968E-2</v>
      </c>
      <c r="BJ49" s="85">
        <f t="shared" si="19"/>
        <v>1017.2134391846831</v>
      </c>
      <c r="BK49" s="85">
        <f t="shared" si="20"/>
        <v>5.3537549430772789E-2</v>
      </c>
      <c r="BL49" s="85">
        <f t="shared" si="21"/>
        <v>5.3537549430772789E-2</v>
      </c>
      <c r="BM49" s="85">
        <f t="shared" si="22"/>
        <v>1.4922514384210668</v>
      </c>
      <c r="BN49" s="85">
        <f t="shared" si="23"/>
        <v>1.4662375464676092E-3</v>
      </c>
      <c r="BO49" s="85">
        <f t="shared" si="24"/>
        <v>4.7297985369922879E-6</v>
      </c>
      <c r="BQ49" s="39">
        <f t="shared" si="37"/>
        <v>1454.3816368868638</v>
      </c>
      <c r="BR49" s="39">
        <f t="shared" si="37"/>
        <v>0.26246852329331632</v>
      </c>
      <c r="BS49" s="39">
        <f t="shared" si="37"/>
        <v>7.3660071841777752E-2</v>
      </c>
      <c r="BT49" s="159">
        <f t="shared" si="26"/>
        <v>1482.8940513780465</v>
      </c>
    </row>
    <row r="50" spans="1:72" x14ac:dyDescent="0.25">
      <c r="A50" s="117">
        <f t="shared" si="34"/>
        <v>2047</v>
      </c>
      <c r="B50" s="66">
        <f>INDEX((Proj_PasMob!$Q$6:$Q$46),MATCH(A50,Proj_PasMob!$M$6:M$46,0))</f>
        <v>10571068961.036474</v>
      </c>
      <c r="C50" s="119">
        <f>B50*Table11018[Gasoline]%</f>
        <v>5806726462.7736168</v>
      </c>
      <c r="D50" s="123">
        <f>B50*Table11018[[Diesel ]]%</f>
        <v>4758551292.3234568</v>
      </c>
      <c r="E50" s="121">
        <f>B50*Table11018[LPG]%</f>
        <v>5791205.9394016359</v>
      </c>
      <c r="F50" s="66">
        <f t="shared" si="4"/>
        <v>0</v>
      </c>
      <c r="H50" s="31">
        <f>C50*Table21119[Autocycle]%</f>
        <v>656814712.81608212</v>
      </c>
      <c r="I50" s="66">
        <f>C50*Table21119[Motocycle]%</f>
        <v>427635362.53532654</v>
      </c>
      <c r="J50" s="66">
        <f>C50*Table21119[cars]%</f>
        <v>4516896278.05229</v>
      </c>
      <c r="K50" s="66">
        <f>C50*Table21119[DPV]%</f>
        <v>146466195.78385407</v>
      </c>
      <c r="L50" s="66">
        <f>C50*Table21119[Hybrid]%</f>
        <v>58913913.586064748</v>
      </c>
      <c r="M50" s="66">
        <f t="shared" si="5"/>
        <v>0</v>
      </c>
      <c r="P50" s="66">
        <f>D50*Table31220[Cars]%</f>
        <v>402403288.65006799</v>
      </c>
      <c r="Q50" s="66">
        <f>D50*Table31220[DPV]%</f>
        <v>580415673.7493968</v>
      </c>
      <c r="R50" s="66">
        <f>D50*Table31220[Buses]%</f>
        <v>3775732329.9239917</v>
      </c>
      <c r="S50" s="66">
        <f t="shared" si="6"/>
        <v>0</v>
      </c>
      <c r="W50" s="66">
        <f>E50*Table41321[Cars]%</f>
        <v>5473544.8541180016</v>
      </c>
      <c r="X50" s="66">
        <f>E50*Table41321[DPV]%</f>
        <v>317661.08528363402</v>
      </c>
      <c r="Y50" s="66">
        <f t="shared" si="7"/>
        <v>0</v>
      </c>
      <c r="AB50" s="117">
        <f t="shared" si="35"/>
        <v>2047</v>
      </c>
      <c r="AD50" s="66">
        <f>H50*Table51422[Autocycle]*0.01*$AD$7/1000</f>
        <v>11658.461152485457</v>
      </c>
      <c r="AE50" s="66">
        <f>I50*Table51422[Motocycle]*0.01*$AD$7/1000</f>
        <v>9108.633222002456</v>
      </c>
      <c r="AF50" s="66">
        <f>J50*Table51422[Car]*0.01*$AD$7/$AL$8/1000</f>
        <v>109713.03328005959</v>
      </c>
      <c r="AG50" s="66">
        <f>K50*Table51422[DPV]*0.01*$AD$7/$AL$8/1000</f>
        <v>6294.1920451324668</v>
      </c>
      <c r="AH50" s="66">
        <f>L50*Table51422[Car_Hbrid]*0.01*$AD$7/$AL$8/1000</f>
        <v>880.60797149696793</v>
      </c>
      <c r="AI50" s="66">
        <f>Freight!E42*$AG$8*$AI$8*$AD$7/1000</f>
        <v>8929.6834308917969</v>
      </c>
      <c r="AJ50" s="66">
        <f t="shared" si="30"/>
        <v>146584.61110206874</v>
      </c>
      <c r="AK50" s="66">
        <f>P50*Table51422[Car_Dsl]*0.01*$AD$8/$AL$8/1000</f>
        <v>12601.576670883707</v>
      </c>
      <c r="AL50" s="66">
        <f>Q50*Table51422[DPV_Dsl]*0.01*$AD$8/$AL$8/1000</f>
        <v>29341.539717699772</v>
      </c>
      <c r="AM50" s="66">
        <f>R50*Table51422[Bus]*0.01*$AD$8/$AL$9/1000</f>
        <v>27783.996044912117</v>
      </c>
      <c r="AN50" s="66">
        <f>Freight!E42*$AG$9*$AI$9*$AD$8/1000</f>
        <v>271220.2396335692</v>
      </c>
      <c r="AO50" s="66">
        <f t="shared" si="9"/>
        <v>340947.35206706478</v>
      </c>
      <c r="AQ50" s="66">
        <f>W50*Table51422[Car_LPG]*0.01*$AD$9/$AL$8/1000</f>
        <v>128.28880025016369</v>
      </c>
      <c r="AR50" s="66">
        <f>X50*Table51422[DPV_LPG]*0.01*$AD$9/$AL$8/1000</f>
        <v>13.172510739972163</v>
      </c>
      <c r="AS50" s="31">
        <f t="shared" si="31"/>
        <v>288.13216736457844</v>
      </c>
      <c r="AT50" s="66">
        <f t="shared" si="10"/>
        <v>429.59347835471431</v>
      </c>
      <c r="AU50" s="31">
        <f t="shared" si="11"/>
        <v>4295.9347835471435</v>
      </c>
      <c r="AW50" s="148">
        <f t="shared" si="3"/>
        <v>487961.55664748827</v>
      </c>
      <c r="AY50" s="163">
        <f t="shared" si="32"/>
        <v>139255.38054696529</v>
      </c>
      <c r="AZ50" s="163">
        <f t="shared" si="33"/>
        <v>323899.9844637115</v>
      </c>
      <c r="BA50" s="163">
        <f t="shared" si="14"/>
        <v>429.59347835471431</v>
      </c>
      <c r="BB50" s="163">
        <f t="shared" si="15"/>
        <v>463584.95848903153</v>
      </c>
      <c r="BF50" s="117">
        <f t="shared" si="36"/>
        <v>2047</v>
      </c>
      <c r="BG50" s="85">
        <f t="shared" si="16"/>
        <v>432.33782466133027</v>
      </c>
      <c r="BH50" s="85">
        <f t="shared" si="17"/>
        <v>0.20587515460063344</v>
      </c>
      <c r="BI50" s="85">
        <f t="shared" si="18"/>
        <v>1.9963651355212941E-2</v>
      </c>
      <c r="BJ50" s="85">
        <f t="shared" si="19"/>
        <v>1039.2428171513523</v>
      </c>
      <c r="BK50" s="85">
        <f t="shared" si="20"/>
        <v>5.469699037638695E-2</v>
      </c>
      <c r="BL50" s="85">
        <f t="shared" si="21"/>
        <v>5.469699037638695E-2</v>
      </c>
      <c r="BM50" s="85">
        <f t="shared" si="22"/>
        <v>1.415003590874325</v>
      </c>
      <c r="BN50" s="85">
        <f t="shared" si="23"/>
        <v>1.3903363333471973E-3</v>
      </c>
      <c r="BO50" s="85">
        <f t="shared" si="24"/>
        <v>4.4849559140232174E-6</v>
      </c>
      <c r="BQ50" s="39">
        <f t="shared" si="37"/>
        <v>1472.9956454035569</v>
      </c>
      <c r="BR50" s="39">
        <f t="shared" si="37"/>
        <v>0.26196248131036759</v>
      </c>
      <c r="BS50" s="39">
        <f t="shared" si="37"/>
        <v>7.4665126687513919E-2</v>
      </c>
      <c r="BT50" s="159">
        <f t="shared" si="26"/>
        <v>1501.7949151891951</v>
      </c>
    </row>
    <row r="51" spans="1:72" x14ac:dyDescent="0.25">
      <c r="A51" s="117">
        <f t="shared" si="34"/>
        <v>2048</v>
      </c>
      <c r="B51" s="66">
        <f>INDEX((Proj_PasMob!$Q$6:$Q$46),MATCH(A51,Proj_PasMob!$M$6:M$46,0))</f>
        <v>10463377993.913282</v>
      </c>
      <c r="C51" s="119">
        <f>B51*Table11018[Gasoline]%</f>
        <v>5747571424.5366306</v>
      </c>
      <c r="D51" s="123">
        <f>B51*Table11018[[Diesel ]]%</f>
        <v>4710074360.3627949</v>
      </c>
      <c r="E51" s="121">
        <f>B51*Table11018[LPG]%</f>
        <v>5732209.0138567872</v>
      </c>
      <c r="F51" s="66">
        <f t="shared" si="4"/>
        <v>0</v>
      </c>
      <c r="H51" s="31">
        <f>C51*Table21119[Autocycle]%</f>
        <v>650123524.63969064</v>
      </c>
      <c r="I51" s="66">
        <f>C51*Table21119[Motocycle]%</f>
        <v>423278900.01131409</v>
      </c>
      <c r="J51" s="66">
        <f>C51*Table21119[cars]%</f>
        <v>4470881165.4490595</v>
      </c>
      <c r="K51" s="66">
        <f>C51*Table21119[DPV]%</f>
        <v>144974096.32513747</v>
      </c>
      <c r="L51" s="66">
        <f>C51*Table21119[Hybrid]%</f>
        <v>58313738.111429162</v>
      </c>
      <c r="M51" s="66">
        <f t="shared" si="5"/>
        <v>0</v>
      </c>
      <c r="P51" s="66">
        <f>D51*Table31220[Cars]%</f>
        <v>398303873.58731449</v>
      </c>
      <c r="Q51" s="66">
        <f>D51*Table31220[DPV]%</f>
        <v>574502787.78962123</v>
      </c>
      <c r="R51" s="66">
        <f>D51*Table31220[Buses]%</f>
        <v>3737267698.9858589</v>
      </c>
      <c r="S51" s="66">
        <f t="shared" si="6"/>
        <v>0</v>
      </c>
      <c r="W51" s="66">
        <f>E51*Table41321[Cars]%</f>
        <v>5417784.0468519842</v>
      </c>
      <c r="X51" s="66">
        <f>E51*Table41321[DPV]%</f>
        <v>314424.96700480266</v>
      </c>
      <c r="Y51" s="66">
        <f t="shared" si="7"/>
        <v>0</v>
      </c>
      <c r="AB51" s="117">
        <f t="shared" si="35"/>
        <v>2048</v>
      </c>
      <c r="AD51" s="66">
        <f>H51*Table51422[Autocycle]*0.01*$AD$7/1000</f>
        <v>11539.692562354507</v>
      </c>
      <c r="AE51" s="66">
        <f>I51*Table51422[Motocycle]*0.01*$AD$7/1000</f>
        <v>9015.8405702409891</v>
      </c>
      <c r="AF51" s="66">
        <f>J51*Table51422[Car]*0.01*$AD$7/$AL$8/1000</f>
        <v>108595.35041340742</v>
      </c>
      <c r="AG51" s="66">
        <f>K51*Table51422[DPV]*0.01*$AD$7/$AL$8/1000</f>
        <v>6230.0710341828808</v>
      </c>
      <c r="AH51" s="66">
        <f>L51*Table51422[Car_Hbrid]*0.01*$AD$7/$AL$8/1000</f>
        <v>871.63692756030957</v>
      </c>
      <c r="AI51" s="66">
        <f>Freight!E43*$AG$8*$AI$8*$AD$7/1000</f>
        <v>9198.6916231080813</v>
      </c>
      <c r="AJ51" s="66">
        <f t="shared" si="30"/>
        <v>145451.28313085419</v>
      </c>
      <c r="AK51" s="66">
        <f>P51*Table51422[Car_Dsl]*0.01*$AD$8/$AL$8/1000</f>
        <v>12473.200251813269</v>
      </c>
      <c r="AL51" s="66">
        <f>Q51*Table51422[DPV_Dsl]*0.01*$AD$8/$AL$8/1000</f>
        <v>29042.627772206906</v>
      </c>
      <c r="AM51" s="66">
        <f>R51*Table51422[Bus]*0.01*$AD$8/$AL$9/1000</f>
        <v>27500.95131068023</v>
      </c>
      <c r="AN51" s="66">
        <f>Freight!E43*$AG$9*$AI$9*$AD$8/1000</f>
        <v>279390.79426979419</v>
      </c>
      <c r="AO51" s="66">
        <f t="shared" si="9"/>
        <v>348407.57360449457</v>
      </c>
      <c r="AQ51" s="66">
        <f>W51*Table51422[Car_LPG]*0.01*$AD$9/$AL$8/1000</f>
        <v>126.98187991685242</v>
      </c>
      <c r="AR51" s="66">
        <f>X51*Table51422[DPV_LPG]*0.01*$AD$9/$AL$8/1000</f>
        <v>13.038318027176812</v>
      </c>
      <c r="AS51" s="31">
        <f t="shared" si="31"/>
        <v>267.6747834816934</v>
      </c>
      <c r="AT51" s="66">
        <f t="shared" si="10"/>
        <v>407.69498142572263</v>
      </c>
      <c r="AU51" s="31">
        <f t="shared" si="11"/>
        <v>4076.9498142572265</v>
      </c>
      <c r="AW51" s="148">
        <f t="shared" si="3"/>
        <v>494266.55171677447</v>
      </c>
      <c r="AY51" s="163">
        <f t="shared" si="32"/>
        <v>138178.71897431149</v>
      </c>
      <c r="AZ51" s="163">
        <f t="shared" si="33"/>
        <v>330987.1949242698</v>
      </c>
      <c r="BA51" s="163">
        <f t="shared" si="14"/>
        <v>407.69498142572263</v>
      </c>
      <c r="BB51" s="163">
        <f t="shared" si="15"/>
        <v>469573.608880007</v>
      </c>
      <c r="BF51" s="117">
        <f t="shared" si="36"/>
        <v>2048</v>
      </c>
      <c r="BG51" s="85">
        <f t="shared" si="16"/>
        <v>428.99517807640643</v>
      </c>
      <c r="BH51" s="85">
        <f t="shared" si="17"/>
        <v>0.20428341813162207</v>
      </c>
      <c r="BI51" s="85">
        <f t="shared" si="18"/>
        <v>1.9809301152157292E-2</v>
      </c>
      <c r="BJ51" s="85">
        <f t="shared" si="19"/>
        <v>1061.9823445303673</v>
      </c>
      <c r="BK51" s="85">
        <f t="shared" si="20"/>
        <v>5.589380760686144E-2</v>
      </c>
      <c r="BL51" s="85">
        <f t="shared" si="21"/>
        <v>5.589380760686144E-2</v>
      </c>
      <c r="BM51" s="85">
        <f t="shared" si="22"/>
        <v>1.3428738837196736</v>
      </c>
      <c r="BN51" s="85">
        <f t="shared" si="23"/>
        <v>1.3194640378862087E-3</v>
      </c>
      <c r="BO51" s="85">
        <f t="shared" si="24"/>
        <v>4.2563356060845449E-6</v>
      </c>
      <c r="BQ51" s="39">
        <f t="shared" si="37"/>
        <v>1492.3203964904933</v>
      </c>
      <c r="BR51" s="39">
        <f t="shared" si="37"/>
        <v>0.2614966897763697</v>
      </c>
      <c r="BS51" s="39">
        <f t="shared" si="37"/>
        <v>7.5707365094624807E-2</v>
      </c>
      <c r="BT51" s="159">
        <f t="shared" si="26"/>
        <v>1521.4186085331007</v>
      </c>
    </row>
    <row r="52" spans="1:72" x14ac:dyDescent="0.25">
      <c r="A52" s="117">
        <f t="shared" si="34"/>
        <v>2049</v>
      </c>
      <c r="B52" s="66">
        <f>INDEX((Proj_PasMob!$Q$6:$Q$46),MATCH(A52,Proj_PasMob!$M$6:M$46,0))</f>
        <v>10355101402.684845</v>
      </c>
      <c r="C52" s="119">
        <f>B52*Table11018[Gasoline]%</f>
        <v>5688094700.8578329</v>
      </c>
      <c r="D52" s="123">
        <f>B52*Table11018[[Diesel ]]%</f>
        <v>4661333810.5643253</v>
      </c>
      <c r="E52" s="121">
        <f>B52*Table11018[LPG]%</f>
        <v>5672891.2626878638</v>
      </c>
      <c r="F52" s="66">
        <f t="shared" si="4"/>
        <v>0</v>
      </c>
      <c r="H52" s="31">
        <f>C52*Table21119[Autocycle]%</f>
        <v>643395949.74309886</v>
      </c>
      <c r="I52" s="66">
        <f>C52*Table21119[Motocycle]%</f>
        <v>418898747.01877111</v>
      </c>
      <c r="J52" s="66">
        <f>C52*Table21119[cars]%</f>
        <v>4424615822.395999</v>
      </c>
      <c r="K52" s="66">
        <f>C52*Table21119[DPV]%</f>
        <v>143473882.82089055</v>
      </c>
      <c r="L52" s="66">
        <f>C52*Table21119[Hybrid]%</f>
        <v>57710298.879073583</v>
      </c>
      <c r="M52" s="66">
        <f t="shared" si="5"/>
        <v>0</v>
      </c>
      <c r="P52" s="66">
        <f>D52*Table31220[Cars]%</f>
        <v>394182165.88161904</v>
      </c>
      <c r="Q52" s="66">
        <f>D52*Table31220[DPV]%</f>
        <v>568557747.52162373</v>
      </c>
      <c r="R52" s="66">
        <f>D52*Table31220[Buses]%</f>
        <v>3698593897.1610823</v>
      </c>
      <c r="S52" s="66">
        <f t="shared" si="6"/>
        <v>0</v>
      </c>
      <c r="W52" s="66">
        <f>E52*Table41321[Cars]%</f>
        <v>5361720.011991905</v>
      </c>
      <c r="X52" s="66">
        <f>E52*Table41321[DPV]%</f>
        <v>311171.25069595873</v>
      </c>
      <c r="Y52" s="66">
        <f t="shared" si="7"/>
        <v>0</v>
      </c>
      <c r="AB52" s="117">
        <f t="shared" si="35"/>
        <v>2049</v>
      </c>
      <c r="AD52" s="66">
        <f>H52*Table51422[Autocycle]*0.01*$AD$7/1000</f>
        <v>11420.278107940003</v>
      </c>
      <c r="AE52" s="66">
        <f>I52*Table51422[Motocycle]*0.01*$AD$7/1000</f>
        <v>8922.543311499825</v>
      </c>
      <c r="AF52" s="66">
        <f>J52*Table51422[Car]*0.01*$AD$7/$AL$8/1000</f>
        <v>107471.58958082912</v>
      </c>
      <c r="AG52" s="66">
        <f>K52*Table51422[DPV]*0.01*$AD$7/$AL$8/1000</f>
        <v>6165.6013328030076</v>
      </c>
      <c r="AH52" s="66">
        <f>L52*Table51422[Car_Hbrid]*0.01*$AD$7/$AL$8/1000</f>
        <v>862.61709903457358</v>
      </c>
      <c r="AI52" s="66">
        <f>Freight!E44*$AG$8*$AI$8*$AD$7/1000</f>
        <v>9475.76141695566</v>
      </c>
      <c r="AJ52" s="66">
        <f t="shared" si="30"/>
        <v>144318.39084906218</v>
      </c>
      <c r="AK52" s="66">
        <f>P52*Table51422[Car_Dsl]*0.01*$AD$8/$AL$8/1000</f>
        <v>12344.12572102965</v>
      </c>
      <c r="AL52" s="66">
        <f>Q52*Table51422[DPV_Dsl]*0.01*$AD$8/$AL$8/1000</f>
        <v>28742.090341816824</v>
      </c>
      <c r="AM52" s="66">
        <f>R52*Table51422[Bus]*0.01*$AD$8/$AL$9/1000</f>
        <v>27216.367377538194</v>
      </c>
      <c r="AN52" s="66">
        <f>Freight!E44*$AG$9*$AI$9*$AD$8/1000</f>
        <v>287806.20299778954</v>
      </c>
      <c r="AO52" s="66">
        <f t="shared" si="9"/>
        <v>356108.7864381742</v>
      </c>
      <c r="AQ52" s="66">
        <f>W52*Table51422[Car_LPG]*0.01*$AD$9/$AL$8/1000</f>
        <v>125.66785254317125</v>
      </c>
      <c r="AR52" s="66">
        <f>X52*Table51422[DPV_LPG]*0.01*$AD$9/$AL$8/1000</f>
        <v>12.90339557362919</v>
      </c>
      <c r="AS52" s="31">
        <f t="shared" si="31"/>
        <v>248.66987385449318</v>
      </c>
      <c r="AT52" s="66">
        <f t="shared" si="10"/>
        <v>387.24112197129364</v>
      </c>
      <c r="AU52" s="31">
        <f t="shared" si="11"/>
        <v>3872.4112197129361</v>
      </c>
      <c r="AW52" s="148">
        <f t="shared" si="3"/>
        <v>500814.41840920766</v>
      </c>
      <c r="AY52" s="163">
        <f t="shared" si="32"/>
        <v>137102.47130660908</v>
      </c>
      <c r="AZ52" s="163">
        <f t="shared" si="33"/>
        <v>338303.34711626545</v>
      </c>
      <c r="BA52" s="163">
        <f t="shared" si="14"/>
        <v>387.24112197129364</v>
      </c>
      <c r="BB52" s="163">
        <f t="shared" si="15"/>
        <v>475793.05954484583</v>
      </c>
      <c r="BF52" s="117">
        <f t="shared" si="36"/>
        <v>2049</v>
      </c>
      <c r="BG52" s="85">
        <f t="shared" si="16"/>
        <v>425.65381651735078</v>
      </c>
      <c r="BH52" s="85">
        <f t="shared" si="17"/>
        <v>0.20269229357969082</v>
      </c>
      <c r="BI52" s="85">
        <f t="shared" si="18"/>
        <v>1.9655010286515475E-2</v>
      </c>
      <c r="BJ52" s="85">
        <f t="shared" si="19"/>
        <v>1085.456438322951</v>
      </c>
      <c r="BK52" s="85">
        <f t="shared" si="20"/>
        <v>5.7129286227523737E-2</v>
      </c>
      <c r="BL52" s="85">
        <f t="shared" si="21"/>
        <v>5.7129286227523737E-2</v>
      </c>
      <c r="BM52" s="85">
        <f t="shared" si="22"/>
        <v>1.2755025523714862</v>
      </c>
      <c r="BN52" s="85">
        <f t="shared" si="23"/>
        <v>1.2532671671478947E-3</v>
      </c>
      <c r="BO52" s="85">
        <f t="shared" si="24"/>
        <v>4.0427973133803063E-6</v>
      </c>
      <c r="BQ52" s="39">
        <f t="shared" si="37"/>
        <v>1512.3857573926734</v>
      </c>
      <c r="BR52" s="39">
        <f t="shared" si="37"/>
        <v>0.26107484697436245</v>
      </c>
      <c r="BS52" s="39">
        <f t="shared" si="37"/>
        <v>7.6788339311352594E-2</v>
      </c>
      <c r="BT52" s="159">
        <f t="shared" si="26"/>
        <v>1541.7955536818156</v>
      </c>
    </row>
    <row r="53" spans="1:72" x14ac:dyDescent="0.25">
      <c r="A53" s="117">
        <f>A52+1</f>
        <v>2050</v>
      </c>
      <c r="B53" s="66">
        <f>INDEX((Proj_PasMob!$Q$6:$Q$46),MATCH(A53,Proj_PasMob!$M$6:M$46,0))</f>
        <v>10241580100.230583</v>
      </c>
      <c r="C53" s="119">
        <f>B53*Table11018[Gasoline]%</f>
        <v>5625737038.3092899</v>
      </c>
      <c r="D53" s="123">
        <f>B53*Table11018[[Diesel ]]%</f>
        <v>4610232361.6483202</v>
      </c>
      <c r="E53" s="121">
        <f>B53*Table11018[LPG]%</f>
        <v>5610700.2729738709</v>
      </c>
      <c r="F53" s="66">
        <f t="shared" si="4"/>
        <v>0</v>
      </c>
      <c r="H53" s="31">
        <f>C53*Table21119[Autocycle]%</f>
        <v>636342503.97097957</v>
      </c>
      <c r="I53" s="66">
        <f>C53*Table21119[Motocycle]%</f>
        <v>414306427.78318167</v>
      </c>
      <c r="J53" s="66">
        <f>C53*Table21119[cars]%</f>
        <v>4376109474.5114775</v>
      </c>
      <c r="K53" s="66">
        <f>C53*Table21119[DPV]%</f>
        <v>141901001.84052905</v>
      </c>
      <c r="L53" s="66">
        <f>C53*Table21119[Hybrid]%</f>
        <v>57077630.20312237</v>
      </c>
      <c r="M53" s="66">
        <f t="shared" si="5"/>
        <v>0</v>
      </c>
      <c r="P53" s="66">
        <f>D53*Table31220[Cars]%</f>
        <v>389860810.52883404</v>
      </c>
      <c r="Q53" s="66">
        <f>D53*Table31220[DPV]%</f>
        <v>562324740.86054146</v>
      </c>
      <c r="R53" s="66">
        <f>D53*Table31220[Buses]%</f>
        <v>3658046810.2589445</v>
      </c>
      <c r="S53" s="66">
        <f t="shared" si="6"/>
        <v>0</v>
      </c>
      <c r="W53" s="66">
        <f>E53*Table41321[Cars]%</f>
        <v>5302940.3423888059</v>
      </c>
      <c r="X53" s="66">
        <f>E53*Table41321[DPV]%</f>
        <v>307759.93058506463</v>
      </c>
      <c r="Y53" s="66">
        <f t="shared" si="7"/>
        <v>0</v>
      </c>
      <c r="AB53" s="117">
        <f t="shared" si="35"/>
        <v>2050</v>
      </c>
      <c r="AD53" s="66">
        <f>H53*Table51422[Autocycle]*0.01*$AD$7/1000</f>
        <v>11295.079445484887</v>
      </c>
      <c r="AE53" s="66">
        <f>I53*Table51422[Motocycle]*0.01*$AD$7/1000</f>
        <v>8824.7269117817686</v>
      </c>
      <c r="AF53" s="66">
        <f>J53*Table51422[Car]*0.01*$AD$7/$AL$8/1000</f>
        <v>106293.39592037089</v>
      </c>
      <c r="AG53" s="66">
        <f>K53*Table51422[DPV]*0.01*$AD$7/$AL$8/1000</f>
        <v>6098.0088422522085</v>
      </c>
      <c r="AH53" s="66">
        <f>L53*Table51422[Car_Hbrid]*0.01*$AD$7/$AL$8/1000</f>
        <v>853.16036724667129</v>
      </c>
      <c r="AI53" s="66">
        <f>Freight!E45*$AG$8*$AI$8*$AD$7/1000</f>
        <v>9761.1471782169028</v>
      </c>
      <c r="AJ53" s="66">
        <f t="shared" si="30"/>
        <v>143125.5186653533</v>
      </c>
      <c r="AK53" s="66">
        <f>P53*Table51422[Car_Dsl]*0.01*$AD$8/$AL$8/1000</f>
        <v>12208.799066560858</v>
      </c>
      <c r="AL53" s="66">
        <f>Q53*Table51422[DPV_Dsl]*0.01*$AD$8/$AL$8/1000</f>
        <v>28426.995452450006</v>
      </c>
      <c r="AM53" s="66">
        <f>R53*Table51422[Bus]*0.01*$AD$8/$AL$9/1000</f>
        <v>26917.998742348322</v>
      </c>
      <c r="AN53" s="66">
        <f>Freight!E45*$AG$9*$AI$9*$AD$8/1000</f>
        <v>296474.19163997512</v>
      </c>
      <c r="AO53" s="66">
        <f t="shared" si="9"/>
        <v>364027.98490133428</v>
      </c>
      <c r="AQ53" s="66">
        <f>W53*Table51422[Car_LPG]*0.01*$AD$9/$AL$8/1000</f>
        <v>124.29017619384722</v>
      </c>
      <c r="AR53" s="66">
        <f>X53*Table51422[DPV_LPG]*0.01*$AD$9/$AL$8/1000</f>
        <v>12.761937734189667</v>
      </c>
      <c r="AS53" s="31">
        <f t="shared" si="31"/>
        <v>231.01431281082418</v>
      </c>
      <c r="AT53" s="66">
        <f t="shared" si="10"/>
        <v>368.06642673886108</v>
      </c>
      <c r="AU53" s="31">
        <f t="shared" si="11"/>
        <v>3680.6642673886108</v>
      </c>
      <c r="AW53" s="148">
        <f t="shared" si="3"/>
        <v>507521.56999342644</v>
      </c>
      <c r="AY53" s="163">
        <f t="shared" si="32"/>
        <v>135969.24273208564</v>
      </c>
      <c r="AZ53" s="163">
        <f t="shared" si="33"/>
        <v>345826.58565626753</v>
      </c>
      <c r="BA53" s="163">
        <f t="shared" si="14"/>
        <v>368.06642673886108</v>
      </c>
      <c r="BB53" s="163">
        <f t="shared" si="15"/>
        <v>482163.89481509203</v>
      </c>
      <c r="BF53" s="117">
        <f t="shared" si="36"/>
        <v>2050</v>
      </c>
      <c r="BG53" s="85">
        <f t="shared" si="16"/>
        <v>422.13554975574232</v>
      </c>
      <c r="BH53" s="85">
        <f t="shared" si="17"/>
        <v>0.20101692845511537</v>
      </c>
      <c r="BI53" s="85">
        <f t="shared" si="18"/>
        <v>1.9492550638071794E-2</v>
      </c>
      <c r="BJ53" s="85">
        <f t="shared" si="19"/>
        <v>1109.5949748757039</v>
      </c>
      <c r="BK53" s="85">
        <f t="shared" si="20"/>
        <v>5.8399735519773892E-2</v>
      </c>
      <c r="BL53" s="85">
        <f t="shared" si="21"/>
        <v>5.8399735519773892E-2</v>
      </c>
      <c r="BM53" s="85">
        <f t="shared" si="22"/>
        <v>1.2123445577209953</v>
      </c>
      <c r="BN53" s="85">
        <f t="shared" si="23"/>
        <v>1.1912101834976501E-3</v>
      </c>
      <c r="BO53" s="85">
        <f t="shared" si="24"/>
        <v>3.84261349515371E-6</v>
      </c>
      <c r="BQ53" s="39">
        <f t="shared" si="37"/>
        <v>1532.9428691891674</v>
      </c>
      <c r="BR53" s="39">
        <f t="shared" si="37"/>
        <v>0.26060787415838693</v>
      </c>
      <c r="BS53" s="39">
        <f t="shared" si="37"/>
        <v>7.7896128771340833E-2</v>
      </c>
      <c r="BT53" s="159">
        <f t="shared" si="26"/>
        <v>1562.6711124169865</v>
      </c>
    </row>
  </sheetData>
  <mergeCells count="20">
    <mergeCell ref="AB3:AC3"/>
    <mergeCell ref="AB4:AC4"/>
    <mergeCell ref="A7:E7"/>
    <mergeCell ref="H7:M7"/>
    <mergeCell ref="O7:S7"/>
    <mergeCell ref="U7:Z7"/>
    <mergeCell ref="AQ8:AU9"/>
    <mergeCell ref="AW9:AW10"/>
    <mergeCell ref="C11:F11"/>
    <mergeCell ref="I11:L11"/>
    <mergeCell ref="P11:R11"/>
    <mergeCell ref="W11:Y11"/>
    <mergeCell ref="AD11:AI11"/>
    <mergeCell ref="AK11:AN11"/>
    <mergeCell ref="AQ11:AS11"/>
    <mergeCell ref="AY11:BB11"/>
    <mergeCell ref="BG11:BI11"/>
    <mergeCell ref="BJ11:BL11"/>
    <mergeCell ref="BM11:BO11"/>
    <mergeCell ref="BQ11:BT11"/>
  </mergeCells>
  <pageMargins left="0.7" right="0.7" top="0.75" bottom="0.75" header="0.3" footer="0.3"/>
  <pageSetup orientation="portrait" horizontalDpi="0" verticalDpi="0" r:id="rId1"/>
  <drawing r:id="rId2"/>
  <tableParts count="8">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FE7AF24C04954491C86467E44D5D3F" ma:contentTypeVersion="1" ma:contentTypeDescription="Create a new document." ma:contentTypeScope="" ma:versionID="a2d20bfa859f81238ec0f30d82f64af7">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43384D-7D0B-4FD1-93B2-FDB265DE17E7}"/>
</file>

<file path=customXml/itemProps2.xml><?xml version="1.0" encoding="utf-8"?>
<ds:datastoreItem xmlns:ds="http://schemas.openxmlformats.org/officeDocument/2006/customXml" ds:itemID="{5048FB9F-F107-4E5D-9815-D78BF3D4E5C5}"/>
</file>

<file path=customXml/itemProps3.xml><?xml version="1.0" encoding="utf-8"?>
<ds:datastoreItem xmlns:ds="http://schemas.openxmlformats.org/officeDocument/2006/customXml" ds:itemID="{D45DFC68-FF8F-4353-8489-5C9D0760C3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summary table 2003-2015</vt:lpstr>
      <vt:lpstr>summary table 2000-2015 FINAL</vt:lpstr>
      <vt:lpstr>PassMobility</vt:lpstr>
      <vt:lpstr>Proj_PasMob</vt:lpstr>
      <vt:lpstr>Freight</vt:lpstr>
      <vt:lpstr>EnergyCal</vt:lpstr>
      <vt:lpstr>BAU</vt:lpstr>
      <vt:lpstr>Scenario1</vt:lpstr>
      <vt:lpstr>Scenario2</vt:lpstr>
      <vt:lpstr>Scenario3</vt:lpstr>
      <vt:lpstr>LRS4</vt:lpstr>
      <vt:lpstr>BAU (2)</vt:lpstr>
      <vt:lpstr>AC</vt:lpstr>
      <vt:lpstr>Bus</vt:lpstr>
      <vt:lpstr>CarDsl</vt:lpstr>
      <vt:lpstr>CarPet</vt:lpstr>
      <vt:lpstr>DPVPet</vt:lpstr>
      <vt:lpstr>GoodsDsl</vt:lpstr>
      <vt:lpstr>GoodsPet</vt:lpstr>
      <vt:lpstr>hybrid</vt:lpstr>
      <vt:lpstr>MC</vt:lpstr>
      <vt:lpstr>'summary table 2000-2015 FINAL'!Print_Area</vt:lpstr>
      <vt:lpstr>'summary table 2003-2015'!Print_Area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nabiilah</dc:creator>
  <cp:lastModifiedBy>Elia</cp:lastModifiedBy>
  <cp:lastPrinted>2016-06-23T09:46:45Z</cp:lastPrinted>
  <dcterms:created xsi:type="dcterms:W3CDTF">2016-06-16T10:21:44Z</dcterms:created>
  <dcterms:modified xsi:type="dcterms:W3CDTF">2016-09-07T06:39:06Z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0x01010081FE7AF24C04954491C86467E44D5D3F</vt:lpwstr>
  </property>
</Properties>
</file>