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harts/style3.xml" ContentType="application/vnd.ms-office.chartsty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olors3.xml" ContentType="application/vnd.ms-office.chartcolorstyle+xml"/>
  <Override PartName="/xl/drawings/drawing2.xml" ContentType="application/vnd.openxmlformats-officedocument.drawing+xml"/>
  <Override PartName="/xl/charts/style7.xml" ContentType="application/vnd.ms-office.chart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chart11.xml" ContentType="application/vnd.openxmlformats-officedocument.drawingml.chart+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comments3.xml" ContentType="application/vnd.openxmlformats-officedocument.spreadsheetml.comments+xml"/>
  <Override PartName="/xl/comments4.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https://kairosclimate-my.sharepoint.com/personal/jose_ramirez_kairosclimate_com/Documents/Escritorio/Proyectos/2020/BUR Mauritius (Waste)/"/>
    </mc:Choice>
  </mc:AlternateContent>
  <xr:revisionPtr revIDLastSave="46" documentId="6_{FF9AA0E8-9355-48A2-8707-03A11AD5042D}" xr6:coauthVersionLast="45" xr6:coauthVersionMax="45" xr10:uidLastSave="{8A293176-1BEC-4DB0-A424-E751E0D63B4A}"/>
  <bookViews>
    <workbookView xWindow="-110" yWindow="-110" windowWidth="19420" windowHeight="10420" activeTab="6" xr2:uid="{00000000-000D-0000-FFFF-FFFF00000000}"/>
  </bookViews>
  <sheets>
    <sheet name="AD Mauritius" sheetId="2" r:id="rId1"/>
    <sheet name="AD Rodrigues" sheetId="5" r:id="rId2"/>
    <sheet name="AD Total" sheetId="6" r:id="rId3"/>
    <sheet name="EFs" sheetId="8" r:id="rId4"/>
    <sheet name="IPCC_EF_Database" sheetId="7" r:id="rId5"/>
    <sheet name="GWP (SAR)" sheetId="10" r:id="rId6"/>
    <sheet name="EE RoM" sheetId="9" r:id="rId7"/>
  </sheets>
  <definedNames>
    <definedName name="_xlnm._FilterDatabase" localSheetId="4" hidden="1">IPCC_EF_Database!$A$1:$AA$61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46" i="6" l="1"/>
  <c r="U47" i="6"/>
  <c r="U48" i="6"/>
  <c r="U49" i="6"/>
  <c r="U50" i="6"/>
  <c r="U51" i="6"/>
  <c r="U52" i="6"/>
  <c r="U53" i="6"/>
  <c r="U54" i="6"/>
  <c r="U55" i="6"/>
  <c r="U56" i="6"/>
  <c r="U57" i="6"/>
  <c r="U58" i="6"/>
  <c r="U59" i="6"/>
  <c r="U60" i="6"/>
  <c r="U61" i="6"/>
  <c r="U45" i="6"/>
  <c r="D97" i="9" l="1"/>
  <c r="D96" i="9"/>
  <c r="D95" i="9"/>
  <c r="D94" i="9"/>
  <c r="D93" i="9"/>
  <c r="D92" i="9"/>
  <c r="D91" i="9"/>
  <c r="D90" i="9"/>
  <c r="D89" i="9"/>
  <c r="D88" i="9"/>
  <c r="D87" i="9"/>
  <c r="D86" i="9"/>
  <c r="D85" i="9"/>
  <c r="D84" i="9"/>
  <c r="D83" i="9"/>
  <c r="D82" i="9"/>
  <c r="C7" i="9"/>
  <c r="C8" i="9"/>
  <c r="C9" i="9"/>
  <c r="C10" i="9"/>
  <c r="C11" i="9"/>
  <c r="C12" i="9"/>
  <c r="C13" i="9"/>
  <c r="C14" i="9"/>
  <c r="C15" i="9"/>
  <c r="C16" i="9"/>
  <c r="C17" i="9"/>
  <c r="C18" i="9"/>
  <c r="C19" i="9"/>
  <c r="C20" i="9"/>
  <c r="C21" i="9"/>
  <c r="C22" i="9"/>
  <c r="C6" i="9"/>
  <c r="D81" i="9" s="1"/>
  <c r="C102" i="9" l="1"/>
  <c r="C103" i="9" s="1"/>
  <c r="C104" i="9" s="1"/>
  <c r="C105" i="9" s="1"/>
  <c r="C106" i="9" s="1"/>
  <c r="C107" i="9" s="1"/>
  <c r="C108" i="9" s="1"/>
  <c r="C109" i="9" s="1"/>
  <c r="C110" i="9" s="1"/>
  <c r="C111" i="9" s="1"/>
  <c r="C112" i="9" s="1"/>
  <c r="C113" i="9" s="1"/>
  <c r="C114" i="9" s="1"/>
  <c r="C115" i="9" s="1"/>
  <c r="C116" i="9" s="1"/>
  <c r="C117" i="9" s="1"/>
  <c r="L74" i="2"/>
  <c r="L73" i="2" s="1"/>
  <c r="U75" i="2"/>
  <c r="W75" i="2"/>
  <c r="X75" i="2"/>
  <c r="Y75" i="2"/>
  <c r="J73" i="2"/>
  <c r="J72" i="2" s="1"/>
  <c r="J71" i="2" s="1"/>
  <c r="J70" i="2" s="1"/>
  <c r="J69" i="2" s="1"/>
  <c r="J74" i="2"/>
  <c r="Q74" i="2"/>
  <c r="Q73" i="2" s="1"/>
  <c r="Q72" i="2" s="1"/>
  <c r="Q71" i="2" s="1"/>
  <c r="Q70" i="2" s="1"/>
  <c r="Q69" i="2" s="1"/>
  <c r="P74" i="2"/>
  <c r="P73" i="2" s="1"/>
  <c r="P72" i="2" s="1"/>
  <c r="P71" i="2" s="1"/>
  <c r="P70" i="2" s="1"/>
  <c r="P69" i="2" s="1"/>
  <c r="U73" i="2" l="1"/>
  <c r="L72" i="2"/>
  <c r="L71" i="2" s="1"/>
  <c r="L70" i="2" s="1"/>
  <c r="L69" i="2" s="1"/>
  <c r="B37" i="5"/>
  <c r="B38" i="5" s="1"/>
  <c r="B39" i="5" s="1"/>
  <c r="B40" i="5" s="1"/>
  <c r="B41" i="5" s="1"/>
  <c r="B42" i="5" s="1"/>
  <c r="B36" i="5"/>
  <c r="U72" i="2" l="1"/>
  <c r="U71" i="2"/>
  <c r="U70" i="2" l="1"/>
  <c r="U69" i="2"/>
  <c r="B70" i="6" l="1"/>
  <c r="B71" i="6"/>
  <c r="B72" i="6"/>
  <c r="B73" i="6"/>
  <c r="B74" i="6"/>
  <c r="B75" i="6"/>
  <c r="B76" i="6"/>
  <c r="B77" i="6"/>
  <c r="B78" i="6"/>
  <c r="B79" i="6"/>
  <c r="B80" i="6"/>
  <c r="B81" i="6"/>
  <c r="B82" i="6"/>
  <c r="B83" i="6"/>
  <c r="B84" i="6"/>
  <c r="B85" i="6"/>
  <c r="B69" i="6"/>
  <c r="Q77" i="6" l="1"/>
  <c r="L77" i="6"/>
  <c r="P77" i="6"/>
  <c r="J77" i="6"/>
  <c r="G77" i="6"/>
  <c r="J84" i="6"/>
  <c r="P84" i="6"/>
  <c r="G84" i="6"/>
  <c r="L84" i="6"/>
  <c r="Q84" i="6"/>
  <c r="J76" i="6"/>
  <c r="P76" i="6"/>
  <c r="L76" i="6"/>
  <c r="Q76" i="6"/>
  <c r="G76" i="6"/>
  <c r="Q75" i="6"/>
  <c r="P75" i="6"/>
  <c r="J75" i="6"/>
  <c r="L75" i="6"/>
  <c r="G75" i="6"/>
  <c r="Q74" i="6"/>
  <c r="J74" i="6"/>
  <c r="G74" i="6"/>
  <c r="P74" i="6"/>
  <c r="L74" i="6"/>
  <c r="J73" i="6"/>
  <c r="P73" i="6"/>
  <c r="Q73" i="6"/>
  <c r="G73" i="6"/>
  <c r="L73" i="6"/>
  <c r="Q83" i="6"/>
  <c r="L83" i="6"/>
  <c r="G83" i="6"/>
  <c r="J83" i="6"/>
  <c r="P83" i="6"/>
  <c r="P80" i="6"/>
  <c r="L80" i="6"/>
  <c r="G80" i="6"/>
  <c r="J80" i="6"/>
  <c r="Q80" i="6"/>
  <c r="G72" i="6"/>
  <c r="Q72" i="6"/>
  <c r="P72" i="6"/>
  <c r="L72" i="6"/>
  <c r="J72" i="6"/>
  <c r="P85" i="6"/>
  <c r="L85" i="6"/>
  <c r="G85" i="6"/>
  <c r="J85" i="6"/>
  <c r="Q85" i="6"/>
  <c r="J81" i="6"/>
  <c r="P81" i="6"/>
  <c r="L81" i="6"/>
  <c r="Q81" i="6"/>
  <c r="G81" i="6"/>
  <c r="L79" i="6"/>
  <c r="G79" i="6"/>
  <c r="J79" i="6"/>
  <c r="P79" i="6"/>
  <c r="Q79" i="6"/>
  <c r="L71" i="6"/>
  <c r="G71" i="6"/>
  <c r="J71" i="6"/>
  <c r="P71" i="6"/>
  <c r="Q71" i="6"/>
  <c r="J82" i="6"/>
  <c r="G82" i="6"/>
  <c r="P82" i="6"/>
  <c r="L82" i="6"/>
  <c r="Q82" i="6"/>
  <c r="L69" i="6"/>
  <c r="Q69" i="6"/>
  <c r="J69" i="6"/>
  <c r="P69" i="6"/>
  <c r="P78" i="6"/>
  <c r="G78" i="6"/>
  <c r="L78" i="6"/>
  <c r="Q78" i="6"/>
  <c r="J78" i="6"/>
  <c r="P70" i="6"/>
  <c r="L70" i="6"/>
  <c r="Q70" i="6"/>
  <c r="J70" i="6"/>
  <c r="G70" i="6"/>
  <c r="J31" i="9"/>
  <c r="J32" i="9" s="1"/>
  <c r="J33" i="9" s="1"/>
  <c r="J34" i="9" s="1"/>
  <c r="J35" i="9" s="1"/>
  <c r="J36" i="9" s="1"/>
  <c r="J37" i="9" s="1"/>
  <c r="J38" i="9" s="1"/>
  <c r="J39" i="9" s="1"/>
  <c r="J40" i="9" s="1"/>
  <c r="J41" i="9" s="1"/>
  <c r="J42" i="9" s="1"/>
  <c r="J43" i="9" s="1"/>
  <c r="J44" i="9" s="1"/>
  <c r="J45" i="9" s="1"/>
  <c r="J46" i="9" s="1"/>
  <c r="C97" i="2"/>
  <c r="C96" i="2"/>
  <c r="C95" i="2"/>
  <c r="C94" i="2"/>
  <c r="C93" i="2"/>
  <c r="C98" i="2"/>
  <c r="C109" i="2"/>
  <c r="C108" i="2"/>
  <c r="C107" i="2"/>
  <c r="C107" i="6" s="1"/>
  <c r="Y94" i="6"/>
  <c r="Z94" i="6"/>
  <c r="Y95" i="6"/>
  <c r="Z95" i="6"/>
  <c r="Y96" i="6"/>
  <c r="Z96" i="6"/>
  <c r="Y97" i="6"/>
  <c r="Z97" i="6"/>
  <c r="Y98" i="6"/>
  <c r="Z98" i="6"/>
  <c r="Y99" i="6"/>
  <c r="Z99" i="6"/>
  <c r="Y100" i="6"/>
  <c r="Z100" i="6"/>
  <c r="Y101" i="6"/>
  <c r="Z101" i="6"/>
  <c r="Y102" i="6"/>
  <c r="Z102" i="6"/>
  <c r="Y103" i="6"/>
  <c r="Z103" i="6"/>
  <c r="Y104" i="6"/>
  <c r="Z104" i="6"/>
  <c r="Y105" i="6"/>
  <c r="Z105" i="6"/>
  <c r="Y106" i="6"/>
  <c r="Z106" i="6"/>
  <c r="Y107" i="6"/>
  <c r="Z107" i="6"/>
  <c r="Y108" i="6"/>
  <c r="Z108" i="6"/>
  <c r="Y109" i="6"/>
  <c r="Z109" i="6"/>
  <c r="Y93" i="6"/>
  <c r="Z93" i="6"/>
  <c r="I94" i="6"/>
  <c r="I95" i="6"/>
  <c r="T95" i="6" s="1"/>
  <c r="I96" i="6"/>
  <c r="I97" i="6"/>
  <c r="T97" i="6" s="1"/>
  <c r="I98" i="6"/>
  <c r="T98" i="6" s="1"/>
  <c r="I99" i="6"/>
  <c r="T99" i="6" s="1"/>
  <c r="I100" i="6"/>
  <c r="I101" i="6"/>
  <c r="T101" i="6" s="1"/>
  <c r="I102" i="6"/>
  <c r="I103" i="6"/>
  <c r="T103" i="6" s="1"/>
  <c r="I104" i="6"/>
  <c r="I105" i="6"/>
  <c r="T105" i="6" s="1"/>
  <c r="I106" i="6"/>
  <c r="I107" i="6"/>
  <c r="T107" i="6" s="1"/>
  <c r="I108" i="6"/>
  <c r="I109" i="6"/>
  <c r="T109" i="6" s="1"/>
  <c r="I93" i="6"/>
  <c r="T93" i="6" s="1"/>
  <c r="V109" i="6"/>
  <c r="V108" i="6"/>
  <c r="T108" i="6"/>
  <c r="V107" i="6"/>
  <c r="V106" i="6"/>
  <c r="V105" i="6"/>
  <c r="V104" i="6"/>
  <c r="V103" i="6"/>
  <c r="V102" i="6"/>
  <c r="V101" i="6"/>
  <c r="V100" i="6"/>
  <c r="T100" i="6"/>
  <c r="V99" i="6"/>
  <c r="V98" i="6"/>
  <c r="V97" i="6"/>
  <c r="V96" i="6"/>
  <c r="V95" i="6"/>
  <c r="V94" i="6"/>
  <c r="E94" i="6"/>
  <c r="E95" i="6" s="1"/>
  <c r="E96" i="6" s="1"/>
  <c r="E97" i="6" s="1"/>
  <c r="E98" i="6" s="1"/>
  <c r="E99" i="6" s="1"/>
  <c r="E100" i="6" s="1"/>
  <c r="E101" i="6" s="1"/>
  <c r="E102" i="6" s="1"/>
  <c r="E103" i="6" s="1"/>
  <c r="E104" i="6" s="1"/>
  <c r="E105" i="6" s="1"/>
  <c r="E106" i="6" s="1"/>
  <c r="E107" i="6" s="1"/>
  <c r="E108" i="6" s="1"/>
  <c r="E109" i="6" s="1"/>
  <c r="V93" i="6"/>
  <c r="X106" i="2"/>
  <c r="X106" i="6" s="1"/>
  <c r="X105" i="2"/>
  <c r="X105" i="6" s="1"/>
  <c r="X104" i="2"/>
  <c r="X104" i="6" s="1"/>
  <c r="X103" i="2"/>
  <c r="X103" i="6" s="1"/>
  <c r="X102" i="2"/>
  <c r="X102" i="6" s="1"/>
  <c r="X101" i="2"/>
  <c r="X101" i="6" s="1"/>
  <c r="V101" i="2"/>
  <c r="X100" i="2"/>
  <c r="X100" i="6" s="1"/>
  <c r="X99" i="2"/>
  <c r="X99" i="6" s="1"/>
  <c r="X98" i="2"/>
  <c r="X98" i="6" s="1"/>
  <c r="X97" i="2"/>
  <c r="X97" i="6" s="1"/>
  <c r="X96" i="2"/>
  <c r="X96" i="6" s="1"/>
  <c r="X95" i="2"/>
  <c r="X95" i="6" s="1"/>
  <c r="X94" i="2"/>
  <c r="X94" i="6" s="1"/>
  <c r="X93" i="2"/>
  <c r="X93" i="6" s="1"/>
  <c r="V93" i="2"/>
  <c r="T109" i="2"/>
  <c r="T108" i="2"/>
  <c r="T107" i="2"/>
  <c r="T104" i="2"/>
  <c r="T103" i="2"/>
  <c r="T102" i="2"/>
  <c r="T101" i="2"/>
  <c r="T100" i="2"/>
  <c r="T99" i="2"/>
  <c r="T98" i="2"/>
  <c r="T97" i="2"/>
  <c r="T96" i="2"/>
  <c r="T95" i="2"/>
  <c r="T94" i="2"/>
  <c r="E94" i="2"/>
  <c r="E95" i="2" s="1"/>
  <c r="E96" i="2" s="1"/>
  <c r="E97" i="2" s="1"/>
  <c r="E98" i="2" s="1"/>
  <c r="E99" i="2" s="1"/>
  <c r="E100" i="2" s="1"/>
  <c r="E101" i="2" s="1"/>
  <c r="E102" i="2" s="1"/>
  <c r="E103" i="2" s="1"/>
  <c r="E104" i="2" s="1"/>
  <c r="E105" i="2" s="1"/>
  <c r="E106" i="2" s="1"/>
  <c r="E107" i="2" s="1"/>
  <c r="E108" i="2" s="1"/>
  <c r="E109" i="2" s="1"/>
  <c r="T93" i="2"/>
  <c r="C99" i="6"/>
  <c r="C100" i="6"/>
  <c r="C101" i="6"/>
  <c r="C108" i="6"/>
  <c r="C109" i="6"/>
  <c r="C94" i="6"/>
  <c r="C95" i="6"/>
  <c r="C96" i="6"/>
  <c r="C97" i="6"/>
  <c r="C98" i="6"/>
  <c r="C93" i="6"/>
  <c r="C102" i="6"/>
  <c r="C103" i="6"/>
  <c r="C104" i="6"/>
  <c r="C105" i="6"/>
  <c r="C106" i="6"/>
  <c r="C92" i="6"/>
  <c r="B92" i="6"/>
  <c r="B94" i="6"/>
  <c r="B95" i="6"/>
  <c r="B96" i="6"/>
  <c r="B97" i="6"/>
  <c r="B98" i="6"/>
  <c r="B99" i="6"/>
  <c r="B100" i="6"/>
  <c r="B101" i="6"/>
  <c r="B102" i="6"/>
  <c r="B103" i="6"/>
  <c r="B104" i="6"/>
  <c r="B105" i="6"/>
  <c r="B106" i="6"/>
  <c r="B107" i="6"/>
  <c r="B108" i="6"/>
  <c r="B109" i="6"/>
  <c r="B93" i="6"/>
  <c r="A94" i="6"/>
  <c r="A95" i="6" s="1"/>
  <c r="A96" i="6" s="1"/>
  <c r="A97" i="6" s="1"/>
  <c r="A98" i="6" s="1"/>
  <c r="A99" i="6" s="1"/>
  <c r="A100" i="6" s="1"/>
  <c r="A101" i="6" s="1"/>
  <c r="A102" i="6" s="1"/>
  <c r="A103" i="6" s="1"/>
  <c r="A104" i="6" s="1"/>
  <c r="A105" i="6" s="1"/>
  <c r="A106" i="6" s="1"/>
  <c r="A107" i="6" s="1"/>
  <c r="A108" i="6" s="1"/>
  <c r="A109" i="6" s="1"/>
  <c r="A94" i="2"/>
  <c r="A95" i="2" s="1"/>
  <c r="A96" i="2" s="1"/>
  <c r="A97" i="2" s="1"/>
  <c r="A98" i="2" s="1"/>
  <c r="A99" i="2" s="1"/>
  <c r="A100" i="2" s="1"/>
  <c r="A101" i="2" s="1"/>
  <c r="A102" i="2" s="1"/>
  <c r="A103" i="2" s="1"/>
  <c r="A104" i="2" s="1"/>
  <c r="A105" i="2" s="1"/>
  <c r="A106" i="2" s="1"/>
  <c r="A107" i="2" s="1"/>
  <c r="A108" i="2" s="1"/>
  <c r="A109" i="2" s="1"/>
  <c r="V109" i="2" s="1"/>
  <c r="C82" i="9"/>
  <c r="C83" i="9" s="1"/>
  <c r="C84" i="9" s="1"/>
  <c r="C85" i="9" s="1"/>
  <c r="C86" i="9" s="1"/>
  <c r="C87" i="9" s="1"/>
  <c r="C88" i="9" s="1"/>
  <c r="C89" i="9" s="1"/>
  <c r="C90" i="9" s="1"/>
  <c r="C91" i="9" s="1"/>
  <c r="C92" i="9" s="1"/>
  <c r="C93" i="9" s="1"/>
  <c r="C94" i="9" s="1"/>
  <c r="C95" i="9" s="1"/>
  <c r="C96" i="9" s="1"/>
  <c r="C97" i="9" s="1"/>
  <c r="AA85" i="6"/>
  <c r="AA84" i="6"/>
  <c r="AA83" i="6"/>
  <c r="AA82" i="6"/>
  <c r="Z82" i="6"/>
  <c r="AA81" i="6"/>
  <c r="Z81" i="6"/>
  <c r="AA80" i="6"/>
  <c r="Z80" i="6"/>
  <c r="AA79" i="6"/>
  <c r="Z79" i="6"/>
  <c r="AA78" i="6"/>
  <c r="Z78" i="6"/>
  <c r="AA77" i="6"/>
  <c r="Z77" i="6"/>
  <c r="AA76" i="6"/>
  <c r="Z76" i="6"/>
  <c r="AA75" i="6"/>
  <c r="Z75" i="6"/>
  <c r="AA74" i="6"/>
  <c r="Z74" i="6"/>
  <c r="AA73" i="6"/>
  <c r="Z73" i="6"/>
  <c r="AA72" i="6"/>
  <c r="Z72" i="6"/>
  <c r="AA71" i="6"/>
  <c r="Z71" i="6"/>
  <c r="AA70" i="6"/>
  <c r="Z70" i="6"/>
  <c r="AA69" i="6"/>
  <c r="Z69" i="6"/>
  <c r="D85" i="2"/>
  <c r="F85" i="5" s="1"/>
  <c r="Z85" i="5" s="1"/>
  <c r="D84" i="2"/>
  <c r="F84" i="5" s="1"/>
  <c r="Z84" i="5" s="1"/>
  <c r="D83" i="2"/>
  <c r="F83" i="5" s="1"/>
  <c r="Z83" i="5" s="1"/>
  <c r="D82" i="2"/>
  <c r="F82" i="5" s="1"/>
  <c r="Z82" i="5" s="1"/>
  <c r="D81" i="2"/>
  <c r="F81" i="5" s="1"/>
  <c r="Z81" i="5" s="1"/>
  <c r="D80" i="2"/>
  <c r="F80" i="5" s="1"/>
  <c r="Z80" i="5" s="1"/>
  <c r="D79" i="2"/>
  <c r="F79" i="5" s="1"/>
  <c r="Z79" i="5" s="1"/>
  <c r="D78" i="2"/>
  <c r="F78" i="5" s="1"/>
  <c r="Z78" i="5" s="1"/>
  <c r="D77" i="2"/>
  <c r="F77" i="5" s="1"/>
  <c r="Z77" i="5" s="1"/>
  <c r="D76" i="2"/>
  <c r="F76" i="5" s="1"/>
  <c r="Z76" i="5" s="1"/>
  <c r="D75" i="2"/>
  <c r="F75" i="5" s="1"/>
  <c r="Z75" i="5" s="1"/>
  <c r="D74" i="2"/>
  <c r="F74" i="5" s="1"/>
  <c r="Z74" i="5" s="1"/>
  <c r="D73" i="2"/>
  <c r="F73" i="5" s="1"/>
  <c r="Z73" i="5" s="1"/>
  <c r="D72" i="2"/>
  <c r="F72" i="5" s="1"/>
  <c r="Z72" i="5" s="1"/>
  <c r="D71" i="2"/>
  <c r="F71" i="5" s="1"/>
  <c r="Z71" i="5" s="1"/>
  <c r="D70" i="2"/>
  <c r="F70" i="5" s="1"/>
  <c r="Z70" i="5" s="1"/>
  <c r="D69" i="2"/>
  <c r="F69" i="5" s="1"/>
  <c r="Z69" i="5" s="1"/>
  <c r="I85" i="5"/>
  <c r="I84" i="5"/>
  <c r="I83" i="5"/>
  <c r="I82" i="5"/>
  <c r="I81" i="5"/>
  <c r="I79" i="5"/>
  <c r="I78" i="5"/>
  <c r="I77" i="5"/>
  <c r="I76" i="5"/>
  <c r="I75" i="5"/>
  <c r="I74" i="5"/>
  <c r="I73" i="5"/>
  <c r="I72" i="5"/>
  <c r="I71" i="5"/>
  <c r="I70" i="5"/>
  <c r="I69" i="5"/>
  <c r="I80" i="5"/>
  <c r="U82" i="2" l="1"/>
  <c r="U81" i="2"/>
  <c r="V96" i="2"/>
  <c r="V104" i="2"/>
  <c r="V99" i="2"/>
  <c r="V107" i="2"/>
  <c r="V94" i="2"/>
  <c r="V102" i="2"/>
  <c r="V97" i="2"/>
  <c r="V105" i="2"/>
  <c r="V108" i="2"/>
  <c r="V100" i="2"/>
  <c r="V95" i="2"/>
  <c r="V103" i="2"/>
  <c r="V98" i="2"/>
  <c r="V106" i="2"/>
  <c r="T96" i="6"/>
  <c r="T102" i="6"/>
  <c r="T94" i="6"/>
  <c r="T104" i="6"/>
  <c r="X108" i="2"/>
  <c r="X108" i="6" s="1"/>
  <c r="T105" i="2"/>
  <c r="P57" i="9"/>
  <c r="P58" i="9" s="1"/>
  <c r="P59" i="9" s="1"/>
  <c r="P60" i="9" s="1"/>
  <c r="P61" i="9" s="1"/>
  <c r="P62" i="9" s="1"/>
  <c r="P63" i="9" s="1"/>
  <c r="P64" i="9" s="1"/>
  <c r="P65" i="9" s="1"/>
  <c r="P66" i="9" s="1"/>
  <c r="P67" i="9" s="1"/>
  <c r="P68" i="9" s="1"/>
  <c r="P69" i="9" s="1"/>
  <c r="P70" i="9" s="1"/>
  <c r="P71" i="9" s="1"/>
  <c r="P72" i="9" s="1"/>
  <c r="X107" i="2" l="1"/>
  <c r="X107" i="6" s="1"/>
  <c r="X109" i="2"/>
  <c r="X109" i="6" s="1"/>
  <c r="P175" i="2"/>
  <c r="P174" i="2"/>
  <c r="P173" i="2"/>
  <c r="P172" i="2"/>
  <c r="P171" i="2"/>
  <c r="P170" i="2"/>
  <c r="P169" i="2"/>
  <c r="P168" i="2"/>
  <c r="P167" i="2"/>
  <c r="P166" i="2"/>
  <c r="P165" i="2"/>
  <c r="P164" i="2"/>
  <c r="P163" i="2"/>
  <c r="P162" i="2"/>
  <c r="P161" i="2"/>
  <c r="P160" i="2"/>
  <c r="P159" i="2"/>
  <c r="N7" i="9" l="1"/>
  <c r="N8" i="9" s="1"/>
  <c r="N9" i="9" s="1"/>
  <c r="N10" i="9" s="1"/>
  <c r="N11" i="9" s="1"/>
  <c r="N12" i="9" s="1"/>
  <c r="N13" i="9" s="1"/>
  <c r="N14" i="9" s="1"/>
  <c r="N15" i="9" s="1"/>
  <c r="N16" i="9" s="1"/>
  <c r="N17" i="9" s="1"/>
  <c r="N18" i="9" s="1"/>
  <c r="N19" i="9" s="1"/>
  <c r="N20" i="9" s="1"/>
  <c r="N21" i="9" s="1"/>
  <c r="N22" i="9" s="1"/>
  <c r="G61" i="6"/>
  <c r="E61" i="6"/>
  <c r="H60" i="6"/>
  <c r="G60" i="6"/>
  <c r="E60" i="6"/>
  <c r="G59" i="6"/>
  <c r="E59" i="6"/>
  <c r="H58" i="6"/>
  <c r="G58" i="6"/>
  <c r="E58" i="6"/>
  <c r="H57" i="6"/>
  <c r="G57" i="6"/>
  <c r="E57" i="6"/>
  <c r="H56" i="6"/>
  <c r="G56" i="6"/>
  <c r="E56" i="6"/>
  <c r="H55" i="6"/>
  <c r="G55" i="6"/>
  <c r="E55" i="6"/>
  <c r="H54" i="6"/>
  <c r="G54" i="6"/>
  <c r="E54" i="6"/>
  <c r="H53" i="6"/>
  <c r="G53" i="6"/>
  <c r="E53" i="6"/>
  <c r="H52" i="6"/>
  <c r="G52" i="6"/>
  <c r="E52" i="6"/>
  <c r="H51" i="6"/>
  <c r="G51" i="6"/>
  <c r="E51" i="6"/>
  <c r="H50" i="6"/>
  <c r="G50" i="6"/>
  <c r="E50" i="6"/>
  <c r="H49" i="6"/>
  <c r="G49" i="6"/>
  <c r="E49" i="6"/>
  <c r="H48" i="6"/>
  <c r="G48" i="6"/>
  <c r="E48" i="6"/>
  <c r="H47" i="6"/>
  <c r="G47" i="6"/>
  <c r="E47" i="6"/>
  <c r="H46" i="6"/>
  <c r="G46" i="6"/>
  <c r="E46" i="6"/>
  <c r="H45" i="6"/>
  <c r="G45" i="6"/>
  <c r="E45" i="6"/>
  <c r="H44" i="6"/>
  <c r="G44" i="6"/>
  <c r="E44" i="6"/>
  <c r="H43" i="6"/>
  <c r="G43" i="6"/>
  <c r="E43" i="6"/>
  <c r="H42" i="6"/>
  <c r="G42" i="6"/>
  <c r="E42" i="6"/>
  <c r="H41" i="6"/>
  <c r="G41" i="6"/>
  <c r="E41" i="6"/>
  <c r="H40" i="6"/>
  <c r="G40" i="6"/>
  <c r="E40" i="6"/>
  <c r="H39" i="6"/>
  <c r="G39" i="6"/>
  <c r="E39" i="6"/>
  <c r="H38" i="6"/>
  <c r="G38" i="6"/>
  <c r="E38" i="6"/>
  <c r="H37" i="6"/>
  <c r="G37" i="6"/>
  <c r="E37" i="6"/>
  <c r="H36" i="6"/>
  <c r="G36" i="6"/>
  <c r="E36" i="6"/>
  <c r="H35" i="6"/>
  <c r="G35" i="6"/>
  <c r="E35" i="6"/>
  <c r="H34" i="6"/>
  <c r="G34" i="6"/>
  <c r="E34" i="6"/>
  <c r="H33" i="6"/>
  <c r="G33" i="6"/>
  <c r="E33" i="6"/>
  <c r="H32" i="6"/>
  <c r="G32" i="6"/>
  <c r="E32" i="6"/>
  <c r="H31" i="6"/>
  <c r="G31" i="6"/>
  <c r="E31" i="6"/>
  <c r="H30" i="6"/>
  <c r="G30" i="6"/>
  <c r="E30" i="6"/>
  <c r="H29" i="6"/>
  <c r="G29" i="6"/>
  <c r="E29" i="6"/>
  <c r="H28" i="6"/>
  <c r="G28" i="6"/>
  <c r="E28" i="6"/>
  <c r="H27" i="6"/>
  <c r="G27" i="6"/>
  <c r="E27" i="6"/>
  <c r="H26" i="6"/>
  <c r="G26" i="6"/>
  <c r="E26" i="6"/>
  <c r="H25" i="6"/>
  <c r="G25" i="6"/>
  <c r="E25" i="6"/>
  <c r="H24" i="6"/>
  <c r="G24" i="6"/>
  <c r="E24" i="6"/>
  <c r="H23" i="6"/>
  <c r="G23" i="6"/>
  <c r="E23" i="6"/>
  <c r="H22" i="6"/>
  <c r="G22" i="6"/>
  <c r="E22" i="6"/>
  <c r="H21" i="6"/>
  <c r="G21" i="6"/>
  <c r="E21" i="6"/>
  <c r="H20" i="6"/>
  <c r="G20" i="6"/>
  <c r="E20" i="6"/>
  <c r="H19" i="6"/>
  <c r="G19" i="6"/>
  <c r="E19" i="6"/>
  <c r="H18" i="6"/>
  <c r="G18" i="6"/>
  <c r="E18" i="6"/>
  <c r="H17" i="6"/>
  <c r="G17" i="6"/>
  <c r="E17" i="6"/>
  <c r="H16" i="6"/>
  <c r="G16" i="6"/>
  <c r="E16" i="6"/>
  <c r="H15" i="6"/>
  <c r="G15" i="6"/>
  <c r="E15" i="6"/>
  <c r="H14" i="6"/>
  <c r="G14" i="6"/>
  <c r="E14" i="6"/>
  <c r="H13" i="6"/>
  <c r="G13" i="6"/>
  <c r="E13" i="6"/>
  <c r="H12" i="6"/>
  <c r="G12" i="6"/>
  <c r="E12" i="6"/>
  <c r="H11" i="6"/>
  <c r="G11" i="6"/>
  <c r="E11" i="6"/>
  <c r="H10" i="6"/>
  <c r="G10" i="6"/>
  <c r="E10" i="6"/>
  <c r="H9" i="6"/>
  <c r="G9" i="6"/>
  <c r="E9" i="6"/>
  <c r="H8" i="6"/>
  <c r="G8" i="6"/>
  <c r="E8" i="6"/>
  <c r="H7" i="6"/>
  <c r="G7" i="6"/>
  <c r="E7" i="6"/>
  <c r="H6" i="6"/>
  <c r="G6" i="6"/>
  <c r="E6" i="6"/>
  <c r="H5" i="6"/>
  <c r="G5" i="6"/>
  <c r="E5" i="6"/>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D6" i="2" l="1"/>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60" i="2"/>
  <c r="D5" i="2"/>
  <c r="J7" i="9" l="1"/>
  <c r="J8" i="9" s="1"/>
  <c r="J9" i="9" s="1"/>
  <c r="J10" i="9" s="1"/>
  <c r="J11" i="9" s="1"/>
  <c r="J12" i="9" s="1"/>
  <c r="J13" i="9" s="1"/>
  <c r="J14" i="9" s="1"/>
  <c r="J15" i="9" s="1"/>
  <c r="J16" i="9" s="1"/>
  <c r="J17" i="9" s="1"/>
  <c r="J18" i="9" s="1"/>
  <c r="J19" i="9" s="1"/>
  <c r="J20" i="9" s="1"/>
  <c r="J21" i="9" s="1"/>
  <c r="J22" i="9" s="1"/>
  <c r="E7" i="9"/>
  <c r="E8" i="9" s="1"/>
  <c r="E9" i="9" s="1"/>
  <c r="E10" i="9" s="1"/>
  <c r="E11" i="9" s="1"/>
  <c r="E12" i="9" s="1"/>
  <c r="E13" i="9" s="1"/>
  <c r="E14" i="9" s="1"/>
  <c r="E15" i="9" s="1"/>
  <c r="E16" i="9" s="1"/>
  <c r="E17" i="9" s="1"/>
  <c r="E18" i="9" s="1"/>
  <c r="E19" i="9" s="1"/>
  <c r="E20" i="9" s="1"/>
  <c r="E21" i="9" s="1"/>
  <c r="E22" i="9" s="1"/>
  <c r="K21" i="9"/>
  <c r="K19" i="9"/>
  <c r="L19" i="9" s="1"/>
  <c r="F94" i="9" s="1"/>
  <c r="K18" i="9"/>
  <c r="K17" i="9"/>
  <c r="L17" i="9" s="1"/>
  <c r="F92" i="9" s="1"/>
  <c r="K16" i="9"/>
  <c r="L16" i="9" s="1"/>
  <c r="F91" i="9" s="1"/>
  <c r="K15" i="9"/>
  <c r="L15" i="9" s="1"/>
  <c r="F90" i="9" s="1"/>
  <c r="K14" i="9"/>
  <c r="K13" i="9"/>
  <c r="K12" i="9"/>
  <c r="K11" i="9"/>
  <c r="K10" i="9"/>
  <c r="L10" i="9" s="1"/>
  <c r="F85" i="9" s="1"/>
  <c r="K9" i="9"/>
  <c r="L9" i="9" s="1"/>
  <c r="F84" i="9" s="1"/>
  <c r="K8" i="9"/>
  <c r="L8" i="9" s="1"/>
  <c r="F83" i="9" s="1"/>
  <c r="K7" i="9"/>
  <c r="L7" i="9" s="1"/>
  <c r="F82" i="9" s="1"/>
  <c r="K6" i="9"/>
  <c r="L6" i="9" s="1"/>
  <c r="F81" i="9" s="1"/>
  <c r="G22" i="9"/>
  <c r="Q22" i="9" s="1"/>
  <c r="F22" i="9"/>
  <c r="G21" i="9"/>
  <c r="Q21" i="9" s="1"/>
  <c r="F21" i="9"/>
  <c r="H21" i="9" s="1"/>
  <c r="E96" i="9" s="1"/>
  <c r="G20" i="9"/>
  <c r="Q20" i="9" s="1"/>
  <c r="F20" i="9"/>
  <c r="H20" i="9" s="1"/>
  <c r="E95" i="9" s="1"/>
  <c r="G19" i="9"/>
  <c r="Q19" i="9" s="1"/>
  <c r="F19" i="9"/>
  <c r="G18" i="9"/>
  <c r="Q18" i="9" s="1"/>
  <c r="F18" i="9"/>
  <c r="G17" i="9"/>
  <c r="Q17" i="9" s="1"/>
  <c r="F17" i="9"/>
  <c r="H17" i="9" s="1"/>
  <c r="E92" i="9" s="1"/>
  <c r="G16" i="9"/>
  <c r="Q16" i="9" s="1"/>
  <c r="F16" i="9"/>
  <c r="H16" i="9" s="1"/>
  <c r="E91" i="9" s="1"/>
  <c r="G15" i="9"/>
  <c r="Q15" i="9" s="1"/>
  <c r="F15" i="9"/>
  <c r="G14" i="9"/>
  <c r="Q14" i="9" s="1"/>
  <c r="F14" i="9"/>
  <c r="G13" i="9"/>
  <c r="Q13" i="9" s="1"/>
  <c r="F13" i="9"/>
  <c r="H13" i="9" s="1"/>
  <c r="E88" i="9" s="1"/>
  <c r="G12" i="9"/>
  <c r="F12" i="9"/>
  <c r="G11" i="9"/>
  <c r="Q11" i="9" s="1"/>
  <c r="F11" i="9"/>
  <c r="G10" i="9"/>
  <c r="Q10" i="9" s="1"/>
  <c r="F10" i="9"/>
  <c r="G9" i="9"/>
  <c r="Q9" i="9" s="1"/>
  <c r="F9" i="9"/>
  <c r="H9" i="9" s="1"/>
  <c r="E84" i="9" s="1"/>
  <c r="G8" i="9"/>
  <c r="Q8" i="9" s="1"/>
  <c r="F8" i="9"/>
  <c r="H8" i="9" s="1"/>
  <c r="E83" i="9" s="1"/>
  <c r="G7" i="9"/>
  <c r="Q7" i="9" s="1"/>
  <c r="F7" i="9"/>
  <c r="G6" i="9"/>
  <c r="Q6" i="9" s="1"/>
  <c r="F6" i="9"/>
  <c r="K57" i="9"/>
  <c r="K58" i="9" s="1"/>
  <c r="K59" i="9" s="1"/>
  <c r="K60" i="9" s="1"/>
  <c r="K61" i="9" s="1"/>
  <c r="F57" i="9"/>
  <c r="F58" i="9" s="1"/>
  <c r="A57" i="9"/>
  <c r="A58" i="9" s="1"/>
  <c r="A59" i="9" s="1"/>
  <c r="A31" i="9"/>
  <c r="A32" i="9" s="1"/>
  <c r="P12" i="9" l="1"/>
  <c r="H12" i="9"/>
  <c r="E87" i="9" s="1"/>
  <c r="O18" i="9"/>
  <c r="L18" i="9"/>
  <c r="F93" i="9" s="1"/>
  <c r="O11" i="9"/>
  <c r="L11" i="9"/>
  <c r="F86" i="9" s="1"/>
  <c r="P6" i="9"/>
  <c r="H6" i="9"/>
  <c r="E81" i="9" s="1"/>
  <c r="P10" i="9"/>
  <c r="H10" i="9"/>
  <c r="E85" i="9" s="1"/>
  <c r="P14" i="9"/>
  <c r="H14" i="9"/>
  <c r="E89" i="9" s="1"/>
  <c r="P18" i="9"/>
  <c r="H18" i="9"/>
  <c r="E93" i="9" s="1"/>
  <c r="P22" i="9"/>
  <c r="H22" i="9"/>
  <c r="E97" i="9" s="1"/>
  <c r="O12" i="9"/>
  <c r="L12" i="9"/>
  <c r="F87" i="9" s="1"/>
  <c r="O21" i="9"/>
  <c r="L21" i="9"/>
  <c r="F96" i="9" s="1"/>
  <c r="O13" i="9"/>
  <c r="L13" i="9"/>
  <c r="F88" i="9" s="1"/>
  <c r="P7" i="9"/>
  <c r="H7" i="9"/>
  <c r="E82" i="9" s="1"/>
  <c r="H11" i="9"/>
  <c r="E86" i="9" s="1"/>
  <c r="P15" i="9"/>
  <c r="H15" i="9"/>
  <c r="E90" i="9" s="1"/>
  <c r="H19" i="9"/>
  <c r="E94" i="9" s="1"/>
  <c r="O14" i="9"/>
  <c r="L14" i="9"/>
  <c r="F89" i="9" s="1"/>
  <c r="P11" i="9"/>
  <c r="O6" i="9"/>
  <c r="O7" i="9"/>
  <c r="P8" i="9"/>
  <c r="P16" i="9"/>
  <c r="P20" i="9"/>
  <c r="O8" i="9"/>
  <c r="O16" i="9"/>
  <c r="Q12" i="9"/>
  <c r="O9" i="9"/>
  <c r="O17" i="9"/>
  <c r="P19" i="9"/>
  <c r="O15" i="9"/>
  <c r="P9" i="9"/>
  <c r="P13" i="9"/>
  <c r="P17" i="9"/>
  <c r="P21" i="9"/>
  <c r="O10" i="9"/>
  <c r="O19" i="9"/>
  <c r="A33" i="9"/>
  <c r="A34" i="9" s="1"/>
  <c r="A60" i="9"/>
  <c r="K62" i="9"/>
  <c r="F59" i="9"/>
  <c r="T175" i="6"/>
  <c r="S175" i="6"/>
  <c r="T174" i="6"/>
  <c r="S174" i="6"/>
  <c r="T173" i="6"/>
  <c r="S173" i="6"/>
  <c r="T172" i="6"/>
  <c r="S172" i="6"/>
  <c r="T171" i="6"/>
  <c r="S171" i="6"/>
  <c r="T170" i="6"/>
  <c r="S170" i="6"/>
  <c r="T169" i="6"/>
  <c r="S169" i="6"/>
  <c r="T168" i="6"/>
  <c r="S168" i="6"/>
  <c r="T167" i="6"/>
  <c r="S167" i="6"/>
  <c r="T166" i="6"/>
  <c r="S166" i="6"/>
  <c r="T165" i="6"/>
  <c r="S165" i="6"/>
  <c r="T164" i="6"/>
  <c r="S164" i="6"/>
  <c r="T163" i="6"/>
  <c r="S163" i="6"/>
  <c r="T162" i="6"/>
  <c r="S162" i="6"/>
  <c r="T161" i="6"/>
  <c r="S161" i="6"/>
  <c r="T160" i="6"/>
  <c r="S160" i="6"/>
  <c r="T159" i="6"/>
  <c r="S159" i="6"/>
  <c r="N175" i="6"/>
  <c r="M175" i="6"/>
  <c r="L175" i="6"/>
  <c r="K175" i="6"/>
  <c r="J175" i="6"/>
  <c r="I175" i="6"/>
  <c r="H175" i="6"/>
  <c r="N174" i="6"/>
  <c r="M174" i="6"/>
  <c r="L174" i="6"/>
  <c r="K174" i="6"/>
  <c r="J174" i="6"/>
  <c r="I174" i="6"/>
  <c r="H174" i="6"/>
  <c r="N173" i="6"/>
  <c r="M173" i="6"/>
  <c r="L173" i="6"/>
  <c r="K173" i="6"/>
  <c r="J173" i="6"/>
  <c r="I173" i="6"/>
  <c r="H173" i="6"/>
  <c r="N172" i="6"/>
  <c r="M172" i="6"/>
  <c r="L172" i="6"/>
  <c r="K172" i="6"/>
  <c r="J172" i="6"/>
  <c r="I172" i="6"/>
  <c r="H172" i="6"/>
  <c r="N171" i="6"/>
  <c r="M171" i="6"/>
  <c r="L171" i="6"/>
  <c r="K171" i="6"/>
  <c r="J171" i="6"/>
  <c r="I171" i="6"/>
  <c r="H171" i="6"/>
  <c r="N170" i="6"/>
  <c r="M170" i="6"/>
  <c r="L170" i="6"/>
  <c r="K170" i="6"/>
  <c r="J170" i="6"/>
  <c r="I170" i="6"/>
  <c r="H170" i="6"/>
  <c r="N169" i="6"/>
  <c r="M169" i="6"/>
  <c r="L169" i="6"/>
  <c r="K169" i="6"/>
  <c r="J169" i="6"/>
  <c r="I169" i="6"/>
  <c r="H169" i="6"/>
  <c r="N168" i="6"/>
  <c r="M168" i="6"/>
  <c r="L168" i="6"/>
  <c r="K168" i="6"/>
  <c r="J168" i="6"/>
  <c r="I168" i="6"/>
  <c r="H168" i="6"/>
  <c r="N167" i="6"/>
  <c r="M167" i="6"/>
  <c r="L167" i="6"/>
  <c r="K167" i="6"/>
  <c r="J167" i="6"/>
  <c r="I167" i="6"/>
  <c r="H167" i="6"/>
  <c r="N166" i="6"/>
  <c r="M166" i="6"/>
  <c r="L166" i="6"/>
  <c r="K166" i="6"/>
  <c r="J166" i="6"/>
  <c r="I166" i="6"/>
  <c r="H166" i="6"/>
  <c r="N165" i="6"/>
  <c r="M165" i="6"/>
  <c r="L165" i="6"/>
  <c r="K165" i="6"/>
  <c r="J165" i="6"/>
  <c r="I165" i="6"/>
  <c r="H165" i="6"/>
  <c r="N164" i="6"/>
  <c r="M164" i="6"/>
  <c r="L164" i="6"/>
  <c r="K164" i="6"/>
  <c r="J164" i="6"/>
  <c r="I164" i="6"/>
  <c r="H164" i="6"/>
  <c r="N163" i="6"/>
  <c r="M163" i="6"/>
  <c r="L163" i="6"/>
  <c r="K163" i="6"/>
  <c r="J163" i="6"/>
  <c r="I163" i="6"/>
  <c r="H163" i="6"/>
  <c r="N162" i="6"/>
  <c r="M162" i="6"/>
  <c r="L162" i="6"/>
  <c r="K162" i="6"/>
  <c r="J162" i="6"/>
  <c r="I162" i="6"/>
  <c r="H162" i="6"/>
  <c r="N161" i="6"/>
  <c r="M161" i="6"/>
  <c r="L161" i="6"/>
  <c r="K161" i="6"/>
  <c r="J161" i="6"/>
  <c r="I161" i="6"/>
  <c r="H161" i="6"/>
  <c r="N160" i="6"/>
  <c r="M160" i="6"/>
  <c r="L160" i="6"/>
  <c r="K160" i="6"/>
  <c r="J160" i="6"/>
  <c r="I160" i="6"/>
  <c r="H160" i="6"/>
  <c r="N159" i="6"/>
  <c r="M159" i="6"/>
  <c r="L159" i="6"/>
  <c r="K159" i="6"/>
  <c r="J159" i="6"/>
  <c r="I159" i="6"/>
  <c r="H159" i="6"/>
  <c r="E175" i="6"/>
  <c r="C175" i="6"/>
  <c r="B175" i="6"/>
  <c r="E174" i="6"/>
  <c r="C174" i="6"/>
  <c r="B174" i="6"/>
  <c r="E173" i="6"/>
  <c r="C173" i="6"/>
  <c r="E172" i="6"/>
  <c r="C172" i="6"/>
  <c r="E171" i="6"/>
  <c r="C171" i="6"/>
  <c r="E170" i="6"/>
  <c r="C170" i="6"/>
  <c r="B170" i="6"/>
  <c r="E169" i="6"/>
  <c r="C169" i="6"/>
  <c r="E168" i="6"/>
  <c r="C168" i="6"/>
  <c r="E167" i="6"/>
  <c r="C167" i="6"/>
  <c r="E166" i="6"/>
  <c r="C166" i="6"/>
  <c r="E165" i="6"/>
  <c r="C165" i="6"/>
  <c r="E164" i="6"/>
  <c r="C164" i="6"/>
  <c r="E163" i="6"/>
  <c r="C163" i="6"/>
  <c r="E162" i="6"/>
  <c r="C162" i="6"/>
  <c r="E161" i="6"/>
  <c r="C161" i="6"/>
  <c r="E160" i="6"/>
  <c r="C160" i="6"/>
  <c r="E159" i="6"/>
  <c r="C159" i="6"/>
  <c r="C158" i="6"/>
  <c r="D158" i="6"/>
  <c r="E158" i="6"/>
  <c r="B158" i="6"/>
  <c r="A156" i="6"/>
  <c r="C137" i="6"/>
  <c r="D137" i="6"/>
  <c r="E137" i="6"/>
  <c r="B137" i="6"/>
  <c r="A135" i="6"/>
  <c r="C116" i="6"/>
  <c r="D116" i="6"/>
  <c r="E116" i="6"/>
  <c r="B116" i="6"/>
  <c r="A114" i="6"/>
  <c r="E117" i="6"/>
  <c r="E118" i="6"/>
  <c r="E119" i="6"/>
  <c r="E120" i="6"/>
  <c r="E121" i="6"/>
  <c r="E122" i="6"/>
  <c r="E123" i="6"/>
  <c r="E124" i="6"/>
  <c r="E125" i="6"/>
  <c r="E126" i="6"/>
  <c r="E127" i="6"/>
  <c r="E128" i="6"/>
  <c r="E129" i="6"/>
  <c r="E130" i="6"/>
  <c r="E131" i="6"/>
  <c r="E132" i="6"/>
  <c r="E133" i="6"/>
  <c r="E138" i="6"/>
  <c r="E139" i="6"/>
  <c r="E140" i="6"/>
  <c r="E141" i="6"/>
  <c r="E142" i="6"/>
  <c r="E143" i="6"/>
  <c r="E144" i="6"/>
  <c r="E145" i="6"/>
  <c r="E146" i="6"/>
  <c r="E147" i="6"/>
  <c r="E148" i="6"/>
  <c r="E149" i="6"/>
  <c r="E150" i="6"/>
  <c r="E151" i="6"/>
  <c r="E152" i="6"/>
  <c r="E153" i="6"/>
  <c r="E154" i="6"/>
  <c r="B171" i="2"/>
  <c r="D171" i="2" s="1"/>
  <c r="D171" i="6" s="1"/>
  <c r="B169" i="2"/>
  <c r="D169" i="2" s="1"/>
  <c r="D169" i="6" s="1"/>
  <c r="B143" i="2"/>
  <c r="B142" i="2" s="1"/>
  <c r="B141" i="2" s="1"/>
  <c r="B140" i="2" s="1"/>
  <c r="B139" i="2" s="1"/>
  <c r="B138" i="2" s="1"/>
  <c r="B152" i="2"/>
  <c r="S175" i="2"/>
  <c r="R175" i="6" s="1"/>
  <c r="D175" i="2"/>
  <c r="D175" i="6" s="1"/>
  <c r="S174" i="2"/>
  <c r="R174" i="6" s="1"/>
  <c r="D174" i="2"/>
  <c r="D174" i="6" s="1"/>
  <c r="S173" i="2"/>
  <c r="R173" i="6" s="1"/>
  <c r="S172" i="2"/>
  <c r="R172" i="6" s="1"/>
  <c r="S171" i="2"/>
  <c r="R171" i="6" s="1"/>
  <c r="S170" i="2"/>
  <c r="R170" i="6" s="1"/>
  <c r="D170" i="2"/>
  <c r="D170" i="6" s="1"/>
  <c r="S169" i="2"/>
  <c r="R169" i="6" s="1"/>
  <c r="S168" i="2"/>
  <c r="R168" i="6" s="1"/>
  <c r="S167" i="2"/>
  <c r="R167" i="6" s="1"/>
  <c r="S166" i="2"/>
  <c r="R166" i="6" s="1"/>
  <c r="S165" i="2"/>
  <c r="R165" i="6" s="1"/>
  <c r="S164" i="2"/>
  <c r="R164" i="6" s="1"/>
  <c r="S163" i="2"/>
  <c r="R163" i="6" s="1"/>
  <c r="S162" i="2"/>
  <c r="R162" i="6" s="1"/>
  <c r="S161" i="2"/>
  <c r="R161" i="6" s="1"/>
  <c r="S160" i="2"/>
  <c r="R160" i="6" s="1"/>
  <c r="H160" i="2"/>
  <c r="H161" i="2" s="1"/>
  <c r="H162" i="2" s="1"/>
  <c r="H163" i="2" s="1"/>
  <c r="H164" i="2" s="1"/>
  <c r="H165" i="2" s="1"/>
  <c r="H166" i="2" s="1"/>
  <c r="H167" i="2" s="1"/>
  <c r="H168" i="2" s="1"/>
  <c r="H169" i="2" s="1"/>
  <c r="H170" i="2" s="1"/>
  <c r="H171" i="2" s="1"/>
  <c r="H172" i="2" s="1"/>
  <c r="H173" i="2" s="1"/>
  <c r="H174" i="2" s="1"/>
  <c r="H175" i="2" s="1"/>
  <c r="A160" i="2"/>
  <c r="R160" i="2" s="1"/>
  <c r="S159" i="2"/>
  <c r="R159" i="6" s="1"/>
  <c r="R159" i="2"/>
  <c r="B172" i="2" l="1"/>
  <c r="B173" i="2" s="1"/>
  <c r="D173" i="2" s="1"/>
  <c r="D173" i="6" s="1"/>
  <c r="B168" i="2"/>
  <c r="B167" i="2" s="1"/>
  <c r="B167" i="6" s="1"/>
  <c r="A161" i="2"/>
  <c r="A162" i="2" s="1"/>
  <c r="B169" i="6"/>
  <c r="B171" i="6"/>
  <c r="R16" i="9"/>
  <c r="R12" i="9"/>
  <c r="R6" i="9"/>
  <c r="R13" i="9"/>
  <c r="R18" i="9"/>
  <c r="R7" i="9"/>
  <c r="R11" i="9"/>
  <c r="R14" i="9"/>
  <c r="R21" i="9"/>
  <c r="R8" i="9"/>
  <c r="R17" i="9"/>
  <c r="R19" i="9"/>
  <c r="R15" i="9"/>
  <c r="R9" i="9"/>
  <c r="R10" i="9"/>
  <c r="K63" i="9"/>
  <c r="A35" i="9"/>
  <c r="F60" i="9"/>
  <c r="A61" i="9"/>
  <c r="D172" i="2"/>
  <c r="D172" i="6" s="1"/>
  <c r="D167" i="2"/>
  <c r="D167" i="6" s="1"/>
  <c r="R162" i="2"/>
  <c r="A163" i="2"/>
  <c r="R161" i="2"/>
  <c r="F70" i="6"/>
  <c r="F71" i="6" s="1"/>
  <c r="F72" i="6" s="1"/>
  <c r="F73" i="6" s="1"/>
  <c r="F74" i="6" s="1"/>
  <c r="F75" i="6" s="1"/>
  <c r="F76" i="6" s="1"/>
  <c r="F77" i="6" s="1"/>
  <c r="F78" i="6" s="1"/>
  <c r="F79" i="6" s="1"/>
  <c r="F80" i="6" s="1"/>
  <c r="F81" i="6" s="1"/>
  <c r="F82" i="6" s="1"/>
  <c r="F83" i="6" s="1"/>
  <c r="F84" i="6" s="1"/>
  <c r="F85" i="6" s="1"/>
  <c r="T154" i="6"/>
  <c r="S154" i="6"/>
  <c r="T153" i="6"/>
  <c r="S153" i="6"/>
  <c r="T152" i="6"/>
  <c r="S152" i="6"/>
  <c r="T151" i="6"/>
  <c r="S151" i="6"/>
  <c r="T150" i="6"/>
  <c r="S150" i="6"/>
  <c r="T149" i="6"/>
  <c r="S149" i="6"/>
  <c r="T148" i="6"/>
  <c r="S148" i="6"/>
  <c r="T147" i="6"/>
  <c r="S147" i="6"/>
  <c r="T146" i="6"/>
  <c r="S146" i="6"/>
  <c r="T145" i="6"/>
  <c r="S145" i="6"/>
  <c r="T144" i="6"/>
  <c r="S144" i="6"/>
  <c r="T143" i="6"/>
  <c r="S143" i="6"/>
  <c r="T142" i="6"/>
  <c r="S142" i="6"/>
  <c r="T141" i="6"/>
  <c r="S141" i="6"/>
  <c r="T140" i="6"/>
  <c r="S140" i="6"/>
  <c r="T139" i="6"/>
  <c r="S139" i="6"/>
  <c r="T138" i="6"/>
  <c r="S138" i="6"/>
  <c r="O168" i="6"/>
  <c r="O165" i="6"/>
  <c r="N154" i="6"/>
  <c r="M154" i="6"/>
  <c r="L154" i="6"/>
  <c r="K154" i="6"/>
  <c r="J154" i="6"/>
  <c r="I154" i="6"/>
  <c r="H154" i="6"/>
  <c r="N153" i="6"/>
  <c r="M153" i="6"/>
  <c r="L153" i="6"/>
  <c r="K153" i="6"/>
  <c r="J153" i="6"/>
  <c r="I153" i="6"/>
  <c r="H153" i="6"/>
  <c r="N152" i="6"/>
  <c r="M152" i="6"/>
  <c r="L152" i="6"/>
  <c r="K152" i="6"/>
  <c r="J152" i="6"/>
  <c r="I152" i="6"/>
  <c r="H152" i="6"/>
  <c r="N151" i="6"/>
  <c r="M151" i="6"/>
  <c r="L151" i="6"/>
  <c r="K151" i="6"/>
  <c r="J151" i="6"/>
  <c r="I151" i="6"/>
  <c r="H151" i="6"/>
  <c r="N150" i="6"/>
  <c r="M150" i="6"/>
  <c r="L150" i="6"/>
  <c r="K150" i="6"/>
  <c r="J150" i="6"/>
  <c r="I150" i="6"/>
  <c r="H150" i="6"/>
  <c r="N149" i="6"/>
  <c r="M149" i="6"/>
  <c r="L149" i="6"/>
  <c r="K149" i="6"/>
  <c r="J149" i="6"/>
  <c r="I149" i="6"/>
  <c r="H149" i="6"/>
  <c r="N148" i="6"/>
  <c r="M148" i="6"/>
  <c r="L148" i="6"/>
  <c r="K148" i="6"/>
  <c r="J148" i="6"/>
  <c r="I148" i="6"/>
  <c r="H148" i="6"/>
  <c r="N147" i="6"/>
  <c r="M147" i="6"/>
  <c r="L147" i="6"/>
  <c r="K147" i="6"/>
  <c r="J147" i="6"/>
  <c r="I147" i="6"/>
  <c r="H147" i="6"/>
  <c r="N146" i="6"/>
  <c r="M146" i="6"/>
  <c r="L146" i="6"/>
  <c r="K146" i="6"/>
  <c r="J146" i="6"/>
  <c r="I146" i="6"/>
  <c r="H146" i="6"/>
  <c r="N145" i="6"/>
  <c r="M145" i="6"/>
  <c r="L145" i="6"/>
  <c r="K145" i="6"/>
  <c r="J145" i="6"/>
  <c r="I145" i="6"/>
  <c r="H145" i="6"/>
  <c r="N144" i="6"/>
  <c r="M144" i="6"/>
  <c r="L144" i="6"/>
  <c r="K144" i="6"/>
  <c r="J144" i="6"/>
  <c r="I144" i="6"/>
  <c r="H144" i="6"/>
  <c r="N143" i="6"/>
  <c r="M143" i="6"/>
  <c r="L143" i="6"/>
  <c r="K143" i="6"/>
  <c r="J143" i="6"/>
  <c r="I143" i="6"/>
  <c r="H143" i="6"/>
  <c r="N142" i="6"/>
  <c r="M142" i="6"/>
  <c r="L142" i="6"/>
  <c r="K142" i="6"/>
  <c r="J142" i="6"/>
  <c r="I142" i="6"/>
  <c r="H142" i="6"/>
  <c r="N141" i="6"/>
  <c r="M141" i="6"/>
  <c r="L141" i="6"/>
  <c r="K141" i="6"/>
  <c r="J141" i="6"/>
  <c r="I141" i="6"/>
  <c r="H141" i="6"/>
  <c r="N140" i="6"/>
  <c r="M140" i="6"/>
  <c r="L140" i="6"/>
  <c r="K140" i="6"/>
  <c r="J140" i="6"/>
  <c r="I140" i="6"/>
  <c r="H140" i="6"/>
  <c r="N139" i="6"/>
  <c r="M139" i="6"/>
  <c r="L139" i="6"/>
  <c r="K139" i="6"/>
  <c r="J139" i="6"/>
  <c r="I139" i="6"/>
  <c r="H139" i="6"/>
  <c r="N138" i="6"/>
  <c r="M138" i="6"/>
  <c r="L138" i="6"/>
  <c r="K138" i="6"/>
  <c r="J138" i="6"/>
  <c r="I138" i="6"/>
  <c r="H138" i="6"/>
  <c r="C154" i="6"/>
  <c r="B154" i="6"/>
  <c r="C153" i="6"/>
  <c r="B153" i="6"/>
  <c r="C152" i="6"/>
  <c r="B152" i="6"/>
  <c r="C151" i="6"/>
  <c r="B151" i="6"/>
  <c r="C150" i="6"/>
  <c r="B150" i="6"/>
  <c r="C149" i="6"/>
  <c r="B149" i="6"/>
  <c r="C148" i="6"/>
  <c r="B148" i="6"/>
  <c r="C147" i="6"/>
  <c r="B147" i="6"/>
  <c r="C146" i="6"/>
  <c r="B146" i="6"/>
  <c r="C145" i="6"/>
  <c r="B145" i="6"/>
  <c r="C144" i="6"/>
  <c r="B144" i="6"/>
  <c r="C143" i="6"/>
  <c r="B143" i="6"/>
  <c r="C142" i="6"/>
  <c r="B142" i="6"/>
  <c r="C141" i="6"/>
  <c r="B141" i="6"/>
  <c r="C140" i="6"/>
  <c r="B140" i="6"/>
  <c r="C139" i="6"/>
  <c r="B139" i="6"/>
  <c r="C138" i="6"/>
  <c r="B138" i="6"/>
  <c r="T133" i="6"/>
  <c r="S133" i="6"/>
  <c r="T132" i="6"/>
  <c r="S132" i="6"/>
  <c r="T131" i="6"/>
  <c r="S131" i="6"/>
  <c r="T130" i="6"/>
  <c r="S130" i="6"/>
  <c r="T129" i="6"/>
  <c r="S129" i="6"/>
  <c r="T128" i="6"/>
  <c r="S128" i="6"/>
  <c r="T127" i="6"/>
  <c r="S127" i="6"/>
  <c r="T126" i="6"/>
  <c r="S126" i="6"/>
  <c r="T125" i="6"/>
  <c r="S125" i="6"/>
  <c r="T124" i="6"/>
  <c r="S124" i="6"/>
  <c r="T123" i="6"/>
  <c r="S123" i="6"/>
  <c r="T122" i="6"/>
  <c r="S122" i="6"/>
  <c r="T121" i="6"/>
  <c r="S121" i="6"/>
  <c r="T120" i="6"/>
  <c r="S120" i="6"/>
  <c r="T119" i="6"/>
  <c r="S119" i="6"/>
  <c r="T118" i="6"/>
  <c r="S118" i="6"/>
  <c r="T117" i="6"/>
  <c r="S117" i="6"/>
  <c r="N133" i="6"/>
  <c r="M133" i="6"/>
  <c r="L133" i="6"/>
  <c r="K133" i="6"/>
  <c r="J133" i="6"/>
  <c r="I133" i="6"/>
  <c r="H133" i="6"/>
  <c r="N132" i="6"/>
  <c r="M132" i="6"/>
  <c r="L132" i="6"/>
  <c r="K132" i="6"/>
  <c r="J132" i="6"/>
  <c r="I132" i="6"/>
  <c r="H132" i="6"/>
  <c r="N131" i="6"/>
  <c r="M131" i="6"/>
  <c r="L131" i="6"/>
  <c r="K131" i="6"/>
  <c r="J131" i="6"/>
  <c r="I131" i="6"/>
  <c r="H131" i="6"/>
  <c r="N130" i="6"/>
  <c r="M130" i="6"/>
  <c r="L130" i="6"/>
  <c r="K130" i="6"/>
  <c r="J130" i="6"/>
  <c r="I130" i="6"/>
  <c r="H130" i="6"/>
  <c r="N129" i="6"/>
  <c r="M129" i="6"/>
  <c r="L129" i="6"/>
  <c r="K129" i="6"/>
  <c r="J129" i="6"/>
  <c r="I129" i="6"/>
  <c r="H129" i="6"/>
  <c r="N128" i="6"/>
  <c r="M128" i="6"/>
  <c r="L128" i="6"/>
  <c r="K128" i="6"/>
  <c r="J128" i="6"/>
  <c r="I128" i="6"/>
  <c r="H128" i="6"/>
  <c r="N127" i="6"/>
  <c r="M127" i="6"/>
  <c r="L127" i="6"/>
  <c r="K127" i="6"/>
  <c r="J127" i="6"/>
  <c r="I127" i="6"/>
  <c r="H127" i="6"/>
  <c r="N126" i="6"/>
  <c r="M126" i="6"/>
  <c r="L126" i="6"/>
  <c r="K126" i="6"/>
  <c r="J126" i="6"/>
  <c r="I126" i="6"/>
  <c r="H126" i="6"/>
  <c r="N125" i="6"/>
  <c r="M125" i="6"/>
  <c r="L125" i="6"/>
  <c r="K125" i="6"/>
  <c r="J125" i="6"/>
  <c r="I125" i="6"/>
  <c r="H125" i="6"/>
  <c r="N124" i="6"/>
  <c r="M124" i="6"/>
  <c r="L124" i="6"/>
  <c r="K124" i="6"/>
  <c r="J124" i="6"/>
  <c r="I124" i="6"/>
  <c r="H124" i="6"/>
  <c r="N123" i="6"/>
  <c r="M123" i="6"/>
  <c r="L123" i="6"/>
  <c r="K123" i="6"/>
  <c r="J123" i="6"/>
  <c r="I123" i="6"/>
  <c r="H123" i="6"/>
  <c r="N122" i="6"/>
  <c r="M122" i="6"/>
  <c r="L122" i="6"/>
  <c r="K122" i="6"/>
  <c r="J122" i="6"/>
  <c r="I122" i="6"/>
  <c r="H122" i="6"/>
  <c r="N121" i="6"/>
  <c r="M121" i="6"/>
  <c r="L121" i="6"/>
  <c r="K121" i="6"/>
  <c r="J121" i="6"/>
  <c r="I121" i="6"/>
  <c r="H121" i="6"/>
  <c r="N120" i="6"/>
  <c r="M120" i="6"/>
  <c r="L120" i="6"/>
  <c r="K120" i="6"/>
  <c r="J120" i="6"/>
  <c r="I120" i="6"/>
  <c r="H120" i="6"/>
  <c r="N119" i="6"/>
  <c r="M119" i="6"/>
  <c r="L119" i="6"/>
  <c r="K119" i="6"/>
  <c r="J119" i="6"/>
  <c r="I119" i="6"/>
  <c r="H119" i="6"/>
  <c r="N118" i="6"/>
  <c r="M118" i="6"/>
  <c r="L118" i="6"/>
  <c r="K118" i="6"/>
  <c r="J118" i="6"/>
  <c r="I118" i="6"/>
  <c r="H118" i="6"/>
  <c r="N117" i="6"/>
  <c r="M117" i="6"/>
  <c r="L117" i="6"/>
  <c r="K117" i="6"/>
  <c r="J117" i="6"/>
  <c r="I117" i="6"/>
  <c r="H117" i="6"/>
  <c r="C133" i="6"/>
  <c r="B133" i="6"/>
  <c r="C132" i="6"/>
  <c r="B132" i="6"/>
  <c r="C131" i="6"/>
  <c r="B131" i="6"/>
  <c r="C130" i="6"/>
  <c r="B130" i="6"/>
  <c r="C129" i="6"/>
  <c r="B129" i="6"/>
  <c r="C128" i="6"/>
  <c r="B128" i="6"/>
  <c r="C127" i="6"/>
  <c r="B127" i="6"/>
  <c r="C126" i="6"/>
  <c r="B126" i="6"/>
  <c r="C125" i="6"/>
  <c r="B125" i="6"/>
  <c r="C124" i="6"/>
  <c r="B124" i="6"/>
  <c r="C123" i="6"/>
  <c r="B123" i="6"/>
  <c r="C122" i="6"/>
  <c r="B122" i="6"/>
  <c r="C121" i="6"/>
  <c r="B121" i="6"/>
  <c r="C120" i="6"/>
  <c r="B120" i="6"/>
  <c r="C119" i="6"/>
  <c r="B119" i="6"/>
  <c r="C118" i="6"/>
  <c r="B118" i="6"/>
  <c r="C117" i="6"/>
  <c r="B117" i="6"/>
  <c r="G160" i="6"/>
  <c r="G161" i="6" s="1"/>
  <c r="G162" i="6" s="1"/>
  <c r="G163" i="6" s="1"/>
  <c r="G164" i="6" s="1"/>
  <c r="G165" i="6" s="1"/>
  <c r="G166" i="6" s="1"/>
  <c r="G167" i="6" s="1"/>
  <c r="G168" i="6" s="1"/>
  <c r="G169" i="6" s="1"/>
  <c r="G170" i="6" s="1"/>
  <c r="G171" i="6" s="1"/>
  <c r="G172" i="6" s="1"/>
  <c r="G173" i="6" s="1"/>
  <c r="G174" i="6" s="1"/>
  <c r="G175" i="6" s="1"/>
  <c r="A160" i="6"/>
  <c r="Q160" i="6" s="1"/>
  <c r="Q159" i="6"/>
  <c r="G139" i="6"/>
  <c r="G140" i="6" s="1"/>
  <c r="G141" i="6" s="1"/>
  <c r="G142" i="6" s="1"/>
  <c r="G143" i="6" s="1"/>
  <c r="G144" i="6" s="1"/>
  <c r="G145" i="6" s="1"/>
  <c r="G146" i="6" s="1"/>
  <c r="G147" i="6" s="1"/>
  <c r="G148" i="6" s="1"/>
  <c r="G149" i="6" s="1"/>
  <c r="G150" i="6" s="1"/>
  <c r="G151" i="6" s="1"/>
  <c r="G152" i="6" s="1"/>
  <c r="G153" i="6" s="1"/>
  <c r="G154" i="6" s="1"/>
  <c r="A139" i="6"/>
  <c r="A140" i="6" s="1"/>
  <c r="Q138" i="6"/>
  <c r="G118" i="6"/>
  <c r="G119" i="6" s="1"/>
  <c r="G120" i="6" s="1"/>
  <c r="G121" i="6" s="1"/>
  <c r="G122" i="6" s="1"/>
  <c r="G123" i="6" s="1"/>
  <c r="G124" i="6" s="1"/>
  <c r="G125" i="6" s="1"/>
  <c r="G126" i="6" s="1"/>
  <c r="G127" i="6" s="1"/>
  <c r="G128" i="6" s="1"/>
  <c r="G129" i="6" s="1"/>
  <c r="G130" i="6" s="1"/>
  <c r="G131" i="6" s="1"/>
  <c r="G132" i="6" s="1"/>
  <c r="G133" i="6" s="1"/>
  <c r="A118" i="6"/>
  <c r="A119" i="6" s="1"/>
  <c r="Q119" i="6" s="1"/>
  <c r="Q117" i="6"/>
  <c r="S154" i="2"/>
  <c r="P154" i="2"/>
  <c r="D154" i="2"/>
  <c r="D154" i="6" s="1"/>
  <c r="S153" i="2"/>
  <c r="P153" i="2"/>
  <c r="D153" i="2"/>
  <c r="D153" i="6" s="1"/>
  <c r="S152" i="2"/>
  <c r="P152" i="2"/>
  <c r="D152" i="2"/>
  <c r="D152" i="6" s="1"/>
  <c r="S151" i="2"/>
  <c r="P151" i="2"/>
  <c r="D151" i="2"/>
  <c r="D151" i="6" s="1"/>
  <c r="S150" i="2"/>
  <c r="P150" i="2"/>
  <c r="D150" i="2"/>
  <c r="D150" i="6" s="1"/>
  <c r="S149" i="2"/>
  <c r="P149" i="2"/>
  <c r="D149" i="2"/>
  <c r="D149" i="6" s="1"/>
  <c r="S148" i="2"/>
  <c r="P148" i="2"/>
  <c r="D148" i="2"/>
  <c r="D148" i="6" s="1"/>
  <c r="S147" i="2"/>
  <c r="P147" i="2"/>
  <c r="D147" i="2"/>
  <c r="D147" i="6" s="1"/>
  <c r="S146" i="2"/>
  <c r="P146" i="2"/>
  <c r="D146" i="2"/>
  <c r="D146" i="6" s="1"/>
  <c r="S145" i="2"/>
  <c r="P145" i="2"/>
  <c r="D145" i="2"/>
  <c r="D145" i="6" s="1"/>
  <c r="S144" i="2"/>
  <c r="P144" i="2"/>
  <c r="D144" i="2"/>
  <c r="D144" i="6" s="1"/>
  <c r="S143" i="2"/>
  <c r="P143" i="2"/>
  <c r="D143" i="2"/>
  <c r="D143" i="6" s="1"/>
  <c r="S142" i="2"/>
  <c r="P142" i="2"/>
  <c r="D142" i="2"/>
  <c r="D142" i="6" s="1"/>
  <c r="S141" i="2"/>
  <c r="P141" i="2"/>
  <c r="D141" i="2"/>
  <c r="D141" i="6" s="1"/>
  <c r="S140" i="2"/>
  <c r="P140" i="2"/>
  <c r="D140" i="2"/>
  <c r="D140" i="6" s="1"/>
  <c r="S139" i="2"/>
  <c r="P139" i="2"/>
  <c r="H139" i="2"/>
  <c r="H140" i="2" s="1"/>
  <c r="H141" i="2" s="1"/>
  <c r="H142" i="2" s="1"/>
  <c r="H143" i="2" s="1"/>
  <c r="H144" i="2" s="1"/>
  <c r="H145" i="2" s="1"/>
  <c r="H146" i="2" s="1"/>
  <c r="H147" i="2" s="1"/>
  <c r="H148" i="2" s="1"/>
  <c r="H149" i="2" s="1"/>
  <c r="H150" i="2" s="1"/>
  <c r="H151" i="2" s="1"/>
  <c r="H152" i="2" s="1"/>
  <c r="H153" i="2" s="1"/>
  <c r="H154" i="2" s="1"/>
  <c r="D139" i="2"/>
  <c r="D139" i="6" s="1"/>
  <c r="A139" i="2"/>
  <c r="A140" i="2" s="1"/>
  <c r="S138" i="2"/>
  <c r="R138" i="2"/>
  <c r="P138" i="2"/>
  <c r="D138" i="2"/>
  <c r="D138" i="6" s="1"/>
  <c r="D133" i="2"/>
  <c r="D133" i="6" s="1"/>
  <c r="D132" i="2"/>
  <c r="D132" i="6" s="1"/>
  <c r="D131" i="2"/>
  <c r="D131" i="6" s="1"/>
  <c r="D130" i="2"/>
  <c r="D130" i="6" s="1"/>
  <c r="D129" i="2"/>
  <c r="D129" i="6" s="1"/>
  <c r="D128" i="2"/>
  <c r="D128" i="6" s="1"/>
  <c r="D127" i="2"/>
  <c r="D127" i="6" s="1"/>
  <c r="D126" i="2"/>
  <c r="D126" i="6" s="1"/>
  <c r="D125" i="2"/>
  <c r="D125" i="6" s="1"/>
  <c r="D124" i="2"/>
  <c r="D124" i="6" s="1"/>
  <c r="D123" i="2"/>
  <c r="D123" i="6" s="1"/>
  <c r="D122" i="2"/>
  <c r="D122" i="6" s="1"/>
  <c r="D121" i="2"/>
  <c r="D121" i="6" s="1"/>
  <c r="D120" i="2"/>
  <c r="D120" i="6" s="1"/>
  <c r="D119" i="2"/>
  <c r="D119" i="6" s="1"/>
  <c r="D118" i="2"/>
  <c r="D118" i="6" s="1"/>
  <c r="D117" i="2"/>
  <c r="D117" i="6" s="1"/>
  <c r="AA85" i="5"/>
  <c r="W85" i="5"/>
  <c r="AA84" i="5"/>
  <c r="W84" i="5"/>
  <c r="AA83" i="5"/>
  <c r="W83" i="5"/>
  <c r="AA82" i="5"/>
  <c r="W82" i="5"/>
  <c r="AA81" i="5"/>
  <c r="W81" i="5"/>
  <c r="AA80" i="5"/>
  <c r="W80" i="5"/>
  <c r="AA79" i="5"/>
  <c r="W79" i="5"/>
  <c r="AA78" i="5"/>
  <c r="W78" i="5"/>
  <c r="AA77" i="5"/>
  <c r="W77" i="5"/>
  <c r="AA76" i="5"/>
  <c r="W76" i="5"/>
  <c r="AA75" i="5"/>
  <c r="W75" i="5"/>
  <c r="AA74" i="5"/>
  <c r="W74" i="5"/>
  <c r="AA73" i="5"/>
  <c r="W73" i="5"/>
  <c r="AA72" i="5"/>
  <c r="W72" i="5"/>
  <c r="AA71" i="5"/>
  <c r="W71" i="5"/>
  <c r="AA70" i="5"/>
  <c r="W70" i="5"/>
  <c r="H70" i="5"/>
  <c r="H71" i="5" s="1"/>
  <c r="H72" i="5" s="1"/>
  <c r="H73" i="5" s="1"/>
  <c r="H74" i="5" s="1"/>
  <c r="H75" i="5" s="1"/>
  <c r="H76" i="5" s="1"/>
  <c r="H77" i="5" s="1"/>
  <c r="H78" i="5" s="1"/>
  <c r="H79" i="5" s="1"/>
  <c r="H80" i="5" s="1"/>
  <c r="H81" i="5" s="1"/>
  <c r="H82" i="5" s="1"/>
  <c r="H83" i="5" s="1"/>
  <c r="H84" i="5" s="1"/>
  <c r="H85" i="5" s="1"/>
  <c r="AA69" i="5"/>
  <c r="Y69" i="5"/>
  <c r="W69" i="5"/>
  <c r="P133" i="2"/>
  <c r="P132" i="2"/>
  <c r="P131" i="2"/>
  <c r="P130" i="2"/>
  <c r="P129" i="2"/>
  <c r="P128" i="2"/>
  <c r="P127" i="2"/>
  <c r="P126" i="2"/>
  <c r="P125" i="2"/>
  <c r="P124" i="2"/>
  <c r="P123" i="2"/>
  <c r="P122" i="2"/>
  <c r="P121" i="2"/>
  <c r="P120" i="2"/>
  <c r="P119" i="2"/>
  <c r="P118" i="2"/>
  <c r="H118" i="2"/>
  <c r="H119" i="2" s="1"/>
  <c r="H120" i="2" s="1"/>
  <c r="H121" i="2" s="1"/>
  <c r="H122" i="2" s="1"/>
  <c r="H123" i="2" s="1"/>
  <c r="H124" i="2" s="1"/>
  <c r="H125" i="2" s="1"/>
  <c r="H126" i="2" s="1"/>
  <c r="H127" i="2" s="1"/>
  <c r="H128" i="2" s="1"/>
  <c r="H129" i="2" s="1"/>
  <c r="H130" i="2" s="1"/>
  <c r="H131" i="2" s="1"/>
  <c r="H132" i="2" s="1"/>
  <c r="H133" i="2" s="1"/>
  <c r="P117" i="2"/>
  <c r="U74" i="2"/>
  <c r="U76" i="2"/>
  <c r="U77" i="2"/>
  <c r="U78" i="2"/>
  <c r="U79" i="2"/>
  <c r="U80" i="2"/>
  <c r="U83" i="2"/>
  <c r="U84" i="2"/>
  <c r="U85" i="2"/>
  <c r="F70" i="2"/>
  <c r="F71" i="2" s="1"/>
  <c r="F72" i="2" s="1"/>
  <c r="F73" i="2" s="1"/>
  <c r="F74" i="2" s="1"/>
  <c r="F75" i="2" s="1"/>
  <c r="F76" i="2" s="1"/>
  <c r="F77" i="2" s="1"/>
  <c r="F78" i="2" s="1"/>
  <c r="F79" i="2" s="1"/>
  <c r="F80" i="2" s="1"/>
  <c r="F81" i="2" s="1"/>
  <c r="F82" i="2" s="1"/>
  <c r="F83" i="2" s="1"/>
  <c r="F84" i="2" s="1"/>
  <c r="F85" i="2" s="1"/>
  <c r="D85" i="6"/>
  <c r="C85" i="6"/>
  <c r="D84" i="6"/>
  <c r="C84" i="6"/>
  <c r="D83" i="6"/>
  <c r="C83" i="6"/>
  <c r="D82" i="6"/>
  <c r="C82" i="6"/>
  <c r="D81" i="6"/>
  <c r="C81" i="6"/>
  <c r="D80" i="6"/>
  <c r="C80" i="6"/>
  <c r="D79" i="6"/>
  <c r="C79" i="6"/>
  <c r="D78" i="6"/>
  <c r="C78" i="6"/>
  <c r="D77" i="6"/>
  <c r="C77" i="6"/>
  <c r="D76" i="6"/>
  <c r="C76" i="6"/>
  <c r="D75" i="6"/>
  <c r="C75" i="6"/>
  <c r="D74" i="6"/>
  <c r="C74" i="6"/>
  <c r="D73" i="6"/>
  <c r="C73" i="6"/>
  <c r="D72" i="6"/>
  <c r="C72" i="6"/>
  <c r="D71" i="6"/>
  <c r="C71" i="6"/>
  <c r="D70" i="6"/>
  <c r="C70" i="6"/>
  <c r="C69" i="6"/>
  <c r="C68" i="6"/>
  <c r="E85" i="5"/>
  <c r="E84" i="5"/>
  <c r="E83" i="5"/>
  <c r="E82" i="5"/>
  <c r="E81" i="5"/>
  <c r="E80" i="5"/>
  <c r="E79" i="5"/>
  <c r="E78" i="5"/>
  <c r="E77" i="5"/>
  <c r="E76" i="5"/>
  <c r="E75" i="5"/>
  <c r="E74" i="5"/>
  <c r="E73" i="5"/>
  <c r="E72" i="5"/>
  <c r="E71" i="5"/>
  <c r="E70" i="5"/>
  <c r="E69" i="5"/>
  <c r="E68" i="5"/>
  <c r="D69" i="6"/>
  <c r="E39" i="8"/>
  <c r="E38" i="8"/>
  <c r="E37" i="8"/>
  <c r="E36" i="8"/>
  <c r="E35" i="8"/>
  <c r="E34" i="8"/>
  <c r="E33" i="8"/>
  <c r="G59" i="8"/>
  <c r="E54" i="8"/>
  <c r="E53" i="8"/>
  <c r="E52" i="8"/>
  <c r="E51" i="8"/>
  <c r="E50" i="8"/>
  <c r="E49" i="8"/>
  <c r="L67" i="9" s="1"/>
  <c r="E47" i="8"/>
  <c r="E42" i="8"/>
  <c r="E41" i="8"/>
  <c r="E40" i="8"/>
  <c r="E32" i="8"/>
  <c r="E30" i="8"/>
  <c r="E29" i="8"/>
  <c r="E28" i="8"/>
  <c r="N67" i="9" l="1"/>
  <c r="M67" i="9"/>
  <c r="L68" i="9"/>
  <c r="M68" i="9" s="1"/>
  <c r="L64" i="9"/>
  <c r="M64" i="9" s="1"/>
  <c r="L66" i="9"/>
  <c r="M66" i="9" s="1"/>
  <c r="L69" i="9"/>
  <c r="L71" i="9"/>
  <c r="L72" i="9"/>
  <c r="M72" i="9" s="1"/>
  <c r="W106" i="2"/>
  <c r="W106" i="6" s="1"/>
  <c r="K43" i="9" s="1"/>
  <c r="L43" i="9" s="1"/>
  <c r="W102" i="2"/>
  <c r="W102" i="6" s="1"/>
  <c r="K39" i="9" s="1"/>
  <c r="L39" i="9" s="1"/>
  <c r="W104" i="2"/>
  <c r="W104" i="6" s="1"/>
  <c r="K41" i="9" s="1"/>
  <c r="L41" i="9" s="1"/>
  <c r="W105" i="2"/>
  <c r="W105" i="6" s="1"/>
  <c r="K42" i="9" s="1"/>
  <c r="L42" i="9" s="1"/>
  <c r="W103" i="2"/>
  <c r="W103" i="6" s="1"/>
  <c r="K40" i="9" s="1"/>
  <c r="L40" i="9" s="1"/>
  <c r="W95" i="2"/>
  <c r="W95" i="6" s="1"/>
  <c r="K32" i="9" s="1"/>
  <c r="L32" i="9" s="1"/>
  <c r="W99" i="2"/>
  <c r="W99" i="6" s="1"/>
  <c r="K36" i="9" s="1"/>
  <c r="L36" i="9" s="1"/>
  <c r="W97" i="2"/>
  <c r="W97" i="6" s="1"/>
  <c r="K34" i="9" s="1"/>
  <c r="L34" i="9" s="1"/>
  <c r="W108" i="2"/>
  <c r="W108" i="6" s="1"/>
  <c r="K45" i="9" s="1"/>
  <c r="L45" i="9" s="1"/>
  <c r="W96" i="2"/>
  <c r="W96" i="6" s="1"/>
  <c r="K33" i="9" s="1"/>
  <c r="L33" i="9" s="1"/>
  <c r="W98" i="2"/>
  <c r="W98" i="6" s="1"/>
  <c r="K35" i="9" s="1"/>
  <c r="L35" i="9" s="1"/>
  <c r="W107" i="2"/>
  <c r="W107" i="6" s="1"/>
  <c r="K44" i="9" s="1"/>
  <c r="L44" i="9" s="1"/>
  <c r="W94" i="2"/>
  <c r="W94" i="6" s="1"/>
  <c r="K31" i="9" s="1"/>
  <c r="L31" i="9" s="1"/>
  <c r="W93" i="2"/>
  <c r="W93" i="6" s="1"/>
  <c r="K30" i="9" s="1"/>
  <c r="L30" i="9" s="1"/>
  <c r="W109" i="2"/>
  <c r="W109" i="6" s="1"/>
  <c r="K46" i="9" s="1"/>
  <c r="L46" i="9" s="1"/>
  <c r="W101" i="2"/>
  <c r="W101" i="6" s="1"/>
  <c r="K38" i="9" s="1"/>
  <c r="L38" i="9" s="1"/>
  <c r="W100" i="2"/>
  <c r="W100" i="6" s="1"/>
  <c r="K37" i="9" s="1"/>
  <c r="L37" i="9" s="1"/>
  <c r="L70" i="9"/>
  <c r="M70" i="9" s="1"/>
  <c r="B172" i="6"/>
  <c r="B173" i="6"/>
  <c r="D168" i="2"/>
  <c r="D168" i="6" s="1"/>
  <c r="L65" i="9" s="1"/>
  <c r="B166" i="2"/>
  <c r="B166" i="6" s="1"/>
  <c r="B168" i="6"/>
  <c r="A161" i="6"/>
  <c r="Q161" i="6" s="1"/>
  <c r="R154" i="6"/>
  <c r="G62" i="9"/>
  <c r="H62" i="9" s="1"/>
  <c r="G70" i="9"/>
  <c r="G67" i="9"/>
  <c r="R140" i="6"/>
  <c r="G59" i="9"/>
  <c r="R120" i="6"/>
  <c r="R124" i="6"/>
  <c r="R128" i="6"/>
  <c r="R132" i="6"/>
  <c r="R141" i="6"/>
  <c r="R145" i="6"/>
  <c r="R149" i="6"/>
  <c r="R153" i="6"/>
  <c r="B60" i="9"/>
  <c r="B68" i="9"/>
  <c r="G64" i="9"/>
  <c r="G72" i="9"/>
  <c r="B71" i="9"/>
  <c r="C71" i="9" s="1"/>
  <c r="B63" i="9"/>
  <c r="R117" i="6"/>
  <c r="R129" i="6"/>
  <c r="R138" i="6"/>
  <c r="R142" i="6"/>
  <c r="R146" i="6"/>
  <c r="R150" i="6"/>
  <c r="G57" i="9"/>
  <c r="H57" i="9" s="1"/>
  <c r="G65" i="9"/>
  <c r="H65" i="9" s="1"/>
  <c r="B57" i="9"/>
  <c r="B65" i="9"/>
  <c r="C65" i="9" s="1"/>
  <c r="G56" i="9"/>
  <c r="B66" i="9"/>
  <c r="G58" i="9"/>
  <c r="G66" i="9"/>
  <c r="B58" i="9"/>
  <c r="B56" i="9"/>
  <c r="C56" i="9" s="1"/>
  <c r="B64" i="9"/>
  <c r="C64" i="9" s="1"/>
  <c r="B72" i="9"/>
  <c r="G71" i="9"/>
  <c r="G61" i="9"/>
  <c r="G69" i="9"/>
  <c r="B62" i="9"/>
  <c r="B70" i="9"/>
  <c r="G63" i="9"/>
  <c r="H63" i="9" s="1"/>
  <c r="R121" i="6"/>
  <c r="R125" i="6"/>
  <c r="R133" i="6"/>
  <c r="R144" i="6"/>
  <c r="R148" i="6"/>
  <c r="R152" i="6"/>
  <c r="B59" i="9"/>
  <c r="C59" i="9" s="1"/>
  <c r="B67" i="9"/>
  <c r="C67" i="9" s="1"/>
  <c r="N68" i="9"/>
  <c r="N66" i="9"/>
  <c r="B61" i="9"/>
  <c r="C61" i="9" s="1"/>
  <c r="B69" i="9"/>
  <c r="C69" i="9" s="1"/>
  <c r="N64" i="9"/>
  <c r="G60" i="9"/>
  <c r="H60" i="9" s="1"/>
  <c r="N70" i="9"/>
  <c r="G68" i="9"/>
  <c r="H68" i="9" s="1"/>
  <c r="A36" i="9"/>
  <c r="K64" i="9"/>
  <c r="A62" i="9"/>
  <c r="F61" i="9"/>
  <c r="Q118" i="6"/>
  <c r="O138" i="6"/>
  <c r="O146" i="6"/>
  <c r="O154" i="6"/>
  <c r="O164" i="6"/>
  <c r="O172" i="6"/>
  <c r="D166" i="2"/>
  <c r="D166" i="6" s="1"/>
  <c r="L63" i="9" s="1"/>
  <c r="M63" i="9" s="1"/>
  <c r="B165" i="2"/>
  <c r="B165" i="6" s="1"/>
  <c r="O159" i="6"/>
  <c r="O175" i="6"/>
  <c r="O143" i="6"/>
  <c r="O151" i="6"/>
  <c r="O167" i="6"/>
  <c r="R127" i="6"/>
  <c r="O147" i="6"/>
  <c r="O173" i="6"/>
  <c r="O117" i="6"/>
  <c r="O125" i="6"/>
  <c r="O133" i="6"/>
  <c r="R119" i="6"/>
  <c r="R123" i="6"/>
  <c r="R131" i="6"/>
  <c r="O118" i="6"/>
  <c r="O119" i="6"/>
  <c r="O120" i="6"/>
  <c r="O121" i="6"/>
  <c r="O122" i="6"/>
  <c r="O123" i="6"/>
  <c r="O124" i="6"/>
  <c r="O126" i="6"/>
  <c r="O127" i="6"/>
  <c r="O128" i="6"/>
  <c r="O129" i="6"/>
  <c r="O130" i="6"/>
  <c r="O131" i="6"/>
  <c r="O132" i="6"/>
  <c r="O160" i="6"/>
  <c r="O161" i="6"/>
  <c r="O162" i="6"/>
  <c r="O163" i="6"/>
  <c r="O166" i="6"/>
  <c r="O169" i="6"/>
  <c r="O170" i="6"/>
  <c r="O171" i="6"/>
  <c r="O174" i="6"/>
  <c r="R163" i="2"/>
  <c r="A164" i="2"/>
  <c r="R118" i="6"/>
  <c r="R122" i="6"/>
  <c r="R126" i="6"/>
  <c r="R130" i="6"/>
  <c r="O139" i="6"/>
  <c r="O140" i="6"/>
  <c r="O141" i="6"/>
  <c r="O142" i="6"/>
  <c r="O144" i="6"/>
  <c r="O145" i="6"/>
  <c r="O148" i="6"/>
  <c r="O149" i="6"/>
  <c r="O150" i="6"/>
  <c r="O152" i="6"/>
  <c r="O153" i="6"/>
  <c r="R139" i="6"/>
  <c r="R143" i="6"/>
  <c r="R147" i="6"/>
  <c r="R151" i="6"/>
  <c r="A120" i="6"/>
  <c r="A121" i="6" s="1"/>
  <c r="Q121" i="6" s="1"/>
  <c r="A162" i="6"/>
  <c r="A163" i="6" s="1"/>
  <c r="A164" i="6" s="1"/>
  <c r="A141" i="6"/>
  <c r="Q140" i="6"/>
  <c r="Q163" i="6"/>
  <c r="Q139" i="6"/>
  <c r="Q162" i="6"/>
  <c r="R140" i="2"/>
  <c r="A141" i="2"/>
  <c r="R141" i="2" s="1"/>
  <c r="R139" i="2"/>
  <c r="N72" i="9" l="1"/>
  <c r="I61" i="9"/>
  <c r="H61" i="9"/>
  <c r="D66" i="9"/>
  <c r="C66" i="9"/>
  <c r="D68" i="9"/>
  <c r="C68" i="9"/>
  <c r="I71" i="9"/>
  <c r="H71" i="9"/>
  <c r="I56" i="9"/>
  <c r="H56" i="9"/>
  <c r="D60" i="9"/>
  <c r="C60" i="9"/>
  <c r="N71" i="9"/>
  <c r="M71" i="9"/>
  <c r="D72" i="9"/>
  <c r="C72" i="9"/>
  <c r="I59" i="9"/>
  <c r="H59" i="9"/>
  <c r="N69" i="9"/>
  <c r="M69" i="9"/>
  <c r="D57" i="9"/>
  <c r="C57" i="9"/>
  <c r="N65" i="9"/>
  <c r="M65" i="9"/>
  <c r="D63" i="9"/>
  <c r="C63" i="9"/>
  <c r="I67" i="9"/>
  <c r="H67" i="9"/>
  <c r="D70" i="9"/>
  <c r="C70" i="9"/>
  <c r="D58" i="9"/>
  <c r="C58" i="9"/>
  <c r="I70" i="9"/>
  <c r="H70" i="9"/>
  <c r="D62" i="9"/>
  <c r="C62" i="9"/>
  <c r="I66" i="9"/>
  <c r="H66" i="9"/>
  <c r="I72" i="9"/>
  <c r="H72" i="9"/>
  <c r="I69" i="9"/>
  <c r="H69" i="9"/>
  <c r="I58" i="9"/>
  <c r="H58" i="9"/>
  <c r="I64" i="9"/>
  <c r="H64" i="9"/>
  <c r="N63" i="9"/>
  <c r="D71" i="9"/>
  <c r="I62" i="9"/>
  <c r="D65" i="9"/>
  <c r="I57" i="9"/>
  <c r="Q65" i="9"/>
  <c r="R65" i="9" s="1"/>
  <c r="Q68" i="9"/>
  <c r="R68" i="9" s="1"/>
  <c r="Q72" i="9"/>
  <c r="R72" i="9" s="1"/>
  <c r="Q64" i="9"/>
  <c r="R64" i="9" s="1"/>
  <c r="Q71" i="9"/>
  <c r="R71" i="9" s="1"/>
  <c r="Q63" i="9"/>
  <c r="R63" i="9" s="1"/>
  <c r="I63" i="9"/>
  <c r="I65" i="9"/>
  <c r="D56" i="9"/>
  <c r="D64" i="9"/>
  <c r="Q70" i="9"/>
  <c r="R70" i="9" s="1"/>
  <c r="Q66" i="9"/>
  <c r="R66" i="9" s="1"/>
  <c r="D67" i="9"/>
  <c r="Q67" i="9"/>
  <c r="R67" i="9" s="1"/>
  <c r="D69" i="9"/>
  <c r="Q69" i="9"/>
  <c r="R69" i="9" s="1"/>
  <c r="D59" i="9"/>
  <c r="D61" i="9"/>
  <c r="I60" i="9"/>
  <c r="I68" i="9"/>
  <c r="A63" i="9"/>
  <c r="K65" i="9"/>
  <c r="A37" i="9"/>
  <c r="F62" i="9"/>
  <c r="Q120" i="6"/>
  <c r="A122" i="6"/>
  <c r="A123" i="6" s="1"/>
  <c r="B164" i="2"/>
  <c r="B164" i="6" s="1"/>
  <c r="D165" i="2"/>
  <c r="D165" i="6" s="1"/>
  <c r="L62" i="9" s="1"/>
  <c r="R164" i="2"/>
  <c r="A165" i="2"/>
  <c r="A165" i="6"/>
  <c r="Q164" i="6"/>
  <c r="A142" i="6"/>
  <c r="Q141" i="6"/>
  <c r="A142" i="2"/>
  <c r="A143" i="2" s="1"/>
  <c r="R143" i="2" s="1"/>
  <c r="Q62" i="9" l="1"/>
  <c r="R62" i="9" s="1"/>
  <c r="M62" i="9"/>
  <c r="Q122" i="6"/>
  <c r="N62" i="9"/>
  <c r="R142" i="2"/>
  <c r="A38" i="9"/>
  <c r="K66" i="9"/>
  <c r="A64" i="9"/>
  <c r="F63" i="9"/>
  <c r="D164" i="2"/>
  <c r="D164" i="6" s="1"/>
  <c r="L61" i="9" s="1"/>
  <c r="M61" i="9" s="1"/>
  <c r="B163" i="2"/>
  <c r="B163" i="6" s="1"/>
  <c r="A166" i="2"/>
  <c r="R165" i="2"/>
  <c r="Q142" i="6"/>
  <c r="A143" i="6"/>
  <c r="Q165" i="6"/>
  <c r="A166" i="6"/>
  <c r="Q123" i="6"/>
  <c r="A124" i="6"/>
  <c r="A144" i="2"/>
  <c r="N61" i="9" l="1"/>
  <c r="Q61" i="9"/>
  <c r="R61" i="9" s="1"/>
  <c r="F64" i="9"/>
  <c r="K67" i="9"/>
  <c r="A39" i="9"/>
  <c r="A65" i="9"/>
  <c r="B162" i="2"/>
  <c r="B162" i="6" s="1"/>
  <c r="D163" i="2"/>
  <c r="D163" i="6" s="1"/>
  <c r="L60" i="9" s="1"/>
  <c r="M60" i="9" s="1"/>
  <c r="R166" i="2"/>
  <c r="A167" i="2"/>
  <c r="A125" i="6"/>
  <c r="Q124" i="6"/>
  <c r="A144" i="6"/>
  <c r="Q143" i="6"/>
  <c r="A167" i="6"/>
  <c r="Q166" i="6"/>
  <c r="R144" i="2"/>
  <c r="A145" i="2"/>
  <c r="N60" i="9" l="1"/>
  <c r="Q60" i="9"/>
  <c r="R60" i="9" s="1"/>
  <c r="F65" i="9"/>
  <c r="A40" i="9"/>
  <c r="A66" i="9"/>
  <c r="K68" i="9"/>
  <c r="D162" i="2"/>
  <c r="D162" i="6" s="1"/>
  <c r="L59" i="9" s="1"/>
  <c r="M59" i="9" s="1"/>
  <c r="B161" i="2"/>
  <c r="B161" i="6" s="1"/>
  <c r="R167" i="2"/>
  <c r="A168" i="2"/>
  <c r="Q167" i="6"/>
  <c r="A168" i="6"/>
  <c r="Q144" i="6"/>
  <c r="A145" i="6"/>
  <c r="A126" i="6"/>
  <c r="Q125" i="6"/>
  <c r="R145" i="2"/>
  <c r="A146" i="2"/>
  <c r="N59" i="9" l="1"/>
  <c r="Q59" i="9"/>
  <c r="R59" i="9" s="1"/>
  <c r="K69" i="9"/>
  <c r="A67" i="9"/>
  <c r="A41" i="9"/>
  <c r="F66" i="9"/>
  <c r="B160" i="2"/>
  <c r="B160" i="6" s="1"/>
  <c r="D161" i="2"/>
  <c r="D161" i="6" s="1"/>
  <c r="L58" i="9" s="1"/>
  <c r="M58" i="9" s="1"/>
  <c r="R168" i="2"/>
  <c r="A169" i="2"/>
  <c r="A146" i="6"/>
  <c r="Q145" i="6"/>
  <c r="A127" i="6"/>
  <c r="Q126" i="6"/>
  <c r="A169" i="6"/>
  <c r="Q168" i="6"/>
  <c r="R146" i="2"/>
  <c r="A147" i="2"/>
  <c r="N58" i="9" l="1"/>
  <c r="Q58" i="9"/>
  <c r="R58" i="9" s="1"/>
  <c r="F67" i="9"/>
  <c r="K70" i="9"/>
  <c r="A42" i="9"/>
  <c r="A68" i="9"/>
  <c r="B159" i="2"/>
  <c r="D160" i="2"/>
  <c r="D160" i="6" s="1"/>
  <c r="L57" i="9" s="1"/>
  <c r="M57" i="9" s="1"/>
  <c r="A170" i="2"/>
  <c r="R169" i="2"/>
  <c r="Q127" i="6"/>
  <c r="A128" i="6"/>
  <c r="Q169" i="6"/>
  <c r="A170" i="6"/>
  <c r="A147" i="6"/>
  <c r="Q146" i="6"/>
  <c r="R147" i="2"/>
  <c r="A148" i="2"/>
  <c r="D159" i="2" l="1"/>
  <c r="D159" i="6" s="1"/>
  <c r="L56" i="9" s="1"/>
  <c r="M56" i="9" s="1"/>
  <c r="B159" i="6"/>
  <c r="N57" i="9"/>
  <c r="Q57" i="9"/>
  <c r="R57" i="9" s="1"/>
  <c r="A69" i="9"/>
  <c r="A43" i="9"/>
  <c r="F68" i="9"/>
  <c r="K71" i="9"/>
  <c r="R170" i="2"/>
  <c r="A171" i="2"/>
  <c r="A148" i="6"/>
  <c r="Q147" i="6"/>
  <c r="A171" i="6"/>
  <c r="Q170" i="6"/>
  <c r="A129" i="6"/>
  <c r="Q128" i="6"/>
  <c r="A149" i="2"/>
  <c r="R148" i="2"/>
  <c r="N56" i="9" l="1"/>
  <c r="Q56" i="9"/>
  <c r="R56" i="9" s="1"/>
  <c r="A44" i="9"/>
  <c r="F69" i="9"/>
  <c r="A70" i="9"/>
  <c r="K72" i="9"/>
  <c r="R171" i="2"/>
  <c r="A172" i="2"/>
  <c r="A130" i="6"/>
  <c r="Q129" i="6"/>
  <c r="A172" i="6"/>
  <c r="Q171" i="6"/>
  <c r="Q148" i="6"/>
  <c r="A149" i="6"/>
  <c r="A150" i="2"/>
  <c r="R149" i="2"/>
  <c r="A71" i="9" l="1"/>
  <c r="F70" i="9"/>
  <c r="A45" i="9"/>
  <c r="A173" i="2"/>
  <c r="R172" i="2"/>
  <c r="A150" i="6"/>
  <c r="Q149" i="6"/>
  <c r="A173" i="6"/>
  <c r="Q172" i="6"/>
  <c r="A131" i="6"/>
  <c r="Q130" i="6"/>
  <c r="A151" i="2"/>
  <c r="R150" i="2"/>
  <c r="F71" i="9" l="1"/>
  <c r="A46" i="9"/>
  <c r="A72" i="9"/>
  <c r="A174" i="2"/>
  <c r="R173" i="2"/>
  <c r="Q131" i="6"/>
  <c r="A132" i="6"/>
  <c r="Q173" i="6"/>
  <c r="A174" i="6"/>
  <c r="Q150" i="6"/>
  <c r="A151" i="6"/>
  <c r="A152" i="2"/>
  <c r="R151" i="2"/>
  <c r="F72" i="9" l="1"/>
  <c r="R174" i="2"/>
  <c r="A175" i="2"/>
  <c r="R175" i="2" s="1"/>
  <c r="A175" i="6"/>
  <c r="Q175" i="6" s="1"/>
  <c r="Q174" i="6"/>
  <c r="A152" i="6"/>
  <c r="Q151" i="6"/>
  <c r="A133" i="6"/>
  <c r="Q133" i="6" s="1"/>
  <c r="Q132" i="6"/>
  <c r="A153" i="2"/>
  <c r="R152" i="2"/>
  <c r="A153" i="6" l="1"/>
  <c r="Q152" i="6"/>
  <c r="R153" i="2"/>
  <c r="A154" i="2"/>
  <c r="R154" i="2" s="1"/>
  <c r="A154" i="6" l="1"/>
  <c r="Q154" i="6" s="1"/>
  <c r="Q153" i="6"/>
  <c r="S133" i="2" l="1"/>
  <c r="S132" i="2"/>
  <c r="S131" i="2"/>
  <c r="S130" i="2"/>
  <c r="S129" i="2"/>
  <c r="S128" i="2"/>
  <c r="S127" i="2"/>
  <c r="S126" i="2"/>
  <c r="S125" i="2"/>
  <c r="S124" i="2"/>
  <c r="S123" i="2"/>
  <c r="S122" i="2"/>
  <c r="S121" i="2"/>
  <c r="S120" i="2"/>
  <c r="S119" i="2"/>
  <c r="S118" i="2"/>
  <c r="A118" i="2"/>
  <c r="A119" i="2" s="1"/>
  <c r="S117" i="2"/>
  <c r="R117" i="2"/>
  <c r="R119" i="2" l="1"/>
  <c r="A120" i="2"/>
  <c r="R118" i="2"/>
  <c r="A121" i="2" l="1"/>
  <c r="R120" i="2"/>
  <c r="R121" i="2" l="1"/>
  <c r="A122" i="2"/>
  <c r="A123" i="2" l="1"/>
  <c r="R122" i="2"/>
  <c r="R123" i="2" l="1"/>
  <c r="A124" i="2"/>
  <c r="A125" i="2" l="1"/>
  <c r="R124" i="2"/>
  <c r="R125" i="2" l="1"/>
  <c r="A126" i="2"/>
  <c r="A127" i="2" l="1"/>
  <c r="R126" i="2"/>
  <c r="R127" i="2" l="1"/>
  <c r="A128" i="2"/>
  <c r="A129" i="2" l="1"/>
  <c r="R128" i="2"/>
  <c r="A130" i="2" l="1"/>
  <c r="R129" i="2"/>
  <c r="A7" i="9" l="1"/>
  <c r="A131" i="2"/>
  <c r="R130" i="2"/>
  <c r="A8" i="9" l="1"/>
  <c r="R131" i="2"/>
  <c r="A132" i="2"/>
  <c r="A9" i="9" l="1"/>
  <c r="A133" i="2"/>
  <c r="R133" i="2" s="1"/>
  <c r="R132" i="2"/>
  <c r="A10" i="9" l="1"/>
  <c r="W69" i="6"/>
  <c r="W69" i="2"/>
  <c r="Y82" i="2"/>
  <c r="Y82" i="6" s="1"/>
  <c r="Y81" i="2"/>
  <c r="Y81" i="6" s="1"/>
  <c r="Y80" i="2"/>
  <c r="Y80" i="6" s="1"/>
  <c r="Y79" i="2"/>
  <c r="Y79" i="6" s="1"/>
  <c r="Y78" i="2"/>
  <c r="Y78" i="6" s="1"/>
  <c r="Y77" i="2"/>
  <c r="Y77" i="6" s="1"/>
  <c r="Y76" i="2"/>
  <c r="Y76" i="6" s="1"/>
  <c r="Y75" i="6"/>
  <c r="Y74" i="2"/>
  <c r="Y74" i="6" s="1"/>
  <c r="Y73" i="2"/>
  <c r="Y73" i="6" s="1"/>
  <c r="Y72" i="2"/>
  <c r="Y72" i="6" s="1"/>
  <c r="Y71" i="2"/>
  <c r="Y71" i="6" s="1"/>
  <c r="Y70" i="2"/>
  <c r="Y70" i="6" s="1"/>
  <c r="Y69" i="2"/>
  <c r="Y69" i="6" s="1"/>
  <c r="X41" i="6"/>
  <c r="X40" i="6"/>
  <c r="X39" i="6"/>
  <c r="X38" i="6"/>
  <c r="X37" i="6"/>
  <c r="X36" i="6"/>
  <c r="X35" i="6"/>
  <c r="X34" i="6"/>
  <c r="X33" i="6"/>
  <c r="X32" i="6"/>
  <c r="X31" i="6"/>
  <c r="X30" i="6"/>
  <c r="X29" i="6"/>
  <c r="X28" i="6"/>
  <c r="X27" i="6"/>
  <c r="X26" i="6"/>
  <c r="X25" i="6"/>
  <c r="X24" i="6"/>
  <c r="X23" i="6"/>
  <c r="X22" i="6"/>
  <c r="X21" i="6"/>
  <c r="X20" i="6"/>
  <c r="X19" i="6"/>
  <c r="X18" i="6"/>
  <c r="X17" i="6"/>
  <c r="X16" i="6"/>
  <c r="X15" i="6"/>
  <c r="X14" i="6"/>
  <c r="X13" i="6"/>
  <c r="X12" i="6"/>
  <c r="X11" i="6"/>
  <c r="X10" i="6"/>
  <c r="X9" i="6"/>
  <c r="X8" i="6"/>
  <c r="X7" i="6"/>
  <c r="X6" i="6"/>
  <c r="X5" i="6"/>
  <c r="W41" i="6"/>
  <c r="V41" i="6" s="1"/>
  <c r="W40" i="6"/>
  <c r="W39" i="6"/>
  <c r="W38" i="6"/>
  <c r="W37" i="6"/>
  <c r="W36" i="6"/>
  <c r="W35" i="6"/>
  <c r="W34" i="6"/>
  <c r="W33" i="6"/>
  <c r="V33" i="6" s="1"/>
  <c r="W32" i="6"/>
  <c r="W31" i="6"/>
  <c r="W30" i="6"/>
  <c r="W29" i="6"/>
  <c r="W28" i="6"/>
  <c r="W27" i="6"/>
  <c r="W26" i="6"/>
  <c r="W25" i="6"/>
  <c r="V25" i="6" s="1"/>
  <c r="W24" i="6"/>
  <c r="W23" i="6"/>
  <c r="W22" i="6"/>
  <c r="W21" i="6"/>
  <c r="W20" i="6"/>
  <c r="W19" i="6"/>
  <c r="W18" i="6"/>
  <c r="W17" i="6"/>
  <c r="V17" i="6" s="1"/>
  <c r="W16" i="6"/>
  <c r="W15" i="6"/>
  <c r="W14" i="6"/>
  <c r="W13" i="6"/>
  <c r="W12" i="6"/>
  <c r="W11" i="6"/>
  <c r="W10" i="6"/>
  <c r="W9" i="6"/>
  <c r="W8" i="6"/>
  <c r="W7" i="6"/>
  <c r="W6" i="6"/>
  <c r="W5" i="6"/>
  <c r="B36" i="2"/>
  <c r="B37" i="2" s="1"/>
  <c r="B38" i="2" s="1"/>
  <c r="B39" i="2" s="1"/>
  <c r="B40" i="2" s="1"/>
  <c r="B41" i="2" s="1"/>
  <c r="B42" i="2" s="1"/>
  <c r="B43" i="2" s="1"/>
  <c r="C41" i="5"/>
  <c r="C40" i="5"/>
  <c r="C39" i="5"/>
  <c r="C38" i="5"/>
  <c r="C37" i="5"/>
  <c r="C36" i="5"/>
  <c r="C35" i="5"/>
  <c r="F35" i="5" s="1"/>
  <c r="F35" i="6" s="1"/>
  <c r="C34" i="5"/>
  <c r="C33" i="5"/>
  <c r="C32" i="5"/>
  <c r="C31" i="5"/>
  <c r="C30" i="5"/>
  <c r="C29" i="5"/>
  <c r="C28" i="5"/>
  <c r="F28" i="5" s="1"/>
  <c r="C27" i="5"/>
  <c r="C26" i="5"/>
  <c r="C25" i="5"/>
  <c r="C24" i="5"/>
  <c r="C23" i="5"/>
  <c r="C22" i="5"/>
  <c r="C21" i="5"/>
  <c r="C20" i="5"/>
  <c r="C19" i="5"/>
  <c r="C18" i="5"/>
  <c r="C17" i="5"/>
  <c r="F17" i="5" s="1"/>
  <c r="F17" i="6" s="1"/>
  <c r="C16" i="5"/>
  <c r="C15" i="5"/>
  <c r="C14" i="5"/>
  <c r="C13" i="5"/>
  <c r="C12" i="5"/>
  <c r="C11" i="5"/>
  <c r="C10" i="5"/>
  <c r="C9" i="5"/>
  <c r="C8" i="5"/>
  <c r="C7" i="5"/>
  <c r="F7" i="5" s="1"/>
  <c r="F7" i="6" s="1"/>
  <c r="C6" i="5"/>
  <c r="C5" i="5"/>
  <c r="B29" i="5"/>
  <c r="B18" i="5"/>
  <c r="B19" i="5" s="1"/>
  <c r="B20" i="5" s="1"/>
  <c r="B21" i="5" s="1"/>
  <c r="B22" i="5" s="1"/>
  <c r="B23" i="5" s="1"/>
  <c r="B24" i="5" s="1"/>
  <c r="B25" i="5" s="1"/>
  <c r="B26" i="5" s="1"/>
  <c r="B27" i="5" s="1"/>
  <c r="B8" i="5"/>
  <c r="B6" i="5" s="1"/>
  <c r="B5" i="5" s="1"/>
  <c r="B29" i="2"/>
  <c r="B30" i="2" s="1"/>
  <c r="B18" i="2"/>
  <c r="B19" i="2" s="1"/>
  <c r="B8" i="2"/>
  <c r="B35" i="6"/>
  <c r="B28" i="6"/>
  <c r="B17" i="6"/>
  <c r="B7" i="6"/>
  <c r="R41" i="6"/>
  <c r="R40" i="6"/>
  <c r="R39" i="6"/>
  <c r="R38" i="6"/>
  <c r="R37" i="6"/>
  <c r="R36" i="6"/>
  <c r="R35" i="6"/>
  <c r="R34" i="6"/>
  <c r="R33" i="6"/>
  <c r="R32" i="6"/>
  <c r="R31" i="6"/>
  <c r="R30" i="6"/>
  <c r="R29" i="6"/>
  <c r="R28" i="6"/>
  <c r="R27" i="6"/>
  <c r="R26" i="6"/>
  <c r="R25" i="6"/>
  <c r="R24" i="6"/>
  <c r="R23" i="6"/>
  <c r="R22" i="6"/>
  <c r="R21" i="6"/>
  <c r="R20" i="6"/>
  <c r="R19" i="6"/>
  <c r="R18" i="6"/>
  <c r="R17" i="6"/>
  <c r="R16" i="6"/>
  <c r="R15" i="6"/>
  <c r="R14" i="6"/>
  <c r="R13" i="6"/>
  <c r="R12" i="6"/>
  <c r="R11" i="6"/>
  <c r="R10" i="6"/>
  <c r="R9" i="6"/>
  <c r="R8" i="6"/>
  <c r="R7" i="6"/>
  <c r="R6" i="6"/>
  <c r="A6" i="6"/>
  <c r="J6" i="6" s="1"/>
  <c r="T6" i="6" s="1"/>
  <c r="R5" i="6"/>
  <c r="J5" i="6"/>
  <c r="T5" i="6" s="1"/>
  <c r="U41" i="5"/>
  <c r="R41" i="5"/>
  <c r="U40" i="5"/>
  <c r="R40" i="5"/>
  <c r="U39" i="5"/>
  <c r="R39" i="5"/>
  <c r="U38" i="5"/>
  <c r="R38" i="5"/>
  <c r="U37" i="5"/>
  <c r="R37" i="5"/>
  <c r="U36" i="5"/>
  <c r="R36" i="5"/>
  <c r="U35" i="5"/>
  <c r="R35" i="5"/>
  <c r="U34" i="5"/>
  <c r="R34" i="5"/>
  <c r="U33" i="5"/>
  <c r="R33" i="5"/>
  <c r="U32" i="5"/>
  <c r="R32" i="5"/>
  <c r="U31" i="5"/>
  <c r="R31" i="5"/>
  <c r="U30" i="5"/>
  <c r="R30" i="5"/>
  <c r="U29" i="5"/>
  <c r="R29" i="5"/>
  <c r="U28" i="5"/>
  <c r="R28" i="5"/>
  <c r="U27" i="5"/>
  <c r="R27" i="5"/>
  <c r="U26" i="5"/>
  <c r="R26" i="5"/>
  <c r="U25" i="5"/>
  <c r="R25" i="5"/>
  <c r="U24" i="5"/>
  <c r="R24" i="5"/>
  <c r="U23" i="5"/>
  <c r="R23" i="5"/>
  <c r="U22" i="5"/>
  <c r="R22" i="5"/>
  <c r="U21" i="5"/>
  <c r="R21" i="5"/>
  <c r="U20" i="5"/>
  <c r="R20" i="5"/>
  <c r="U19" i="5"/>
  <c r="R19" i="5"/>
  <c r="U18" i="5"/>
  <c r="R18" i="5"/>
  <c r="U17" i="5"/>
  <c r="R17" i="5"/>
  <c r="U16" i="5"/>
  <c r="R16" i="5"/>
  <c r="U15" i="5"/>
  <c r="R15" i="5"/>
  <c r="U14" i="5"/>
  <c r="R14" i="5"/>
  <c r="U13" i="5"/>
  <c r="R13" i="5"/>
  <c r="U12" i="5"/>
  <c r="R12" i="5"/>
  <c r="U11" i="5"/>
  <c r="R11" i="5"/>
  <c r="U10" i="5"/>
  <c r="R10" i="5"/>
  <c r="U9" i="5"/>
  <c r="R9" i="5"/>
  <c r="U8" i="5"/>
  <c r="R8" i="5"/>
  <c r="U7" i="5"/>
  <c r="R7" i="5"/>
  <c r="U6" i="5"/>
  <c r="R6" i="5"/>
  <c r="A6" i="5"/>
  <c r="A7" i="5" s="1"/>
  <c r="U5" i="5"/>
  <c r="R5" i="5"/>
  <c r="J5" i="5"/>
  <c r="T5" i="5" s="1"/>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U7" i="2"/>
  <c r="U6" i="2"/>
  <c r="U5"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12" i="2"/>
  <c r="R11" i="2"/>
  <c r="R10" i="2"/>
  <c r="R9" i="2"/>
  <c r="R8" i="2"/>
  <c r="R7" i="2"/>
  <c r="R6" i="2"/>
  <c r="R5" i="2"/>
  <c r="J5" i="2"/>
  <c r="T5" i="2" s="1"/>
  <c r="A6" i="2"/>
  <c r="J6" i="2" s="1"/>
  <c r="T6" i="2" s="1"/>
  <c r="U53" i="2"/>
  <c r="U52" i="2"/>
  <c r="U51" i="2"/>
  <c r="U50" i="2"/>
  <c r="U49" i="2"/>
  <c r="U48" i="2"/>
  <c r="U47" i="2"/>
  <c r="U46" i="2"/>
  <c r="U45" i="2"/>
  <c r="U44" i="2"/>
  <c r="U43" i="2"/>
  <c r="U42" i="2"/>
  <c r="X61" i="6"/>
  <c r="W61" i="6"/>
  <c r="X60" i="6"/>
  <c r="W60" i="6"/>
  <c r="X59" i="6"/>
  <c r="W59" i="6"/>
  <c r="X58" i="6"/>
  <c r="W58" i="6"/>
  <c r="X57" i="6"/>
  <c r="W57" i="6"/>
  <c r="X56" i="6"/>
  <c r="W56" i="6"/>
  <c r="X55" i="6"/>
  <c r="W55" i="6"/>
  <c r="X54" i="6"/>
  <c r="W54" i="6"/>
  <c r="X53" i="6"/>
  <c r="W53" i="6"/>
  <c r="X52" i="6"/>
  <c r="W52" i="6"/>
  <c r="X51" i="6"/>
  <c r="W51" i="6"/>
  <c r="X50" i="6"/>
  <c r="W50" i="6"/>
  <c r="X49" i="6"/>
  <c r="W49" i="6"/>
  <c r="X48" i="6"/>
  <c r="W48" i="6"/>
  <c r="X47" i="6"/>
  <c r="W47" i="6"/>
  <c r="X46" i="6"/>
  <c r="W46" i="6"/>
  <c r="X45" i="6"/>
  <c r="W45" i="6"/>
  <c r="X44" i="6"/>
  <c r="W44" i="6"/>
  <c r="X43" i="6"/>
  <c r="W43" i="6"/>
  <c r="X42" i="6"/>
  <c r="W42" i="6"/>
  <c r="U61" i="5"/>
  <c r="U60" i="5"/>
  <c r="U59" i="5"/>
  <c r="U58" i="5"/>
  <c r="U57" i="5"/>
  <c r="U56" i="5"/>
  <c r="U55" i="5"/>
  <c r="U54" i="5"/>
  <c r="U53" i="5"/>
  <c r="U52" i="5"/>
  <c r="U51" i="5"/>
  <c r="U50" i="5"/>
  <c r="U49" i="5"/>
  <c r="U48" i="5"/>
  <c r="U47" i="5"/>
  <c r="U46" i="5"/>
  <c r="U45" i="5"/>
  <c r="U44" i="5"/>
  <c r="U43" i="5"/>
  <c r="U42" i="5"/>
  <c r="V49" i="6" l="1"/>
  <c r="V12" i="6"/>
  <c r="V20" i="6"/>
  <c r="V28" i="6"/>
  <c r="V36" i="6"/>
  <c r="D28" i="5"/>
  <c r="F28" i="6"/>
  <c r="V9" i="6"/>
  <c r="V7" i="6"/>
  <c r="V15" i="6"/>
  <c r="V23" i="6"/>
  <c r="V31" i="6"/>
  <c r="V39" i="6"/>
  <c r="V22" i="6"/>
  <c r="A11" i="9"/>
  <c r="V13" i="6"/>
  <c r="V37" i="6"/>
  <c r="V29" i="6"/>
  <c r="V5" i="6"/>
  <c r="V21" i="6"/>
  <c r="V47" i="6"/>
  <c r="V6" i="6"/>
  <c r="V14" i="6"/>
  <c r="V30" i="6"/>
  <c r="V38" i="6"/>
  <c r="B8" i="6"/>
  <c r="V52" i="6"/>
  <c r="V44" i="6"/>
  <c r="V11" i="6"/>
  <c r="V19" i="6"/>
  <c r="V35" i="6"/>
  <c r="V27" i="6"/>
  <c r="B29" i="6"/>
  <c r="V8" i="6"/>
  <c r="V16" i="6"/>
  <c r="V24" i="6"/>
  <c r="V32" i="6"/>
  <c r="V40" i="6"/>
  <c r="A7" i="6"/>
  <c r="A8" i="6" s="1"/>
  <c r="A9" i="6" s="1"/>
  <c r="V48" i="6"/>
  <c r="B30" i="5"/>
  <c r="B31" i="5" s="1"/>
  <c r="B32" i="5" s="1"/>
  <c r="B33" i="5" s="1"/>
  <c r="B34" i="5" s="1"/>
  <c r="F34" i="5" s="1"/>
  <c r="F20" i="5"/>
  <c r="F19" i="5"/>
  <c r="V42" i="6"/>
  <c r="V50" i="6"/>
  <c r="B9" i="5"/>
  <c r="B10" i="5" s="1"/>
  <c r="B11" i="5" s="1"/>
  <c r="B12" i="5" s="1"/>
  <c r="B13" i="5" s="1"/>
  <c r="B14" i="5" s="1"/>
  <c r="B15" i="5" s="1"/>
  <c r="B16" i="5" s="1"/>
  <c r="F16" i="5" s="1"/>
  <c r="F5" i="5"/>
  <c r="F21" i="5"/>
  <c r="F29" i="5"/>
  <c r="F27" i="5"/>
  <c r="V43" i="6"/>
  <c r="V51" i="6"/>
  <c r="F6" i="5"/>
  <c r="F22" i="5"/>
  <c r="F23" i="5"/>
  <c r="V45" i="6"/>
  <c r="V53" i="6"/>
  <c r="F8" i="5"/>
  <c r="F24" i="5"/>
  <c r="V46" i="6"/>
  <c r="F25" i="5"/>
  <c r="J6" i="5"/>
  <c r="T6" i="5" s="1"/>
  <c r="F18" i="5"/>
  <c r="F26" i="5"/>
  <c r="B18" i="6"/>
  <c r="A7" i="2"/>
  <c r="A8" i="2" s="1"/>
  <c r="B9" i="2"/>
  <c r="B31" i="2"/>
  <c r="B20" i="2"/>
  <c r="B19" i="6"/>
  <c r="D17" i="6"/>
  <c r="C17" i="6" s="1"/>
  <c r="D17" i="5"/>
  <c r="D35" i="6"/>
  <c r="C35" i="6" s="1"/>
  <c r="D35" i="5"/>
  <c r="F36" i="5"/>
  <c r="B6" i="2"/>
  <c r="V10" i="6"/>
  <c r="V18" i="6"/>
  <c r="V26" i="6"/>
  <c r="V34" i="6"/>
  <c r="F41" i="5"/>
  <c r="D7" i="6"/>
  <c r="C7" i="6" s="1"/>
  <c r="D7" i="5"/>
  <c r="D28" i="6"/>
  <c r="C28" i="6" s="1"/>
  <c r="A8" i="5"/>
  <c r="J7" i="5"/>
  <c r="T7" i="5" s="1"/>
  <c r="U61" i="2"/>
  <c r="V61" i="6" s="1"/>
  <c r="U60" i="2"/>
  <c r="V60" i="6" s="1"/>
  <c r="U59" i="2"/>
  <c r="V59" i="6" s="1"/>
  <c r="U58" i="2"/>
  <c r="V58" i="6" s="1"/>
  <c r="U57" i="2"/>
  <c r="V57" i="6" s="1"/>
  <c r="U56" i="2"/>
  <c r="V56" i="6" s="1"/>
  <c r="U55" i="2"/>
  <c r="V55" i="6" s="1"/>
  <c r="U54" i="2"/>
  <c r="V54" i="6" s="1"/>
  <c r="H59" i="2"/>
  <c r="H61" i="2"/>
  <c r="A70" i="6"/>
  <c r="B85" i="5"/>
  <c r="D85" i="5" s="1"/>
  <c r="B84" i="5"/>
  <c r="D84" i="5" s="1"/>
  <c r="B83" i="5"/>
  <c r="D83" i="5" s="1"/>
  <c r="B82" i="5"/>
  <c r="D82" i="5" s="1"/>
  <c r="B81" i="5"/>
  <c r="D81" i="5" s="1"/>
  <c r="B80" i="5"/>
  <c r="D80" i="5" s="1"/>
  <c r="B79" i="5"/>
  <c r="D79" i="5" s="1"/>
  <c r="B78" i="5"/>
  <c r="D78" i="5" s="1"/>
  <c r="B77" i="5"/>
  <c r="D77" i="5" s="1"/>
  <c r="B76" i="5"/>
  <c r="D76" i="5" s="1"/>
  <c r="B75" i="5"/>
  <c r="D75" i="5" s="1"/>
  <c r="B74" i="5"/>
  <c r="D74" i="5" s="1"/>
  <c r="B73" i="5"/>
  <c r="D73" i="5" s="1"/>
  <c r="B72" i="5"/>
  <c r="D72" i="5" s="1"/>
  <c r="B71" i="5"/>
  <c r="D71" i="5" s="1"/>
  <c r="B70" i="5"/>
  <c r="D70" i="5" s="1"/>
  <c r="B69" i="5"/>
  <c r="A70" i="5"/>
  <c r="Y70" i="5" s="1"/>
  <c r="B85" i="2"/>
  <c r="B84" i="2"/>
  <c r="B83" i="2"/>
  <c r="B82" i="2"/>
  <c r="B81" i="2"/>
  <c r="B80" i="2"/>
  <c r="B79" i="2"/>
  <c r="B78" i="2"/>
  <c r="B77" i="2"/>
  <c r="B76" i="2"/>
  <c r="B75" i="2"/>
  <c r="B74" i="2"/>
  <c r="B73" i="2"/>
  <c r="B72" i="2"/>
  <c r="B71" i="2"/>
  <c r="B70" i="2"/>
  <c r="B69" i="2"/>
  <c r="A70" i="2"/>
  <c r="D69" i="5" l="1"/>
  <c r="X74" i="2"/>
  <c r="X83" i="2"/>
  <c r="X83" i="6" s="1"/>
  <c r="X73" i="2"/>
  <c r="X76" i="2"/>
  <c r="X84" i="2"/>
  <c r="X84" i="6" s="1"/>
  <c r="X77" i="2"/>
  <c r="X70" i="2"/>
  <c r="X78" i="2"/>
  <c r="X82" i="2"/>
  <c r="X85" i="2"/>
  <c r="X71" i="2"/>
  <c r="X79" i="2"/>
  <c r="X81" i="2"/>
  <c r="X69" i="2"/>
  <c r="X69" i="6" s="1"/>
  <c r="X72" i="2"/>
  <c r="X80" i="2"/>
  <c r="H59" i="6"/>
  <c r="D59" i="2"/>
  <c r="D25" i="5"/>
  <c r="F25" i="6"/>
  <c r="D36" i="5"/>
  <c r="F36" i="6"/>
  <c r="D24" i="5"/>
  <c r="F24" i="6"/>
  <c r="D19" i="5"/>
  <c r="F19" i="6"/>
  <c r="D19" i="6" s="1"/>
  <c r="C19" i="6" s="1"/>
  <c r="D6" i="5"/>
  <c r="F6" i="6"/>
  <c r="D8" i="5"/>
  <c r="F8" i="6"/>
  <c r="D8" i="6" s="1"/>
  <c r="C8" i="6" s="1"/>
  <c r="D27" i="5"/>
  <c r="F27" i="6"/>
  <c r="D20" i="5"/>
  <c r="F20" i="6"/>
  <c r="D20" i="6" s="1"/>
  <c r="D29" i="5"/>
  <c r="F29" i="6"/>
  <c r="D29" i="6" s="1"/>
  <c r="C29" i="6" s="1"/>
  <c r="D34" i="5"/>
  <c r="F34" i="6"/>
  <c r="D41" i="5"/>
  <c r="F41" i="6"/>
  <c r="D26" i="5"/>
  <c r="F26" i="6"/>
  <c r="D21" i="5"/>
  <c r="F21" i="6"/>
  <c r="D18" i="5"/>
  <c r="F18" i="6"/>
  <c r="D18" i="6" s="1"/>
  <c r="C18" i="6" s="1"/>
  <c r="D23" i="5"/>
  <c r="F23" i="6"/>
  <c r="D5" i="5"/>
  <c r="F5" i="6"/>
  <c r="D22" i="5"/>
  <c r="F22" i="6"/>
  <c r="D16" i="5"/>
  <c r="F16" i="6"/>
  <c r="H61" i="6"/>
  <c r="D61" i="2"/>
  <c r="B30" i="6"/>
  <c r="K22" i="9"/>
  <c r="L22" i="9" s="1"/>
  <c r="F97" i="9" s="1"/>
  <c r="K20" i="9"/>
  <c r="L20" i="9" s="1"/>
  <c r="F95" i="9" s="1"/>
  <c r="A12" i="9"/>
  <c r="J8" i="6"/>
  <c r="T8" i="6" s="1"/>
  <c r="F31" i="5"/>
  <c r="F33" i="5"/>
  <c r="F32" i="5"/>
  <c r="B32" i="2"/>
  <c r="J7" i="6"/>
  <c r="T7" i="6" s="1"/>
  <c r="A71" i="6"/>
  <c r="W70" i="6"/>
  <c r="F14" i="5"/>
  <c r="A71" i="5"/>
  <c r="Y71" i="5" s="1"/>
  <c r="B21" i="2"/>
  <c r="B31" i="6"/>
  <c r="B20" i="6"/>
  <c r="J7" i="2"/>
  <c r="T7" i="2" s="1"/>
  <c r="A71" i="2"/>
  <c r="W70" i="2"/>
  <c r="F30" i="5"/>
  <c r="F30" i="6" s="1"/>
  <c r="F9" i="5"/>
  <c r="F15" i="5"/>
  <c r="F11" i="5"/>
  <c r="F10" i="5"/>
  <c r="F12" i="5"/>
  <c r="F13" i="5"/>
  <c r="B10" i="2"/>
  <c r="B9" i="6"/>
  <c r="A9" i="2"/>
  <c r="J8" i="2"/>
  <c r="T8" i="2" s="1"/>
  <c r="B5" i="2"/>
  <c r="B6" i="6"/>
  <c r="F37" i="5"/>
  <c r="F39" i="5"/>
  <c r="F38" i="5"/>
  <c r="F40" i="5"/>
  <c r="J9" i="6"/>
  <c r="T9" i="6" s="1"/>
  <c r="A10" i="6"/>
  <c r="J8" i="5"/>
  <c r="T8" i="5" s="1"/>
  <c r="A9" i="5"/>
  <c r="B45" i="6"/>
  <c r="B46" i="6"/>
  <c r="B47" i="6"/>
  <c r="B48" i="6"/>
  <c r="B49" i="6"/>
  <c r="B50" i="6"/>
  <c r="B51" i="6"/>
  <c r="B52" i="6"/>
  <c r="B53" i="6"/>
  <c r="B54" i="6"/>
  <c r="B55" i="6"/>
  <c r="B56" i="6"/>
  <c r="B57" i="6"/>
  <c r="B58" i="6"/>
  <c r="B59" i="6"/>
  <c r="B60" i="6"/>
  <c r="B61" i="6"/>
  <c r="R61" i="6"/>
  <c r="R60" i="6"/>
  <c r="R59" i="6"/>
  <c r="R58" i="6"/>
  <c r="R57" i="6"/>
  <c r="R56" i="6"/>
  <c r="R55" i="6"/>
  <c r="R54" i="6"/>
  <c r="R53" i="6"/>
  <c r="R52" i="6"/>
  <c r="R51" i="6"/>
  <c r="R50" i="6"/>
  <c r="R49" i="6"/>
  <c r="R48" i="6"/>
  <c r="R47" i="6"/>
  <c r="R46" i="6"/>
  <c r="R45" i="6"/>
  <c r="R44" i="6"/>
  <c r="R43" i="6"/>
  <c r="R42" i="6"/>
  <c r="R61" i="5"/>
  <c r="R60" i="5"/>
  <c r="R59" i="5"/>
  <c r="R58" i="5"/>
  <c r="R57" i="5"/>
  <c r="R56" i="5"/>
  <c r="R55" i="5"/>
  <c r="R54" i="5"/>
  <c r="R53" i="5"/>
  <c r="R52" i="5"/>
  <c r="R51" i="5"/>
  <c r="R50" i="5"/>
  <c r="R49" i="5"/>
  <c r="R48" i="5"/>
  <c r="R47" i="5"/>
  <c r="R46" i="5"/>
  <c r="R45" i="5"/>
  <c r="R44" i="5"/>
  <c r="R43" i="5"/>
  <c r="R42" i="5"/>
  <c r="R42" i="2"/>
  <c r="R43" i="2"/>
  <c r="R44" i="2"/>
  <c r="R61" i="2"/>
  <c r="R60" i="2"/>
  <c r="R59" i="2"/>
  <c r="R58" i="2"/>
  <c r="R57" i="2"/>
  <c r="R56" i="2"/>
  <c r="R55" i="2"/>
  <c r="R54" i="2"/>
  <c r="R53" i="2"/>
  <c r="R52" i="2"/>
  <c r="R51" i="2"/>
  <c r="R50" i="2"/>
  <c r="R49" i="2"/>
  <c r="R48" i="2"/>
  <c r="R47" i="2"/>
  <c r="R46" i="2"/>
  <c r="R45" i="2"/>
  <c r="G45" i="9" l="1"/>
  <c r="G44" i="9"/>
  <c r="B30" i="9"/>
  <c r="G30" i="9"/>
  <c r="Z83" i="2"/>
  <c r="Z83" i="6" s="1"/>
  <c r="X72" i="6"/>
  <c r="X79" i="6"/>
  <c r="X74" i="6"/>
  <c r="X71" i="6"/>
  <c r="X78" i="6"/>
  <c r="X81" i="6"/>
  <c r="X70" i="6"/>
  <c r="X85" i="6"/>
  <c r="G46" i="9" s="1"/>
  <c r="X75" i="6"/>
  <c r="X80" i="6"/>
  <c r="X73" i="6"/>
  <c r="X77" i="6"/>
  <c r="X76" i="6"/>
  <c r="X82" i="6"/>
  <c r="G69" i="6"/>
  <c r="C40" i="9"/>
  <c r="C39" i="9"/>
  <c r="C31" i="9"/>
  <c r="D39" i="5"/>
  <c r="F39" i="6"/>
  <c r="D32" i="5"/>
  <c r="F32" i="6"/>
  <c r="D32" i="6" s="1"/>
  <c r="C32" i="9"/>
  <c r="C38" i="9"/>
  <c r="C30" i="9"/>
  <c r="D37" i="5"/>
  <c r="F37" i="6"/>
  <c r="D13" i="5"/>
  <c r="F13" i="6"/>
  <c r="D12" i="5"/>
  <c r="F12" i="6"/>
  <c r="C44" i="9"/>
  <c r="C36" i="9"/>
  <c r="D10" i="5"/>
  <c r="F10" i="6"/>
  <c r="C45" i="9"/>
  <c r="C43" i="9"/>
  <c r="C35" i="9"/>
  <c r="D11" i="5"/>
  <c r="F11" i="6"/>
  <c r="D33" i="5"/>
  <c r="F33" i="6"/>
  <c r="C46" i="9"/>
  <c r="C42" i="9"/>
  <c r="C34" i="9"/>
  <c r="D15" i="5"/>
  <c r="F15" i="6"/>
  <c r="D38" i="5"/>
  <c r="F38" i="6"/>
  <c r="C37" i="9"/>
  <c r="C41" i="9"/>
  <c r="C33" i="9"/>
  <c r="D40" i="5"/>
  <c r="F40" i="6"/>
  <c r="D9" i="5"/>
  <c r="F9" i="6"/>
  <c r="D9" i="6" s="1"/>
  <c r="C9" i="6" s="1"/>
  <c r="D14" i="5"/>
  <c r="F14" i="6"/>
  <c r="D31" i="5"/>
  <c r="F31" i="6"/>
  <c r="D31" i="6" s="1"/>
  <c r="C31" i="6" s="1"/>
  <c r="O20" i="9"/>
  <c r="O22" i="9"/>
  <c r="A13" i="9"/>
  <c r="B21" i="6"/>
  <c r="B32" i="6"/>
  <c r="B33" i="2"/>
  <c r="D21" i="6"/>
  <c r="B22" i="2"/>
  <c r="D22" i="6" s="1"/>
  <c r="A72" i="6"/>
  <c r="W71" i="6"/>
  <c r="C20" i="6"/>
  <c r="A72" i="5"/>
  <c r="Y72" i="5" s="1"/>
  <c r="A72" i="2"/>
  <c r="W71" i="2"/>
  <c r="D30" i="5"/>
  <c r="D30" i="6"/>
  <c r="C30" i="6" s="1"/>
  <c r="A10" i="2"/>
  <c r="J9" i="2"/>
  <c r="T9" i="2" s="1"/>
  <c r="B10" i="6"/>
  <c r="B11" i="2"/>
  <c r="D6" i="6"/>
  <c r="C6" i="6" s="1"/>
  <c r="B5" i="6"/>
  <c r="A11" i="6"/>
  <c r="J10" i="6"/>
  <c r="T10" i="6" s="1"/>
  <c r="J9" i="5"/>
  <c r="T9" i="5" s="1"/>
  <c r="A10" i="5"/>
  <c r="D30" i="9" l="1"/>
  <c r="G81" i="9" s="1"/>
  <c r="Z84" i="2"/>
  <c r="Z85" i="2" s="1"/>
  <c r="Y83" i="2"/>
  <c r="Y83" i="6" s="1"/>
  <c r="B44" i="9" s="1"/>
  <c r="B34" i="9"/>
  <c r="G34" i="9"/>
  <c r="B35" i="9"/>
  <c r="G35" i="9"/>
  <c r="B32" i="9"/>
  <c r="G32" i="9"/>
  <c r="B41" i="9"/>
  <c r="G41" i="9"/>
  <c r="B40" i="9"/>
  <c r="G40" i="9"/>
  <c r="B38" i="9"/>
  <c r="G38" i="9"/>
  <c r="B36" i="9"/>
  <c r="G36" i="9"/>
  <c r="B33" i="9"/>
  <c r="G33" i="9"/>
  <c r="B31" i="9"/>
  <c r="G31" i="9"/>
  <c r="B43" i="9"/>
  <c r="G43" i="9"/>
  <c r="B42" i="9"/>
  <c r="G42" i="9"/>
  <c r="B37" i="9"/>
  <c r="G37" i="9"/>
  <c r="B39" i="9"/>
  <c r="G39" i="9"/>
  <c r="R20" i="9"/>
  <c r="U85" i="6"/>
  <c r="U78" i="6"/>
  <c r="R22" i="9"/>
  <c r="U76" i="6"/>
  <c r="C32" i="6"/>
  <c r="U84" i="6"/>
  <c r="U70" i="6"/>
  <c r="U82" i="6"/>
  <c r="U69" i="6"/>
  <c r="U80" i="6"/>
  <c r="U74" i="6"/>
  <c r="U73" i="6"/>
  <c r="U81" i="6"/>
  <c r="U79" i="6"/>
  <c r="C21" i="6"/>
  <c r="U75" i="6"/>
  <c r="U83" i="6"/>
  <c r="U72" i="6"/>
  <c r="U77" i="6"/>
  <c r="U71" i="6"/>
  <c r="A14" i="9"/>
  <c r="B33" i="6"/>
  <c r="B22" i="6"/>
  <c r="C22" i="6" s="1"/>
  <c r="B34" i="2"/>
  <c r="B34" i="6" s="1"/>
  <c r="D33" i="6"/>
  <c r="B23" i="2"/>
  <c r="A73" i="6"/>
  <c r="W72" i="6"/>
  <c r="A73" i="5"/>
  <c r="Y73" i="5" s="1"/>
  <c r="A73" i="2"/>
  <c r="W72" i="2"/>
  <c r="B12" i="2"/>
  <c r="B11" i="6"/>
  <c r="D10" i="6"/>
  <c r="C10" i="6" s="1"/>
  <c r="A11" i="2"/>
  <c r="J10" i="2"/>
  <c r="T10" i="2" s="1"/>
  <c r="D5" i="6"/>
  <c r="C5" i="6" s="1"/>
  <c r="J11" i="6"/>
  <c r="T11" i="6" s="1"/>
  <c r="A12" i="6"/>
  <c r="A11" i="5"/>
  <c r="J10" i="5"/>
  <c r="T10" i="5" s="1"/>
  <c r="D32" i="9" l="1"/>
  <c r="G83" i="9" s="1"/>
  <c r="H83" i="9" s="1"/>
  <c r="D43" i="9"/>
  <c r="G94" i="9" s="1"/>
  <c r="H94" i="9" s="1"/>
  <c r="D38" i="9"/>
  <c r="G89" i="9" s="1"/>
  <c r="H89" i="9" s="1"/>
  <c r="D35" i="9"/>
  <c r="G86" i="9" s="1"/>
  <c r="H86" i="9" s="1"/>
  <c r="D39" i="9"/>
  <c r="G90" i="9" s="1"/>
  <c r="H90" i="9" s="1"/>
  <c r="D31" i="9"/>
  <c r="G82" i="9" s="1"/>
  <c r="H82" i="9" s="1"/>
  <c r="D40" i="9"/>
  <c r="G91" i="9" s="1"/>
  <c r="H91" i="9" s="1"/>
  <c r="D34" i="9"/>
  <c r="G85" i="9" s="1"/>
  <c r="H85" i="9" s="1"/>
  <c r="D44" i="9"/>
  <c r="G95" i="9" s="1"/>
  <c r="H95" i="9" s="1"/>
  <c r="D36" i="9"/>
  <c r="G87" i="9" s="1"/>
  <c r="H87" i="9" s="1"/>
  <c r="D37" i="9"/>
  <c r="G88" i="9" s="1"/>
  <c r="H88" i="9" s="1"/>
  <c r="D33" i="9"/>
  <c r="G84" i="9" s="1"/>
  <c r="H84" i="9" s="1"/>
  <c r="D41" i="9"/>
  <c r="G92" i="9" s="1"/>
  <c r="H92" i="9" s="1"/>
  <c r="D42" i="9"/>
  <c r="G93" i="9" s="1"/>
  <c r="H93" i="9" s="1"/>
  <c r="Y84" i="2"/>
  <c r="Y84" i="6" s="1"/>
  <c r="B45" i="9" s="1"/>
  <c r="Z84" i="6"/>
  <c r="H81" i="9"/>
  <c r="Z85" i="6"/>
  <c r="Y85" i="2"/>
  <c r="Y85" i="6" s="1"/>
  <c r="B46" i="9" s="1"/>
  <c r="C33" i="6"/>
  <c r="A15" i="9"/>
  <c r="D23" i="6"/>
  <c r="B23" i="6"/>
  <c r="B24" i="2"/>
  <c r="D24" i="6" s="1"/>
  <c r="A74" i="6"/>
  <c r="W73" i="6"/>
  <c r="A74" i="5"/>
  <c r="Y74" i="5" s="1"/>
  <c r="A74" i="2"/>
  <c r="W73" i="2"/>
  <c r="A12" i="2"/>
  <c r="J11" i="2"/>
  <c r="T11" i="2" s="1"/>
  <c r="B12" i="6"/>
  <c r="B13" i="2"/>
  <c r="D11" i="6"/>
  <c r="C11" i="6" s="1"/>
  <c r="D34" i="6"/>
  <c r="C34" i="6" s="1"/>
  <c r="A13" i="6"/>
  <c r="J12" i="6"/>
  <c r="T12" i="6" s="1"/>
  <c r="A12" i="5"/>
  <c r="J11" i="5"/>
  <c r="T11" i="5" s="1"/>
  <c r="D46" i="9" l="1"/>
  <c r="G97" i="9" s="1"/>
  <c r="H97" i="9" s="1"/>
  <c r="D45" i="9"/>
  <c r="G96" i="9" s="1"/>
  <c r="H96" i="9" s="1"/>
  <c r="I92" i="9"/>
  <c r="H112" i="9"/>
  <c r="D112" i="9"/>
  <c r="G112" i="9"/>
  <c r="F112" i="9"/>
  <c r="E112" i="9"/>
  <c r="I90" i="9"/>
  <c r="G110" i="9"/>
  <c r="H110" i="9"/>
  <c r="F110" i="9"/>
  <c r="E110" i="9"/>
  <c r="D110" i="9"/>
  <c r="I94" i="9"/>
  <c r="G114" i="9"/>
  <c r="F114" i="9"/>
  <c r="E114" i="9"/>
  <c r="D114" i="9"/>
  <c r="H114" i="9"/>
  <c r="I83" i="9"/>
  <c r="F103" i="9"/>
  <c r="E103" i="9"/>
  <c r="D103" i="9"/>
  <c r="H103" i="9"/>
  <c r="G103" i="9"/>
  <c r="I86" i="9"/>
  <c r="G106" i="9"/>
  <c r="F106" i="9"/>
  <c r="E106" i="9"/>
  <c r="D106" i="9"/>
  <c r="H106" i="9"/>
  <c r="I87" i="9"/>
  <c r="F107" i="9"/>
  <c r="H107" i="9"/>
  <c r="G107" i="9"/>
  <c r="E107" i="9"/>
  <c r="D107" i="9"/>
  <c r="I91" i="9"/>
  <c r="F111" i="9"/>
  <c r="E111" i="9"/>
  <c r="D111" i="9"/>
  <c r="H111" i="9"/>
  <c r="G111" i="9"/>
  <c r="H102" i="9"/>
  <c r="G102" i="9"/>
  <c r="F102" i="9"/>
  <c r="E102" i="9"/>
  <c r="D102" i="9"/>
  <c r="I84" i="9"/>
  <c r="D104" i="9"/>
  <c r="H104" i="9"/>
  <c r="E104" i="9"/>
  <c r="G104" i="9"/>
  <c r="F104" i="9"/>
  <c r="I88" i="9"/>
  <c r="E108" i="9"/>
  <c r="H108" i="9"/>
  <c r="D108" i="9"/>
  <c r="G108" i="9"/>
  <c r="F108" i="9"/>
  <c r="I95" i="9"/>
  <c r="H115" i="9"/>
  <c r="F115" i="9"/>
  <c r="G115" i="9"/>
  <c r="E115" i="9"/>
  <c r="D115" i="9"/>
  <c r="I93" i="9"/>
  <c r="D113" i="9"/>
  <c r="H113" i="9"/>
  <c r="G113" i="9"/>
  <c r="F113" i="9"/>
  <c r="E113" i="9"/>
  <c r="I85" i="9"/>
  <c r="D105" i="9"/>
  <c r="H105" i="9"/>
  <c r="G105" i="9"/>
  <c r="F105" i="9"/>
  <c r="E105" i="9"/>
  <c r="I89" i="9"/>
  <c r="H109" i="9"/>
  <c r="G109" i="9"/>
  <c r="F109" i="9"/>
  <c r="E109" i="9"/>
  <c r="D109" i="9"/>
  <c r="I82" i="9"/>
  <c r="H101" i="9"/>
  <c r="G101" i="9"/>
  <c r="F101" i="9"/>
  <c r="E101" i="9"/>
  <c r="D101" i="9"/>
  <c r="B25" i="2"/>
  <c r="B26" i="2" s="1"/>
  <c r="B24" i="6"/>
  <c r="C24" i="6" s="1"/>
  <c r="A16" i="9"/>
  <c r="C23" i="6"/>
  <c r="A75" i="6"/>
  <c r="W74" i="6"/>
  <c r="A75" i="5"/>
  <c r="Y75" i="5" s="1"/>
  <c r="A75" i="2"/>
  <c r="W74" i="2"/>
  <c r="B14" i="2"/>
  <c r="B13" i="6"/>
  <c r="D12" i="6"/>
  <c r="C12" i="6" s="1"/>
  <c r="A13" i="2"/>
  <c r="J12" i="2"/>
  <c r="T12" i="2" s="1"/>
  <c r="D25" i="6"/>
  <c r="A14" i="6"/>
  <c r="J13" i="6"/>
  <c r="T13" i="6" s="1"/>
  <c r="A13" i="5"/>
  <c r="J12" i="5"/>
  <c r="T12" i="5" s="1"/>
  <c r="I96" i="9" l="1"/>
  <c r="E116" i="9"/>
  <c r="H116" i="9"/>
  <c r="D116" i="9"/>
  <c r="G116" i="9"/>
  <c r="F116" i="9"/>
  <c r="B25" i="6"/>
  <c r="C25" i="6" s="1"/>
  <c r="A17" i="9"/>
  <c r="A76" i="6"/>
  <c r="W75" i="6"/>
  <c r="A76" i="5"/>
  <c r="Y76" i="5" s="1"/>
  <c r="A76" i="2"/>
  <c r="A14" i="2"/>
  <c r="J13" i="2"/>
  <c r="T13" i="2" s="1"/>
  <c r="B15" i="2"/>
  <c r="B14" i="6"/>
  <c r="D13" i="6"/>
  <c r="C13" i="6" s="1"/>
  <c r="D26" i="6"/>
  <c r="B27" i="2"/>
  <c r="B26" i="6"/>
  <c r="J14" i="6"/>
  <c r="T14" i="6" s="1"/>
  <c r="A15" i="6"/>
  <c r="A14" i="5"/>
  <c r="J13" i="5"/>
  <c r="T13" i="5" s="1"/>
  <c r="I97" i="9" l="1"/>
  <c r="H117" i="9"/>
  <c r="G117" i="9"/>
  <c r="F117" i="9"/>
  <c r="E117" i="9"/>
  <c r="D117" i="9"/>
  <c r="A18" i="9"/>
  <c r="A77" i="6"/>
  <c r="W76" i="6"/>
  <c r="A77" i="5"/>
  <c r="Y77" i="5" s="1"/>
  <c r="A77" i="2"/>
  <c r="W76" i="2"/>
  <c r="D14" i="6"/>
  <c r="C14" i="6" s="1"/>
  <c r="B16" i="2"/>
  <c r="B15" i="6"/>
  <c r="A15" i="2"/>
  <c r="J14" i="2"/>
  <c r="T14" i="2" s="1"/>
  <c r="B27" i="6"/>
  <c r="C26" i="6"/>
  <c r="B44" i="6"/>
  <c r="A16" i="6"/>
  <c r="J15" i="6"/>
  <c r="T15" i="6" s="1"/>
  <c r="J14" i="5"/>
  <c r="T14" i="5" s="1"/>
  <c r="A15" i="5"/>
  <c r="A19" i="9" l="1"/>
  <c r="A78" i="6"/>
  <c r="W77" i="6"/>
  <c r="A78" i="5"/>
  <c r="Y78" i="5" s="1"/>
  <c r="A78" i="2"/>
  <c r="W77" i="2"/>
  <c r="B16" i="6"/>
  <c r="D15" i="6"/>
  <c r="C15" i="6" s="1"/>
  <c r="A16" i="2"/>
  <c r="J15" i="2"/>
  <c r="T15" i="2" s="1"/>
  <c r="D27" i="6"/>
  <c r="C27" i="6" s="1"/>
  <c r="C44" i="5"/>
  <c r="F44" i="5" s="1"/>
  <c r="J16" i="6"/>
  <c r="T16" i="6" s="1"/>
  <c r="A17" i="6"/>
  <c r="A16" i="5"/>
  <c r="J15" i="5"/>
  <c r="T15" i="5" s="1"/>
  <c r="D44" i="5" l="1"/>
  <c r="F44" i="6"/>
  <c r="D44" i="6" s="1"/>
  <c r="C44" i="6" s="1"/>
  <c r="A20" i="9"/>
  <c r="A79" i="6"/>
  <c r="W78" i="6"/>
  <c r="A79" i="5"/>
  <c r="Y79" i="5" s="1"/>
  <c r="A79" i="2"/>
  <c r="W78" i="2"/>
  <c r="A17" i="2"/>
  <c r="J16" i="2"/>
  <c r="T16" i="2" s="1"/>
  <c r="D16" i="6"/>
  <c r="C16" i="6" s="1"/>
  <c r="J17" i="6"/>
  <c r="T17" i="6" s="1"/>
  <c r="A18" i="6"/>
  <c r="J16" i="5"/>
  <c r="T16" i="5" s="1"/>
  <c r="A17" i="5"/>
  <c r="A21" i="9" l="1"/>
  <c r="A80" i="6"/>
  <c r="W79" i="6"/>
  <c r="A80" i="5"/>
  <c r="Y80" i="5" s="1"/>
  <c r="A80" i="2"/>
  <c r="W79" i="2"/>
  <c r="A18" i="2"/>
  <c r="J17" i="2"/>
  <c r="T17" i="2" s="1"/>
  <c r="A19" i="6"/>
  <c r="J18" i="6"/>
  <c r="T18" i="6" s="1"/>
  <c r="J17" i="5"/>
  <c r="T17" i="5" s="1"/>
  <c r="A18" i="5"/>
  <c r="A22" i="9" l="1"/>
  <c r="A81" i="6"/>
  <c r="W80" i="6"/>
  <c r="A81" i="5"/>
  <c r="Y81" i="5" s="1"/>
  <c r="A81" i="2"/>
  <c r="W80" i="2"/>
  <c r="A19" i="2"/>
  <c r="J18" i="2"/>
  <c r="T18" i="2" s="1"/>
  <c r="J19" i="6"/>
  <c r="T19" i="6" s="1"/>
  <c r="A20" i="6"/>
  <c r="A19" i="5"/>
  <c r="J18" i="5"/>
  <c r="T18" i="5" s="1"/>
  <c r="A82" i="6" l="1"/>
  <c r="W81" i="6"/>
  <c r="A82" i="5"/>
  <c r="Y82" i="5" s="1"/>
  <c r="A82" i="2"/>
  <c r="W81" i="2"/>
  <c r="A20" i="2"/>
  <c r="J19" i="2"/>
  <c r="T19" i="2" s="1"/>
  <c r="A21" i="6"/>
  <c r="J20" i="6"/>
  <c r="T20" i="6" s="1"/>
  <c r="J19" i="5"/>
  <c r="T19" i="5" s="1"/>
  <c r="A20" i="5"/>
  <c r="A83" i="6" l="1"/>
  <c r="W82" i="6"/>
  <c r="A83" i="5"/>
  <c r="Y83" i="5" s="1"/>
  <c r="A83" i="2"/>
  <c r="W82" i="2"/>
  <c r="A21" i="2"/>
  <c r="J20" i="2"/>
  <c r="T20" i="2" s="1"/>
  <c r="A22" i="6"/>
  <c r="J21" i="6"/>
  <c r="T21" i="6" s="1"/>
  <c r="A21" i="5"/>
  <c r="J20" i="5"/>
  <c r="T20" i="5" s="1"/>
  <c r="A84" i="6" l="1"/>
  <c r="W83" i="6"/>
  <c r="A84" i="5"/>
  <c r="Y84" i="5" s="1"/>
  <c r="A84" i="2"/>
  <c r="W83" i="2"/>
  <c r="A22" i="2"/>
  <c r="J21" i="2"/>
  <c r="T21" i="2" s="1"/>
  <c r="J22" i="6"/>
  <c r="T22" i="6" s="1"/>
  <c r="A23" i="6"/>
  <c r="A22" i="5"/>
  <c r="J21" i="5"/>
  <c r="T21" i="5" s="1"/>
  <c r="A85" i="6" l="1"/>
  <c r="W85" i="6" s="1"/>
  <c r="W84" i="6"/>
  <c r="A85" i="5"/>
  <c r="Y85" i="5" s="1"/>
  <c r="A85" i="2"/>
  <c r="W85" i="2" s="1"/>
  <c r="W84" i="2"/>
  <c r="A23" i="2"/>
  <c r="J22" i="2"/>
  <c r="T22" i="2" s="1"/>
  <c r="A24" i="6"/>
  <c r="J23" i="6"/>
  <c r="T23" i="6" s="1"/>
  <c r="J22" i="5"/>
  <c r="T22" i="5" s="1"/>
  <c r="A23" i="5"/>
  <c r="A24" i="2" l="1"/>
  <c r="J23" i="2"/>
  <c r="T23" i="2" s="1"/>
  <c r="J24" i="6"/>
  <c r="T24" i="6" s="1"/>
  <c r="A25" i="6"/>
  <c r="A24" i="5"/>
  <c r="J23" i="5"/>
  <c r="T23" i="5" s="1"/>
  <c r="A25" i="2" l="1"/>
  <c r="J24" i="2"/>
  <c r="T24" i="2" s="1"/>
  <c r="J25" i="6"/>
  <c r="T25" i="6" s="1"/>
  <c r="A26" i="6"/>
  <c r="J24" i="5"/>
  <c r="T24" i="5" s="1"/>
  <c r="A25" i="5"/>
  <c r="A26" i="2" l="1"/>
  <c r="J25" i="2"/>
  <c r="T25" i="2" s="1"/>
  <c r="A27" i="6"/>
  <c r="J26" i="6"/>
  <c r="T26" i="6" s="1"/>
  <c r="J25" i="5"/>
  <c r="T25" i="5" s="1"/>
  <c r="A26" i="5"/>
  <c r="A27" i="2" l="1"/>
  <c r="J26" i="2"/>
  <c r="T26" i="2" s="1"/>
  <c r="J27" i="6"/>
  <c r="T27" i="6" s="1"/>
  <c r="A28" i="6"/>
  <c r="A27" i="5"/>
  <c r="J26" i="5"/>
  <c r="T26" i="5" s="1"/>
  <c r="A28" i="2" l="1"/>
  <c r="J27" i="2"/>
  <c r="T27" i="2" s="1"/>
  <c r="A29" i="6"/>
  <c r="J28" i="6"/>
  <c r="T28" i="6" s="1"/>
  <c r="A28" i="5"/>
  <c r="J27" i="5"/>
  <c r="T27" i="5" s="1"/>
  <c r="A29" i="2" l="1"/>
  <c r="J28" i="2"/>
  <c r="T28" i="2" s="1"/>
  <c r="A30" i="6"/>
  <c r="J29" i="6"/>
  <c r="T29" i="6" s="1"/>
  <c r="A29" i="5"/>
  <c r="J28" i="5"/>
  <c r="T28" i="5" s="1"/>
  <c r="A30" i="2" l="1"/>
  <c r="J29" i="2"/>
  <c r="T29" i="2" s="1"/>
  <c r="J30" i="6"/>
  <c r="T30" i="6" s="1"/>
  <c r="A31" i="6"/>
  <c r="A30" i="5"/>
  <c r="J29" i="5"/>
  <c r="T29" i="5" s="1"/>
  <c r="A31" i="2" l="1"/>
  <c r="J30" i="2"/>
  <c r="T30" i="2" s="1"/>
  <c r="A32" i="6"/>
  <c r="J31" i="6"/>
  <c r="T31" i="6" s="1"/>
  <c r="J30" i="5"/>
  <c r="T30" i="5" s="1"/>
  <c r="A31" i="5"/>
  <c r="A32" i="2" l="1"/>
  <c r="J31" i="2"/>
  <c r="T31" i="2" s="1"/>
  <c r="J32" i="6"/>
  <c r="T32" i="6" s="1"/>
  <c r="A33" i="6"/>
  <c r="J31" i="5"/>
  <c r="T31" i="5" s="1"/>
  <c r="A32" i="5"/>
  <c r="A33" i="2" l="1"/>
  <c r="J32" i="2"/>
  <c r="T32" i="2" s="1"/>
  <c r="J33" i="6"/>
  <c r="T33" i="6" s="1"/>
  <c r="A34" i="6"/>
  <c r="J32" i="5"/>
  <c r="T32" i="5" s="1"/>
  <c r="A33" i="5"/>
  <c r="A34" i="2" l="1"/>
  <c r="J33" i="2"/>
  <c r="T33" i="2" s="1"/>
  <c r="A35" i="6"/>
  <c r="J34" i="6"/>
  <c r="T34" i="6" s="1"/>
  <c r="J33" i="5"/>
  <c r="T33" i="5" s="1"/>
  <c r="A34" i="5"/>
  <c r="A35" i="2" l="1"/>
  <c r="J34" i="2"/>
  <c r="T34" i="2" s="1"/>
  <c r="J35" i="6"/>
  <c r="T35" i="6" s="1"/>
  <c r="A36" i="6"/>
  <c r="A35" i="5"/>
  <c r="J34" i="5"/>
  <c r="T34" i="5" s="1"/>
  <c r="A36" i="2" l="1"/>
  <c r="J35" i="2"/>
  <c r="T35" i="2" s="1"/>
  <c r="A37" i="6"/>
  <c r="J36" i="6"/>
  <c r="T36" i="6" s="1"/>
  <c r="A36" i="5"/>
  <c r="J35" i="5"/>
  <c r="T35" i="5" s="1"/>
  <c r="A37" i="2" l="1"/>
  <c r="J36" i="2"/>
  <c r="T36" i="2" s="1"/>
  <c r="A38" i="6"/>
  <c r="J37" i="6"/>
  <c r="T37" i="6" s="1"/>
  <c r="A37" i="5"/>
  <c r="J36" i="5"/>
  <c r="T36" i="5" s="1"/>
  <c r="A38" i="2" l="1"/>
  <c r="J37" i="2"/>
  <c r="T37" i="2" s="1"/>
  <c r="J38" i="6"/>
  <c r="T38" i="6" s="1"/>
  <c r="A39" i="6"/>
  <c r="A38" i="5"/>
  <c r="J37" i="5"/>
  <c r="T37" i="5" s="1"/>
  <c r="J38" i="2" l="1"/>
  <c r="T38" i="2" s="1"/>
  <c r="A39" i="2"/>
  <c r="A40" i="6"/>
  <c r="J39" i="6"/>
  <c r="T39" i="6" s="1"/>
  <c r="J38" i="5"/>
  <c r="T38" i="5" s="1"/>
  <c r="A39" i="5"/>
  <c r="A40" i="2" l="1"/>
  <c r="J39" i="2"/>
  <c r="T39" i="2" s="1"/>
  <c r="J40" i="6"/>
  <c r="T40" i="6" s="1"/>
  <c r="A41" i="6"/>
  <c r="A40" i="5"/>
  <c r="J39" i="5"/>
  <c r="T39" i="5" s="1"/>
  <c r="J41" i="6" l="1"/>
  <c r="T41" i="6" s="1"/>
  <c r="A42" i="6"/>
  <c r="A41" i="2"/>
  <c r="J40" i="2"/>
  <c r="T40" i="2" s="1"/>
  <c r="J40" i="5"/>
  <c r="T40" i="5" s="1"/>
  <c r="A41" i="5"/>
  <c r="C43" i="5"/>
  <c r="F43" i="5" s="1"/>
  <c r="C42" i="5"/>
  <c r="F42" i="5" s="1"/>
  <c r="B42" i="6"/>
  <c r="D37" i="6"/>
  <c r="D36" i="6"/>
  <c r="B37" i="6"/>
  <c r="B38" i="6"/>
  <c r="D38" i="6"/>
  <c r="B39" i="6"/>
  <c r="D39" i="6"/>
  <c r="B40" i="6"/>
  <c r="D40" i="6"/>
  <c r="B41" i="6"/>
  <c r="D41" i="6"/>
  <c r="B36" i="6"/>
  <c r="B43" i="6"/>
  <c r="D42" i="5" l="1"/>
  <c r="F42" i="6"/>
  <c r="D42" i="6" s="1"/>
  <c r="C42" i="6" s="1"/>
  <c r="D43" i="5"/>
  <c r="F43" i="6"/>
  <c r="D43" i="6" s="1"/>
  <c r="C43" i="6" s="1"/>
  <c r="A43" i="6"/>
  <c r="J42" i="6"/>
  <c r="T42" i="6" s="1"/>
  <c r="C39" i="6"/>
  <c r="J41" i="5"/>
  <c r="T41" i="5" s="1"/>
  <c r="A42" i="5"/>
  <c r="A42" i="2"/>
  <c r="J41" i="2"/>
  <c r="T41" i="2" s="1"/>
  <c r="C37" i="6"/>
  <c r="C40" i="6"/>
  <c r="C36" i="6"/>
  <c r="C41" i="6"/>
  <c r="C38" i="6"/>
  <c r="A44" i="6" l="1"/>
  <c r="J43" i="6"/>
  <c r="T43" i="6" s="1"/>
  <c r="J42" i="5"/>
  <c r="T42" i="5" s="1"/>
  <c r="A43" i="5"/>
  <c r="J42" i="2"/>
  <c r="T42" i="2" s="1"/>
  <c r="A43" i="2"/>
  <c r="A45" i="6" l="1"/>
  <c r="J44" i="6"/>
  <c r="T44" i="6" s="1"/>
  <c r="A44" i="5"/>
  <c r="J43" i="5"/>
  <c r="T43" i="5" s="1"/>
  <c r="J43" i="2"/>
  <c r="T43" i="2" s="1"/>
  <c r="A44" i="2"/>
  <c r="A46" i="6" l="1"/>
  <c r="J45" i="6"/>
  <c r="T45" i="6" s="1"/>
  <c r="A45" i="5"/>
  <c r="J44" i="5"/>
  <c r="T44" i="5" s="1"/>
  <c r="A45" i="2"/>
  <c r="J44" i="2"/>
  <c r="T44" i="2" s="1"/>
  <c r="A47" i="6" l="1"/>
  <c r="J46" i="6"/>
  <c r="T46" i="6" s="1"/>
  <c r="A46" i="5"/>
  <c r="J45" i="5"/>
  <c r="T45" i="5" s="1"/>
  <c r="A46" i="2"/>
  <c r="J45" i="2"/>
  <c r="T45" i="2" s="1"/>
  <c r="A48" i="6" l="1"/>
  <c r="J47" i="6"/>
  <c r="T47" i="6" s="1"/>
  <c r="A47" i="5"/>
  <c r="J46" i="5"/>
  <c r="T46" i="5" s="1"/>
  <c r="J46" i="2"/>
  <c r="T46" i="2" s="1"/>
  <c r="A47" i="2"/>
  <c r="A49" i="6" l="1"/>
  <c r="J48" i="6"/>
  <c r="T48" i="6" s="1"/>
  <c r="A48" i="5"/>
  <c r="J47" i="5"/>
  <c r="T47" i="5" s="1"/>
  <c r="J47" i="2"/>
  <c r="T47" i="2" s="1"/>
  <c r="A48" i="2"/>
  <c r="A50" i="6" l="1"/>
  <c r="J49" i="6"/>
  <c r="T49" i="6" s="1"/>
  <c r="A49" i="5"/>
  <c r="J48" i="5"/>
  <c r="T48" i="5" s="1"/>
  <c r="A49" i="2"/>
  <c r="J48" i="2"/>
  <c r="T48" i="2" s="1"/>
  <c r="A51" i="6" l="1"/>
  <c r="J50" i="6"/>
  <c r="T50" i="6" s="1"/>
  <c r="A50" i="5"/>
  <c r="J49" i="5"/>
  <c r="T49" i="5" s="1"/>
  <c r="A50" i="2"/>
  <c r="J49" i="2"/>
  <c r="T49" i="2" s="1"/>
  <c r="A52" i="6" l="1"/>
  <c r="J51" i="6"/>
  <c r="T51" i="6" s="1"/>
  <c r="A51" i="5"/>
  <c r="J50" i="5"/>
  <c r="T50" i="5" s="1"/>
  <c r="J50" i="2"/>
  <c r="T50" i="2" s="1"/>
  <c r="A51" i="2"/>
  <c r="A53" i="6" l="1"/>
  <c r="J52" i="6"/>
  <c r="T52" i="6" s="1"/>
  <c r="A52" i="5"/>
  <c r="J51" i="5"/>
  <c r="T51" i="5" s="1"/>
  <c r="A52" i="2"/>
  <c r="J51" i="2"/>
  <c r="T51" i="2" s="1"/>
  <c r="A54" i="6" l="1"/>
  <c r="J53" i="6"/>
  <c r="T53" i="6" s="1"/>
  <c r="A53" i="5"/>
  <c r="J52" i="5"/>
  <c r="T52" i="5" s="1"/>
  <c r="A53" i="2"/>
  <c r="J52" i="2"/>
  <c r="T52" i="2" s="1"/>
  <c r="A55" i="6" l="1"/>
  <c r="J54" i="6"/>
  <c r="T54" i="6" s="1"/>
  <c r="A54" i="5"/>
  <c r="J53" i="5"/>
  <c r="T53" i="5" s="1"/>
  <c r="J53" i="2"/>
  <c r="T53" i="2" s="1"/>
  <c r="A54" i="2"/>
  <c r="A56" i="6" l="1"/>
  <c r="J55" i="6"/>
  <c r="T55" i="6" s="1"/>
  <c r="A55" i="5"/>
  <c r="J54" i="5"/>
  <c r="T54" i="5" s="1"/>
  <c r="A55" i="2"/>
  <c r="J54" i="2"/>
  <c r="T54" i="2" s="1"/>
  <c r="A57" i="6" l="1"/>
  <c r="J56" i="6"/>
  <c r="T56" i="6" s="1"/>
  <c r="A56" i="5"/>
  <c r="J55" i="5"/>
  <c r="T55" i="5" s="1"/>
  <c r="J55" i="2"/>
  <c r="T55" i="2" s="1"/>
  <c r="A56" i="2"/>
  <c r="A58" i="6" l="1"/>
  <c r="J57" i="6"/>
  <c r="T57" i="6" s="1"/>
  <c r="A57" i="5"/>
  <c r="J56" i="5"/>
  <c r="T56" i="5" s="1"/>
  <c r="A57" i="2"/>
  <c r="J56" i="2"/>
  <c r="T56" i="2" s="1"/>
  <c r="A59" i="6" l="1"/>
  <c r="J58" i="6"/>
  <c r="T58" i="6" s="1"/>
  <c r="A58" i="5"/>
  <c r="J57" i="5"/>
  <c r="T57" i="5" s="1"/>
  <c r="A58" i="2"/>
  <c r="J57" i="2"/>
  <c r="T57" i="2" s="1"/>
  <c r="A60" i="6" l="1"/>
  <c r="J59" i="6"/>
  <c r="T59" i="6" s="1"/>
  <c r="A59" i="5"/>
  <c r="J58" i="5"/>
  <c r="T58" i="5" s="1"/>
  <c r="A59" i="2"/>
  <c r="J58" i="2"/>
  <c r="T58" i="2" s="1"/>
  <c r="A61" i="6" l="1"/>
  <c r="J61" i="6" s="1"/>
  <c r="T61" i="6" s="1"/>
  <c r="J60" i="6"/>
  <c r="T60" i="6" s="1"/>
  <c r="A60" i="5"/>
  <c r="J59" i="5"/>
  <c r="T59" i="5" s="1"/>
  <c r="A60" i="2"/>
  <c r="J59" i="2"/>
  <c r="T59" i="2" s="1"/>
  <c r="A61" i="5" l="1"/>
  <c r="J61" i="5" s="1"/>
  <c r="T61" i="5" s="1"/>
  <c r="J60" i="5"/>
  <c r="T60" i="5" s="1"/>
  <c r="A61" i="2"/>
  <c r="J61" i="2" s="1"/>
  <c r="T61" i="2" s="1"/>
  <c r="J60" i="2"/>
  <c r="T60" i="2" s="1"/>
  <c r="C48" i="2"/>
  <c r="C48" i="5" s="1"/>
  <c r="F48" i="5" s="1"/>
  <c r="F48" i="6" s="1"/>
  <c r="C56" i="2"/>
  <c r="C56" i="5" s="1"/>
  <c r="F56" i="5" s="1"/>
  <c r="F56" i="6" s="1"/>
  <c r="C54" i="2"/>
  <c r="C54" i="5" s="1"/>
  <c r="F54" i="5" s="1"/>
  <c r="F54" i="6" s="1"/>
  <c r="C51" i="2"/>
  <c r="C51" i="5" s="1"/>
  <c r="F51" i="5" s="1"/>
  <c r="F51" i="6" s="1"/>
  <c r="C59" i="2"/>
  <c r="C59" i="5" s="1"/>
  <c r="F59" i="5" s="1"/>
  <c r="F59" i="6" s="1"/>
  <c r="C61" i="2"/>
  <c r="C61" i="5" s="1"/>
  <c r="F61" i="5" s="1"/>
  <c r="F61" i="6" s="1"/>
  <c r="C46" i="2"/>
  <c r="C46" i="5" s="1"/>
  <c r="F46" i="5" s="1"/>
  <c r="F46" i="6" s="1"/>
  <c r="C47" i="2"/>
  <c r="C47" i="5" s="1"/>
  <c r="F47" i="5" s="1"/>
  <c r="F47" i="6" s="1"/>
  <c r="C55" i="2"/>
  <c r="C55" i="5" s="1"/>
  <c r="F55" i="5" s="1"/>
  <c r="F55" i="6" s="1"/>
  <c r="C49" i="2"/>
  <c r="C49" i="5" s="1"/>
  <c r="F49" i="5" s="1"/>
  <c r="F49" i="6" s="1"/>
  <c r="C57" i="2"/>
  <c r="C57" i="5" s="1"/>
  <c r="F57" i="5" s="1"/>
  <c r="C50" i="2"/>
  <c r="C50" i="5" s="1"/>
  <c r="F50" i="5" s="1"/>
  <c r="F50" i="6" s="1"/>
  <c r="C58" i="2"/>
  <c r="C58" i="5" s="1"/>
  <c r="F58" i="5" s="1"/>
  <c r="F58" i="6" s="1"/>
  <c r="C52" i="2"/>
  <c r="C52" i="5" s="1"/>
  <c r="F52" i="5" s="1"/>
  <c r="F52" i="6" s="1"/>
  <c r="C60" i="2"/>
  <c r="C60" i="5" s="1"/>
  <c r="F60" i="5" s="1"/>
  <c r="F60" i="6" s="1"/>
  <c r="C45" i="2"/>
  <c r="C45" i="5" s="1"/>
  <c r="F45" i="5" s="1"/>
  <c r="F45" i="6" s="1"/>
  <c r="C53" i="2"/>
  <c r="C53" i="5" s="1"/>
  <c r="F53" i="5" s="1"/>
  <c r="F53" i="6" s="1"/>
  <c r="D57" i="5" l="1"/>
  <c r="F57" i="6"/>
  <c r="D55" i="6"/>
  <c r="C55" i="6" s="1"/>
  <c r="D55" i="5"/>
  <c r="D47" i="5"/>
  <c r="D47" i="6"/>
  <c r="C47" i="6" s="1"/>
  <c r="D59" i="6"/>
  <c r="C59" i="6" s="1"/>
  <c r="D59" i="5"/>
  <c r="D53" i="5"/>
  <c r="D53" i="6"/>
  <c r="C53" i="6" s="1"/>
  <c r="D51" i="6"/>
  <c r="C51" i="6" s="1"/>
  <c r="D51" i="5"/>
  <c r="D46" i="5"/>
  <c r="D46" i="6"/>
  <c r="C46" i="6" s="1"/>
  <c r="D48" i="6"/>
  <c r="C48" i="6" s="1"/>
  <c r="D48" i="5"/>
  <c r="D56" i="6"/>
  <c r="C56" i="6" s="1"/>
  <c r="D56" i="5"/>
  <c r="D61" i="6"/>
  <c r="C61" i="6" s="1"/>
  <c r="D61" i="5"/>
  <c r="D50" i="5"/>
  <c r="D50" i="6"/>
  <c r="C50" i="6" s="1"/>
  <c r="D60" i="5"/>
  <c r="D60" i="6"/>
  <c r="C60" i="6" s="1"/>
  <c r="D54" i="5"/>
  <c r="D54" i="6"/>
  <c r="C54" i="6" s="1"/>
  <c r="D58" i="6"/>
  <c r="C58" i="6" s="1"/>
  <c r="D58" i="5"/>
  <c r="D45" i="6"/>
  <c r="C45" i="6" s="1"/>
  <c r="D45" i="5"/>
  <c r="D52" i="5"/>
  <c r="D52" i="6"/>
  <c r="C52" i="6" s="1"/>
  <c r="D49" i="5"/>
  <c r="D49" i="6"/>
  <c r="C49" i="6" s="1"/>
  <c r="D57" i="6"/>
  <c r="C5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Jose Manuel Ramirez Garcia</author>
  </authors>
  <commentList>
    <comment ref="V56" authorId="0" shapeId="0" xr:uid="{B5604980-DA61-4E82-9790-202E8F29E99F}">
      <text>
        <r>
          <rPr>
            <b/>
            <sz val="9"/>
            <color indexed="81"/>
            <rFont val="Tahoma"/>
            <family val="2"/>
          </rPr>
          <t>Jose Manuel Ramirez Garcia:</t>
        </r>
        <r>
          <rPr>
            <sz val="9"/>
            <color indexed="81"/>
            <rFont val="Tahoma"/>
            <family val="2"/>
          </rPr>
          <t xml:space="preserve">
Only CH4 captured was known for 2011. CH4 flared were estimated as the arithmetic average of % CH4 flared between 2010 (0%) and 2012 (5.6%)</t>
        </r>
      </text>
    </comment>
    <comment ref="W56" authorId="0" shapeId="0" xr:uid="{8B4DDD2B-FBA6-4811-B265-351A23DBA51E}">
      <text>
        <r>
          <rPr>
            <b/>
            <sz val="9"/>
            <color indexed="81"/>
            <rFont val="Tahoma"/>
            <family val="2"/>
          </rPr>
          <t>Jose Manuel Ramirez Garcia:</t>
        </r>
        <r>
          <rPr>
            <sz val="9"/>
            <color indexed="81"/>
            <rFont val="Tahoma"/>
            <family val="2"/>
          </rPr>
          <t xml:space="preserve">
Estimated as the difference between CH4 captured and CH4 flared</t>
        </r>
      </text>
    </comment>
    <comment ref="H59" authorId="0" shapeId="0" xr:uid="{AEAAAEAE-ECA0-4828-8964-60A15982FA4B}">
      <text>
        <r>
          <rPr>
            <b/>
            <sz val="9"/>
            <color indexed="81"/>
            <rFont val="Tahoma"/>
            <family val="2"/>
          </rPr>
          <t>Jose Manuel Ramirez Garcia:</t>
        </r>
        <r>
          <rPr>
            <sz val="9"/>
            <color indexed="81"/>
            <rFont val="Tahoma"/>
            <family val="2"/>
          </rPr>
          <t xml:space="preserve">
Arithmetic average using 2013 and 2015 data</t>
        </r>
      </text>
    </comment>
    <comment ref="H61" authorId="0" shapeId="0" xr:uid="{608E3A47-9A86-469F-9886-316B7FDE241A}">
      <text>
        <r>
          <rPr>
            <b/>
            <sz val="9"/>
            <color indexed="81"/>
            <rFont val="Tahoma"/>
            <family val="2"/>
          </rPr>
          <t>Jose Manuel Ramirez Garcia:</t>
        </r>
        <r>
          <rPr>
            <sz val="9"/>
            <color indexed="81"/>
            <rFont val="Tahoma"/>
            <family val="2"/>
          </rPr>
          <t xml:space="preserve">
Data obtained maintaining the same % of population with its clinical waste incinerated in 2015</t>
        </r>
      </text>
    </comment>
    <comment ref="U80" authorId="0" shapeId="0" xr:uid="{96ADEDE0-B2F7-4584-9FBF-4086FA3205CB}">
      <text>
        <r>
          <rPr>
            <b/>
            <sz val="9"/>
            <color indexed="81"/>
            <rFont val="Tahoma"/>
            <family val="2"/>
          </rPr>
          <t>Jose Manuel Ramirez Garcia:</t>
        </r>
        <r>
          <rPr>
            <sz val="9"/>
            <color indexed="81"/>
            <rFont val="Tahoma"/>
            <family val="2"/>
          </rPr>
          <t xml:space="preserve">
Housing Census 2011</t>
        </r>
      </text>
    </comment>
    <comment ref="B93" authorId="0" shapeId="0" xr:uid="{D1BEF347-4CBF-4CFB-8490-EC160055AEB7}">
      <text>
        <r>
          <rPr>
            <b/>
            <sz val="9"/>
            <color indexed="81"/>
            <rFont val="Tahoma"/>
            <family val="2"/>
          </rPr>
          <t>Jose Manuel Ramirez Garcia:</t>
        </r>
        <r>
          <rPr>
            <sz val="9"/>
            <color indexed="81"/>
            <rFont val="Tahoma"/>
            <family val="2"/>
          </rPr>
          <t xml:space="preserve">
known data (Statistics Mauritius) are for RoM, but no data disaggregated by island are available. Need to be updated for next inventory cycle</t>
        </r>
      </text>
    </comment>
    <comment ref="C117" authorId="0" shapeId="0" xr:uid="{19D6B36D-7054-44A9-96CF-80967EFEF838}">
      <text>
        <r>
          <rPr>
            <b/>
            <sz val="9"/>
            <color indexed="81"/>
            <rFont val="Tahoma"/>
            <family val="2"/>
          </rPr>
          <t>Jose Manuel Ramirez Garcia:</t>
        </r>
        <r>
          <rPr>
            <sz val="9"/>
            <color indexed="81"/>
            <rFont val="Tahoma"/>
            <family val="2"/>
          </rPr>
          <t xml:space="preserve">
IPCC range: 4-18
“Implementation of the
Multi-Annual Adaptation Strategy for the Mauritian Sugar Cane Cluster (2006-2015) –
Strategic Environmental Assessment – Final Draft Report” (Agreco Consortium, 2006).</t>
        </r>
      </text>
    </comment>
    <comment ref="C138" authorId="0" shapeId="0" xr:uid="{30D78200-95F4-4858-93F0-680214E49213}">
      <text>
        <r>
          <rPr>
            <b/>
            <sz val="9"/>
            <color indexed="81"/>
            <rFont val="Tahoma"/>
            <family val="2"/>
          </rPr>
          <t>Jose Manuel Ramirez Garcia:</t>
        </r>
        <r>
          <rPr>
            <sz val="9"/>
            <color indexed="81"/>
            <rFont val="Tahoma"/>
            <family val="2"/>
          </rPr>
          <t xml:space="preserve">
IPCC range: 8-18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Jose Manuel Ramirez Garcia</author>
  </authors>
  <commentList>
    <comment ref="C69" authorId="0" shapeId="0" xr:uid="{19A48DB1-8F87-4D28-A122-F0AE1128D98C}">
      <text>
        <r>
          <rPr>
            <b/>
            <sz val="9"/>
            <color indexed="81"/>
            <rFont val="Tahoma"/>
            <family val="2"/>
          </rPr>
          <t>Jose Manuel Ramirez Garcia:</t>
        </r>
        <r>
          <rPr>
            <sz val="9"/>
            <color indexed="81"/>
            <rFont val="Tahoma"/>
            <family val="2"/>
          </rPr>
          <t xml:space="preserve">
known data (Statistics Mauritius) are for RoM, but no data disaggregated by island are available. Need to be updated for next inventory cycle</t>
        </r>
      </text>
    </comment>
    <comment ref="W80" authorId="0" shapeId="0" xr:uid="{27AED313-A3C5-46B5-B862-3A95708A7105}">
      <text>
        <r>
          <rPr>
            <b/>
            <sz val="9"/>
            <color indexed="81"/>
            <rFont val="Tahoma"/>
            <charset val="1"/>
          </rPr>
          <t>Jose Manuel Ramirez Garcia:</t>
        </r>
        <r>
          <rPr>
            <sz val="9"/>
            <color indexed="81"/>
            <rFont val="Tahoma"/>
            <charset val="1"/>
          </rPr>
          <t xml:space="preserve">
Based on Housing Census 2011. Table HDU07 (page 198)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Jose Manuel Ramirez Garcia</author>
  </authors>
  <commentList>
    <comment ref="B93" authorId="0" shapeId="0" xr:uid="{59629CD1-AB5A-4A07-8B6F-51C103DC8E79}">
      <text>
        <r>
          <rPr>
            <b/>
            <sz val="9"/>
            <color indexed="81"/>
            <rFont val="Tahoma"/>
            <family val="2"/>
          </rPr>
          <t>Jose Manuel Ramirez Garcia:</t>
        </r>
        <r>
          <rPr>
            <sz val="9"/>
            <color indexed="81"/>
            <rFont val="Tahoma"/>
            <family val="2"/>
          </rPr>
          <t xml:space="preserve">
known data (Statistics Mauritius) are for RoM, but no data disaggregated by island are available. Need to be updated for next inventory cycle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Jose Manuel Ramirez Garcia</author>
  </authors>
  <commentList>
    <comment ref="B5" authorId="0" shapeId="0" xr:uid="{2F3D3D37-E452-498D-89CB-F69D3407E1CE}">
      <text>
        <r>
          <rPr>
            <b/>
            <sz val="9"/>
            <color indexed="81"/>
            <rFont val="Tahoma"/>
            <family val="2"/>
          </rPr>
          <t>Jose Manuel Ramirez Garcia:</t>
        </r>
        <r>
          <rPr>
            <sz val="9"/>
            <color indexed="81"/>
            <rFont val="Tahoma"/>
            <family val="2"/>
          </rPr>
          <t xml:space="preserve">
Due to complexity to develop FOD methodology in excel, these emissions have been copied from IPCC software</t>
        </r>
      </text>
    </comment>
    <comment ref="F5" authorId="0" shapeId="0" xr:uid="{54FD3401-E5E5-4337-9A64-1BB56AD5AFA6}">
      <text>
        <r>
          <rPr>
            <b/>
            <sz val="9"/>
            <color indexed="81"/>
            <rFont val="Tahoma"/>
            <family val="2"/>
          </rPr>
          <t>Jose Manuel Ramirez Garcia:</t>
        </r>
        <r>
          <rPr>
            <sz val="9"/>
            <color indexed="81"/>
            <rFont val="Tahoma"/>
            <family val="2"/>
          </rPr>
          <t xml:space="preserve">
Due to complexity to develop FOD methodology in excel, these emissions have been copied from IPCC software</t>
        </r>
      </text>
    </comment>
    <comment ref="P5" authorId="0" shapeId="0" xr:uid="{0538AA2F-BF77-430C-B1DD-0C8A37BD43B5}">
      <text>
        <r>
          <rPr>
            <b/>
            <sz val="9"/>
            <color indexed="81"/>
            <rFont val="Tahoma"/>
            <family val="2"/>
          </rPr>
          <t>Jose Manuel Ramirez Garcia:</t>
        </r>
        <r>
          <rPr>
            <sz val="9"/>
            <color indexed="81"/>
            <rFont val="Tahoma"/>
            <family val="2"/>
          </rPr>
          <t xml:space="preserve">
Due to complexity to develop FOD methodology in excel, these emissions have been copied from IPCC software</t>
        </r>
      </text>
    </comment>
    <comment ref="G29" authorId="0" shapeId="0" xr:uid="{1412FFB1-D166-470C-B91E-05149D16FC38}">
      <text>
        <r>
          <rPr>
            <b/>
            <sz val="9"/>
            <color indexed="81"/>
            <rFont val="Tahoma"/>
            <family val="2"/>
          </rPr>
          <t>Jose Manuel Ramirez Garcia:</t>
        </r>
        <r>
          <rPr>
            <sz val="9"/>
            <color indexed="81"/>
            <rFont val="Tahoma"/>
            <family val="2"/>
          </rPr>
          <t xml:space="preserve">
Required for IPCC software</t>
        </r>
      </text>
    </comment>
    <comment ref="D55" authorId="0" shapeId="0" xr:uid="{031D060F-1734-4864-B5FF-D826E63D652B}">
      <text>
        <r>
          <rPr>
            <b/>
            <sz val="9"/>
            <color indexed="81"/>
            <rFont val="Tahoma"/>
            <family val="2"/>
          </rPr>
          <t>Jose Manuel Ramirez Garcia:</t>
        </r>
        <r>
          <rPr>
            <sz val="9"/>
            <color indexed="81"/>
            <rFont val="Tahoma"/>
            <family val="2"/>
          </rPr>
          <t xml:space="preserve">
Required for IPCC software</t>
        </r>
      </text>
    </comment>
    <comment ref="I55" authorId="0" shapeId="0" xr:uid="{76F4E676-4575-4CA3-B738-AA844F48853E}">
      <text>
        <r>
          <rPr>
            <b/>
            <sz val="9"/>
            <color indexed="81"/>
            <rFont val="Tahoma"/>
            <family val="2"/>
          </rPr>
          <t>Jose Manuel Ramirez Garcia:</t>
        </r>
        <r>
          <rPr>
            <sz val="9"/>
            <color indexed="81"/>
            <rFont val="Tahoma"/>
            <family val="2"/>
          </rPr>
          <t xml:space="preserve">
Required for IPCC software</t>
        </r>
      </text>
    </comment>
    <comment ref="N55" authorId="0" shapeId="0" xr:uid="{1DE5C720-B37B-40A9-8BA4-3952D5659266}">
      <text>
        <r>
          <rPr>
            <b/>
            <sz val="9"/>
            <color indexed="81"/>
            <rFont val="Tahoma"/>
            <family val="2"/>
          </rPr>
          <t>Jose Manuel Ramirez Garcia:</t>
        </r>
        <r>
          <rPr>
            <sz val="9"/>
            <color indexed="81"/>
            <rFont val="Tahoma"/>
            <family val="2"/>
          </rPr>
          <t xml:space="preserve">
Required for IPCC software</t>
        </r>
      </text>
    </comment>
  </commentList>
</comments>
</file>

<file path=xl/sharedStrings.xml><?xml version="1.0" encoding="utf-8"?>
<sst xmlns="http://schemas.openxmlformats.org/spreadsheetml/2006/main" count="2018" uniqueCount="427">
  <si>
    <t>Year</t>
  </si>
  <si>
    <t>Food [%]</t>
  </si>
  <si>
    <t>Garden [%]</t>
  </si>
  <si>
    <t>Paper [%]</t>
  </si>
  <si>
    <t>Wood [%]</t>
  </si>
  <si>
    <t>Textile [%]</t>
  </si>
  <si>
    <t>Nappies [%]</t>
  </si>
  <si>
    <t>Plastics, other inert [%]</t>
  </si>
  <si>
    <t>Total [=100 %]</t>
  </si>
  <si>
    <t>Population [capita]</t>
  </si>
  <si>
    <t>Total MSW [t]</t>
  </si>
  <si>
    <t>Compost [t]</t>
  </si>
  <si>
    <t>Incineration [t]</t>
  </si>
  <si>
    <t>Waste per capita [kg/capita]</t>
  </si>
  <si>
    <t>SOLID WASTE</t>
  </si>
  <si>
    <t>Inventory period under contract is 2000-2016</t>
  </si>
  <si>
    <t>Cells in yellow have been estimated due to lack of direct data, but are data required for an accurate and complete emissions estimate</t>
  </si>
  <si>
    <t>CH4 produced (t)</t>
  </si>
  <si>
    <t>CH4 captured (t)</t>
  </si>
  <si>
    <t>CH4 flared (t)</t>
  </si>
  <si>
    <t>Source: Population: Statistics Mauritius. Digest of Demographic 2018. Tables 1.3 and 1.19</t>
  </si>
  <si>
    <t>CH4 energy recovery (t)</t>
  </si>
  <si>
    <t>EF ID</t>
  </si>
  <si>
    <t>IPCC Categories</t>
  </si>
  <si>
    <t>Gases</t>
  </si>
  <si>
    <t>Fuel</t>
  </si>
  <si>
    <t>Type of parameter</t>
  </si>
  <si>
    <t>Description</t>
  </si>
  <si>
    <t>Technologies/Practices</t>
  </si>
  <si>
    <t>Parameters/Conditions</t>
  </si>
  <si>
    <t>Region/Regional Conditions</t>
  </si>
  <si>
    <t>Abatement/Control Technologies</t>
  </si>
  <si>
    <t>Other properties</t>
  </si>
  <si>
    <t>Value</t>
  </si>
  <si>
    <t>Unit</t>
  </si>
  <si>
    <t>Equation</t>
  </si>
  <si>
    <t>IPCC Worksheet</t>
  </si>
  <si>
    <t>Source of data</t>
  </si>
  <si>
    <t>Technical reference</t>
  </si>
  <si>
    <t>Abstract in English</t>
  </si>
  <si>
    <t>Uncertainty lower</t>
  </si>
  <si>
    <t>Uncertainty upper</t>
  </si>
  <si>
    <t>Data quality</t>
  </si>
  <si>
    <t>Data quality reference</t>
  </si>
  <si>
    <t>Other info on data quality</t>
  </si>
  <si>
    <t>Comments from the data provider</t>
  </si>
  <si>
    <t>Comments from others</t>
  </si>
  <si>
    <t>Data provider</t>
  </si>
  <si>
    <t>Link</t>
  </si>
  <si>
    <t>4.B - Biological Treatment of Solid Waste</t>
  </si>
  <si>
    <t>METHANE</t>
  </si>
  <si>
    <t>2006 IPCC default</t>
  </si>
  <si>
    <t>Emission factor</t>
  </si>
  <si>
    <t>Composting</t>
  </si>
  <si>
    <t>dry weight basis</t>
  </si>
  <si>
    <t/>
  </si>
  <si>
    <t>10</t>
  </si>
  <si>
    <t>g CH4/kg waste treated</t>
  </si>
  <si>
    <t>Equation 4.1 in Chapter 4 of Volume 5 of 2006 Guidelines</t>
  </si>
  <si>
    <t>Category 4B</t>
  </si>
  <si>
    <t>2006 IPCC Guidelines</t>
  </si>
  <si>
    <t>Arnold, M. (2005). Espoo: VTT Processes: Unpublished material from measurements from biowaste composts. (Personal communication). Beck-Friis, B.G. (2001). Emissions of ammonia, nitrous oxide and methane during composting of organic household waste. Uppsala: Swedish University of Agricultural Sciences. 331 p. (Doctoral Thesis). Detzel, A., Vogt, R., Fehrenbach, H., Knappe, F. and Gromke, U. (2003). Anpassung der deutschen Methodik zur rechnerischen Emissionsermittlung und internationale Richtlinien: Teilbericht Abfall/Abwasser. IFEU Institut - Öko-Institut e.V. 77 p. Hellebrand, H.J. (1998). ‘Emissions of nitrous oxide and other trace gases during composting of grass and green waste`, J. agric, Engng Res., 69:365-375.  Hogg, D., Favoino, E., Nielsen, N.,Thompson, J., Wood, K., Penschke, A., Economides, D. and Papageorgiou, S., (2002). Economic analysis of options for managing biodegradable municipal waste, Final Report to the European Commission, Eunomia Research &amp; Consulting, Bristol, UK. Vesterinen, R. (1996): Impact of waste management alternatives on greenhouse gas emissions: Greenhouse gas emissions from composting. Jyväskylä: VTT Energy. Research report ENE38/T0018/96. (In Finnish). 30p.</t>
  </si>
  <si>
    <t>Unknown</t>
  </si>
  <si>
    <t>Expert judgement by lead authors of Chapter 4</t>
  </si>
  <si>
    <t>The range can be 0.08 -20.   Assumptions on the waste treated:  25-50% DOC in dry matter, 2% N in dry matter, moisture content 60%. The emission factors for dry waste are estimated from those for wet waste assuming a moisture content of 60% in wet waste.</t>
  </si>
  <si>
    <t>IPCC</t>
  </si>
  <si>
    <t>Anaerobic digestion at biogas facilities</t>
  </si>
  <si>
    <t>2</t>
  </si>
  <si>
    <t>The range can be 0 -20.   Assumptions on the waste treated:  25-50% DOC in dry matter, 2% N in dry matter, moisture content 60%. The emission factors for dry waste are estimated from those for wet waste assuming a moisture content of 60% in wet waste.</t>
  </si>
  <si>
    <t>wet weight basis</t>
  </si>
  <si>
    <t>4</t>
  </si>
  <si>
    <t>The range can be 0.03 -8.   Assumptions on the waste treated:  25-50% DOC in dry matter, 2% N in dry matter, moisture content 60%. The emission factors for dry waste are estimated from those for wet waste assuming a moisture content of 60% in wet waste.</t>
  </si>
  <si>
    <t>0.8</t>
  </si>
  <si>
    <t>The range can be 0 -8.   Assumptions on the waste treated:  25-50% DOC in dry matter, 2% N in dry matter, moisture content 60%. The emission factors for dry waste are estimated from those for wet waste assuming a moisture content of 60% in wet waste._x000D_, The value is a revised value in accordance with 9th Corrigenda for the 2006 IPCC Guidelines.</t>
  </si>
  <si>
    <t>NITROUS OXIDE</t>
  </si>
  <si>
    <t>0.6</t>
  </si>
  <si>
    <t>g N2O/kg waste treated</t>
  </si>
  <si>
    <t>Equation 4.2 in Chapter 4 of Volume 5 of 2006 Guidelines</t>
  </si>
  <si>
    <t>The range can be 0.2 -1.6.   Assumptions on the waste treated:  25-50% DOC in dry matter, 2% N in dry matter, moisture content 60%. The emission factors for dry waste are estimated from those for wet waste assuming a moisture content of 60% in wet waste.</t>
  </si>
  <si>
    <t>Assumed to be negligible.   Assumptions on the waste treated:  25-50% DOC in dry matter, 2% N in dry matter, moisture content 60%. The emission factors for dry waste are estimated from those for wet waste assuming a moisture content of 60% in wet waste.</t>
  </si>
  <si>
    <t>0.24</t>
  </si>
  <si>
    <t>The range can be 0.06 -0.6.   Assumptions on the waste treated:  25-50% DOC in dry matter, 2% N in dry matter, moisture content 60%. The emission factors for dry waste are estimated from those for wet waste assuming a moisture content of 60% in wet waste._x000D_, The value is a revised value in accordance with 9th Corrigenda for the 2006 IPCC Guidelines.</t>
  </si>
  <si>
    <t>4.D.1 - Domestic Wastewaster Treatment and Discharge</t>
  </si>
  <si>
    <t>CH4 correction factor (MCF) for domestic wastewater</t>
  </si>
  <si>
    <t>untreated system</t>
  </si>
  <si>
    <t>Sea, river, lake discharge</t>
  </si>
  <si>
    <t>0.1</t>
  </si>
  <si>
    <t>fraction</t>
  </si>
  <si>
    <t>Equation 6.2 of Chapter 6, Volume 5 of 2006 IPCC Guidelines</t>
  </si>
  <si>
    <t>4D1</t>
  </si>
  <si>
    <t>Table6.3, p.6.13 in 2006 Guidelines</t>
  </si>
  <si>
    <t>.-50%</t>
  </si>
  <si>
    <t>.+50%</t>
  </si>
  <si>
    <t>expert judgement by lead authors of Chapter 6 Volume 5</t>
  </si>
  <si>
    <t>The MCF value can rang between 0 - 0.2. The MCF is technology dependent. Thus the uncertainty range is also technology dependent. The uncertainty range should be determined by expert judgement, bearing in mind that MCF is a fraction and must be between 0 and 1. Suggested ranges are provided below. Untreated systems and latrines, ± 50% Lagoons, poorly managed treatment plants± 30%  Centralized well managed plant, digester, reactor, ± 10%</t>
  </si>
  <si>
    <t>Rivers with high organic loadings can turn anaerobic</t>
  </si>
  <si>
    <t>Stagnant sewer</t>
  </si>
  <si>
    <t>0.5</t>
  </si>
  <si>
    <t>The MCF value  can rang between 0.4 - 0.8.   The MCF is technology dependent. Thus the uncertainty range is also technology dependent. The uncertainty range should be determined by expert judgement, bearing in mind that MCF is a fraction and must be between 0 and 1. Suggested ranges are provided below. Untreated systems and latrines, ± 50% Lagoons, poorly managed treatment plants± 30%  Centralized well managed plant, digester, reactor, ± 10%</t>
  </si>
  <si>
    <t>Open and warm</t>
  </si>
  <si>
    <t>Flowing sewer (open or closed)</t>
  </si>
  <si>
    <t>0</t>
  </si>
  <si>
    <t>The MCF is technology dependent. Thus the uncertainty range is also technology dependent. The uncertainty range should be determined by expert judgement, bearing in mind that MCF is a fraction and must be between 0 and 1. Suggested ranges are provided below. Untreated systems and latrines, ± 50% Lagoons, poorly managed treatment plants± 30%  Centralized well managed plant, digester, reactor, ± 10%</t>
  </si>
  <si>
    <t>Fast moving, clean (Insiginifican amount of methane from pump stations, etc)</t>
  </si>
  <si>
    <t>treated system</t>
  </si>
  <si>
    <t>Centralized, aerobic treatment plant.</t>
  </si>
  <si>
    <t>.-10%</t>
  </si>
  <si>
    <t>.+10%</t>
  </si>
  <si>
    <t>The MCF value can rang between 0 - 0.1. The MCF is technology dependent. Thus the uncertainty range is also technology dependent. The uncertainty range should be determined by expert judgement, bearing in mind that MCF is a fraction and must be between 0 and 1. Suggested ranges are provided below. Untreated systems and latrines, ± 50% Lagoons, poorly managed treatment plants± 30%  Centralized well managed plant, digester, reactor, ± 10%</t>
  </si>
  <si>
    <t>Must be well managed. Some methane can be emitted from settling basins and other pockets.</t>
  </si>
  <si>
    <t>0.3</t>
  </si>
  <si>
    <t>.-30%</t>
  </si>
  <si>
    <t>.+30%</t>
  </si>
  <si>
    <t>The MCF value can rang between 0.2 - 0.4. The MCF is technology dependent. Thus the uncertainty range is also technology dependent. The uncertainty range should be determined by expert judgement, bearing in mind that MCF is a fraction and must be between 0 and 1. Suggested ranges are provided below. Untreated systems and latrines, ± 50% Lagoons, poorly managed treatment plants± 30%  Centralized well managed plant, digester, reactor, ± 10%</t>
  </si>
  <si>
    <t>Not well managed. Overloaded.</t>
  </si>
  <si>
    <t>Anaerobic digester for sludge</t>
  </si>
  <si>
    <t>The MCF value can rang between 0.8 - 1.0. The MCF is technology dependent. Thus the uncertainty range is also technology dependent. The uncertainty range should be determined by expert judgement, bearing in mind that MCF is a fraction and must be between 0 and 1. Suggested ranges are provided below. Untreated systems and latrines, ± 50% Lagoons, poorly managed treatment plants± 30%  Centralized well managed plant, digester, reactor, ± 10%</t>
  </si>
  <si>
    <t>methane recovery is  not considered here.</t>
  </si>
  <si>
    <t>Anaerobic reactor</t>
  </si>
  <si>
    <t>Anaerobic shallow lagoon</t>
  </si>
  <si>
    <t>0.2</t>
  </si>
  <si>
    <t>The MCF value can rang between 0 - 0.3. The MCF is technology dependent. Thus the uncertainty range is also technology dependent. The uncertainty range should be determined by expert judgement, bearing in mind that MCF is a fraction and must be between 0 and 1. Suggested ranges are provided below. Untreated systems and latrines, ± 50% Lagoons, poorly managed treatment plants± 30%  Centralized well managed plant, digester, reactor, ± 10%</t>
  </si>
  <si>
    <t>depth less than 2 meters</t>
  </si>
  <si>
    <t>Anaerobic deep lagoon</t>
  </si>
  <si>
    <t>depthe more than 2 meters</t>
  </si>
  <si>
    <t>Septic system</t>
  </si>
  <si>
    <t>Half of BOD settels in anaerobic tank</t>
  </si>
  <si>
    <t>Latrine</t>
  </si>
  <si>
    <t>THe MCF value can rang between 0.05 - 0.15. The MCF is technology dependent. Thus the uncertainty range is also technology dependent. The uncertainty range should be determined by expert judgement, bearing in mind that MCF is a fraction and must be between 0 and 1. Suggested ranges are provided below. Untreated systems and latrines, ± 50% Lagoons, poorly managed treatment plants± 30%  Centralized well managed plant, digester, reactor, ± 10%</t>
  </si>
  <si>
    <t>Dry climate, grounwater table lower than latrine, small family (3-5persons)</t>
  </si>
  <si>
    <t>THe MCF value can rang between 0.4 - 0.6. The MCF is technology dependent. Thus the uncertainty range is also technology dependent. The uncertainty range should be determined by expert judgement, bearing in mind that MCF is a fraction and must be between 0 and 1. Suggested ranges are provided below. Untreated systems and latrines, ± 50% Lagoons, poorly managed treatment plants± 30%  Centralized well managed plant, digester, reactor, ± 10%</t>
  </si>
  <si>
    <t>Dry climate, groundwater table lower than latrine, communal (many users)</t>
  </si>
  <si>
    <t>0.7</t>
  </si>
  <si>
    <t>THe MCF value can rang between 0.7 - 1.0. The MCF is technology dependent. Thus the uncertainty range is also technology dependent. The uncertainty range should be determined by expert judgement, bearing in mind that MCF is a fraction and must be between 0 and 1. Suggested ranges are provided below. Untreated systems and latrines, ± 50% Lagoons, poorly managed treatment plants± 30%  Centralized well managed plant, digester, reactor, ± 10%</t>
  </si>
  <si>
    <t>Wet climate/flush water use, groundwater table higher than latrine.</t>
  </si>
  <si>
    <t>Regular sediment removal for fertilizer.</t>
  </si>
  <si>
    <t>BOD5</t>
  </si>
  <si>
    <t>Africa</t>
  </si>
  <si>
    <t>37</t>
  </si>
  <si>
    <t>g/person/day</t>
  </si>
  <si>
    <t>Equation 6.3 of Chapter 6, Volume 5 of 2006 IPCC Guidelines</t>
  </si>
  <si>
    <t>Table 6.4, p.6.14 in 2006 Guidelines</t>
  </si>
  <si>
    <t>Doorn and Liles (1999)</t>
  </si>
  <si>
    <t>Range can be 35 - 45.  The Biochemical Oxygen Demand (BOD) concentration indicates only the amount of carbon that is aerobically biodegradable. The standard measurement for BOD is a 5-day test, denoted as BOD5.</t>
  </si>
  <si>
    <t>A BOD value from a nearby comparable country can be used as default when country-specific data are not available.</t>
  </si>
  <si>
    <t>Egypt</t>
  </si>
  <si>
    <t>34</t>
  </si>
  <si>
    <t>Range can be 27 - 41.  The Biochemical Oxygen Demand (BOD) concentration indicates only the amount of carbon that is aerobically biodegradable. The standard measurement for BOD is a 5-day test, denoted as BOD5.</t>
  </si>
  <si>
    <t>Asia, Middle East, Latin America</t>
  </si>
  <si>
    <t>40</t>
  </si>
  <si>
    <t>India</t>
  </si>
  <si>
    <t>Wast Bank and Gaza Strip (Palestine)</t>
  </si>
  <si>
    <t>50</t>
  </si>
  <si>
    <t>Range can be 32 - 68.  The Biochemical Oxygen Demand (BOD) concentration indicates only the amount of carbon that is aerobically biodegradable. The standard measurement for BOD is a 5-day test, denoted as BOD5.</t>
  </si>
  <si>
    <t>Japan</t>
  </si>
  <si>
    <t>42</t>
  </si>
  <si>
    <t>Range can be 40 - 45.  The Biochemical Oxygen Demand (BOD) concentration indicates only the amount of carbon that is aerobically biodegradable. The standard measurement for BOD is a 5-day test, denoted as BOD5.</t>
  </si>
  <si>
    <t>Brazil</t>
  </si>
  <si>
    <t>Feachem et al. (1983)</t>
  </si>
  <si>
    <t>Range can be 45 - 55.  The Biochemical Oxygen Demand (BOD) concentration indicates only the amount of carbon that is aerobically biodegradable. The standard measurement for BOD is a 5-day test, denoted as BOD5.</t>
  </si>
  <si>
    <t>Canada, Europe, Russia, Oceania</t>
  </si>
  <si>
    <t>60</t>
  </si>
  <si>
    <t>Range can be 50 - 70.  The Biochemical Oxygen Demand (BOD) concentration indicates only the amount of carbon that is aerobically biodegradable. The standard measurement for BOD is a 5-day test, denoted as BOD5.</t>
  </si>
  <si>
    <t>Denmark</t>
  </si>
  <si>
    <t>62</t>
  </si>
  <si>
    <t>Range can be 55 - 68.  The Biochemical Oxygen Demand (BOD) concentration indicates only the amount of carbon that is aerobically biodegradable. The standard measurement for BOD is a 5-day test, denoted as BOD5.</t>
  </si>
  <si>
    <t>Germany</t>
  </si>
  <si>
    <t>Greece</t>
  </si>
  <si>
    <t>57</t>
  </si>
  <si>
    <t>Range can be 55 - 60.  The Biochemical Oxygen Demand (BOD) concentration indicates only the amount of carbon that is aerobically biodegradable. The standard measurement for BOD is a 5-day test, denoted as BOD5.</t>
  </si>
  <si>
    <t>Italy</t>
  </si>
  <si>
    <t>Masotti (1996)</t>
  </si>
  <si>
    <t>Range can be 49 - 60.  The Biochemical Oxygen Demand (BOD) concentration indicates only the amount of carbon that is aerobically biodegradable. The standard measurement for BOD is a 5-day test, denoted as BOD5.</t>
  </si>
  <si>
    <t>Sweden</t>
  </si>
  <si>
    <t>75</t>
  </si>
  <si>
    <t>Range can be 68 - 82.  The Biochemical Oxygen Demand (BOD) concentration indicates only the amount of carbon that is aerobically biodegradable. The standard measurement for BOD is a 5-day test, denoted as BOD5.</t>
  </si>
  <si>
    <t>Turkey</t>
  </si>
  <si>
    <t>38</t>
  </si>
  <si>
    <t>Range can be 27 - 50. The Biochemical Oxygen Demand (BOD) concentration indicates only the amount of carbon that is aerobically biodegradable. The standard measurement for BOD is a 5-day test, denoted as BOD5.</t>
  </si>
  <si>
    <t>United States of America</t>
  </si>
  <si>
    <t>85</t>
  </si>
  <si>
    <t>Metcalf and Eddy (2003)</t>
  </si>
  <si>
    <t>Range can be 50 - 120.  The Biochemical Oxygen Demand (BOD) concentration indicates only the amount of carbon that is aerobically biodegradable. The standard measurement for BOD is a 5-day test, denoted as BOD5.</t>
  </si>
  <si>
    <t>Maximum CH4 producing capacity, Bo</t>
  </si>
  <si>
    <t>BOD based</t>
  </si>
  <si>
    <t>Kg CH4/Kg BOD</t>
  </si>
  <si>
    <t>P6.12 in Vol. 5 of 2006 Guidelines</t>
  </si>
  <si>
    <t>Expert judgment by lead authors of 2006 Guidelines and Doorn et al. (1997)</t>
  </si>
  <si>
    <t>For domestic wastewater, a COD-based value of Bo can be converted into a BOD-based value by multiplying with a factor of 2.4.</t>
  </si>
  <si>
    <t>COD based</t>
  </si>
  <si>
    <t>0.25</t>
  </si>
  <si>
    <t>Kg CH4/Kg COD</t>
  </si>
  <si>
    <t>Good practice is to use country and industry sector specific data that may be available from government authorities, industrial organisations, or industrial experts. However, most inventory compilers will find detailed industry sector-specific data unavailable or incomplete.</t>
  </si>
  <si>
    <t>Correction factor for additional industrial BOD discharged into sewers</t>
  </si>
  <si>
    <t>collected</t>
  </si>
  <si>
    <t>1.25</t>
  </si>
  <si>
    <t>P6.14 in Vol. 5 of 2006 Guidelines</t>
  </si>
  <si>
    <t>.-20%</t>
  </si>
  <si>
    <t>.+20%</t>
  </si>
  <si>
    <t>Expert judgment by lead authors of 2006 Guidelines</t>
  </si>
  <si>
    <t>The correction factor for additional industrial BOD dscharge into sewers expresses the BOD from industries and establishments (e.g., restaurants, butchers or grocery stores) that is co-discharged with domestic wastewater. In some countries, information from industrial discharge permits may be available to improve this factor.</t>
  </si>
  <si>
    <t>uncollected</t>
  </si>
  <si>
    <t>1</t>
  </si>
  <si>
    <t>0%</t>
  </si>
  <si>
    <t>Factor to adjust for non-consumed protein discharged to wastewater pathways.</t>
  </si>
  <si>
    <t>Using garbage disposals</t>
  </si>
  <si>
    <t>Developed countries</t>
  </si>
  <si>
    <t>1.4</t>
  </si>
  <si>
    <t>Equation 6.8 of Chapter 6, Volume 5 of 2006 IPCC Guidelines</t>
  </si>
  <si>
    <t>P6.25 and Table 6.11 in P 6.27 in Vol. 5 of 2006 Guidelines</t>
  </si>
  <si>
    <t>P6.25 in Vol. 5 of 2006 Guidelines</t>
  </si>
  <si>
    <t>The range can be 1.0 - 1.5.  Food (waste) that is not consumed may be washed down the drain (e.g., as result of the use of garbage disposals in some developed countries) and also, bath and laundry water can be expected to contribute to nitrogen loadings.   Wastewater from industrial or commercial sources that is discharged into the sewer may contain protein (e.g., from grocery stores and butchers). The default for this fraction is 1.25.</t>
  </si>
  <si>
    <t>Not using garbage disposals</t>
  </si>
  <si>
    <t>Developing countries</t>
  </si>
  <si>
    <t>1.1</t>
  </si>
  <si>
    <t>4.D.2 - Industrial Wastewater Treatment and Discharge</t>
  </si>
  <si>
    <t>Equation 6.5 of Chapter 6, Volume 5 of 2006 IPCC Guidelines</t>
  </si>
  <si>
    <t>4D2</t>
  </si>
  <si>
    <t>P6.21 in Vol. 5 of 2006 Guidelines</t>
  </si>
  <si>
    <t>Methane correction factor (MCF) for industrial wastewater</t>
  </si>
  <si>
    <t>untreated</t>
  </si>
  <si>
    <t>Sea, river, and lake discharge</t>
  </si>
  <si>
    <t>expert judgement by lead authors of Chapter 6 Volume 5 of 2006 IPCC Guidelines</t>
  </si>
  <si>
    <t>The MCF value  can rang between 0 and 0.2. Rivers with high organics loadings may turn anaerobic, however this is not considered here.  The uncertainty range should be determined by expert judgement, bearing in mind that this is a fraction and uncertainties cannot take it outside the range of 0 to 1.</t>
  </si>
  <si>
    <t>The MCF indicates the extent to which the CH4 producing potential (Bo) is realised in each type of treatment method.</t>
  </si>
  <si>
    <t>Treated</t>
  </si>
  <si>
    <t>Aerobic treatment plant - well managed.</t>
  </si>
  <si>
    <t>The MCF value can range between 0 and 0.1  Must be well managed. Some CH4 can be emitted from settling basins and other pockets.   The uncertainty range should be determined by expert judgement, bearing in mind that this is a fraction and uncertainties cannot take it outside the range of 0 to 1.</t>
  </si>
  <si>
    <t>Aerobic treatment plant - not well managed, Overloaded</t>
  </si>
  <si>
    <t>The MCF value can range between 0.2 and 0.4.  The uncertainty range should be determined by expert judgement, bearing in mind that this is a fraction and uncertainties cannot take it outside the range of 0 to 1.</t>
  </si>
  <si>
    <t>The MCF value can range between 0.8 and 1.0.  CH4 recovery not considered here.  The uncertainty range should be determined by expert judgement, bearing in mind that this is a fraction and uncertainties cannot take it outside the range of 0 to 1.</t>
  </si>
  <si>
    <t>e.g., UASB, Fixed Film Reactor</t>
  </si>
  <si>
    <t>Depth less than 2 metres.  The MCF value can range between 0 and 0.3.   The uncertainty range should be determined by expert judgement, bearing in mind that this is a fraction and uncertainties cannot take it outside the range of 0 to 1.</t>
  </si>
  <si>
    <t>The MCF indicates the extent to which the CH4 producing potential (Bo) is realised in each type of treatment method.  Use expert judgement.</t>
  </si>
  <si>
    <t>Depth more than 2 metres.  The MCF value can range between 0.8 and 1.0.   The uncertainty range should be determined by expert judgement, bearing in mind that this is a fraction and uncertainties cannot take it outside the range of 0 to 1.</t>
  </si>
  <si>
    <t>EF for N2O emissions from domestic wastewater</t>
  </si>
  <si>
    <t>domestic wastewater nitrogen effluent</t>
  </si>
  <si>
    <t>0.005</t>
  </si>
  <si>
    <t>Kg N2O-N/kg -N</t>
  </si>
  <si>
    <t>Equation 6.7 of Chapter 6, Volume 5 of 2006 IPCC Guidelines</t>
  </si>
  <si>
    <t>expert judgement by lead authors of Chapter 6 Volume 5. See also Volume 4 of AFOLU Sector, Table 11.3 of Section 11.2.2 in Chapter 11, and the reference given in the footnote of Table 11.3.</t>
  </si>
  <si>
    <t>This emission factor is based on limited field data and on specific assumptions regarding the occurrence of nitrification and denitrification in rivers and in estuaries. The first assumption is that all nitrogen is discharged with the effluent. The second assumption is that N2O production in rivers and estuaries is directly related to nitrification and denitrification and, thus, to the nitrogen that is discharged into the river.</t>
  </si>
  <si>
    <t>(See Volume 4, Table 11.3 of Section 11.2.2 in Chapter 11, N2O Emissions from Managed Soils, and CO2 Emissions from Lime and Urea Application.)</t>
  </si>
  <si>
    <t>Factor to adjust for industrial and commercial co-discharged protein into the sewer system</t>
  </si>
  <si>
    <t>Discharged to sewer</t>
  </si>
  <si>
    <t>Equation 6.8 and 6.9 of Chapter 6, Volume 5 of 2006 IPCC Guidelines</t>
  </si>
  <si>
    <t>Wastewater from industrial or commercial sources that is discharged into the sewer may contain protein (e.g., from grocery stores and butchers).</t>
  </si>
  <si>
    <t>4.C.1 - Waste Incineration</t>
  </si>
  <si>
    <t>CARBON DIOXIDE</t>
  </si>
  <si>
    <t>Oxidation factor as % of carbon input</t>
  </si>
  <si>
    <t>Incineration</t>
  </si>
  <si>
    <t>for MSW, Industrial waste, clinical waste, sewage sludge, fossil liquid waste. Combustion in controlled incineration facilities, high combustion temperatures, long residence time, efficient waste agitation, air for more complete combustion.</t>
  </si>
  <si>
    <t>100</t>
  </si>
  <si>
    <t>%</t>
  </si>
  <si>
    <t>Equation 5.1 of Chapter 5, Volume 5 of 2006 Guidelines</t>
  </si>
  <si>
    <t>4C1</t>
  </si>
  <si>
    <t>Table 5.2 p 5.18  of Chapter 5 in Volume 5, the 2006 IPCC Guidelines</t>
  </si>
  <si>
    <t>Lead Authors of Chapter 5 in Volume 5, the 2006 IPCC Guidelines</t>
  </si>
  <si>
    <t>Expert judgment of the Lead Authors of the Chapter 5 in Volume 5 of the 2006 IPCC Guidelines</t>
  </si>
  <si>
    <t>Applicable for incineration of MSW, Industrial waste, clinical waste, sewage sludge, fossil liquid waste.</t>
  </si>
  <si>
    <t>N2O emission factor</t>
  </si>
  <si>
    <t>Incineration of MSW</t>
  </si>
  <si>
    <t>continuous and semi-continuous incinerators</t>
  </si>
  <si>
    <t>wet weight</t>
  </si>
  <si>
    <t>g N2O /tonne waste</t>
  </si>
  <si>
    <t>Equation 5.5 of Chapter 5, Volume 5 of 2006 Guidelines</t>
  </si>
  <si>
    <t>4C1 Waste Incineration</t>
  </si>
  <si>
    <t>Table 5.6 p.5.22, Chapter 5 in Volume 5 of the 2006 IPCC Guidelines</t>
  </si>
  <si>
    <t>GPG2000, Lead Authors of the 2006 IPCC Guidelines, expert judgment</t>
  </si>
  <si>
    <t>.-100%</t>
  </si>
  <si>
    <t>.+100%</t>
  </si>
  <si>
    <t>Lead Authors of the Chapter 5 in Volume 5 of the 2006 IPCC Guidelines</t>
  </si>
  <si>
    <t>batch-type incinerators</t>
  </si>
  <si>
    <t>Incineration of Industrial Waste</t>
  </si>
  <si>
    <t>all types of incinerators</t>
  </si>
  <si>
    <t>Incineration of sludge - excep for sewage sludge</t>
  </si>
  <si>
    <t>450</t>
  </si>
  <si>
    <t>Incineration of sewage sludge</t>
  </si>
  <si>
    <t>incinerators</t>
  </si>
  <si>
    <t>dry weight</t>
  </si>
  <si>
    <t>990</t>
  </si>
  <si>
    <t>900</t>
  </si>
  <si>
    <t>Fraction of nitrogen in protein</t>
  </si>
  <si>
    <t>Fraction of non-consumption protein</t>
  </si>
  <si>
    <t>Fraction of industrial and commercial co-discharged protein</t>
  </si>
  <si>
    <t>Nitrogen removed with sludge
(default is zero)</t>
  </si>
  <si>
    <t>http://www.fao.org/faostat/en/#data/FBS/visualize</t>
  </si>
  <si>
    <t>DOMESTIC/COMMERCIAL WASTEWATER</t>
  </si>
  <si>
    <t>INDUSTRIAL WASTEWATER</t>
  </si>
  <si>
    <t>Landfills</t>
  </si>
  <si>
    <t>Biological treatments</t>
  </si>
  <si>
    <t>Wastewater</t>
  </si>
  <si>
    <t>N2O Emission Factors (g N2O/kg waste treated)</t>
  </si>
  <si>
    <t>Negligible</t>
  </si>
  <si>
    <t>Source: 2006 IPCC Guidelines. Vol5. Chapter 4. Table 4.1</t>
  </si>
  <si>
    <r>
      <t>B</t>
    </r>
    <r>
      <rPr>
        <sz val="8"/>
        <color theme="0"/>
        <rFont val="Calibri"/>
        <family val="2"/>
        <scheme val="minor"/>
      </rPr>
      <t xml:space="preserve">0
</t>
    </r>
    <r>
      <rPr>
        <sz val="10"/>
        <color theme="0"/>
        <rFont val="Calibri"/>
        <family val="2"/>
        <scheme val="minor"/>
      </rPr>
      <t>[kg CH</t>
    </r>
    <r>
      <rPr>
        <sz val="8"/>
        <color theme="0"/>
        <rFont val="Calibri"/>
        <family val="2"/>
        <scheme val="minor"/>
      </rPr>
      <t>4</t>
    </r>
    <r>
      <rPr>
        <sz val="10"/>
        <color theme="0"/>
        <rFont val="Calibri"/>
        <family val="2"/>
        <scheme val="minor"/>
      </rPr>
      <t>/kg DBO]</t>
    </r>
  </si>
  <si>
    <t>MCF</t>
  </si>
  <si>
    <r>
      <t xml:space="preserve">EF
</t>
    </r>
    <r>
      <rPr>
        <sz val="10"/>
        <color theme="0"/>
        <rFont val="Calibri"/>
        <family val="2"/>
        <scheme val="minor"/>
      </rPr>
      <t>[kg CH</t>
    </r>
    <r>
      <rPr>
        <sz val="8"/>
        <color theme="0"/>
        <rFont val="Calibri"/>
        <family val="2"/>
        <scheme val="minor"/>
      </rPr>
      <t>4</t>
    </r>
    <r>
      <rPr>
        <sz val="10"/>
        <color theme="0"/>
        <rFont val="Calibri"/>
        <family val="2"/>
        <scheme val="minor"/>
      </rPr>
      <t>/kg DBO]</t>
    </r>
  </si>
  <si>
    <r>
      <t>B</t>
    </r>
    <r>
      <rPr>
        <sz val="8"/>
        <color theme="0"/>
        <rFont val="Calibri"/>
        <family val="2"/>
        <scheme val="minor"/>
      </rPr>
      <t xml:space="preserve">0
</t>
    </r>
    <r>
      <rPr>
        <sz val="10"/>
        <color theme="0"/>
        <rFont val="Calibri"/>
        <family val="2"/>
        <scheme val="minor"/>
      </rPr>
      <t>[kg CH</t>
    </r>
    <r>
      <rPr>
        <sz val="8"/>
        <color theme="0"/>
        <rFont val="Calibri"/>
        <family val="2"/>
        <scheme val="minor"/>
      </rPr>
      <t>4</t>
    </r>
    <r>
      <rPr>
        <sz val="10"/>
        <color theme="0"/>
        <rFont val="Calibri"/>
        <family val="2"/>
        <scheme val="minor"/>
      </rPr>
      <t>/kg DQO]</t>
    </r>
  </si>
  <si>
    <r>
      <t xml:space="preserve">EF
</t>
    </r>
    <r>
      <rPr>
        <sz val="10"/>
        <color theme="0"/>
        <rFont val="Calibri"/>
        <family val="2"/>
        <scheme val="minor"/>
      </rPr>
      <t>[kg CH</t>
    </r>
    <r>
      <rPr>
        <sz val="8"/>
        <color theme="0"/>
        <rFont val="Calibri"/>
        <family val="2"/>
        <scheme val="minor"/>
      </rPr>
      <t>4</t>
    </r>
    <r>
      <rPr>
        <sz val="10"/>
        <color theme="0"/>
        <rFont val="Calibri"/>
        <family val="2"/>
        <scheme val="minor"/>
      </rPr>
      <t>/kg DQO]</t>
    </r>
  </si>
  <si>
    <t>Type of treatment and discharge
pathway or system</t>
  </si>
  <si>
    <t>Industrial wastewater</t>
  </si>
  <si>
    <t>Untreated</t>
  </si>
  <si>
    <t>Sea, river and lake discharge</t>
  </si>
  <si>
    <t>Aerobic treatment plant</t>
  </si>
  <si>
    <t>Aerobic treatment plant (not well managed)</t>
  </si>
  <si>
    <t>44/28</t>
  </si>
  <si>
    <t>N2O emissions</t>
  </si>
  <si>
    <r>
      <t>Conversion factor of kg N</t>
    </r>
    <r>
      <rPr>
        <vertAlign val="subscript"/>
        <sz val="11"/>
        <color theme="0"/>
        <rFont val="Calibri"/>
        <family val="2"/>
        <scheme val="minor"/>
      </rPr>
      <t>2</t>
    </r>
    <r>
      <rPr>
        <sz val="11"/>
        <color theme="0"/>
        <rFont val="Calibri"/>
        <family val="2"/>
        <scheme val="minor"/>
      </rPr>
      <t>O-N into kg N</t>
    </r>
    <r>
      <rPr>
        <vertAlign val="subscript"/>
        <sz val="11"/>
        <color theme="0"/>
        <rFont val="Calibri"/>
        <family val="2"/>
        <scheme val="minor"/>
      </rPr>
      <t>2</t>
    </r>
    <r>
      <rPr>
        <sz val="11"/>
        <color theme="0"/>
        <rFont val="Calibri"/>
        <family val="2"/>
        <scheme val="minor"/>
      </rPr>
      <t>O</t>
    </r>
  </si>
  <si>
    <r>
      <t>(F</t>
    </r>
    <r>
      <rPr>
        <vertAlign val="subscript"/>
        <sz val="11"/>
        <color theme="0"/>
        <rFont val="Calibri"/>
        <family val="2"/>
        <scheme val="minor"/>
      </rPr>
      <t>NPR</t>
    </r>
    <r>
      <rPr>
        <sz val="11"/>
        <color theme="0"/>
        <rFont val="Calibri"/>
        <family val="2"/>
        <scheme val="minor"/>
      </rPr>
      <t>)</t>
    </r>
  </si>
  <si>
    <r>
      <t>(F</t>
    </r>
    <r>
      <rPr>
        <vertAlign val="subscript"/>
        <sz val="11"/>
        <color theme="0"/>
        <rFont val="Calibri"/>
        <family val="2"/>
        <scheme val="minor"/>
      </rPr>
      <t>NON-CON</t>
    </r>
    <r>
      <rPr>
        <sz val="11"/>
        <color theme="0"/>
        <rFont val="Calibri"/>
        <family val="2"/>
        <scheme val="minor"/>
      </rPr>
      <t>)</t>
    </r>
  </si>
  <si>
    <r>
      <t>(F</t>
    </r>
    <r>
      <rPr>
        <vertAlign val="subscript"/>
        <sz val="11"/>
        <color theme="0"/>
        <rFont val="Calibri"/>
        <family val="2"/>
        <scheme val="minor"/>
      </rPr>
      <t>IND-COM</t>
    </r>
    <r>
      <rPr>
        <sz val="11"/>
        <color theme="0"/>
        <rFont val="Calibri"/>
        <family val="2"/>
        <scheme val="minor"/>
      </rPr>
      <t>)</t>
    </r>
  </si>
  <si>
    <r>
      <t>(N</t>
    </r>
    <r>
      <rPr>
        <vertAlign val="subscript"/>
        <sz val="11"/>
        <color theme="0"/>
        <rFont val="Calibri"/>
        <family val="2"/>
        <scheme val="minor"/>
      </rPr>
      <t>SLUDGE</t>
    </r>
    <r>
      <rPr>
        <sz val="11"/>
        <color theme="0"/>
        <rFont val="Calibri"/>
        <family val="2"/>
        <scheme val="minor"/>
      </rPr>
      <t>)</t>
    </r>
  </si>
  <si>
    <r>
      <t>(kg N</t>
    </r>
    <r>
      <rPr>
        <vertAlign val="subscript"/>
        <sz val="11"/>
        <color theme="0"/>
        <rFont val="Calibri"/>
        <family val="2"/>
        <scheme val="minor"/>
      </rPr>
      <t>2</t>
    </r>
    <r>
      <rPr>
        <sz val="11"/>
        <color theme="0"/>
        <rFont val="Calibri"/>
        <family val="2"/>
        <scheme val="minor"/>
      </rPr>
      <t>O-N/kg N)</t>
    </r>
  </si>
  <si>
    <t>Domestic/commercial wastewater</t>
  </si>
  <si>
    <t>Clinical waste</t>
  </si>
  <si>
    <t>Stagnant sewer. Open and warm</t>
  </si>
  <si>
    <t>Flowing sewer (open or closed). Fast moving, clean. (Insignificant amounts of CH4 from pump stations, etc)</t>
  </si>
  <si>
    <t>Centralized, aerobic treatment plant. Must be well managed. Some CH4 can be emitted from settling basins and other pockets.</t>
  </si>
  <si>
    <t>Centralized, aerobic treatment plant. Not well managed. Overloaded.</t>
  </si>
  <si>
    <t>Anaerobic digester for sludge. CH4 recovery is not considered here.</t>
  </si>
  <si>
    <t>Anaerobic reactor. CH4 recovery is not considered here</t>
  </si>
  <si>
    <t>Anaerobic shallow lagoon. Depth less than 2 metres, use expert judgment.</t>
  </si>
  <si>
    <t>Anaerobic deep lagoon. Depth more than 2 metres</t>
  </si>
  <si>
    <t>Septic system. Half of BOD settles in anaerobic tank</t>
  </si>
  <si>
    <t>Latrine. Dry climate, ground water table lower than latrine, communal (many users)</t>
  </si>
  <si>
    <t>Latrine. Dry climate, ground water table lower than latrine, small family (3-5 persons)</t>
  </si>
  <si>
    <t>Latrine. Wet climate/flush water use, ground water table higher than latrine</t>
  </si>
  <si>
    <t>Latrine. Regular sediment removal for fertilizer</t>
  </si>
  <si>
    <t>Sea, river and lake discharge. Rivers with high organics loadings can turn anaerobic.</t>
  </si>
  <si>
    <t>Anaerobic reactor (e.g., UASB, Fixed Film Reactor)</t>
  </si>
  <si>
    <t>Total carbon content in % of dry weight</t>
  </si>
  <si>
    <t>Fossil carbon fraction in % of total carbon content</t>
  </si>
  <si>
    <t>Oxidation factor in % of carbon input</t>
  </si>
  <si>
    <t>Parameters for CO2 emissions</t>
  </si>
  <si>
    <t>CH4 Emission Factors (g CH4/kg waste treated)</t>
  </si>
  <si>
    <t>Tourist (capita)</t>
  </si>
  <si>
    <t>Total population (capita)</t>
  </si>
  <si>
    <t>Protein consumption
(kg/person/ year)</t>
  </si>
  <si>
    <t>Untreated. Sea, river and lake discharge</t>
  </si>
  <si>
    <t>Untreated. Stagnant sewer</t>
  </si>
  <si>
    <t>Centralized, aerobic treatment plant. Must be well managed</t>
  </si>
  <si>
    <t>Centralized, aerobic treatment plant. Not well managed</t>
  </si>
  <si>
    <t>Anaerobic shallow lagoon. Depth less than 2 metres</t>
  </si>
  <si>
    <t>Latrine. Wet climate/flush water use</t>
  </si>
  <si>
    <t>TOTAL</t>
  </si>
  <si>
    <t>Latrine. Dry climate, small family (3-5 persons)</t>
  </si>
  <si>
    <t>Untreated. Flowing sewer</t>
  </si>
  <si>
    <t>Latrine. Dry climate, communal (many users)</t>
  </si>
  <si>
    <t>SUGAR INDUSTRY</t>
  </si>
  <si>
    <t>POULTRY INDUSTRY</t>
  </si>
  <si>
    <t>BEER AND STOUT</t>
  </si>
  <si>
    <t>Source: TNC (2006-2013). SM (2015-2016)</t>
  </si>
  <si>
    <t>P (t)</t>
  </si>
  <si>
    <t>W (m3/t produced)</t>
  </si>
  <si>
    <t>Wastewater produced (m3)</t>
  </si>
  <si>
    <t>COD (kg/m3)</t>
  </si>
  <si>
    <t>Source: SM (2011, 2015, 2016)</t>
  </si>
  <si>
    <t>Source: SM (2006-2016)</t>
  </si>
  <si>
    <t>CO2</t>
  </si>
  <si>
    <t>Common name</t>
  </si>
  <si>
    <t>Chemical formula</t>
  </si>
  <si>
    <t>Second Assessment Report (SAR)</t>
  </si>
  <si>
    <t>Carbon dioxide</t>
  </si>
  <si>
    <r>
      <t>CO</t>
    </r>
    <r>
      <rPr>
        <vertAlign val="subscript"/>
        <sz val="10"/>
        <color theme="1"/>
        <rFont val="Arial"/>
        <family val="2"/>
      </rPr>
      <t>2</t>
    </r>
  </si>
  <si>
    <t>Methane</t>
  </si>
  <si>
    <r>
      <t>CH</t>
    </r>
    <r>
      <rPr>
        <vertAlign val="subscript"/>
        <sz val="10"/>
        <color theme="1"/>
        <rFont val="Arial"/>
        <family val="2"/>
      </rPr>
      <t>4</t>
    </r>
  </si>
  <si>
    <t>Nitrous oxide</t>
  </si>
  <si>
    <r>
      <t>N</t>
    </r>
    <r>
      <rPr>
        <vertAlign val="subscript"/>
        <sz val="10"/>
        <color theme="1"/>
        <rFont val="Arial"/>
        <family val="2"/>
      </rPr>
      <t>2</t>
    </r>
    <r>
      <rPr>
        <sz val="10"/>
        <color theme="1"/>
        <rFont val="Arial"/>
        <family val="2"/>
      </rPr>
      <t>O</t>
    </r>
  </si>
  <si>
    <t>HFC-23</t>
  </si>
  <si>
    <r>
      <t>CHF</t>
    </r>
    <r>
      <rPr>
        <vertAlign val="subscript"/>
        <sz val="10"/>
        <color theme="1"/>
        <rFont val="Arial"/>
        <family val="2"/>
      </rPr>
      <t>3</t>
    </r>
  </si>
  <si>
    <t>HFC-32</t>
  </si>
  <si>
    <r>
      <t>CH</t>
    </r>
    <r>
      <rPr>
        <vertAlign val="subscript"/>
        <sz val="10"/>
        <color theme="1"/>
        <rFont val="Arial"/>
        <family val="2"/>
      </rPr>
      <t>2</t>
    </r>
    <r>
      <rPr>
        <sz val="10"/>
        <color theme="1"/>
        <rFont val="Arial"/>
        <family val="2"/>
      </rPr>
      <t>F</t>
    </r>
    <r>
      <rPr>
        <vertAlign val="subscript"/>
        <sz val="10"/>
        <color theme="1"/>
        <rFont val="Arial"/>
        <family val="2"/>
      </rPr>
      <t>2</t>
    </r>
  </si>
  <si>
    <t>HFC-125</t>
  </si>
  <si>
    <r>
      <t>CHF</t>
    </r>
    <r>
      <rPr>
        <vertAlign val="subscript"/>
        <sz val="10"/>
        <color theme="1"/>
        <rFont val="Arial"/>
        <family val="2"/>
      </rPr>
      <t>2</t>
    </r>
    <r>
      <rPr>
        <sz val="10"/>
        <color theme="1"/>
        <rFont val="Arial"/>
        <family val="2"/>
      </rPr>
      <t>CF</t>
    </r>
    <r>
      <rPr>
        <vertAlign val="subscript"/>
        <sz val="10"/>
        <color theme="1"/>
        <rFont val="Arial"/>
        <family val="2"/>
      </rPr>
      <t>3</t>
    </r>
  </si>
  <si>
    <t>HFC-134a</t>
  </si>
  <si>
    <r>
      <t>CH</t>
    </r>
    <r>
      <rPr>
        <vertAlign val="subscript"/>
        <sz val="10"/>
        <color theme="1"/>
        <rFont val="Arial"/>
        <family val="2"/>
      </rPr>
      <t>2</t>
    </r>
    <r>
      <rPr>
        <sz val="10"/>
        <color theme="1"/>
        <rFont val="Arial"/>
        <family val="2"/>
      </rPr>
      <t>FCF</t>
    </r>
    <r>
      <rPr>
        <vertAlign val="subscript"/>
        <sz val="10"/>
        <color theme="1"/>
        <rFont val="Arial"/>
        <family val="2"/>
      </rPr>
      <t>3</t>
    </r>
  </si>
  <si>
    <t>HFC-152a</t>
  </si>
  <si>
    <r>
      <t>CH</t>
    </r>
    <r>
      <rPr>
        <vertAlign val="subscript"/>
        <sz val="10"/>
        <color theme="1"/>
        <rFont val="Arial"/>
        <family val="2"/>
      </rPr>
      <t>3</t>
    </r>
    <r>
      <rPr>
        <sz val="10"/>
        <color theme="1"/>
        <rFont val="Arial"/>
        <family val="2"/>
      </rPr>
      <t>CHF</t>
    </r>
    <r>
      <rPr>
        <vertAlign val="subscript"/>
        <sz val="10"/>
        <color theme="1"/>
        <rFont val="Arial"/>
        <family val="2"/>
      </rPr>
      <t>2</t>
    </r>
  </si>
  <si>
    <t>HFC-143a</t>
  </si>
  <si>
    <r>
      <t>CH</t>
    </r>
    <r>
      <rPr>
        <vertAlign val="subscript"/>
        <sz val="10"/>
        <color theme="1"/>
        <rFont val="Arial"/>
        <family val="2"/>
      </rPr>
      <t>3</t>
    </r>
    <r>
      <rPr>
        <sz val="10"/>
        <color theme="1"/>
        <rFont val="Arial"/>
        <family val="2"/>
      </rPr>
      <t>CF</t>
    </r>
    <r>
      <rPr>
        <vertAlign val="subscript"/>
        <sz val="10"/>
        <color theme="1"/>
        <rFont val="Arial"/>
        <family val="2"/>
      </rPr>
      <t>3</t>
    </r>
  </si>
  <si>
    <t>HFC-227ea</t>
  </si>
  <si>
    <r>
      <t>CF</t>
    </r>
    <r>
      <rPr>
        <vertAlign val="subscript"/>
        <sz val="10"/>
        <color theme="1"/>
        <rFont val="Arial"/>
        <family val="2"/>
      </rPr>
      <t>3</t>
    </r>
    <r>
      <rPr>
        <sz val="10"/>
        <color theme="1"/>
        <rFont val="Arial"/>
        <family val="2"/>
      </rPr>
      <t>CHFCF</t>
    </r>
    <r>
      <rPr>
        <vertAlign val="subscript"/>
        <sz val="10"/>
        <color theme="1"/>
        <rFont val="Arial"/>
        <family val="2"/>
      </rPr>
      <t>3</t>
    </r>
  </si>
  <si>
    <t>HFC-236fa</t>
  </si>
  <si>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</si>
  <si>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t>MSW - Landfill [t]</t>
  </si>
  <si>
    <t>Sludge - Landfill (t)</t>
  </si>
  <si>
    <t>Total Solid waste</t>
  </si>
  <si>
    <t>CH4 (t)</t>
  </si>
  <si>
    <t>N2O (t)</t>
  </si>
  <si>
    <t>There are no industrial wastewater in Rodrigues</t>
  </si>
  <si>
    <t>Data in percentage</t>
  </si>
  <si>
    <t>Data in Statistics Mauritius are in m3, but a density value similar to water has been used to convert data into tonnes</t>
  </si>
  <si>
    <t>Implied EF (kgCH4/kg COD)</t>
  </si>
  <si>
    <t>COD (kg)</t>
  </si>
  <si>
    <t>BOD (kg/person/year)</t>
  </si>
  <si>
    <t>IEF CH4 (kgCH4/Kg BOD)</t>
  </si>
  <si>
    <t>4.D - Wastewater Treatment and Discharge</t>
  </si>
  <si>
    <t>4.A - Solid Waste Disposal</t>
  </si>
  <si>
    <t>4.C - Incineration and Open Burning of Waste</t>
  </si>
  <si>
    <t>TOTAL SECTOR</t>
  </si>
  <si>
    <t>HOTELS</t>
  </si>
  <si>
    <t>Data for 2006-2013 from TNC.</t>
  </si>
  <si>
    <t>It is assusmed that all hotels are connected to aerobic and well managed WWTPs</t>
  </si>
  <si>
    <t>HOTELES - CH4 (t)</t>
  </si>
  <si>
    <t>HOTELES - CO2 eq (t)</t>
  </si>
  <si>
    <t>Source: Population: DIGEST OF STATISTICS ON RODRIGUES 2018. Tables 1.2 and 1.6</t>
  </si>
  <si>
    <t>There are no CH4 nor N2O emission factors for clinical waste so emissions for that gases will be reported as NA</t>
  </si>
  <si>
    <t>Estimated through IPCC software (FOD methodology)</t>
  </si>
  <si>
    <t>Percentage per sector</t>
  </si>
  <si>
    <t>Interannual variation (%)</t>
  </si>
  <si>
    <t>TOTAL WASTE SECTOR (Gg CO2 eq)</t>
  </si>
  <si>
    <t>CO2 eq (Gg)</t>
  </si>
  <si>
    <t>4.B - Biological Treatment of Solid Waste [Gg]</t>
  </si>
  <si>
    <t>4.C - Incineration and Open Burning of Waste [Gg]</t>
  </si>
  <si>
    <t>CO2 eq [Gg]</t>
  </si>
  <si>
    <t>CO2 (t)</t>
  </si>
  <si>
    <t>Data obtained from information facilitated by Solid Waste Management Division</t>
  </si>
  <si>
    <r>
      <t>LFG flared (Nm</t>
    </r>
    <r>
      <rPr>
        <b/>
        <vertAlign val="superscript"/>
        <sz val="11"/>
        <color rgb="FF000000"/>
        <rFont val="Times New Roman"/>
        <family val="1"/>
      </rPr>
      <t>3</t>
    </r>
    <r>
      <rPr>
        <b/>
        <sz val="11"/>
        <color rgb="FF000000"/>
        <rFont val="Times New Roman"/>
        <family val="1"/>
      </rPr>
      <t>/year)</t>
    </r>
  </si>
  <si>
    <r>
      <t>LFG to electricity (Nm</t>
    </r>
    <r>
      <rPr>
        <b/>
        <vertAlign val="superscript"/>
        <sz val="11"/>
        <color rgb="FF000000"/>
        <rFont val="Times New Roman"/>
        <family val="1"/>
      </rPr>
      <t>3</t>
    </r>
    <r>
      <rPr>
        <b/>
        <sz val="11"/>
        <color rgb="FF000000"/>
        <rFont val="Times New Roman"/>
        <family val="1"/>
      </rPr>
      <t>/year)</t>
    </r>
  </si>
  <si>
    <r>
      <t>TOTAL LFG Abstracted (Nm</t>
    </r>
    <r>
      <rPr>
        <b/>
        <vertAlign val="superscript"/>
        <sz val="11"/>
        <color rgb="FF000000"/>
        <rFont val="Times New Roman"/>
        <family val="1"/>
      </rPr>
      <t>3</t>
    </r>
    <r>
      <rPr>
        <b/>
        <sz val="11"/>
        <color rgb="FF000000"/>
        <rFont val="Times New Roman"/>
        <family val="1"/>
      </rPr>
      <t>/year)</t>
    </r>
  </si>
  <si>
    <r>
      <t>Total CH</t>
    </r>
    <r>
      <rPr>
        <b/>
        <vertAlign val="subscript"/>
        <sz val="11"/>
        <color rgb="FF000000"/>
        <rFont val="Times New Roman"/>
        <family val="1"/>
      </rPr>
      <t>4</t>
    </r>
    <r>
      <rPr>
        <b/>
        <sz val="11"/>
        <color rgb="FF000000"/>
        <rFont val="Times New Roman"/>
        <family val="1"/>
      </rPr>
      <t xml:space="preserve"> abstracted (Nm</t>
    </r>
    <r>
      <rPr>
        <b/>
        <vertAlign val="superscript"/>
        <sz val="11"/>
        <color rgb="FF000000"/>
        <rFont val="Times New Roman"/>
        <family val="1"/>
      </rPr>
      <t>3</t>
    </r>
    <r>
      <rPr>
        <b/>
        <sz val="11"/>
        <color rgb="FF000000"/>
        <rFont val="Times New Roman"/>
        <family val="1"/>
      </rPr>
      <t>/year)</t>
    </r>
    <r>
      <rPr>
        <b/>
        <vertAlign val="superscript"/>
        <sz val="11"/>
        <color rgb="FF000000"/>
        <rFont val="Times New Roman"/>
        <family val="1"/>
      </rPr>
      <t>1</t>
    </r>
  </si>
  <si>
    <r>
      <t>Total CH</t>
    </r>
    <r>
      <rPr>
        <b/>
        <vertAlign val="subscript"/>
        <sz val="11"/>
        <color rgb="FF000000"/>
        <rFont val="Times New Roman"/>
        <family val="1"/>
      </rPr>
      <t>4</t>
    </r>
    <r>
      <rPr>
        <b/>
        <sz val="11"/>
        <color rgb="FF000000"/>
        <rFont val="Times New Roman"/>
        <family val="1"/>
      </rPr>
      <t xml:space="preserve"> abstracted (kg/year)</t>
    </r>
    <r>
      <rPr>
        <b/>
        <vertAlign val="superscript"/>
        <sz val="11"/>
        <color rgb="FF000000"/>
        <rFont val="Times New Roman"/>
        <family val="1"/>
      </rPr>
      <t>2</t>
    </r>
  </si>
  <si>
    <r>
      <t>Total CH</t>
    </r>
    <r>
      <rPr>
        <b/>
        <vertAlign val="subscript"/>
        <sz val="11"/>
        <color rgb="FF000000"/>
        <rFont val="Times New Roman"/>
        <family val="1"/>
      </rPr>
      <t>4</t>
    </r>
    <r>
      <rPr>
        <b/>
        <sz val="11"/>
        <color rgb="FF000000"/>
        <rFont val="Times New Roman"/>
        <family val="1"/>
      </rPr>
      <t xml:space="preserve"> abstracted (Gg/year)</t>
    </r>
  </si>
  <si>
    <t>6,977,828 (Incl. flaring and LGTE)</t>
  </si>
  <si>
    <t>Assuming a methane density of 0.656 kg/m3</t>
  </si>
  <si>
    <t>Assuming a methane content of 50.0% in landfill gas (LFG)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</si>
</sst>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
    <numFmt numFmtId="165" formatCode="#,##0.0"/>
    <numFmt numFmtId="166" formatCode="&quot;$&quot;#,##0.00_);[Red]\(&quot;$&quot;#,##0.00\)"/>
    <numFmt numFmtId="167" formatCode="#,##0.000"/>
    <numFmt numFmtId="168" formatCode="0.000"/>
    <numFmt numFmtId="169" formatCode="_(* #,##0_);_(* \(#,##0\);_(* &quot;-&quot;??_);_(@_)"/>
    <numFmt numFmtId="170" formatCode="#,##0.0000"/>
    <numFmt numFmtId="171" formatCode="0.00000%"/>
    <numFmt numFmtId="172" formatCode="#,##0.00000"/>
    <numFmt numFmtId="173" formatCode="0.0000"/>
  </numFmts>
  <fonts count="42" x14ac:knownFonts="1">
    <font>
      <sz val="11"/>
      <color theme="1"/>
      <name val="Calibri"/>
      <family val="2"/>
      <scheme val="minor"/>
    </font>
    <font>
      <sz val="11"/>
      <color theme="1"/>
      <name val="Calibri"/>
      <family val="2"/>
      <scheme val="minor"/>
    </font>
    <font>
      <b/>
      <sz val="26"/>
      <color rgb="FFFF0000"/>
      <name val="Times New Roman"/>
      <family val="1"/>
    </font>
    <font>
      <sz val="9"/>
      <color indexed="81"/>
      <name val="Tahoma"/>
      <family val="2"/>
    </font>
    <font>
      <b/>
      <sz val="9"/>
      <color indexed="81"/>
      <name val="Tahoma"/>
      <family val="2"/>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0"/>
      <name val="Arial"/>
      <family val="2"/>
    </font>
    <font>
      <u/>
      <sz val="11"/>
      <color theme="10"/>
      <name val="Calibri"/>
      <family val="2"/>
      <scheme val="minor"/>
    </font>
    <font>
      <sz val="8"/>
      <color theme="0"/>
      <name val="Calibri"/>
      <family val="2"/>
      <scheme val="minor"/>
    </font>
    <font>
      <sz val="10"/>
      <color theme="0"/>
      <name val="Calibri"/>
      <family val="2"/>
      <scheme val="minor"/>
    </font>
    <font>
      <sz val="11"/>
      <name val="Calibri"/>
      <family val="2"/>
      <scheme val="minor"/>
    </font>
    <font>
      <b/>
      <sz val="11"/>
      <name val="Calibri"/>
      <family val="2"/>
      <scheme val="minor"/>
    </font>
    <font>
      <vertAlign val="subscript"/>
      <sz val="11"/>
      <color theme="0"/>
      <name val="Calibri"/>
      <family val="2"/>
      <scheme val="minor"/>
    </font>
    <font>
      <b/>
      <sz val="11"/>
      <color rgb="FFFF0000"/>
      <name val="Calibri"/>
      <family val="2"/>
      <scheme val="minor"/>
    </font>
    <font>
      <i/>
      <sz val="11"/>
      <color theme="1"/>
      <name val="Calibri"/>
      <family val="2"/>
      <scheme val="minor"/>
    </font>
    <font>
      <b/>
      <sz val="36"/>
      <color rgb="FFFF0000"/>
      <name val="Calibri"/>
      <family val="2"/>
      <scheme val="minor"/>
    </font>
    <font>
      <i/>
      <sz val="11"/>
      <color rgb="FFFF0000"/>
      <name val="Calibri"/>
      <family val="2"/>
      <scheme val="minor"/>
    </font>
    <font>
      <sz val="10"/>
      <color theme="1"/>
      <name val="Arial"/>
      <family val="2"/>
    </font>
    <font>
      <sz val="10"/>
      <color rgb="FF000000"/>
      <name val="Arial"/>
      <family val="2"/>
    </font>
    <font>
      <sz val="10"/>
      <name val="Arial"/>
      <family val="2"/>
    </font>
    <font>
      <sz val="10"/>
      <name val="Times New Roman"/>
      <family val="1"/>
    </font>
    <font>
      <sz val="10"/>
      <name val="MS Sans Serif"/>
      <family val="2"/>
    </font>
    <font>
      <b/>
      <sz val="10"/>
      <color indexed="8"/>
      <name val="Times New Roman"/>
      <family val="1"/>
    </font>
    <font>
      <u/>
      <sz val="10"/>
      <color theme="10"/>
      <name val="Arial"/>
      <family val="2"/>
    </font>
    <font>
      <u/>
      <sz val="10"/>
      <color theme="10"/>
      <name val="Times New Roman"/>
      <family val="1"/>
    </font>
    <font>
      <sz val="8"/>
      <name val="Calibri"/>
      <family val="2"/>
      <scheme val="minor"/>
    </font>
    <font>
      <b/>
      <sz val="10"/>
      <color theme="1"/>
      <name val="Arial"/>
      <family val="2"/>
    </font>
    <font>
      <vertAlign val="subscript"/>
      <sz val="10"/>
      <color theme="1"/>
      <name val="Arial"/>
      <family val="2"/>
    </font>
    <font>
      <sz val="9"/>
      <color indexed="81"/>
      <name val="Tahoma"/>
      <charset val="1"/>
    </font>
    <font>
      <b/>
      <sz val="9"/>
      <color indexed="81"/>
      <name val="Tahoma"/>
      <charset val="1"/>
    </font>
    <font>
      <u/>
      <sz val="10"/>
      <color indexed="12"/>
      <name val="Helv"/>
    </font>
    <font>
      <sz val="10"/>
      <name val="Helv"/>
    </font>
    <font>
      <sz val="12"/>
      <color theme="1"/>
      <name val="Calibri"/>
      <family val="2"/>
    </font>
    <font>
      <b/>
      <sz val="36"/>
      <color theme="0"/>
      <name val="Calibri"/>
      <family val="2"/>
      <scheme val="minor"/>
    </font>
    <font>
      <sz val="12"/>
      <name val="Times New Roman"/>
      <family val="1"/>
    </font>
    <font>
      <b/>
      <sz val="11"/>
      <color rgb="FF000000"/>
      <name val="Times New Roman"/>
      <family val="1"/>
    </font>
    <font>
      <b/>
      <vertAlign val="superscript"/>
      <sz val="11"/>
      <color rgb="FF000000"/>
      <name val="Times New Roman"/>
      <family val="1"/>
    </font>
    <font>
      <b/>
      <vertAlign val="subscript"/>
      <sz val="11"/>
      <color rgb="FF000000"/>
      <name val="Times New Roman"/>
      <family val="1"/>
    </font>
    <font>
      <sz val="12"/>
      <color rgb="FF000000"/>
      <name val="Times New Roman"/>
      <family val="1"/>
    </font>
  </fonts>
  <fills count="16">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4"/>
      </patternFill>
    </fill>
    <fill>
      <patternFill patternType="solid">
        <fgColor indexed="22"/>
        <bgColor indexed="64"/>
      </patternFill>
    </fill>
    <fill>
      <patternFill patternType="solid">
        <fgColor theme="8" tint="-0.249977111117893"/>
        <bgColor indexed="64"/>
      </patternFill>
    </fill>
    <fill>
      <patternFill patternType="solid">
        <fgColor theme="4" tint="-0.499984740745262"/>
        <bgColor indexed="64"/>
      </patternFill>
    </fill>
    <fill>
      <patternFill patternType="solid">
        <fgColor theme="4"/>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5"/>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top style="thick">
        <color auto="1"/>
      </top>
      <bottom/>
      <diagonal/>
    </border>
    <border>
      <left style="thick">
        <color auto="1"/>
      </left>
      <right/>
      <top style="medium">
        <color auto="1"/>
      </top>
      <bottom style="thick">
        <color auto="1"/>
      </bottom>
      <diagonal/>
    </border>
    <border>
      <left/>
      <right style="thick">
        <color auto="1"/>
      </right>
      <top style="medium">
        <color auto="1"/>
      </top>
      <bottom style="thick">
        <color auto="1"/>
      </bottom>
      <diagonal/>
    </border>
    <border>
      <left/>
      <right/>
      <top style="medium">
        <color auto="1"/>
      </top>
      <bottom style="thick">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auto="1"/>
      </left>
      <right style="medium">
        <color auto="1"/>
      </right>
      <top style="medium">
        <color auto="1"/>
      </top>
      <bottom/>
      <diagonal/>
    </border>
    <border>
      <left style="medium">
        <color indexed="64"/>
      </left>
      <right/>
      <top style="medium">
        <color indexed="64"/>
      </top>
      <bottom style="thin">
        <color indexed="64"/>
      </bottom>
      <diagonal/>
    </border>
    <border>
      <left style="medium">
        <color auto="1"/>
      </left>
      <right style="medium">
        <color indexed="64"/>
      </right>
      <top style="medium">
        <color indexed="64"/>
      </top>
      <bottom style="thin">
        <color indexed="64"/>
      </bottom>
      <diagonal/>
    </border>
    <border>
      <left style="medium">
        <color auto="1"/>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3">
    <xf numFmtId="0" fontId="0" fillId="0" borderId="0"/>
    <xf numFmtId="0" fontId="8" fillId="7" borderId="0" applyNumberFormat="0" applyBorder="0" applyAlignment="0" applyProtection="0"/>
    <xf numFmtId="0" fontId="10" fillId="0" borderId="0" applyNumberFormat="0" applyFill="0" applyBorder="0" applyAlignment="0" applyProtection="0"/>
    <xf numFmtId="0" fontId="22" fillId="0" borderId="0"/>
    <xf numFmtId="43" fontId="22" fillId="0" borderId="0" applyFont="0" applyFill="0" applyBorder="0" applyAlignment="0" applyProtection="0"/>
    <xf numFmtId="40" fontId="24"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166" fontId="24" fillId="0" borderId="0" applyFont="0" applyFill="0" applyBorder="0" applyAlignment="0" applyProtection="0"/>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4" fillId="0" borderId="0"/>
    <xf numFmtId="0" fontId="24" fillId="0" borderId="0"/>
    <xf numFmtId="0" fontId="1" fillId="0" borderId="0"/>
    <xf numFmtId="0" fontId="22" fillId="0" borderId="0"/>
    <xf numFmtId="0" fontId="1" fillId="0" borderId="0"/>
    <xf numFmtId="0" fontId="22" fillId="0" borderId="0"/>
    <xf numFmtId="0" fontId="22" fillId="0" borderId="0"/>
    <xf numFmtId="0" fontId="22" fillId="0" borderId="0"/>
    <xf numFmtId="0" fontId="24" fillId="0" borderId="0"/>
    <xf numFmtId="0" fontId="24" fillId="0" borderId="0"/>
    <xf numFmtId="0" fontId="24" fillId="0" borderId="0"/>
    <xf numFmtId="0" fontId="23" fillId="0" borderId="0"/>
    <xf numFmtId="0" fontId="24" fillId="0" borderId="0"/>
    <xf numFmtId="43" fontId="1" fillId="0" borderId="0" applyFont="0" applyFill="0" applyBorder="0" applyAlignment="0" applyProtection="0"/>
    <xf numFmtId="9"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0" applyNumberFormat="0" applyFill="0" applyBorder="0" applyAlignment="0" applyProtection="0">
      <alignment vertical="top"/>
      <protection locked="0"/>
    </xf>
    <xf numFmtId="0" fontId="1" fillId="0" borderId="0"/>
    <xf numFmtId="0" fontId="34" fillId="0" borderId="0">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53">
    <xf numFmtId="0" fontId="0" fillId="0" borderId="0" xfId="0"/>
    <xf numFmtId="0" fontId="9" fillId="8" borderId="0" xfId="0" applyFont="1" applyFill="1"/>
    <xf numFmtId="0" fontId="2" fillId="0" borderId="0" xfId="0" applyFont="1" applyFill="1" applyAlignment="1"/>
    <xf numFmtId="0" fontId="0" fillId="0" borderId="0" xfId="0" applyAlignment="1">
      <alignment wrapText="1"/>
    </xf>
    <xf numFmtId="0" fontId="0" fillId="0" borderId="0" xfId="0" applyAlignment="1">
      <alignment horizontal="center"/>
    </xf>
    <xf numFmtId="0" fontId="0" fillId="0" borderId="7" xfId="0" applyBorder="1"/>
    <xf numFmtId="0" fontId="0" fillId="0" borderId="11"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vertical="top" wrapText="1"/>
    </xf>
    <xf numFmtId="0" fontId="8" fillId="7" borderId="15" xfId="1" applyBorder="1" applyAlignment="1">
      <alignment horizontal="center" vertical="center" wrapText="1"/>
    </xf>
    <xf numFmtId="0" fontId="8" fillId="7" borderId="16" xfId="1" applyBorder="1" applyAlignment="1">
      <alignment horizontal="center" vertical="center" wrapText="1"/>
    </xf>
    <xf numFmtId="0" fontId="8" fillId="7" borderId="17" xfId="1" applyBorder="1" applyAlignment="1">
      <alignment horizontal="center"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0" fontId="0" fillId="0" borderId="23" xfId="0"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center" vertical="center" wrapText="1"/>
    </xf>
    <xf numFmtId="0" fontId="0" fillId="0" borderId="21" xfId="0" applyBorder="1" applyAlignment="1">
      <alignment wrapText="1"/>
    </xf>
    <xf numFmtId="0" fontId="0" fillId="0" borderId="25" xfId="0" applyBorder="1" applyAlignment="1">
      <alignment wrapText="1"/>
    </xf>
    <xf numFmtId="0" fontId="0" fillId="0" borderId="32" xfId="0" applyFill="1" applyBorder="1" applyAlignment="1">
      <alignment horizontal="center" vertical="center" wrapText="1"/>
    </xf>
    <xf numFmtId="0" fontId="0" fillId="0" borderId="28" xfId="0" applyBorder="1" applyAlignment="1">
      <alignment vertical="center" wrapText="1"/>
    </xf>
    <xf numFmtId="0" fontId="0" fillId="0" borderId="31" xfId="0" applyBorder="1" applyAlignment="1">
      <alignment wrapText="1"/>
    </xf>
    <xf numFmtId="0" fontId="8" fillId="7" borderId="18" xfId="1" applyFont="1" applyBorder="1" applyAlignment="1">
      <alignment horizontal="center" vertical="center" wrapText="1"/>
    </xf>
    <xf numFmtId="0" fontId="8" fillId="7" borderId="19" xfId="1" applyFont="1" applyBorder="1" applyAlignment="1">
      <alignment horizontal="center" vertical="center" wrapText="1"/>
    </xf>
    <xf numFmtId="0" fontId="8" fillId="7" borderId="25" xfId="1" applyFont="1" applyBorder="1" applyAlignment="1">
      <alignment horizontal="center" vertical="center" wrapText="1"/>
    </xf>
    <xf numFmtId="0" fontId="8" fillId="7" borderId="26" xfId="1"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3" borderId="20" xfId="0" applyFill="1" applyBorder="1" applyAlignment="1">
      <alignment horizontal="center" vertical="center" wrapText="1"/>
    </xf>
    <xf numFmtId="0" fontId="0" fillId="3" borderId="22" xfId="0" applyFill="1" applyBorder="1" applyAlignment="1">
      <alignment horizontal="center" vertical="center" wrapText="1"/>
    </xf>
    <xf numFmtId="2" fontId="0" fillId="3" borderId="22" xfId="0" applyNumberFormat="1" applyFill="1" applyBorder="1" applyAlignment="1">
      <alignment horizontal="center" vertical="center" wrapText="1"/>
    </xf>
    <xf numFmtId="2" fontId="0" fillId="3" borderId="24" xfId="0" applyNumberFormat="1" applyFill="1" applyBorder="1" applyAlignment="1">
      <alignment horizontal="center" vertical="center" wrapText="1"/>
    </xf>
    <xf numFmtId="0" fontId="0" fillId="3" borderId="27" xfId="0" applyFill="1" applyBorder="1" applyAlignment="1">
      <alignment horizontal="center" vertical="center" wrapText="1"/>
    </xf>
    <xf numFmtId="0" fontId="0" fillId="3" borderId="30" xfId="0" applyFill="1" applyBorder="1" applyAlignment="1">
      <alignment horizontal="center" vertical="center"/>
    </xf>
    <xf numFmtId="0" fontId="0" fillId="3" borderId="35" xfId="0" applyFill="1" applyBorder="1" applyAlignment="1">
      <alignment horizontal="center" vertical="center"/>
    </xf>
    <xf numFmtId="0" fontId="0" fillId="3" borderId="22" xfId="0" applyFill="1" applyBorder="1" applyAlignment="1">
      <alignment horizontal="center" vertical="center"/>
    </xf>
    <xf numFmtId="0" fontId="0" fillId="3" borderId="27" xfId="0" applyFill="1" applyBorder="1" applyAlignment="1">
      <alignment horizontal="center" vertical="center"/>
    </xf>
    <xf numFmtId="0" fontId="14" fillId="0" borderId="3" xfId="1" applyFont="1" applyFill="1" applyBorder="1" applyAlignment="1">
      <alignment vertical="center" wrapText="1"/>
    </xf>
    <xf numFmtId="0" fontId="14" fillId="0" borderId="4" xfId="1" applyFont="1" applyFill="1" applyBorder="1" applyAlignment="1">
      <alignment vertical="center" wrapText="1"/>
    </xf>
    <xf numFmtId="0" fontId="14" fillId="0" borderId="5" xfId="1" applyFont="1" applyFill="1" applyBorder="1" applyAlignment="1">
      <alignment vertical="center" wrapText="1"/>
    </xf>
    <xf numFmtId="0" fontId="5" fillId="0" borderId="0" xfId="0" applyFont="1" applyFill="1" applyBorder="1" applyAlignment="1">
      <alignment wrapText="1"/>
    </xf>
    <xf numFmtId="0" fontId="0" fillId="3" borderId="24"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29" xfId="0" applyFill="1" applyBorder="1" applyAlignment="1">
      <alignment horizontal="center" vertical="center"/>
    </xf>
    <xf numFmtId="0" fontId="0" fillId="0" borderId="1"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9" xfId="0" applyFill="1" applyBorder="1" applyAlignment="1">
      <alignment horizontal="center" vertical="center"/>
    </xf>
    <xf numFmtId="0" fontId="0" fillId="0" borderId="1" xfId="0" applyFill="1" applyBorder="1" applyAlignment="1">
      <alignment horizontal="center" vertical="center"/>
    </xf>
    <xf numFmtId="0" fontId="0" fillId="0" borderId="6" xfId="0" applyFill="1" applyBorder="1" applyAlignment="1">
      <alignment horizontal="center" vertical="center" wrapText="1"/>
    </xf>
    <xf numFmtId="0" fontId="0" fillId="0" borderId="6" xfId="0" applyFill="1" applyBorder="1" applyAlignment="1">
      <alignment horizontal="center" vertical="center"/>
    </xf>
    <xf numFmtId="2" fontId="0" fillId="0" borderId="6" xfId="0" applyNumberFormat="1" applyFill="1" applyBorder="1" applyAlignment="1">
      <alignment horizontal="center" vertical="center"/>
    </xf>
    <xf numFmtId="0" fontId="0" fillId="0" borderId="26" xfId="0" applyFill="1" applyBorder="1" applyAlignment="1">
      <alignment horizontal="center" vertical="center"/>
    </xf>
    <xf numFmtId="0" fontId="8" fillId="7" borderId="37" xfId="1" applyBorder="1" applyAlignment="1">
      <alignment horizontal="center" vertical="center" wrapText="1"/>
    </xf>
    <xf numFmtId="0" fontId="8" fillId="7" borderId="33" xfId="1" applyBorder="1" applyAlignment="1">
      <alignment horizontal="center" vertical="center" wrapText="1"/>
    </xf>
    <xf numFmtId="0" fontId="8" fillId="7" borderId="40" xfId="1" applyBorder="1" applyAlignment="1">
      <alignment horizontal="center" vertical="center" wrapText="1"/>
    </xf>
    <xf numFmtId="0" fontId="0" fillId="0" borderId="38" xfId="0" applyBorder="1" applyAlignment="1">
      <alignment horizontal="center"/>
    </xf>
    <xf numFmtId="0" fontId="0" fillId="0" borderId="39" xfId="0" applyBorder="1" applyAlignment="1">
      <alignment horizontal="center"/>
    </xf>
    <xf numFmtId="0" fontId="0" fillId="0" borderId="41" xfId="0" applyBorder="1" applyAlignment="1">
      <alignment horizontal="center"/>
    </xf>
    <xf numFmtId="0" fontId="5" fillId="10" borderId="36" xfId="0" applyFont="1" applyFill="1" applyBorder="1" applyAlignment="1">
      <alignment horizontal="center"/>
    </xf>
    <xf numFmtId="0" fontId="8" fillId="11" borderId="9" xfId="0" applyFont="1" applyFill="1" applyBorder="1" applyAlignment="1">
      <alignment horizontal="center" vertical="center" wrapText="1" shrinkToFit="1"/>
    </xf>
    <xf numFmtId="0" fontId="8" fillId="11" borderId="10" xfId="0" applyFont="1" applyFill="1" applyBorder="1" applyAlignment="1">
      <alignment horizontal="center" vertical="center" wrapText="1" shrinkToFit="1"/>
    </xf>
    <xf numFmtId="0" fontId="0" fillId="0" borderId="0" xfId="0" applyFont="1"/>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shrinkToFit="1"/>
    </xf>
    <xf numFmtId="0" fontId="0" fillId="0" borderId="0" xfId="0" applyFont="1" applyAlignment="1">
      <alignment horizontal="center" vertical="center"/>
    </xf>
    <xf numFmtId="0" fontId="14" fillId="6" borderId="1" xfId="0" applyFont="1" applyFill="1" applyBorder="1" applyAlignment="1">
      <alignment horizontal="center" vertical="center"/>
    </xf>
    <xf numFmtId="3" fontId="13" fillId="0" borderId="1" xfId="0" applyNumberFormat="1" applyFont="1" applyFill="1" applyBorder="1" applyAlignment="1">
      <alignment horizontal="center" vertical="center" wrapText="1" shrinkToFit="1"/>
    </xf>
    <xf numFmtId="164" fontId="13" fillId="0" borderId="1" xfId="0" applyNumberFormat="1" applyFont="1" applyFill="1" applyBorder="1" applyAlignment="1">
      <alignment horizontal="center" vertical="center" wrapText="1" shrinkToFit="1"/>
    </xf>
    <xf numFmtId="0" fontId="13" fillId="0" borderId="1" xfId="0" applyFont="1" applyFill="1" applyBorder="1" applyAlignment="1">
      <alignment horizontal="center" vertical="center" wrapText="1" shrinkToFit="1"/>
    </xf>
    <xf numFmtId="0" fontId="14" fillId="3" borderId="1" xfId="0" applyFont="1" applyFill="1" applyBorder="1" applyAlignment="1">
      <alignment horizontal="center" vertical="center"/>
    </xf>
    <xf numFmtId="0" fontId="14" fillId="0" borderId="1" xfId="0" applyFont="1" applyFill="1" applyBorder="1" applyAlignment="1">
      <alignment horizontal="center" vertical="center" wrapText="1" shrinkToFit="1"/>
    </xf>
    <xf numFmtId="0" fontId="7" fillId="3" borderId="1" xfId="0" applyFont="1" applyFill="1" applyBorder="1" applyAlignment="1">
      <alignment horizontal="center"/>
    </xf>
    <xf numFmtId="3" fontId="0" fillId="0" borderId="1" xfId="0" applyNumberFormat="1" applyFont="1" applyBorder="1" applyAlignment="1">
      <alignment horizontal="center"/>
    </xf>
    <xf numFmtId="165" fontId="0" fillId="0" borderId="1" xfId="0" applyNumberFormat="1" applyFont="1" applyBorder="1" applyAlignment="1">
      <alignment horizontal="center"/>
    </xf>
    <xf numFmtId="3" fontId="0" fillId="4" borderId="1" xfId="0" applyNumberFormat="1" applyFont="1" applyFill="1" applyBorder="1" applyAlignment="1">
      <alignment horizontal="center"/>
    </xf>
    <xf numFmtId="3" fontId="0" fillId="0" borderId="1" xfId="0" applyNumberFormat="1" applyFont="1" applyFill="1" applyBorder="1" applyAlignment="1">
      <alignment horizontal="center"/>
    </xf>
    <xf numFmtId="0" fontId="0" fillId="0" borderId="1" xfId="0" applyFont="1" applyBorder="1" applyAlignment="1">
      <alignment horizontal="center"/>
    </xf>
    <xf numFmtId="1" fontId="0" fillId="0" borderId="1" xfId="0" applyNumberFormat="1" applyFont="1" applyBorder="1" applyAlignment="1">
      <alignment horizontal="center"/>
    </xf>
    <xf numFmtId="0" fontId="0" fillId="0" borderId="1" xfId="0" applyFont="1" applyBorder="1" applyAlignment="1">
      <alignment horizontal="center" vertical="center"/>
    </xf>
    <xf numFmtId="3" fontId="0" fillId="0" borderId="1" xfId="0" applyNumberFormat="1" applyFont="1" applyBorder="1" applyAlignment="1">
      <alignment horizontal="center" vertical="center"/>
    </xf>
    <xf numFmtId="0" fontId="0" fillId="0" borderId="1" xfId="0" applyFont="1" applyBorder="1"/>
    <xf numFmtId="0" fontId="6" fillId="0" borderId="0" xfId="0" applyFont="1"/>
    <xf numFmtId="0" fontId="17" fillId="0" borderId="0" xfId="0" applyFont="1" applyAlignment="1"/>
    <xf numFmtId="0" fontId="7" fillId="3" borderId="1" xfId="0" applyFont="1" applyFill="1" applyBorder="1" applyAlignment="1">
      <alignment horizontal="left"/>
    </xf>
    <xf numFmtId="4" fontId="0" fillId="0" borderId="1" xfId="0" applyNumberFormat="1" applyFont="1" applyBorder="1" applyAlignment="1">
      <alignment horizontal="center"/>
    </xf>
    <xf numFmtId="4" fontId="0" fillId="0" borderId="1" xfId="0" applyNumberFormat="1" applyFont="1" applyFill="1" applyBorder="1" applyAlignment="1">
      <alignment horizontal="center"/>
    </xf>
    <xf numFmtId="0" fontId="14" fillId="0" borderId="0"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shrinkToFit="1"/>
    </xf>
    <xf numFmtId="0" fontId="13" fillId="0" borderId="2" xfId="0" applyFont="1" applyFill="1" applyBorder="1" applyAlignment="1">
      <alignment horizontal="center" vertical="center" wrapText="1" shrinkToFit="1"/>
    </xf>
    <xf numFmtId="0" fontId="14" fillId="0" borderId="0"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1" fontId="0" fillId="0" borderId="1" xfId="0" applyNumberFormat="1" applyFont="1" applyBorder="1" applyAlignment="1">
      <alignment horizontal="center" vertical="center"/>
    </xf>
    <xf numFmtId="1" fontId="0" fillId="0" borderId="1" xfId="0" applyNumberFormat="1" applyFont="1" applyFill="1" applyBorder="1" applyAlignment="1">
      <alignment horizontal="center"/>
    </xf>
    <xf numFmtId="0" fontId="19" fillId="0" borderId="0" xfId="0" applyFont="1" applyAlignment="1"/>
    <xf numFmtId="0" fontId="10" fillId="0" borderId="0" xfId="2" applyFont="1"/>
    <xf numFmtId="165" fontId="0" fillId="0" borderId="1" xfId="0" applyNumberFormat="1" applyFont="1" applyBorder="1" applyAlignment="1">
      <alignment horizontal="center" vertical="center"/>
    </xf>
    <xf numFmtId="0" fontId="13" fillId="0" borderId="1" xfId="0" applyFont="1" applyFill="1" applyBorder="1" applyAlignment="1">
      <alignment horizontal="center" vertical="center"/>
    </xf>
    <xf numFmtId="164" fontId="0" fillId="0" borderId="1" xfId="0" applyNumberFormat="1" applyFont="1" applyBorder="1" applyAlignment="1">
      <alignment horizontal="center" vertical="center"/>
    </xf>
    <xf numFmtId="0" fontId="13" fillId="0" borderId="1" xfId="0" applyFont="1" applyFill="1" applyBorder="1" applyAlignment="1">
      <alignment horizontal="center"/>
    </xf>
    <xf numFmtId="164" fontId="0" fillId="0" borderId="1" xfId="0" applyNumberFormat="1" applyFont="1" applyBorder="1" applyAlignment="1">
      <alignment horizontal="center"/>
    </xf>
    <xf numFmtId="165" fontId="0" fillId="0" borderId="0" xfId="0" applyNumberFormat="1" applyFont="1"/>
    <xf numFmtId="0" fontId="7" fillId="0" borderId="0" xfId="0" applyFont="1" applyFill="1" applyBorder="1" applyAlignment="1">
      <alignment horizontal="center"/>
    </xf>
    <xf numFmtId="0" fontId="0" fillId="0" borderId="0" xfId="0" applyFont="1" applyFill="1" applyBorder="1" applyAlignment="1">
      <alignment horizontal="center"/>
    </xf>
    <xf numFmtId="165" fontId="0" fillId="0" borderId="0" xfId="0" applyNumberFormat="1" applyFont="1" applyFill="1" applyBorder="1" applyAlignment="1">
      <alignment horizontal="center"/>
    </xf>
    <xf numFmtId="0" fontId="13" fillId="0" borderId="0" xfId="0" applyFont="1" applyFill="1" applyBorder="1" applyAlignment="1">
      <alignment horizontal="center"/>
    </xf>
    <xf numFmtId="164" fontId="0" fillId="0" borderId="0" xfId="0" applyNumberFormat="1" applyFont="1" applyFill="1" applyBorder="1" applyAlignment="1">
      <alignment horizontal="center"/>
    </xf>
    <xf numFmtId="3" fontId="13" fillId="12" borderId="1" xfId="0" applyNumberFormat="1" applyFont="1" applyFill="1" applyBorder="1" applyAlignment="1">
      <alignment horizontal="center" vertical="center" wrapText="1" shrinkToFit="1"/>
    </xf>
    <xf numFmtId="3" fontId="0" fillId="12" borderId="1" xfId="0" applyNumberFormat="1" applyFont="1" applyFill="1" applyBorder="1" applyAlignment="1">
      <alignment horizontal="center"/>
    </xf>
    <xf numFmtId="4" fontId="0" fillId="12" borderId="1" xfId="0" applyNumberFormat="1" applyFont="1" applyFill="1" applyBorder="1" applyAlignment="1">
      <alignment horizontal="center"/>
    </xf>
    <xf numFmtId="165" fontId="0" fillId="12" borderId="1" xfId="0" applyNumberFormat="1" applyFont="1" applyFill="1" applyBorder="1" applyAlignment="1">
      <alignment horizontal="center"/>
    </xf>
    <xf numFmtId="0" fontId="18" fillId="0" borderId="0" xfId="0" applyFont="1" applyFill="1" applyAlignment="1"/>
    <xf numFmtId="0" fontId="5" fillId="2" borderId="34" xfId="0" applyFont="1" applyFill="1" applyBorder="1" applyAlignment="1">
      <alignment horizontal="center" vertical="center" wrapText="1" shrinkToFit="1"/>
    </xf>
    <xf numFmtId="0" fontId="5" fillId="2" borderId="22" xfId="0" applyFont="1" applyFill="1" applyBorder="1" applyAlignment="1">
      <alignment horizontal="center" vertical="center" wrapText="1" shrinkToFit="1"/>
    </xf>
    <xf numFmtId="3" fontId="0" fillId="0" borderId="22" xfId="0" applyNumberFormat="1" applyFont="1" applyFill="1" applyBorder="1" applyAlignment="1">
      <alignment horizontal="center"/>
    </xf>
    <xf numFmtId="3" fontId="0" fillId="0" borderId="34" xfId="0" applyNumberFormat="1" applyFont="1" applyBorder="1" applyAlignment="1">
      <alignment horizontal="center"/>
    </xf>
    <xf numFmtId="3" fontId="0" fillId="0" borderId="22" xfId="0" applyNumberFormat="1" applyFont="1" applyBorder="1" applyAlignment="1">
      <alignment horizontal="center"/>
    </xf>
    <xf numFmtId="0" fontId="16" fillId="0" borderId="0" xfId="0" applyFont="1"/>
    <xf numFmtId="3" fontId="21" fillId="0" borderId="0" xfId="0" applyNumberFormat="1" applyFont="1" applyBorder="1" applyAlignment="1">
      <alignment horizontal="center" vertical="center" wrapText="1"/>
    </xf>
    <xf numFmtId="0" fontId="0" fillId="4" borderId="1" xfId="0" applyFont="1" applyFill="1" applyBorder="1"/>
    <xf numFmtId="0" fontId="13" fillId="4" borderId="1" xfId="0" applyFont="1" applyFill="1" applyBorder="1" applyAlignment="1">
      <alignment horizontal="center" vertical="center" wrapText="1" shrinkToFit="1"/>
    </xf>
    <xf numFmtId="0" fontId="7" fillId="0" borderId="0" xfId="0" applyFont="1"/>
    <xf numFmtId="3" fontId="0" fillId="4" borderId="22" xfId="0" applyNumberFormat="1" applyFont="1" applyFill="1" applyBorder="1" applyAlignment="1">
      <alignment horizontal="center"/>
    </xf>
    <xf numFmtId="0" fontId="13" fillId="4" borderId="1" xfId="0" applyFont="1" applyFill="1" applyBorder="1" applyAlignment="1">
      <alignment horizontal="center" vertical="center"/>
    </xf>
    <xf numFmtId="0" fontId="16" fillId="13" borderId="0" xfId="0" applyFont="1" applyFill="1"/>
    <xf numFmtId="0" fontId="0" fillId="13" borderId="0" xfId="0" applyFont="1" applyFill="1"/>
    <xf numFmtId="0" fontId="14" fillId="13" borderId="0" xfId="0" applyFont="1" applyFill="1" applyBorder="1" applyAlignment="1">
      <alignment horizontal="center" vertical="center"/>
    </xf>
    <xf numFmtId="0" fontId="14" fillId="13" borderId="0" xfId="0" applyFont="1" applyFill="1" applyBorder="1" applyAlignment="1">
      <alignment horizontal="center" vertical="center" wrapText="1" shrinkToFit="1"/>
    </xf>
    <xf numFmtId="0" fontId="13" fillId="13" borderId="0" xfId="0" applyFont="1" applyFill="1" applyBorder="1" applyAlignment="1">
      <alignment horizontal="center" vertical="center" wrapText="1" shrinkToFit="1"/>
    </xf>
    <xf numFmtId="165" fontId="0" fillId="0" borderId="1" xfId="0" applyNumberFormat="1" applyFont="1" applyFill="1" applyBorder="1" applyAlignment="1">
      <alignment horizontal="center"/>
    </xf>
    <xf numFmtId="3" fontId="0" fillId="0" borderId="34" xfId="0" applyNumberFormat="1" applyFont="1" applyFill="1" applyBorder="1" applyAlignment="1">
      <alignment horizontal="center"/>
    </xf>
    <xf numFmtId="0" fontId="13" fillId="0" borderId="0" xfId="0" applyFont="1"/>
    <xf numFmtId="165" fontId="0" fillId="0" borderId="22" xfId="0" applyNumberFormat="1" applyFont="1" applyBorder="1" applyAlignment="1">
      <alignment horizontal="center"/>
    </xf>
    <xf numFmtId="0" fontId="5" fillId="2" borderId="42" xfId="0" applyFont="1" applyFill="1" applyBorder="1" applyAlignment="1">
      <alignment horizontal="center" vertical="center" wrapText="1" shrinkToFit="1"/>
    </xf>
    <xf numFmtId="3" fontId="0" fillId="0" borderId="42" xfId="0" applyNumberFormat="1" applyFont="1" applyFill="1" applyBorder="1" applyAlignment="1">
      <alignment horizontal="center"/>
    </xf>
    <xf numFmtId="165" fontId="0" fillId="0" borderId="22" xfId="0" applyNumberFormat="1" applyFont="1" applyFill="1" applyBorder="1" applyAlignment="1">
      <alignment horizontal="center"/>
    </xf>
    <xf numFmtId="38" fontId="25" fillId="0" borderId="0" xfId="4" applyNumberFormat="1" applyFont="1" applyBorder="1" applyAlignment="1">
      <alignment vertical="center"/>
    </xf>
    <xf numFmtId="38" fontId="25" fillId="0" borderId="0" xfId="4" applyNumberFormat="1" applyFont="1" applyFill="1" applyBorder="1" applyAlignment="1">
      <alignment vertical="center"/>
    </xf>
    <xf numFmtId="0" fontId="5" fillId="0" borderId="44" xfId="0" applyFont="1" applyFill="1" applyBorder="1" applyAlignment="1">
      <alignment horizontal="center" vertical="center"/>
    </xf>
    <xf numFmtId="0" fontId="5" fillId="0" borderId="43" xfId="0" applyFont="1" applyFill="1" applyBorder="1" applyAlignment="1">
      <alignment horizontal="center" vertical="center"/>
    </xf>
    <xf numFmtId="0" fontId="29" fillId="0" borderId="47" xfId="0" applyFont="1" applyBorder="1" applyAlignment="1">
      <alignment horizontal="center" vertical="center" wrapText="1"/>
    </xf>
    <xf numFmtId="0" fontId="29" fillId="0" borderId="48"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50" xfId="0" applyFont="1" applyBorder="1" applyAlignment="1">
      <alignment horizontal="center" vertical="center" wrapText="1"/>
    </xf>
    <xf numFmtId="3" fontId="20" fillId="0" borderId="50"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7" fillId="0" borderId="0" xfId="0" applyFont="1" applyFill="1" applyBorder="1" applyAlignment="1">
      <alignment horizontal="left"/>
    </xf>
    <xf numFmtId="0" fontId="0" fillId="0" borderId="0" xfId="0" applyFont="1" applyFill="1"/>
    <xf numFmtId="0" fontId="0" fillId="0" borderId="0" xfId="0" applyFont="1" applyFill="1" applyBorder="1"/>
    <xf numFmtId="3" fontId="13" fillId="0" borderId="34" xfId="0" applyNumberFormat="1" applyFont="1" applyFill="1" applyBorder="1" applyAlignment="1">
      <alignment horizontal="center"/>
    </xf>
    <xf numFmtId="3" fontId="0" fillId="0" borderId="0" xfId="0" applyNumberFormat="1" applyFont="1" applyAlignment="1">
      <alignment horizontal="center" vertical="center"/>
    </xf>
    <xf numFmtId="167" fontId="0" fillId="0" borderId="0" xfId="0" applyNumberFormat="1" applyFont="1" applyAlignment="1">
      <alignment horizontal="center" vertical="center"/>
    </xf>
    <xf numFmtId="0" fontId="0" fillId="0" borderId="1" xfId="0" applyFont="1" applyFill="1" applyBorder="1"/>
    <xf numFmtId="0" fontId="14" fillId="0" borderId="1" xfId="0" applyFont="1" applyFill="1" applyBorder="1" applyAlignment="1">
      <alignment horizontal="center" vertical="center"/>
    </xf>
    <xf numFmtId="0" fontId="0" fillId="0" borderId="1" xfId="0" applyFont="1" applyFill="1" applyBorder="1" applyAlignment="1">
      <alignment horizontal="center"/>
    </xf>
    <xf numFmtId="0" fontId="0" fillId="0" borderId="1" xfId="0" applyFill="1" applyBorder="1"/>
    <xf numFmtId="9" fontId="14" fillId="0" borderId="1" xfId="0" applyNumberFormat="1" applyFont="1" applyFill="1" applyBorder="1" applyAlignment="1">
      <alignment horizontal="center" vertical="center"/>
    </xf>
    <xf numFmtId="0" fontId="0" fillId="12" borderId="1" xfId="0" applyFill="1" applyBorder="1"/>
    <xf numFmtId="0" fontId="0" fillId="12" borderId="1" xfId="0" applyFont="1" applyFill="1" applyBorder="1"/>
    <xf numFmtId="0" fontId="6" fillId="0" borderId="0" xfId="0" applyFont="1" applyFill="1" applyAlignment="1">
      <alignment vertical="center"/>
    </xf>
    <xf numFmtId="0" fontId="13" fillId="0" borderId="0" xfId="0" applyFont="1" applyFill="1" applyAlignment="1">
      <alignment vertical="center"/>
    </xf>
    <xf numFmtId="0" fontId="0" fillId="12" borderId="1" xfId="0" applyFont="1" applyFill="1" applyBorder="1" applyAlignment="1">
      <alignment horizontal="center"/>
    </xf>
    <xf numFmtId="2" fontId="0" fillId="12" borderId="1" xfId="0" applyNumberFormat="1" applyFill="1" applyBorder="1" applyAlignment="1">
      <alignment horizontal="center"/>
    </xf>
    <xf numFmtId="10" fontId="0" fillId="0" borderId="1" xfId="0" applyNumberFormat="1" applyFill="1" applyBorder="1" applyAlignment="1">
      <alignment horizontal="center"/>
    </xf>
    <xf numFmtId="0" fontId="0" fillId="0" borderId="1" xfId="0" applyFill="1" applyBorder="1" applyAlignment="1">
      <alignment horizontal="center"/>
    </xf>
    <xf numFmtId="3" fontId="0" fillId="0" borderId="1" xfId="0" applyNumberFormat="1" applyFill="1" applyBorder="1" applyAlignment="1">
      <alignment horizontal="center"/>
    </xf>
    <xf numFmtId="3" fontId="13" fillId="12" borderId="34" xfId="0" applyNumberFormat="1" applyFont="1" applyFill="1" applyBorder="1" applyAlignment="1">
      <alignment horizontal="center"/>
    </xf>
    <xf numFmtId="3" fontId="0" fillId="12" borderId="34" xfId="0" applyNumberFormat="1" applyFont="1" applyFill="1" applyBorder="1" applyAlignment="1">
      <alignment horizontal="center"/>
    </xf>
    <xf numFmtId="4" fontId="0" fillId="0" borderId="42" xfId="0" applyNumberFormat="1" applyFont="1" applyFill="1" applyBorder="1" applyAlignment="1">
      <alignment horizontal="center"/>
    </xf>
    <xf numFmtId="4" fontId="0" fillId="12" borderId="42" xfId="0" applyNumberFormat="1" applyFont="1" applyFill="1" applyBorder="1" applyAlignment="1">
      <alignment horizontal="center"/>
    </xf>
    <xf numFmtId="0" fontId="7" fillId="3" borderId="34" xfId="0" applyFont="1" applyFill="1" applyBorder="1" applyAlignment="1">
      <alignment horizontal="center"/>
    </xf>
    <xf numFmtId="169" fontId="0" fillId="0" borderId="53" xfId="24" applyNumberFormat="1" applyFont="1" applyFill="1" applyBorder="1" applyProtection="1">
      <protection locked="0"/>
    </xf>
    <xf numFmtId="0" fontId="0" fillId="0" borderId="0" xfId="0" applyFont="1"/>
    <xf numFmtId="2" fontId="0" fillId="4" borderId="1" xfId="0" applyNumberFormat="1" applyFont="1" applyFill="1" applyBorder="1" applyAlignment="1">
      <alignment horizontal="center"/>
    </xf>
    <xf numFmtId="165" fontId="13" fillId="0" borderId="1" xfId="0" applyNumberFormat="1" applyFont="1" applyFill="1" applyBorder="1" applyAlignment="1">
      <alignment horizontal="center" vertical="center" wrapText="1" shrinkToFit="1"/>
    </xf>
    <xf numFmtId="170" fontId="0" fillId="0" borderId="1" xfId="0" applyNumberFormat="1" applyFont="1" applyFill="1" applyBorder="1" applyAlignment="1">
      <alignment horizontal="center"/>
    </xf>
    <xf numFmtId="10" fontId="0" fillId="0" borderId="0" xfId="25" applyNumberFormat="1" applyFont="1"/>
    <xf numFmtId="171" fontId="0" fillId="0" borderId="0" xfId="25" applyNumberFormat="1" applyFont="1"/>
    <xf numFmtId="168" fontId="13" fillId="0" borderId="1" xfId="0" applyNumberFormat="1" applyFont="1" applyFill="1" applyBorder="1" applyAlignment="1">
      <alignment horizontal="center" vertical="center" wrapText="1" shrinkToFit="1"/>
    </xf>
    <xf numFmtId="168" fontId="13" fillId="12" borderId="1" xfId="0" applyNumberFormat="1" applyFont="1" applyFill="1" applyBorder="1" applyAlignment="1">
      <alignment horizontal="center" vertical="center" wrapText="1" shrinkToFit="1"/>
    </xf>
    <xf numFmtId="0" fontId="5"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13" borderId="0" xfId="0" applyFont="1" applyFill="1" applyBorder="1" applyAlignment="1">
      <alignment horizontal="center"/>
    </xf>
    <xf numFmtId="0" fontId="0" fillId="0" borderId="2" xfId="0" applyFont="1" applyFill="1" applyBorder="1" applyAlignment="1">
      <alignment horizontal="center"/>
    </xf>
    <xf numFmtId="172" fontId="0" fillId="0" borderId="0" xfId="0" applyNumberFormat="1" applyFont="1"/>
    <xf numFmtId="4" fontId="0" fillId="4" borderId="1" xfId="0" applyNumberFormat="1" applyFont="1" applyFill="1" applyBorder="1" applyAlignment="1">
      <alignment horizontal="center"/>
    </xf>
    <xf numFmtId="2" fontId="0" fillId="0" borderId="1" xfId="0" applyNumberFormat="1" applyFill="1" applyBorder="1" applyAlignment="1">
      <alignment horizontal="center"/>
    </xf>
    <xf numFmtId="1" fontId="0" fillId="12" borderId="1" xfId="0" applyNumberFormat="1" applyFill="1" applyBorder="1" applyAlignment="1">
      <alignment horizontal="center"/>
    </xf>
    <xf numFmtId="1" fontId="0" fillId="0" borderId="1" xfId="0" applyNumberFormat="1" applyFill="1" applyBorder="1" applyAlignment="1">
      <alignment horizontal="center"/>
    </xf>
    <xf numFmtId="0" fontId="13" fillId="0" borderId="0" xfId="2" applyFont="1"/>
    <xf numFmtId="4" fontId="0" fillId="0" borderId="1" xfId="0" applyNumberFormat="1" applyFill="1" applyBorder="1" applyAlignment="1">
      <alignment horizontal="center"/>
    </xf>
    <xf numFmtId="165" fontId="0" fillId="0" borderId="0" xfId="0" applyNumberFormat="1" applyFont="1" applyFill="1"/>
    <xf numFmtId="3" fontId="0" fillId="0" borderId="0" xfId="0" applyNumberFormat="1" applyFont="1"/>
    <xf numFmtId="0" fontId="0" fillId="0" borderId="0" xfId="0" applyFill="1" applyBorder="1" applyAlignment="1">
      <alignment horizontal="center"/>
    </xf>
    <xf numFmtId="0" fontId="5" fillId="0" borderId="0" xfId="0" applyFont="1" applyFill="1" applyBorder="1" applyAlignment="1">
      <alignment horizontal="center"/>
    </xf>
    <xf numFmtId="0" fontId="0" fillId="0" borderId="0" xfId="0" applyFill="1" applyBorder="1"/>
    <xf numFmtId="0" fontId="8" fillId="0" borderId="0" xfId="1" applyFill="1" applyBorder="1" applyAlignment="1">
      <alignment horizontal="center" vertical="center" wrapText="1"/>
    </xf>
    <xf numFmtId="2" fontId="0" fillId="0" borderId="1" xfId="0" applyNumberFormat="1" applyFont="1" applyFill="1" applyBorder="1"/>
    <xf numFmtId="0" fontId="37" fillId="0" borderId="0" xfId="0" applyFont="1" applyFill="1"/>
    <xf numFmtId="173" fontId="37" fillId="0" borderId="0" xfId="0" applyNumberFormat="1" applyFont="1" applyFill="1"/>
    <xf numFmtId="165" fontId="7" fillId="0" borderId="1" xfId="0" applyNumberFormat="1" applyFont="1" applyBorder="1"/>
    <xf numFmtId="10" fontId="0" fillId="0" borderId="1" xfId="25" applyNumberFormat="1" applyFont="1" applyBorder="1" applyAlignment="1">
      <alignment horizontal="center"/>
    </xf>
    <xf numFmtId="9" fontId="7" fillId="0" borderId="1" xfId="25" applyNumberFormat="1" applyFont="1" applyBorder="1" applyAlignment="1">
      <alignment horizontal="center"/>
    </xf>
    <xf numFmtId="164" fontId="0" fillId="0" borderId="0" xfId="0" applyNumberFormat="1" applyFont="1"/>
    <xf numFmtId="0" fontId="8" fillId="2" borderId="53" xfId="0" applyFont="1" applyFill="1" applyBorder="1" applyAlignment="1">
      <alignment horizontal="center" vertical="center" wrapText="1"/>
    </xf>
    <xf numFmtId="10" fontId="0" fillId="0" borderId="1" xfId="25" applyNumberFormat="1" applyFont="1" applyBorder="1"/>
    <xf numFmtId="10" fontId="0" fillId="0" borderId="0" xfId="0" applyNumberFormat="1" applyFont="1"/>
    <xf numFmtId="170" fontId="0" fillId="0" borderId="53" xfId="0" applyNumberFormat="1" applyFont="1" applyFill="1" applyBorder="1"/>
    <xf numFmtId="9" fontId="0" fillId="0" borderId="53" xfId="25" applyFont="1" applyFill="1" applyBorder="1"/>
    <xf numFmtId="168" fontId="0" fillId="0" borderId="0" xfId="0" applyNumberFormat="1" applyFont="1"/>
    <xf numFmtId="2" fontId="0" fillId="0" borderId="0" xfId="0" applyNumberFormat="1" applyFont="1"/>
    <xf numFmtId="4" fontId="0" fillId="0" borderId="1" xfId="0" applyNumberFormat="1" applyFont="1" applyBorder="1"/>
    <xf numFmtId="9" fontId="0" fillId="0" borderId="0" xfId="25" applyFont="1"/>
    <xf numFmtId="3" fontId="0" fillId="0" borderId="1" xfId="0" applyNumberFormat="1" applyFont="1" applyBorder="1"/>
    <xf numFmtId="167" fontId="0" fillId="4" borderId="1" xfId="0" applyNumberFormat="1" applyFont="1" applyFill="1" applyBorder="1" applyAlignment="1">
      <alignment horizontal="center"/>
    </xf>
    <xf numFmtId="0" fontId="18" fillId="5" borderId="0" xfId="0" applyFont="1" applyFill="1" applyAlignment="1">
      <alignment horizontal="center"/>
    </xf>
    <xf numFmtId="0" fontId="5" fillId="9" borderId="3" xfId="0" applyFont="1" applyFill="1" applyBorder="1" applyAlignment="1">
      <alignment horizontal="center" wrapText="1"/>
    </xf>
    <xf numFmtId="0" fontId="5" fillId="9" borderId="4" xfId="0" applyFont="1" applyFill="1" applyBorder="1" applyAlignment="1">
      <alignment horizontal="center" wrapText="1"/>
    </xf>
    <xf numFmtId="0" fontId="2" fillId="5" borderId="0" xfId="0" applyFont="1" applyFill="1" applyAlignment="1">
      <alignment horizontal="center"/>
    </xf>
    <xf numFmtId="0" fontId="8" fillId="2" borderId="7" xfId="0" applyFont="1" applyFill="1" applyBorder="1" applyAlignment="1">
      <alignment horizontal="center" vertical="center" wrapText="1" shrinkToFit="1"/>
    </xf>
    <xf numFmtId="0" fontId="8" fillId="2" borderId="8" xfId="0" applyFont="1" applyFill="1" applyBorder="1" applyAlignment="1">
      <alignment horizontal="center" vertical="center" wrapText="1" shrinkToFit="1"/>
    </xf>
    <xf numFmtId="0" fontId="5" fillId="9" borderId="5" xfId="0" applyFont="1" applyFill="1" applyBorder="1" applyAlignment="1">
      <alignment horizontal="center" wrapText="1"/>
    </xf>
    <xf numFmtId="0" fontId="14" fillId="0" borderId="3" xfId="1" applyFont="1" applyFill="1" applyBorder="1" applyAlignment="1">
      <alignment horizontal="left" vertical="center" wrapText="1"/>
    </xf>
    <xf numFmtId="0" fontId="14" fillId="0" borderId="4" xfId="1" applyFont="1" applyFill="1" applyBorder="1" applyAlignment="1">
      <alignment horizontal="left" vertical="center" wrapText="1"/>
    </xf>
    <xf numFmtId="0" fontId="14" fillId="0" borderId="5" xfId="1"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36" fillId="14" borderId="0" xfId="0" applyFont="1" applyFill="1" applyAlignment="1">
      <alignment horizontal="center"/>
    </xf>
    <xf numFmtId="0" fontId="5" fillId="2" borderId="51" xfId="0" applyFont="1" applyFill="1" applyBorder="1" applyAlignment="1">
      <alignment horizontal="center" vertical="center" wrapText="1" shrinkToFit="1"/>
    </xf>
    <xf numFmtId="0" fontId="5" fillId="2" borderId="52" xfId="0" applyFont="1" applyFill="1" applyBorder="1" applyAlignment="1">
      <alignment horizontal="center" vertical="center" wrapText="1" shrinkToFit="1"/>
    </xf>
    <xf numFmtId="0" fontId="5" fillId="15" borderId="52" xfId="0" applyFont="1" applyFill="1" applyBorder="1" applyAlignment="1">
      <alignment horizontal="center"/>
    </xf>
    <xf numFmtId="0" fontId="5" fillId="2" borderId="45"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42" xfId="0" applyFont="1" applyFill="1" applyBorder="1" applyAlignment="1">
      <alignment horizontal="center" vertical="center" wrapText="1" shrinkToFit="1"/>
    </xf>
    <xf numFmtId="0" fontId="5" fillId="2" borderId="46" xfId="0" applyFont="1" applyFill="1" applyBorder="1" applyAlignment="1">
      <alignment horizontal="center" vertical="center" wrapText="1" shrinkToFit="1"/>
    </xf>
    <xf numFmtId="0" fontId="5" fillId="2" borderId="34" xfId="0" applyFont="1" applyFill="1" applyBorder="1" applyAlignment="1">
      <alignment horizontal="center" vertical="center" wrapText="1" shrinkToFit="1"/>
    </xf>
    <xf numFmtId="0" fontId="16" fillId="13" borderId="0" xfId="0" applyFont="1" applyFill="1" applyAlignment="1">
      <alignment horizontal="center"/>
    </xf>
    <xf numFmtId="0" fontId="38" fillId="0" borderId="54" xfId="0" applyFont="1" applyBorder="1" applyAlignment="1">
      <alignment vertical="center" wrapText="1"/>
    </xf>
    <xf numFmtId="0" fontId="38" fillId="0" borderId="5" xfId="0" applyFont="1" applyBorder="1" applyAlignment="1">
      <alignment horizontal="center" vertical="center"/>
    </xf>
    <xf numFmtId="0" fontId="41" fillId="0" borderId="55" xfId="0" applyFont="1" applyBorder="1" applyAlignment="1">
      <alignment vertical="center" wrapText="1"/>
    </xf>
    <xf numFmtId="3" fontId="41" fillId="0" borderId="56" xfId="0" applyNumberFormat="1" applyFont="1" applyBorder="1" applyAlignment="1">
      <alignment horizontal="center" vertical="center" wrapText="1"/>
    </xf>
    <xf numFmtId="0" fontId="41" fillId="0" borderId="56" xfId="0" applyFont="1" applyBorder="1" applyAlignment="1">
      <alignment horizontal="center" vertical="center" wrapText="1"/>
    </xf>
    <xf numFmtId="3" fontId="41" fillId="0" borderId="56" xfId="0" applyNumberFormat="1" applyFont="1" applyBorder="1" applyAlignment="1">
      <alignment horizontal="center" vertical="center"/>
    </xf>
    <xf numFmtId="0" fontId="41" fillId="0" borderId="56" xfId="0" applyFont="1" applyBorder="1" applyAlignment="1">
      <alignment horizontal="center" vertical="center"/>
    </xf>
    <xf numFmtId="0" fontId="41" fillId="0" borderId="3" xfId="0" applyFont="1" applyBorder="1" applyAlignment="1">
      <alignment horizontal="center" vertical="center" wrapText="1"/>
    </xf>
    <xf numFmtId="0" fontId="41" fillId="0" borderId="5" xfId="0" applyFont="1" applyBorder="1" applyAlignment="1">
      <alignment horizontal="center" vertical="center" wrapText="1"/>
    </xf>
    <xf numFmtId="3" fontId="0" fillId="0" borderId="0" xfId="0" applyNumberFormat="1" applyFont="1" applyAlignment="1">
      <alignment horizontal="left" vertical="center"/>
    </xf>
  </cellXfs>
  <cellStyles count="43">
    <cellStyle name="Comma 16" xfId="26" xr:uid="{700F2162-6374-443F-A310-35AB3E8765E9}"/>
    <cellStyle name="Comma 2" xfId="5" xr:uid="{37A6B12E-E5BE-4C7B-AA5A-89FA1B0369F6}"/>
    <cellStyle name="Comma 2 2" xfId="6" xr:uid="{6D8C5DE8-C2C9-4BD6-BA90-6F8BBED54084}"/>
    <cellStyle name="Comma 2 3" xfId="27" xr:uid="{D0B103A7-4693-4BE3-87CD-1BD16B148DBE}"/>
    <cellStyle name="Comma 3" xfId="7" xr:uid="{CFE540E6-15AB-4BB6-8F59-C0E1E05E8932}"/>
    <cellStyle name="Comma 3 2" xfId="28" xr:uid="{2ECF463E-B2D7-40DA-B2B0-A770D3C78FB4}"/>
    <cellStyle name="Comma 4" xfId="29" xr:uid="{9EB6B2C9-A2F7-459B-BEF8-4B0353F3A73E}"/>
    <cellStyle name="Comma 5" xfId="30" xr:uid="{B3B59C7D-2672-4278-8006-DD113C79B1B3}"/>
    <cellStyle name="Comma 6" xfId="31" xr:uid="{2AE72C0E-9AAC-4F83-90DB-9AE53ECD6C57}"/>
    <cellStyle name="Currency 2" xfId="8" xr:uid="{E1463AA6-338B-4978-9D88-0726B2D141B9}"/>
    <cellStyle name="Énfasis1" xfId="1" builtinId="29"/>
    <cellStyle name="Hipervínculo" xfId="2" builtinId="8"/>
    <cellStyle name="Hipervínculo 2" xfId="9" xr:uid="{CB18604F-B4DB-4F98-9891-C4F298414E58}"/>
    <cellStyle name="Hyperlink 2" xfId="10" xr:uid="{DB1D292F-D74E-4CDD-8FEA-8B8DFD67C084}"/>
    <cellStyle name="Hyperlink 2 2" xfId="32" xr:uid="{183AE910-5A38-411D-945F-D8592B5C9B1A}"/>
    <cellStyle name="Millares" xfId="24" builtinId="3"/>
    <cellStyle name="Millares 2" xfId="4" xr:uid="{24A117C3-E50A-4278-AE44-095959F7B8F9}"/>
    <cellStyle name="Normal" xfId="0" builtinId="0"/>
    <cellStyle name="Normal 10" xfId="33" xr:uid="{B6FC373B-30C2-4EDD-973E-CA9E0C94A202}"/>
    <cellStyle name="Normal 11" xfId="34" xr:uid="{AD7119D4-4CE1-4283-BBDE-13A2E32C56CD}"/>
    <cellStyle name="Normal 14" xfId="11" xr:uid="{4960FFE5-F196-4FC3-AC70-0638E35053CF}"/>
    <cellStyle name="Normal 2" xfId="12" xr:uid="{FF3F156D-1F54-462B-A2C3-D56F9448BA13}"/>
    <cellStyle name="Normal 2 2" xfId="13" xr:uid="{05013C65-8955-4EEE-8FDF-B51B12A0358D}"/>
    <cellStyle name="Normal 2 3" xfId="14" xr:uid="{B110D8FE-2E1E-430E-AFE0-174093F4A205}"/>
    <cellStyle name="Normal 3" xfId="15" xr:uid="{22CF5926-E2CA-4057-B8AB-28DD13B2FCAF}"/>
    <cellStyle name="Normal 3 2" xfId="16" xr:uid="{54867F39-2E7B-43E9-9725-84E557AF681E}"/>
    <cellStyle name="Normal 3 2 2" xfId="17" xr:uid="{2AE7CEE6-2289-4D49-86CE-4977F489E87D}"/>
    <cellStyle name="Normal 4" xfId="18" xr:uid="{A23B58D6-4014-4175-A8A4-8945F53F783B}"/>
    <cellStyle name="Normal 4 2" xfId="36" xr:uid="{07BA8F76-D5E8-4053-8CCF-448969732AA0}"/>
    <cellStyle name="Normal 4 3" xfId="37" xr:uid="{D1036CB8-7D3B-4EEB-95B8-F3810F088078}"/>
    <cellStyle name="Normal 4 4" xfId="35" xr:uid="{AF684E69-D23F-43B9-9EDB-5C9D334FAE19}"/>
    <cellStyle name="Normal 5" xfId="19" xr:uid="{E2B6190A-0466-4370-9F25-BAB5A806FC83}"/>
    <cellStyle name="Normal 5 2" xfId="38" xr:uid="{D4A47258-1E4B-44BA-8907-2A449326E7DF}"/>
    <cellStyle name="Normal 6" xfId="20" xr:uid="{0868126F-9DA1-4D26-95B4-EE73A058BB73}"/>
    <cellStyle name="Normal 6 2" xfId="21" xr:uid="{0BCA72C2-5626-4387-8D5A-CB04CBB9C7E8}"/>
    <cellStyle name="Normal 6 3" xfId="39" xr:uid="{EFA3084E-48DE-447D-A7E8-ACCB169D4D94}"/>
    <cellStyle name="Normal 7" xfId="22" xr:uid="{B75DE867-E564-4F59-80CA-AEB8E25AF74F}"/>
    <cellStyle name="Normal 7 2" xfId="40" xr:uid="{7F3C7FE4-A30D-4365-8D34-D1FF4647C367}"/>
    <cellStyle name="Normal 8" xfId="23" xr:uid="{09EBEC92-AB3D-4EB4-AB0F-4373BED4B714}"/>
    <cellStyle name="Normal 8 2" xfId="41" xr:uid="{F600117F-9433-45D1-9491-D707C964D185}"/>
    <cellStyle name="Normal 9" xfId="3" xr:uid="{66D6615E-44E8-432B-984C-E4D30ABAAF24}"/>
    <cellStyle name="Normal 9 2" xfId="42" xr:uid="{0332B17E-6948-4699-9D3F-0BF201CA7A19}"/>
    <cellStyle name="Porcentaje" xfId="2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ES" b="1"/>
              <a:t>Composition for 1960-2008</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Pt>
            <c:idx val="2"/>
            <c:bubble3D val="0"/>
            <c:spPr>
              <a:solidFill>
                <a:schemeClr val="accent3"/>
              </a:solidFill>
              <a:ln w="25400">
                <a:solidFill>
                  <a:schemeClr val="lt1"/>
                </a:solidFill>
              </a:ln>
              <a:effectLst/>
              <a:sp3d contourW="25400">
                <a:contourClr>
                  <a:schemeClr val="lt1"/>
                </a:contourClr>
              </a:sp3d>
            </c:spPr>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4-6C84-4CB2-898C-FB6A009058A6}"/>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5-6C84-4CB2-898C-FB6A009058A6}"/>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3-6C84-4CB2-898C-FB6A009058A6}"/>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2-6C84-4CB2-898C-FB6A009058A6}"/>
              </c:ext>
            </c:extLst>
          </c:dPt>
          <c:dLbls>
            <c:dLbl>
              <c:idx val="3"/>
              <c:layout>
                <c:manualLayout>
                  <c:x val="-1.3343924416649855E-2"/>
                  <c:y val="-1.07110958800514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C84-4CB2-898C-FB6A009058A6}"/>
                </c:ext>
              </c:extLst>
            </c:dLbl>
            <c:dLbl>
              <c:idx val="4"/>
              <c:layout>
                <c:manualLayout>
                  <c:x val="4.3684962187811765E-18"/>
                  <c:y val="-0.1071109588005146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C84-4CB2-898C-FB6A009058A6}"/>
                </c:ext>
              </c:extLst>
            </c:dLbl>
            <c:dLbl>
              <c:idx val="5"/>
              <c:layout>
                <c:manualLayout>
                  <c:x val="4.9563147833270892E-2"/>
                  <c:y val="-0.1963700911342769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C84-4CB2-898C-FB6A009058A6}"/>
                </c:ext>
              </c:extLst>
            </c:dLbl>
            <c:dLbl>
              <c:idx val="6"/>
              <c:layout>
                <c:manualLayout>
                  <c:x val="0.11818904483318443"/>
                  <c:y val="-4.6414748813556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C84-4CB2-898C-FB6A009058A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E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'AD Mauritius'!$K$4:$Q$4</c:f>
              <c:strCache>
                <c:ptCount val="7"/>
                <c:pt idx="0">
                  <c:v>Food [%]</c:v>
                </c:pt>
                <c:pt idx="1">
                  <c:v>Garden [%]</c:v>
                </c:pt>
                <c:pt idx="2">
                  <c:v>Paper [%]</c:v>
                </c:pt>
                <c:pt idx="3">
                  <c:v>Wood [%]</c:v>
                </c:pt>
                <c:pt idx="4">
                  <c:v>Textile [%]</c:v>
                </c:pt>
                <c:pt idx="5">
                  <c:v>Nappies [%]</c:v>
                </c:pt>
                <c:pt idx="6">
                  <c:v>Plastics, other inert [%]</c:v>
                </c:pt>
              </c:strCache>
            </c:strRef>
          </c:cat>
          <c:val>
            <c:numRef>
              <c:f>'AD Mauritius'!$K$5:$Q$5</c:f>
              <c:numCache>
                <c:formatCode>General</c:formatCode>
                <c:ptCount val="7"/>
                <c:pt idx="0">
                  <c:v>25</c:v>
                </c:pt>
                <c:pt idx="1">
                  <c:v>43</c:v>
                </c:pt>
                <c:pt idx="2">
                  <c:v>12</c:v>
                </c:pt>
                <c:pt idx="3">
                  <c:v>0</c:v>
                </c:pt>
                <c:pt idx="4">
                  <c:v>3</c:v>
                </c:pt>
                <c:pt idx="5">
                  <c:v>0</c:v>
                </c:pt>
                <c:pt idx="6">
                  <c:v>17</c:v>
                </c:pt>
              </c:numCache>
            </c:numRef>
          </c:val>
          <c:extLst>
            <c:ext xmlns:c16="http://schemas.microsoft.com/office/drawing/2014/chart" uri="{C3380CC4-5D6E-409C-BE32-E72D297353CC}">
              <c16:uniqueId val="{00000000-6C84-4CB2-898C-FB6A009058A6}"/>
            </c:ext>
          </c:extLst>
        </c:ser>
        <c:dLbls>
          <c:showLegendKey val="0"/>
          <c:showVal val="0"/>
          <c:showCatName val="0"/>
          <c:showSerName val="0"/>
          <c:showPercent val="0"/>
          <c:showBubbleSize val="0"/>
          <c:showLeaderLines val="0"/>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ES" sz="1200" b="1"/>
              <a:t>Domestic/Commercial Wastewater emissions (Gg CO2 eq)</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cat>
            <c:numRef>
              <c:f>'EE RoM'!$A$30:$A$46</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'EE RoM'!$D$30:$D$46</c:f>
              <c:numCache>
                <c:formatCode>#,##0.0</c:formatCode>
                <c:ptCount val="17"/>
                <c:pt idx="0">
                  <c:v>129.24384544269699</c:v>
                </c:pt>
                <c:pt idx="1">
                  <c:v>129.88979858952368</c:v>
                </c:pt>
                <c:pt idx="2">
                  <c:v>131.28611854942542</c:v>
                </c:pt>
                <c:pt idx="3">
                  <c:v>132.50461931046942</c:v>
                </c:pt>
                <c:pt idx="4">
                  <c:v>133.87168376535024</c:v>
                </c:pt>
                <c:pt idx="5">
                  <c:v>134.33357978132997</c:v>
                </c:pt>
                <c:pt idx="6">
                  <c:v>127.31415172274831</c:v>
                </c:pt>
                <c:pt idx="7">
                  <c:v>128.42721633165448</c:v>
                </c:pt>
                <c:pt idx="8">
                  <c:v>128.00252819615656</c:v>
                </c:pt>
                <c:pt idx="9">
                  <c:v>129.24561945707075</c:v>
                </c:pt>
                <c:pt idx="10">
                  <c:v>128.61339756864186</c:v>
                </c:pt>
                <c:pt idx="11">
                  <c:v>136.57459600743132</c:v>
                </c:pt>
                <c:pt idx="12">
                  <c:v>133.61982338675656</c:v>
                </c:pt>
                <c:pt idx="13">
                  <c:v>131.76701024521728</c:v>
                </c:pt>
                <c:pt idx="14">
                  <c:v>129.79207721009743</c:v>
                </c:pt>
                <c:pt idx="15">
                  <c:v>129.20821347558598</c:v>
                </c:pt>
                <c:pt idx="16">
                  <c:v>127.60826819013175</c:v>
                </c:pt>
              </c:numCache>
            </c:numRef>
          </c:val>
          <c:extLst>
            <c:ext xmlns:c16="http://schemas.microsoft.com/office/drawing/2014/chart" uri="{C3380CC4-5D6E-409C-BE32-E72D297353CC}">
              <c16:uniqueId val="{00000000-E4D9-486E-9B71-E83033543E82}"/>
            </c:ext>
          </c:extLst>
        </c:ser>
        <c:dLbls>
          <c:showLegendKey val="0"/>
          <c:showVal val="0"/>
          <c:showCatName val="0"/>
          <c:showSerName val="0"/>
          <c:showPercent val="0"/>
          <c:showBubbleSize val="0"/>
        </c:dLbls>
        <c:gapWidth val="150"/>
        <c:axId val="778200959"/>
        <c:axId val="778208863"/>
      </c:barChart>
      <c:catAx>
        <c:axId val="7782009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ES"/>
          </a:p>
        </c:txPr>
        <c:crossAx val="778208863"/>
        <c:crosses val="autoZero"/>
        <c:auto val="1"/>
        <c:lblAlgn val="ctr"/>
        <c:lblOffset val="100"/>
        <c:noMultiLvlLbl val="0"/>
      </c:catAx>
      <c:valAx>
        <c:axId val="778208863"/>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ES"/>
          </a:p>
        </c:txPr>
        <c:crossAx val="77820095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ES" sz="1200" b="1"/>
              <a:t>Industrial Wastewater</a:t>
            </a:r>
            <a:r>
              <a:rPr lang="es-ES" sz="1200" b="1" baseline="0"/>
              <a:t> emissions (Gg CO2 eq)</a:t>
            </a:r>
            <a:endParaRPr lang="es-ES" sz="12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'EE RoM'!$A$53:$D$53</c:f>
              <c:strCache>
                <c:ptCount val="1"/>
                <c:pt idx="0">
                  <c:v>SUGAR INDUSTRY</c:v>
                </c:pt>
              </c:strCache>
            </c:strRef>
          </c:tx>
          <c:spPr>
            <a:solidFill>
              <a:schemeClr val="accent1"/>
            </a:solidFill>
            <a:ln>
              <a:noFill/>
            </a:ln>
            <a:effectLst/>
          </c:spPr>
          <c:invertIfNegative val="0"/>
          <c:cat>
            <c:numRef>
              <c:f>'EE RoM'!$A$56:$A$72</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'EE RoM'!$C$56:$C$72</c:f>
              <c:numCache>
                <c:formatCode>#,##0.00</c:formatCode>
                <c:ptCount val="17"/>
                <c:pt idx="0">
                  <c:v>71.73041400000001</c:v>
                </c:pt>
                <c:pt idx="1">
                  <c:v>81.345221999999993</c:v>
                </c:pt>
                <c:pt idx="2">
                  <c:v>65.631762000000009</c:v>
                </c:pt>
                <c:pt idx="3">
                  <c:v>67.681529999999995</c:v>
                </c:pt>
                <c:pt idx="4">
                  <c:v>72.111816000000005</c:v>
                </c:pt>
                <c:pt idx="5">
                  <c:v>65.49681600000001</c:v>
                </c:pt>
                <c:pt idx="6">
                  <c:v>63.611981999999998</c:v>
                </c:pt>
                <c:pt idx="7">
                  <c:v>54.932471999999997</c:v>
                </c:pt>
                <c:pt idx="8">
                  <c:v>56.959811999999999</c:v>
                </c:pt>
                <c:pt idx="9">
                  <c:v>58.871483999999995</c:v>
                </c:pt>
                <c:pt idx="10">
                  <c:v>57.011598000000006</c:v>
                </c:pt>
                <c:pt idx="11">
                  <c:v>54.849060000000001</c:v>
                </c:pt>
                <c:pt idx="12">
                  <c:v>51.559199999999997</c:v>
                </c:pt>
                <c:pt idx="13">
                  <c:v>50.993837999999997</c:v>
                </c:pt>
                <c:pt idx="14">
                  <c:v>50.421798000000003</c:v>
                </c:pt>
                <c:pt idx="15">
                  <c:v>46.124804628000007</c:v>
                </c:pt>
                <c:pt idx="16">
                  <c:v>48.670934129999992</c:v>
                </c:pt>
              </c:numCache>
            </c:numRef>
          </c:val>
          <c:extLst>
            <c:ext xmlns:c16="http://schemas.microsoft.com/office/drawing/2014/chart" uri="{C3380CC4-5D6E-409C-BE32-E72D297353CC}">
              <c16:uniqueId val="{00000000-36DE-4A89-AEC9-430E9CBBD661}"/>
            </c:ext>
          </c:extLst>
        </c:ser>
        <c:ser>
          <c:idx val="1"/>
          <c:order val="1"/>
          <c:tx>
            <c:strRef>
              <c:f>'EE RoM'!$F$53:$I$53</c:f>
              <c:strCache>
                <c:ptCount val="1"/>
                <c:pt idx="0">
                  <c:v>POULTRY INDUSTRY</c:v>
                </c:pt>
              </c:strCache>
            </c:strRef>
          </c:tx>
          <c:spPr>
            <a:solidFill>
              <a:schemeClr val="accent2"/>
            </a:solidFill>
            <a:ln>
              <a:noFill/>
            </a:ln>
            <a:effectLst/>
          </c:spPr>
          <c:invertIfNegative val="0"/>
          <c:cat>
            <c:numRef>
              <c:f>'EE RoM'!$A$56:$A$72</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'EE RoM'!$H$56:$H$72</c:f>
              <c:numCache>
                <c:formatCode>#,##0.00</c:formatCode>
                <c:ptCount val="17"/>
                <c:pt idx="0">
                  <c:v>3.9135839400000001</c:v>
                </c:pt>
                <c:pt idx="1">
                  <c:v>3.9135839400000001</c:v>
                </c:pt>
                <c:pt idx="2">
                  <c:v>3.9135839400000001</c:v>
                </c:pt>
                <c:pt idx="3">
                  <c:v>3.9135839400000001</c:v>
                </c:pt>
                <c:pt idx="4">
                  <c:v>3.9135839400000001</c:v>
                </c:pt>
                <c:pt idx="5">
                  <c:v>3.9135839400000001</c:v>
                </c:pt>
                <c:pt idx="6">
                  <c:v>3.9135839400000001</c:v>
                </c:pt>
                <c:pt idx="7">
                  <c:v>4.4278605000000004</c:v>
                </c:pt>
                <c:pt idx="8">
                  <c:v>3.9822299999999999</c:v>
                </c:pt>
                <c:pt idx="9">
                  <c:v>4.1718599999999997</c:v>
                </c:pt>
                <c:pt idx="10">
                  <c:v>4.4183789999999998</c:v>
                </c:pt>
                <c:pt idx="11">
                  <c:v>4.4563050000000004</c:v>
                </c:pt>
                <c:pt idx="12">
                  <c:v>4.4752679999999998</c:v>
                </c:pt>
                <c:pt idx="13">
                  <c:v>4.4278605000000004</c:v>
                </c:pt>
                <c:pt idx="14">
                  <c:v>4.41363825</c:v>
                </c:pt>
                <c:pt idx="15">
                  <c:v>4.3994160000000004</c:v>
                </c:pt>
                <c:pt idx="16">
                  <c:v>4.3425270000000005</c:v>
                </c:pt>
              </c:numCache>
            </c:numRef>
          </c:val>
          <c:extLst>
            <c:ext xmlns:c16="http://schemas.microsoft.com/office/drawing/2014/chart" uri="{C3380CC4-5D6E-409C-BE32-E72D297353CC}">
              <c16:uniqueId val="{00000001-36DE-4A89-AEC9-430E9CBBD661}"/>
            </c:ext>
          </c:extLst>
        </c:ser>
        <c:ser>
          <c:idx val="2"/>
          <c:order val="2"/>
          <c:tx>
            <c:strRef>
              <c:f>'EE RoM'!$K$53:$N$53</c:f>
              <c:strCache>
                <c:ptCount val="1"/>
                <c:pt idx="0">
                  <c:v>BEER AND STOUT</c:v>
                </c:pt>
              </c:strCache>
            </c:strRef>
          </c:tx>
          <c:spPr>
            <a:solidFill>
              <a:schemeClr val="accent3"/>
            </a:solidFill>
            <a:ln>
              <a:noFill/>
            </a:ln>
            <a:effectLst/>
          </c:spPr>
          <c:invertIfNegative val="0"/>
          <c:cat>
            <c:numRef>
              <c:f>'EE RoM'!$A$56:$A$72</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'EE RoM'!$M$56:$M$72</c:f>
              <c:numCache>
                <c:formatCode>#,##0.00</c:formatCode>
                <c:ptCount val="17"/>
                <c:pt idx="0">
                  <c:v>2.1506621850000007</c:v>
                </c:pt>
                <c:pt idx="1">
                  <c:v>2.1506621850000007</c:v>
                </c:pt>
                <c:pt idx="2">
                  <c:v>2.1506621850000007</c:v>
                </c:pt>
                <c:pt idx="3">
                  <c:v>2.1506621850000007</c:v>
                </c:pt>
                <c:pt idx="4">
                  <c:v>2.1506621850000007</c:v>
                </c:pt>
                <c:pt idx="5">
                  <c:v>2.1506621850000007</c:v>
                </c:pt>
                <c:pt idx="6">
                  <c:v>2.1506621850000007</c:v>
                </c:pt>
                <c:pt idx="7">
                  <c:v>2.1506621850000007</c:v>
                </c:pt>
                <c:pt idx="8">
                  <c:v>2.1506621850000007</c:v>
                </c:pt>
                <c:pt idx="9">
                  <c:v>2.1506621850000007</c:v>
                </c:pt>
                <c:pt idx="10">
                  <c:v>2.1506621850000007</c:v>
                </c:pt>
                <c:pt idx="11">
                  <c:v>2.1506621850000007</c:v>
                </c:pt>
                <c:pt idx="12">
                  <c:v>2.1210236774999998</c:v>
                </c:pt>
                <c:pt idx="13">
                  <c:v>2.0913851700000001</c:v>
                </c:pt>
                <c:pt idx="14">
                  <c:v>2.0617466625</c:v>
                </c:pt>
                <c:pt idx="15">
                  <c:v>2.032108155</c:v>
                </c:pt>
                <c:pt idx="16">
                  <c:v>2.0758465350000006</c:v>
                </c:pt>
              </c:numCache>
            </c:numRef>
          </c:val>
          <c:extLst>
            <c:ext xmlns:c16="http://schemas.microsoft.com/office/drawing/2014/chart" uri="{C3380CC4-5D6E-409C-BE32-E72D297353CC}">
              <c16:uniqueId val="{00000002-36DE-4A89-AEC9-430E9CBBD661}"/>
            </c:ext>
          </c:extLst>
        </c:ser>
        <c:dLbls>
          <c:showLegendKey val="0"/>
          <c:showVal val="0"/>
          <c:showCatName val="0"/>
          <c:showSerName val="0"/>
          <c:showPercent val="0"/>
          <c:showBubbleSize val="0"/>
        </c:dLbls>
        <c:gapWidth val="150"/>
        <c:axId val="197369407"/>
        <c:axId val="197378975"/>
      </c:barChart>
      <c:lineChart>
        <c:grouping val="standard"/>
        <c:varyColors val="0"/>
        <c:ser>
          <c:idx val="3"/>
          <c:order val="3"/>
          <c:tx>
            <c:strRef>
              <c:f>'EE RoM'!$P$53:$R$53</c:f>
              <c:strCache>
                <c:ptCount val="1"/>
                <c:pt idx="0">
                  <c:v>TOTAL</c:v>
                </c:pt>
              </c:strCache>
            </c:strRef>
          </c:tx>
          <c:spPr>
            <a:ln w="28575" cap="rnd">
              <a:solidFill>
                <a:schemeClr val="accent4"/>
              </a:solidFill>
              <a:round/>
            </a:ln>
            <a:effectLst/>
          </c:spPr>
          <c:marker>
            <c:symbol val="none"/>
          </c:marker>
          <c:cat>
            <c:numRef>
              <c:f>'EE RoM'!$A$56:$A$72</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'EE RoM'!$R$56:$R$72</c:f>
              <c:numCache>
                <c:formatCode>#,##0.00</c:formatCode>
                <c:ptCount val="17"/>
                <c:pt idx="0">
                  <c:v>77.794660124999993</c:v>
                </c:pt>
                <c:pt idx="1">
                  <c:v>87.409468125000004</c:v>
                </c:pt>
                <c:pt idx="2">
                  <c:v>71.696008124999992</c:v>
                </c:pt>
                <c:pt idx="3">
                  <c:v>73.745776124999992</c:v>
                </c:pt>
                <c:pt idx="4">
                  <c:v>78.176062125000001</c:v>
                </c:pt>
                <c:pt idx="5">
                  <c:v>71.561062124999992</c:v>
                </c:pt>
                <c:pt idx="6">
                  <c:v>69.676228124999994</c:v>
                </c:pt>
                <c:pt idx="7">
                  <c:v>61.510994685</c:v>
                </c:pt>
                <c:pt idx="8">
                  <c:v>63.092704184999995</c:v>
                </c:pt>
                <c:pt idx="9">
                  <c:v>65.194006184999992</c:v>
                </c:pt>
                <c:pt idx="10">
                  <c:v>63.580639185000003</c:v>
                </c:pt>
                <c:pt idx="11">
                  <c:v>61.456027184999996</c:v>
                </c:pt>
                <c:pt idx="12">
                  <c:v>58.155491677500002</c:v>
                </c:pt>
                <c:pt idx="13">
                  <c:v>57.51308367</c:v>
                </c:pt>
                <c:pt idx="14">
                  <c:v>56.897182912499993</c:v>
                </c:pt>
                <c:pt idx="15">
                  <c:v>52.556328782999998</c:v>
                </c:pt>
                <c:pt idx="16">
                  <c:v>55.089307664999993</c:v>
                </c:pt>
              </c:numCache>
            </c:numRef>
          </c:val>
          <c:smooth val="0"/>
          <c:extLst>
            <c:ext xmlns:c16="http://schemas.microsoft.com/office/drawing/2014/chart" uri="{C3380CC4-5D6E-409C-BE32-E72D297353CC}">
              <c16:uniqueId val="{00000003-36DE-4A89-AEC9-430E9CBBD661}"/>
            </c:ext>
          </c:extLst>
        </c:ser>
        <c:dLbls>
          <c:showLegendKey val="0"/>
          <c:showVal val="0"/>
          <c:showCatName val="0"/>
          <c:showSerName val="0"/>
          <c:showPercent val="0"/>
          <c:showBubbleSize val="0"/>
        </c:dLbls>
        <c:marker val="1"/>
        <c:smooth val="0"/>
        <c:axId val="197369407"/>
        <c:axId val="197378975"/>
      </c:lineChart>
      <c:catAx>
        <c:axId val="197369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ES"/>
          </a:p>
        </c:txPr>
        <c:crossAx val="197378975"/>
        <c:crosses val="autoZero"/>
        <c:auto val="1"/>
        <c:lblAlgn val="ctr"/>
        <c:lblOffset val="100"/>
        <c:noMultiLvlLbl val="0"/>
      </c:catAx>
      <c:valAx>
        <c:axId val="197378975"/>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ES"/>
          </a:p>
        </c:txPr>
        <c:crossAx val="1973694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Percentage</a:t>
            </a:r>
            <a:r>
              <a:rPr lang="es-ES" baseline="0"/>
              <a:t> per sector</a:t>
            </a:r>
            <a:endParaRPr lang="es-E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stacked"/>
        <c:varyColors val="0"/>
        <c:ser>
          <c:idx val="0"/>
          <c:order val="0"/>
          <c:tx>
            <c:strRef>
              <c:f>'EE RoM'!$D$100</c:f>
              <c:strCache>
                <c:ptCount val="1"/>
                <c:pt idx="0">
                  <c:v>4.A - Solid Waste Disposal</c:v>
                </c:pt>
              </c:strCache>
            </c:strRef>
          </c:tx>
          <c:spPr>
            <a:solidFill>
              <a:schemeClr val="accent1"/>
            </a:solidFill>
            <a:ln>
              <a:noFill/>
            </a:ln>
            <a:effectLst/>
          </c:spPr>
          <c:invertIfNegative val="0"/>
          <c:cat>
            <c:numRef>
              <c:f>'EE RoM'!$C$101:$C$117</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'EE RoM'!$D$101:$D$117</c:f>
              <c:numCache>
                <c:formatCode>0.00%</c:formatCode>
                <c:ptCount val="17"/>
                <c:pt idx="0">
                  <c:v>0.6294449890725996</c:v>
                </c:pt>
                <c:pt idx="1">
                  <c:v>0.62099980074555938</c:v>
                </c:pt>
                <c:pt idx="2">
                  <c:v>0.6451367536216589</c:v>
                </c:pt>
                <c:pt idx="3">
                  <c:v>0.6514586040512752</c:v>
                </c:pt>
                <c:pt idx="4">
                  <c:v>0.65303985042403001</c:v>
                </c:pt>
                <c:pt idx="5">
                  <c:v>0.66690650060440715</c:v>
                </c:pt>
                <c:pt idx="6">
                  <c:v>0.68564148728315899</c:v>
                </c:pt>
                <c:pt idx="7">
                  <c:v>0.69969135018544382</c:v>
                </c:pt>
                <c:pt idx="8">
                  <c:v>0.70165733031049748</c:v>
                </c:pt>
                <c:pt idx="9">
                  <c:v>0.67798688088362125</c:v>
                </c:pt>
                <c:pt idx="10">
                  <c:v>0.69588743139824316</c:v>
                </c:pt>
                <c:pt idx="11">
                  <c:v>0.69251570904738535</c:v>
                </c:pt>
                <c:pt idx="12">
                  <c:v>0.6905841861118327</c:v>
                </c:pt>
                <c:pt idx="13">
                  <c:v>0.68400800959963604</c:v>
                </c:pt>
                <c:pt idx="14">
                  <c:v>0.68331328796471147</c:v>
                </c:pt>
                <c:pt idx="15">
                  <c:v>0.68162165697058219</c:v>
                </c:pt>
                <c:pt idx="16">
                  <c:v>0.68090329963361473</c:v>
                </c:pt>
              </c:numCache>
            </c:numRef>
          </c:val>
          <c:extLst>
            <c:ext xmlns:c16="http://schemas.microsoft.com/office/drawing/2014/chart" uri="{C3380CC4-5D6E-409C-BE32-E72D297353CC}">
              <c16:uniqueId val="{00000000-A4F6-4F1F-B15D-E0E8E9CA0BE3}"/>
            </c:ext>
          </c:extLst>
        </c:ser>
        <c:ser>
          <c:idx val="1"/>
          <c:order val="1"/>
          <c:tx>
            <c:strRef>
              <c:f>'EE RoM'!$E$100</c:f>
              <c:strCache>
                <c:ptCount val="1"/>
                <c:pt idx="0">
                  <c:v>4.B - Biological Treatment of Solid Waste</c:v>
                </c:pt>
              </c:strCache>
            </c:strRef>
          </c:tx>
          <c:spPr>
            <a:solidFill>
              <a:schemeClr val="accent2"/>
            </a:solidFill>
            <a:ln>
              <a:noFill/>
            </a:ln>
            <a:effectLst/>
          </c:spPr>
          <c:invertIfNegative val="0"/>
          <c:cat>
            <c:numRef>
              <c:f>'EE RoM'!$C$101:$C$117</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'EE RoM'!$E$101:$E$117</c:f>
              <c:numCache>
                <c:formatCode>0.00%</c:formatCode>
                <c:ptCount val="17"/>
                <c:pt idx="0">
                  <c:v>0</c:v>
                </c:pt>
                <c:pt idx="1">
                  <c:v>0</c:v>
                </c:pt>
                <c:pt idx="2">
                  <c:v>0</c:v>
                </c:pt>
                <c:pt idx="3">
                  <c:v>0</c:v>
                </c:pt>
                <c:pt idx="4">
                  <c:v>0</c:v>
                </c:pt>
                <c:pt idx="5">
                  <c:v>0</c:v>
                </c:pt>
                <c:pt idx="6">
                  <c:v>0</c:v>
                </c:pt>
                <c:pt idx="7">
                  <c:v>0</c:v>
                </c:pt>
                <c:pt idx="8">
                  <c:v>0</c:v>
                </c:pt>
                <c:pt idx="9">
                  <c:v>0</c:v>
                </c:pt>
                <c:pt idx="10">
                  <c:v>0</c:v>
                </c:pt>
                <c:pt idx="11">
                  <c:v>1.2588214019990688E-3</c:v>
                </c:pt>
                <c:pt idx="12">
                  <c:v>8.6167983826073036E-3</c:v>
                </c:pt>
                <c:pt idx="13">
                  <c:v>4.9962826676979329E-3</c:v>
                </c:pt>
                <c:pt idx="14">
                  <c:v>1.0617861782765399E-2</c:v>
                </c:pt>
                <c:pt idx="15">
                  <c:v>1.0159812070056192E-2</c:v>
                </c:pt>
                <c:pt idx="16">
                  <c:v>1.0217533633813374E-2</c:v>
                </c:pt>
              </c:numCache>
            </c:numRef>
          </c:val>
          <c:extLst>
            <c:ext xmlns:c16="http://schemas.microsoft.com/office/drawing/2014/chart" uri="{C3380CC4-5D6E-409C-BE32-E72D297353CC}">
              <c16:uniqueId val="{00000001-A4F6-4F1F-B15D-E0E8E9CA0BE3}"/>
            </c:ext>
          </c:extLst>
        </c:ser>
        <c:ser>
          <c:idx val="2"/>
          <c:order val="2"/>
          <c:tx>
            <c:strRef>
              <c:f>'EE RoM'!$F$100</c:f>
              <c:strCache>
                <c:ptCount val="1"/>
                <c:pt idx="0">
                  <c:v>4.C - Incineration and Open Burning of Waste</c:v>
                </c:pt>
              </c:strCache>
            </c:strRef>
          </c:tx>
          <c:spPr>
            <a:solidFill>
              <a:schemeClr val="accent3"/>
            </a:solidFill>
            <a:ln>
              <a:noFill/>
            </a:ln>
            <a:effectLst/>
          </c:spPr>
          <c:invertIfNegative val="0"/>
          <c:cat>
            <c:numRef>
              <c:f>'EE RoM'!$C$101:$C$117</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'EE RoM'!$F$101:$F$117</c:f>
              <c:numCache>
                <c:formatCode>0.00%</c:formatCode>
                <c:ptCount val="17"/>
                <c:pt idx="0">
                  <c:v>1.0069813831856073E-3</c:v>
                </c:pt>
                <c:pt idx="1">
                  <c:v>9.6045869549482316E-4</c:v>
                </c:pt>
                <c:pt idx="2">
                  <c:v>9.7439236194796252E-4</c:v>
                </c:pt>
                <c:pt idx="3">
                  <c:v>8.7452420804199997E-4</c:v>
                </c:pt>
                <c:pt idx="4">
                  <c:v>8.5413571917772844E-4</c:v>
                </c:pt>
                <c:pt idx="5">
                  <c:v>8.4319607971893625E-4</c:v>
                </c:pt>
                <c:pt idx="6">
                  <c:v>8.7242886373122366E-4</c:v>
                </c:pt>
                <c:pt idx="7">
                  <c:v>8.3476836631085768E-4</c:v>
                </c:pt>
                <c:pt idx="8">
                  <c:v>8.3720717426751803E-4</c:v>
                </c:pt>
                <c:pt idx="9">
                  <c:v>8.561700015625865E-4</c:v>
                </c:pt>
                <c:pt idx="10">
                  <c:v>8.310852172621594E-4</c:v>
                </c:pt>
                <c:pt idx="11">
                  <c:v>8.7620330716905851E-4</c:v>
                </c:pt>
                <c:pt idx="12">
                  <c:v>8.8866711187530415E-4</c:v>
                </c:pt>
                <c:pt idx="13">
                  <c:v>9.6255549285454713E-4</c:v>
                </c:pt>
                <c:pt idx="14">
                  <c:v>1.0838089659991551E-3</c:v>
                </c:pt>
                <c:pt idx="15">
                  <c:v>1.2483861167205273E-3</c:v>
                </c:pt>
                <c:pt idx="16">
                  <c:v>1.2452570704059162E-3</c:v>
                </c:pt>
              </c:numCache>
            </c:numRef>
          </c:val>
          <c:extLst>
            <c:ext xmlns:c16="http://schemas.microsoft.com/office/drawing/2014/chart" uri="{C3380CC4-5D6E-409C-BE32-E72D297353CC}">
              <c16:uniqueId val="{00000002-A4F6-4F1F-B15D-E0E8E9CA0BE3}"/>
            </c:ext>
          </c:extLst>
        </c:ser>
        <c:ser>
          <c:idx val="3"/>
          <c:order val="3"/>
          <c:tx>
            <c:strRef>
              <c:f>'EE RoM'!$G$100</c:f>
              <c:strCache>
                <c:ptCount val="1"/>
                <c:pt idx="0">
                  <c:v>4.D - Wastewater Treatment and Discharge</c:v>
                </c:pt>
              </c:strCache>
            </c:strRef>
          </c:tx>
          <c:spPr>
            <a:solidFill>
              <a:schemeClr val="accent4"/>
            </a:solidFill>
            <a:ln>
              <a:noFill/>
            </a:ln>
            <a:effectLst/>
          </c:spPr>
          <c:invertIfNegative val="0"/>
          <c:cat>
            <c:numRef>
              <c:f>'EE RoM'!$C$101:$C$117</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'EE RoM'!$G$101:$G$117</c:f>
              <c:numCache>
                <c:formatCode>0.00%</c:formatCode>
                <c:ptCount val="17"/>
                <c:pt idx="0">
                  <c:v>0.36954802954421467</c:v>
                </c:pt>
                <c:pt idx="1">
                  <c:v>0.3780397405589459</c:v>
                </c:pt>
                <c:pt idx="2">
                  <c:v>0.35388885401639308</c:v>
                </c:pt>
                <c:pt idx="3">
                  <c:v>0.34766687174068289</c:v>
                </c:pt>
                <c:pt idx="4">
                  <c:v>0.34610601385679235</c:v>
                </c:pt>
                <c:pt idx="5">
                  <c:v>0.33225030331587391</c:v>
                </c:pt>
                <c:pt idx="6">
                  <c:v>0.31348608385310989</c:v>
                </c:pt>
                <c:pt idx="7">
                  <c:v>0.29947388144824527</c:v>
                </c:pt>
                <c:pt idx="8">
                  <c:v>0.29750546251523508</c:v>
                </c:pt>
                <c:pt idx="9">
                  <c:v>0.32115694911481629</c:v>
                </c:pt>
                <c:pt idx="10">
                  <c:v>0.30328148338449468</c:v>
                </c:pt>
                <c:pt idx="11">
                  <c:v>0.30534926624344649</c:v>
                </c:pt>
                <c:pt idx="12">
                  <c:v>0.29991034839368463</c:v>
                </c:pt>
                <c:pt idx="13">
                  <c:v>0.31003315223981159</c:v>
                </c:pt>
                <c:pt idx="14">
                  <c:v>0.30498504128652415</c:v>
                </c:pt>
                <c:pt idx="15">
                  <c:v>0.30697014484264107</c:v>
                </c:pt>
                <c:pt idx="16">
                  <c:v>0.30763390966216586</c:v>
                </c:pt>
              </c:numCache>
            </c:numRef>
          </c:val>
          <c:extLst>
            <c:ext xmlns:c16="http://schemas.microsoft.com/office/drawing/2014/chart" uri="{C3380CC4-5D6E-409C-BE32-E72D297353CC}">
              <c16:uniqueId val="{00000003-A4F6-4F1F-B15D-E0E8E9CA0BE3}"/>
            </c:ext>
          </c:extLst>
        </c:ser>
        <c:dLbls>
          <c:showLegendKey val="0"/>
          <c:showVal val="0"/>
          <c:showCatName val="0"/>
          <c:showSerName val="0"/>
          <c:showPercent val="0"/>
          <c:showBubbleSize val="0"/>
        </c:dLbls>
        <c:gapWidth val="150"/>
        <c:overlap val="100"/>
        <c:axId val="599432031"/>
        <c:axId val="599451999"/>
      </c:barChart>
      <c:catAx>
        <c:axId val="5994320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99451999"/>
        <c:crosses val="autoZero"/>
        <c:auto val="1"/>
        <c:lblAlgn val="ctr"/>
        <c:lblOffset val="100"/>
        <c:noMultiLvlLbl val="0"/>
      </c:catAx>
      <c:valAx>
        <c:axId val="599451999"/>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99432031"/>
        <c:crosses val="autoZero"/>
        <c:crossBetween val="between"/>
      </c:valAx>
      <c:spPr>
        <a:noFill/>
        <a:ln>
          <a:noFill/>
        </a:ln>
        <a:effectLst/>
      </c:spPr>
    </c:plotArea>
    <c:legend>
      <c:legendPos val="b"/>
      <c:layout>
        <c:manualLayout>
          <c:xMode val="edge"/>
          <c:yMode val="edge"/>
          <c:x val="0.13765924229759535"/>
          <c:y val="0.88752688953774428"/>
          <c:w val="0.76052470287079477"/>
          <c:h val="9.483037856162650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Waste sector emissions (Gg CO2 eq)</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areaChart>
        <c:grouping val="stacked"/>
        <c:varyColors val="0"/>
        <c:ser>
          <c:idx val="0"/>
          <c:order val="0"/>
          <c:tx>
            <c:strRef>
              <c:f>'EE RoM'!$D$80</c:f>
              <c:strCache>
                <c:ptCount val="1"/>
                <c:pt idx="0">
                  <c:v>4.A - Solid Waste Disposal</c:v>
                </c:pt>
              </c:strCache>
            </c:strRef>
          </c:tx>
          <c:spPr>
            <a:solidFill>
              <a:schemeClr val="accent1"/>
            </a:solidFill>
            <a:ln>
              <a:noFill/>
            </a:ln>
            <a:effectLst/>
          </c:spPr>
          <c:cat>
            <c:numRef>
              <c:f>'EE RoM'!$C$81:$C$97</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'EE RoM'!$D$81:$D$97</c:f>
              <c:numCache>
                <c:formatCode>#,##0.00</c:formatCode>
                <c:ptCount val="17"/>
                <c:pt idx="0">
                  <c:v>352.64523000000003</c:v>
                </c:pt>
                <c:pt idx="1">
                  <c:v>356.95400999999998</c:v>
                </c:pt>
                <c:pt idx="2">
                  <c:v>370.03490999999997</c:v>
                </c:pt>
                <c:pt idx="3">
                  <c:v>386.47224</c:v>
                </c:pt>
                <c:pt idx="4">
                  <c:v>400.09598999999997</c:v>
                </c:pt>
                <c:pt idx="5">
                  <c:v>413.28020999999995</c:v>
                </c:pt>
                <c:pt idx="6">
                  <c:v>430.84775999999999</c:v>
                </c:pt>
                <c:pt idx="7">
                  <c:v>443.77199999999999</c:v>
                </c:pt>
                <c:pt idx="8">
                  <c:v>450.69213000000002</c:v>
                </c:pt>
                <c:pt idx="9">
                  <c:v>410.47692000000001</c:v>
                </c:pt>
                <c:pt idx="10">
                  <c:v>440.99432999999999</c:v>
                </c:pt>
                <c:pt idx="11">
                  <c:v>449.12279999999998</c:v>
                </c:pt>
                <c:pt idx="12">
                  <c:v>441.58863000000002</c:v>
                </c:pt>
                <c:pt idx="13">
                  <c:v>417.5976</c:v>
                </c:pt>
                <c:pt idx="14">
                  <c:v>418.27379999999999</c:v>
                </c:pt>
                <c:pt idx="15">
                  <c:v>403.60487999999998</c:v>
                </c:pt>
                <c:pt idx="16">
                  <c:v>404.37473999999997</c:v>
                </c:pt>
              </c:numCache>
            </c:numRef>
          </c:val>
          <c:extLst>
            <c:ext xmlns:c16="http://schemas.microsoft.com/office/drawing/2014/chart" uri="{C3380CC4-5D6E-409C-BE32-E72D297353CC}">
              <c16:uniqueId val="{00000000-BF1C-4B4E-95C4-B203E3C92F97}"/>
            </c:ext>
          </c:extLst>
        </c:ser>
        <c:ser>
          <c:idx val="1"/>
          <c:order val="1"/>
          <c:tx>
            <c:strRef>
              <c:f>'EE RoM'!$E$80</c:f>
              <c:strCache>
                <c:ptCount val="1"/>
                <c:pt idx="0">
                  <c:v>4.B - Biological Treatment of Solid Waste</c:v>
                </c:pt>
              </c:strCache>
            </c:strRef>
          </c:tx>
          <c:spPr>
            <a:solidFill>
              <a:schemeClr val="accent2"/>
            </a:solidFill>
            <a:ln>
              <a:noFill/>
            </a:ln>
            <a:effectLst/>
          </c:spPr>
          <c:cat>
            <c:numRef>
              <c:f>'EE RoM'!$C$81:$C$97</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'EE RoM'!$E$81:$E$97</c:f>
              <c:numCache>
                <c:formatCode>#,##0.00</c:formatCode>
                <c:ptCount val="17"/>
                <c:pt idx="0">
                  <c:v>0</c:v>
                </c:pt>
                <c:pt idx="1">
                  <c:v>0</c:v>
                </c:pt>
                <c:pt idx="2">
                  <c:v>0</c:v>
                </c:pt>
                <c:pt idx="3">
                  <c:v>0</c:v>
                </c:pt>
                <c:pt idx="4">
                  <c:v>0</c:v>
                </c:pt>
                <c:pt idx="5">
                  <c:v>0</c:v>
                </c:pt>
                <c:pt idx="6">
                  <c:v>0</c:v>
                </c:pt>
                <c:pt idx="7">
                  <c:v>0</c:v>
                </c:pt>
                <c:pt idx="8">
                  <c:v>0</c:v>
                </c:pt>
                <c:pt idx="9">
                  <c:v>0</c:v>
                </c:pt>
                <c:pt idx="10">
                  <c:v>0</c:v>
                </c:pt>
                <c:pt idx="11">
                  <c:v>0.81639359999999994</c:v>
                </c:pt>
                <c:pt idx="12">
                  <c:v>5.5099439999999991</c:v>
                </c:pt>
                <c:pt idx="13">
                  <c:v>3.0503087999999998</c:v>
                </c:pt>
                <c:pt idx="14">
                  <c:v>6.4994687999999998</c:v>
                </c:pt>
                <c:pt idx="15">
                  <c:v>6.0158735999999999</c:v>
                </c:pt>
                <c:pt idx="16">
                  <c:v>6.0679871999999992</c:v>
                </c:pt>
              </c:numCache>
            </c:numRef>
          </c:val>
          <c:extLst>
            <c:ext xmlns:c16="http://schemas.microsoft.com/office/drawing/2014/chart" uri="{C3380CC4-5D6E-409C-BE32-E72D297353CC}">
              <c16:uniqueId val="{00000001-BF1C-4B4E-95C4-B203E3C92F97}"/>
            </c:ext>
          </c:extLst>
        </c:ser>
        <c:ser>
          <c:idx val="2"/>
          <c:order val="2"/>
          <c:tx>
            <c:strRef>
              <c:f>'EE RoM'!$F$80</c:f>
              <c:strCache>
                <c:ptCount val="1"/>
                <c:pt idx="0">
                  <c:v>4.C - Incineration and Open Burning of Waste</c:v>
                </c:pt>
              </c:strCache>
            </c:strRef>
          </c:tx>
          <c:spPr>
            <a:solidFill>
              <a:schemeClr val="accent3"/>
            </a:solidFill>
            <a:ln>
              <a:noFill/>
            </a:ln>
            <a:effectLst/>
          </c:spPr>
          <c:cat>
            <c:numRef>
              <c:f>'EE RoM'!$C$81:$C$97</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'EE RoM'!$F$81:$F$97</c:f>
              <c:numCache>
                <c:formatCode>#,##0.00</c:formatCode>
                <c:ptCount val="17"/>
                <c:pt idx="0">
                  <c:v>0.56415920000000008</c:v>
                </c:pt>
                <c:pt idx="1">
                  <c:v>0.55207680000000003</c:v>
                </c:pt>
                <c:pt idx="2">
                  <c:v>0.55888800000000005</c:v>
                </c:pt>
                <c:pt idx="3">
                  <c:v>0.51880399999999993</c:v>
                </c:pt>
                <c:pt idx="4">
                  <c:v>0.52330080000000001</c:v>
                </c:pt>
                <c:pt idx="5">
                  <c:v>0.52252639999999995</c:v>
                </c:pt>
                <c:pt idx="6">
                  <c:v>0.54822240000000011</c:v>
                </c:pt>
                <c:pt idx="7">
                  <c:v>0.52944319999999989</c:v>
                </c:pt>
                <c:pt idx="8">
                  <c:v>0.53775919999999999</c:v>
                </c:pt>
                <c:pt idx="9">
                  <c:v>0.51835520000000002</c:v>
                </c:pt>
                <c:pt idx="10">
                  <c:v>0.52667120000000001</c:v>
                </c:pt>
                <c:pt idx="11">
                  <c:v>0.56825120000000007</c:v>
                </c:pt>
                <c:pt idx="12">
                  <c:v>0.56825120000000007</c:v>
                </c:pt>
                <c:pt idx="13">
                  <c:v>0.58765519999999993</c:v>
                </c:pt>
                <c:pt idx="14">
                  <c:v>0.66342760000000001</c:v>
                </c:pt>
                <c:pt idx="15">
                  <c:v>0.73920000000000008</c:v>
                </c:pt>
                <c:pt idx="16">
                  <c:v>0.73953306489997639</c:v>
                </c:pt>
              </c:numCache>
            </c:numRef>
          </c:val>
          <c:extLst>
            <c:ext xmlns:c16="http://schemas.microsoft.com/office/drawing/2014/chart" uri="{C3380CC4-5D6E-409C-BE32-E72D297353CC}">
              <c16:uniqueId val="{00000002-BF1C-4B4E-95C4-B203E3C92F97}"/>
            </c:ext>
          </c:extLst>
        </c:ser>
        <c:ser>
          <c:idx val="3"/>
          <c:order val="3"/>
          <c:tx>
            <c:strRef>
              <c:f>'EE RoM'!$G$80</c:f>
              <c:strCache>
                <c:ptCount val="1"/>
                <c:pt idx="0">
                  <c:v>4.D - Wastewater Treatment and Discharge</c:v>
                </c:pt>
              </c:strCache>
            </c:strRef>
          </c:tx>
          <c:spPr>
            <a:solidFill>
              <a:schemeClr val="accent4"/>
            </a:solidFill>
            <a:ln>
              <a:noFill/>
            </a:ln>
            <a:effectLst/>
          </c:spPr>
          <c:cat>
            <c:numRef>
              <c:f>'EE RoM'!$C$81:$C$97</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'EE RoM'!$G$81:$G$97</c:f>
              <c:numCache>
                <c:formatCode>#,##0.00</c:formatCode>
                <c:ptCount val="17"/>
                <c:pt idx="0">
                  <c:v>207.03850556769697</c:v>
                </c:pt>
                <c:pt idx="1">
                  <c:v>217.2992667145237</c:v>
                </c:pt>
                <c:pt idx="2">
                  <c:v>202.98212667442542</c:v>
                </c:pt>
                <c:pt idx="3">
                  <c:v>206.25039543546941</c:v>
                </c:pt>
                <c:pt idx="4">
                  <c:v>212.04774589035026</c:v>
                </c:pt>
                <c:pt idx="5">
                  <c:v>205.89464190632998</c:v>
                </c:pt>
                <c:pt idx="6">
                  <c:v>196.9903798477483</c:v>
                </c:pt>
                <c:pt idx="7">
                  <c:v>189.93821101665446</c:v>
                </c:pt>
                <c:pt idx="8">
                  <c:v>191.09523238115656</c:v>
                </c:pt>
                <c:pt idx="9">
                  <c:v>194.43962564207072</c:v>
                </c:pt>
                <c:pt idx="10">
                  <c:v>192.19403675364185</c:v>
                </c:pt>
                <c:pt idx="11">
                  <c:v>198.03062319243134</c:v>
                </c:pt>
                <c:pt idx="12">
                  <c:v>191.77531506425657</c:v>
                </c:pt>
                <c:pt idx="13">
                  <c:v>189.28009391521726</c:v>
                </c:pt>
                <c:pt idx="14">
                  <c:v>186.68926012259743</c:v>
                </c:pt>
                <c:pt idx="15">
                  <c:v>181.76454225858598</c:v>
                </c:pt>
                <c:pt idx="16">
                  <c:v>182.69757585513173</c:v>
                </c:pt>
              </c:numCache>
            </c:numRef>
          </c:val>
          <c:extLst>
            <c:ext xmlns:c16="http://schemas.microsoft.com/office/drawing/2014/chart" uri="{C3380CC4-5D6E-409C-BE32-E72D297353CC}">
              <c16:uniqueId val="{00000003-BF1C-4B4E-95C4-B203E3C92F97}"/>
            </c:ext>
          </c:extLst>
        </c:ser>
        <c:dLbls>
          <c:showLegendKey val="0"/>
          <c:showVal val="0"/>
          <c:showCatName val="0"/>
          <c:showSerName val="0"/>
          <c:showPercent val="0"/>
          <c:showBubbleSize val="0"/>
        </c:dLbls>
        <c:axId val="512238687"/>
        <c:axId val="512242847"/>
      </c:areaChart>
      <c:catAx>
        <c:axId val="5122386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12242847"/>
        <c:crosses val="autoZero"/>
        <c:auto val="1"/>
        <c:lblAlgn val="ctr"/>
        <c:lblOffset val="100"/>
        <c:noMultiLvlLbl val="0"/>
      </c:catAx>
      <c:valAx>
        <c:axId val="51224284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12238687"/>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ES" b="1"/>
              <a:t>Composition for 2008-2013</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25D2-4AD3-9DC6-148B585DFF53}"/>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5D2-4AD3-9DC6-148B585DFF53}"/>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25D2-4AD3-9DC6-148B585DFF53}"/>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25D2-4AD3-9DC6-148B585DFF53}"/>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25D2-4AD3-9DC6-148B585DFF53}"/>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25D2-4AD3-9DC6-148B585DFF53}"/>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25D2-4AD3-9DC6-148B585DFF53}"/>
              </c:ext>
            </c:extLst>
          </c:dPt>
          <c:dLbls>
            <c:dLbl>
              <c:idx val="3"/>
              <c:layout>
                <c:manualLayout>
                  <c:x val="-7.6250996666570601E-3"/>
                  <c:y val="1.78518264667524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5D2-4AD3-9DC6-148B585DFF53}"/>
                </c:ext>
              </c:extLst>
            </c:dLbl>
            <c:dLbl>
              <c:idx val="4"/>
              <c:layout>
                <c:manualLayout>
                  <c:x val="-2.4781573916635446E-2"/>
                  <c:y val="-5.355547940025734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5D2-4AD3-9DC6-148B585DFF53}"/>
                </c:ext>
              </c:extLst>
            </c:dLbl>
            <c:dLbl>
              <c:idx val="5"/>
              <c:layout>
                <c:manualLayout>
                  <c:x val="4.3844323083278097E-2"/>
                  <c:y val="-0.1249627852672671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25D2-4AD3-9DC6-148B585DFF53}"/>
                </c:ext>
              </c:extLst>
            </c:dLbl>
            <c:dLbl>
              <c:idx val="6"/>
              <c:layout>
                <c:manualLayout>
                  <c:x val="0.13343924416649852"/>
                  <c:y val="-4.998511410690685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25D2-4AD3-9DC6-148B585DFF53}"/>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E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'AD Mauritius'!$K$4:$Q$4</c:f>
              <c:strCache>
                <c:ptCount val="7"/>
                <c:pt idx="0">
                  <c:v>Food [%]</c:v>
                </c:pt>
                <c:pt idx="1">
                  <c:v>Garden [%]</c:v>
                </c:pt>
                <c:pt idx="2">
                  <c:v>Paper [%]</c:v>
                </c:pt>
                <c:pt idx="3">
                  <c:v>Wood [%]</c:v>
                </c:pt>
                <c:pt idx="4">
                  <c:v>Textile [%]</c:v>
                </c:pt>
                <c:pt idx="5">
                  <c:v>Nappies [%]</c:v>
                </c:pt>
                <c:pt idx="6">
                  <c:v>Plastics, other inert [%]</c:v>
                </c:pt>
              </c:strCache>
            </c:strRef>
          </c:cat>
          <c:val>
            <c:numRef>
              <c:f>'AD Mauritius'!$K$54:$Q$54</c:f>
              <c:numCache>
                <c:formatCode>General</c:formatCode>
                <c:ptCount val="7"/>
                <c:pt idx="0">
                  <c:v>45</c:v>
                </c:pt>
                <c:pt idx="1">
                  <c:v>25</c:v>
                </c:pt>
                <c:pt idx="2">
                  <c:v>10</c:v>
                </c:pt>
                <c:pt idx="3">
                  <c:v>0</c:v>
                </c:pt>
                <c:pt idx="4">
                  <c:v>4</c:v>
                </c:pt>
                <c:pt idx="5">
                  <c:v>0</c:v>
                </c:pt>
                <c:pt idx="6">
                  <c:v>16</c:v>
                </c:pt>
              </c:numCache>
            </c:numRef>
          </c:val>
          <c:extLst>
            <c:ext xmlns:c16="http://schemas.microsoft.com/office/drawing/2014/chart" uri="{C3380CC4-5D6E-409C-BE32-E72D297353CC}">
              <c16:uniqueId val="{0000000E-25D2-4AD3-9DC6-148B585DFF53}"/>
            </c:ext>
          </c:extLst>
        </c:ser>
        <c:dLbls>
          <c:showLegendKey val="0"/>
          <c:showVal val="0"/>
          <c:showCatName val="0"/>
          <c:showSerName val="0"/>
          <c:showPercent val="0"/>
          <c:showBubbleSize val="0"/>
          <c:showLeaderLines val="0"/>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ES" b="1"/>
              <a:t>Composition for 2008-2013</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B72D-46EF-9384-BA194F15CC47}"/>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B72D-46EF-9384-BA194F15CC47}"/>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B72D-46EF-9384-BA194F15CC47}"/>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B72D-46EF-9384-BA194F15CC47}"/>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B72D-46EF-9384-BA194F15CC47}"/>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B72D-46EF-9384-BA194F15CC47}"/>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B72D-46EF-9384-BA194F15CC47}"/>
              </c:ext>
            </c:extLst>
          </c:dPt>
          <c:dLbls>
            <c:dLbl>
              <c:idx val="4"/>
              <c:layout>
                <c:manualLayout>
                  <c:x val="3.81254983332853E-3"/>
                  <c:y val="-0.3320439722815955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B72D-46EF-9384-BA194F15CC47}"/>
                </c:ext>
              </c:extLst>
            </c:dLbl>
            <c:dLbl>
              <c:idx val="5"/>
              <c:layout>
                <c:manualLayout>
                  <c:x val="4.5750597999942362E-2"/>
                  <c:y val="-0.414162374028656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B72D-46EF-9384-BA194F15CC47}"/>
                </c:ext>
              </c:extLst>
            </c:dLbl>
            <c:dLbl>
              <c:idx val="6"/>
              <c:layout>
                <c:manualLayout>
                  <c:x val="0.15250199333314121"/>
                  <c:y val="-9.997022821381372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B72D-46EF-9384-BA194F15CC47}"/>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E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'AD Mauritius'!$K$4:$Q$4</c:f>
              <c:strCache>
                <c:ptCount val="7"/>
                <c:pt idx="0">
                  <c:v>Food [%]</c:v>
                </c:pt>
                <c:pt idx="1">
                  <c:v>Garden [%]</c:v>
                </c:pt>
                <c:pt idx="2">
                  <c:v>Paper [%]</c:v>
                </c:pt>
                <c:pt idx="3">
                  <c:v>Wood [%]</c:v>
                </c:pt>
                <c:pt idx="4">
                  <c:v>Textile [%]</c:v>
                </c:pt>
                <c:pt idx="5">
                  <c:v>Nappies [%]</c:v>
                </c:pt>
                <c:pt idx="6">
                  <c:v>Plastics, other inert [%]</c:v>
                </c:pt>
              </c:strCache>
            </c:strRef>
          </c:cat>
          <c:val>
            <c:numRef>
              <c:f>'AD Mauritius'!$K$59:$Q$59</c:f>
              <c:numCache>
                <c:formatCode>General</c:formatCode>
                <c:ptCount val="7"/>
                <c:pt idx="0">
                  <c:v>27</c:v>
                </c:pt>
                <c:pt idx="1">
                  <c:v>27</c:v>
                </c:pt>
                <c:pt idx="2">
                  <c:v>14</c:v>
                </c:pt>
                <c:pt idx="3">
                  <c:v>0</c:v>
                </c:pt>
                <c:pt idx="4">
                  <c:v>6</c:v>
                </c:pt>
                <c:pt idx="5">
                  <c:v>0</c:v>
                </c:pt>
                <c:pt idx="6">
                  <c:v>26</c:v>
                </c:pt>
              </c:numCache>
            </c:numRef>
          </c:val>
          <c:extLst>
            <c:ext xmlns:c16="http://schemas.microsoft.com/office/drawing/2014/chart" uri="{C3380CC4-5D6E-409C-BE32-E72D297353CC}">
              <c16:uniqueId val="{0000000E-B72D-46EF-9384-BA194F15CC47}"/>
            </c:ext>
          </c:extLst>
        </c:ser>
        <c:dLbls>
          <c:showLegendKey val="0"/>
          <c:showVal val="0"/>
          <c:showCatName val="0"/>
          <c:showSerName val="0"/>
          <c:showPercent val="0"/>
          <c:showBubbleSize val="0"/>
          <c:showLeaderLines val="0"/>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Waste sector emissions (Gg CO2 eq)</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'EE RoM'!$D$80</c:f>
              <c:strCache>
                <c:ptCount val="1"/>
                <c:pt idx="0">
                  <c:v>4.A - Solid Waste Disposal</c:v>
                </c:pt>
              </c:strCache>
            </c:strRef>
          </c:tx>
          <c:spPr>
            <a:solidFill>
              <a:schemeClr val="accent1"/>
            </a:solidFill>
            <a:ln>
              <a:noFill/>
            </a:ln>
            <a:effectLst/>
          </c:spPr>
          <c:invertIfNegative val="0"/>
          <c:cat>
            <c:numRef>
              <c:f>'EE RoM'!$C$81:$C$97</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'EE RoM'!$D$81:$D$97</c:f>
              <c:numCache>
                <c:formatCode>#,##0.00</c:formatCode>
                <c:ptCount val="17"/>
                <c:pt idx="0">
                  <c:v>352.64523000000003</c:v>
                </c:pt>
                <c:pt idx="1">
                  <c:v>356.95400999999998</c:v>
                </c:pt>
                <c:pt idx="2">
                  <c:v>370.03490999999997</c:v>
                </c:pt>
                <c:pt idx="3">
                  <c:v>386.47224</c:v>
                </c:pt>
                <c:pt idx="4">
                  <c:v>400.09598999999997</c:v>
                </c:pt>
                <c:pt idx="5">
                  <c:v>413.28020999999995</c:v>
                </c:pt>
                <c:pt idx="6">
                  <c:v>430.84775999999999</c:v>
                </c:pt>
                <c:pt idx="7">
                  <c:v>443.77199999999999</c:v>
                </c:pt>
                <c:pt idx="8">
                  <c:v>450.69213000000002</c:v>
                </c:pt>
                <c:pt idx="9">
                  <c:v>410.47692000000001</c:v>
                </c:pt>
                <c:pt idx="10">
                  <c:v>440.99432999999999</c:v>
                </c:pt>
                <c:pt idx="11">
                  <c:v>449.12279999999998</c:v>
                </c:pt>
                <c:pt idx="12">
                  <c:v>441.58863000000002</c:v>
                </c:pt>
                <c:pt idx="13">
                  <c:v>417.5976</c:v>
                </c:pt>
                <c:pt idx="14">
                  <c:v>418.27379999999999</c:v>
                </c:pt>
                <c:pt idx="15">
                  <c:v>403.60487999999998</c:v>
                </c:pt>
                <c:pt idx="16">
                  <c:v>404.37473999999997</c:v>
                </c:pt>
              </c:numCache>
            </c:numRef>
          </c:val>
          <c:extLst>
            <c:ext xmlns:c16="http://schemas.microsoft.com/office/drawing/2014/chart" uri="{C3380CC4-5D6E-409C-BE32-E72D297353CC}">
              <c16:uniqueId val="{00000000-5716-416D-98BA-DA1A8E7D02DD}"/>
            </c:ext>
          </c:extLst>
        </c:ser>
        <c:ser>
          <c:idx val="1"/>
          <c:order val="1"/>
          <c:tx>
            <c:strRef>
              <c:f>'EE RoM'!$E$80</c:f>
              <c:strCache>
                <c:ptCount val="1"/>
                <c:pt idx="0">
                  <c:v>4.B - Biological Treatment of Solid Waste</c:v>
                </c:pt>
              </c:strCache>
            </c:strRef>
          </c:tx>
          <c:spPr>
            <a:solidFill>
              <a:schemeClr val="accent2"/>
            </a:solidFill>
            <a:ln>
              <a:noFill/>
            </a:ln>
            <a:effectLst/>
          </c:spPr>
          <c:invertIfNegative val="0"/>
          <c:cat>
            <c:numRef>
              <c:f>'EE RoM'!$C$81:$C$97</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'EE RoM'!$E$81:$E$97</c:f>
              <c:numCache>
                <c:formatCode>#,##0.00</c:formatCode>
                <c:ptCount val="17"/>
                <c:pt idx="0">
                  <c:v>0</c:v>
                </c:pt>
                <c:pt idx="1">
                  <c:v>0</c:v>
                </c:pt>
                <c:pt idx="2">
                  <c:v>0</c:v>
                </c:pt>
                <c:pt idx="3">
                  <c:v>0</c:v>
                </c:pt>
                <c:pt idx="4">
                  <c:v>0</c:v>
                </c:pt>
                <c:pt idx="5">
                  <c:v>0</c:v>
                </c:pt>
                <c:pt idx="6">
                  <c:v>0</c:v>
                </c:pt>
                <c:pt idx="7">
                  <c:v>0</c:v>
                </c:pt>
                <c:pt idx="8">
                  <c:v>0</c:v>
                </c:pt>
                <c:pt idx="9">
                  <c:v>0</c:v>
                </c:pt>
                <c:pt idx="10">
                  <c:v>0</c:v>
                </c:pt>
                <c:pt idx="11">
                  <c:v>0.81639359999999994</c:v>
                </c:pt>
                <c:pt idx="12">
                  <c:v>5.5099439999999991</c:v>
                </c:pt>
                <c:pt idx="13">
                  <c:v>3.0503087999999998</c:v>
                </c:pt>
                <c:pt idx="14">
                  <c:v>6.4994687999999998</c:v>
                </c:pt>
                <c:pt idx="15">
                  <c:v>6.0158735999999999</c:v>
                </c:pt>
                <c:pt idx="16">
                  <c:v>6.0679871999999992</c:v>
                </c:pt>
              </c:numCache>
            </c:numRef>
          </c:val>
          <c:extLst>
            <c:ext xmlns:c16="http://schemas.microsoft.com/office/drawing/2014/chart" uri="{C3380CC4-5D6E-409C-BE32-E72D297353CC}">
              <c16:uniqueId val="{00000001-5716-416D-98BA-DA1A8E7D02DD}"/>
            </c:ext>
          </c:extLst>
        </c:ser>
        <c:ser>
          <c:idx val="2"/>
          <c:order val="2"/>
          <c:tx>
            <c:strRef>
              <c:f>'EE RoM'!$F$80</c:f>
              <c:strCache>
                <c:ptCount val="1"/>
                <c:pt idx="0">
                  <c:v>4.C - Incineration and Open Burning of Waste</c:v>
                </c:pt>
              </c:strCache>
            </c:strRef>
          </c:tx>
          <c:spPr>
            <a:solidFill>
              <a:schemeClr val="accent3"/>
            </a:solidFill>
            <a:ln>
              <a:noFill/>
            </a:ln>
            <a:effectLst/>
          </c:spPr>
          <c:invertIfNegative val="0"/>
          <c:cat>
            <c:numRef>
              <c:f>'EE RoM'!$C$81:$C$97</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'EE RoM'!$F$81:$F$97</c:f>
              <c:numCache>
                <c:formatCode>#,##0.00</c:formatCode>
                <c:ptCount val="17"/>
                <c:pt idx="0">
                  <c:v>0.56415920000000008</c:v>
                </c:pt>
                <c:pt idx="1">
                  <c:v>0.55207680000000003</c:v>
                </c:pt>
                <c:pt idx="2">
                  <c:v>0.55888800000000005</c:v>
                </c:pt>
                <c:pt idx="3">
                  <c:v>0.51880399999999993</c:v>
                </c:pt>
                <c:pt idx="4">
                  <c:v>0.52330080000000001</c:v>
                </c:pt>
                <c:pt idx="5">
                  <c:v>0.52252639999999995</c:v>
                </c:pt>
                <c:pt idx="6">
                  <c:v>0.54822240000000011</c:v>
                </c:pt>
                <c:pt idx="7">
                  <c:v>0.52944319999999989</c:v>
                </c:pt>
                <c:pt idx="8">
                  <c:v>0.53775919999999999</c:v>
                </c:pt>
                <c:pt idx="9">
                  <c:v>0.51835520000000002</c:v>
                </c:pt>
                <c:pt idx="10">
                  <c:v>0.52667120000000001</c:v>
                </c:pt>
                <c:pt idx="11">
                  <c:v>0.56825120000000007</c:v>
                </c:pt>
                <c:pt idx="12">
                  <c:v>0.56825120000000007</c:v>
                </c:pt>
                <c:pt idx="13">
                  <c:v>0.58765519999999993</c:v>
                </c:pt>
                <c:pt idx="14">
                  <c:v>0.66342760000000001</c:v>
                </c:pt>
                <c:pt idx="15">
                  <c:v>0.73920000000000008</c:v>
                </c:pt>
                <c:pt idx="16">
                  <c:v>0.73953306489997639</c:v>
                </c:pt>
              </c:numCache>
            </c:numRef>
          </c:val>
          <c:extLst>
            <c:ext xmlns:c16="http://schemas.microsoft.com/office/drawing/2014/chart" uri="{C3380CC4-5D6E-409C-BE32-E72D297353CC}">
              <c16:uniqueId val="{00000002-5716-416D-98BA-DA1A8E7D02DD}"/>
            </c:ext>
          </c:extLst>
        </c:ser>
        <c:ser>
          <c:idx val="3"/>
          <c:order val="3"/>
          <c:tx>
            <c:strRef>
              <c:f>'EE RoM'!$G$80</c:f>
              <c:strCache>
                <c:ptCount val="1"/>
                <c:pt idx="0">
                  <c:v>4.D - Wastewater Treatment and Discharge</c:v>
                </c:pt>
              </c:strCache>
            </c:strRef>
          </c:tx>
          <c:spPr>
            <a:solidFill>
              <a:schemeClr val="accent4"/>
            </a:solidFill>
            <a:ln>
              <a:noFill/>
            </a:ln>
            <a:effectLst/>
          </c:spPr>
          <c:invertIfNegative val="0"/>
          <c:cat>
            <c:numRef>
              <c:f>'EE RoM'!$C$81:$C$97</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'EE RoM'!$G$81:$G$97</c:f>
              <c:numCache>
                <c:formatCode>#,##0.00</c:formatCode>
                <c:ptCount val="17"/>
                <c:pt idx="0">
                  <c:v>207.03850556769697</c:v>
                </c:pt>
                <c:pt idx="1">
                  <c:v>217.2992667145237</c:v>
                </c:pt>
                <c:pt idx="2">
                  <c:v>202.98212667442542</c:v>
                </c:pt>
                <c:pt idx="3">
                  <c:v>206.25039543546941</c:v>
                </c:pt>
                <c:pt idx="4">
                  <c:v>212.04774589035026</c:v>
                </c:pt>
                <c:pt idx="5">
                  <c:v>205.89464190632998</c:v>
                </c:pt>
                <c:pt idx="6">
                  <c:v>196.9903798477483</c:v>
                </c:pt>
                <c:pt idx="7">
                  <c:v>189.93821101665446</c:v>
                </c:pt>
                <c:pt idx="8">
                  <c:v>191.09523238115656</c:v>
                </c:pt>
                <c:pt idx="9">
                  <c:v>194.43962564207072</c:v>
                </c:pt>
                <c:pt idx="10">
                  <c:v>192.19403675364185</c:v>
                </c:pt>
                <c:pt idx="11">
                  <c:v>198.03062319243134</c:v>
                </c:pt>
                <c:pt idx="12">
                  <c:v>191.77531506425657</c:v>
                </c:pt>
                <c:pt idx="13">
                  <c:v>189.28009391521726</c:v>
                </c:pt>
                <c:pt idx="14">
                  <c:v>186.68926012259743</c:v>
                </c:pt>
                <c:pt idx="15">
                  <c:v>181.76454225858598</c:v>
                </c:pt>
                <c:pt idx="16">
                  <c:v>182.69757585513173</c:v>
                </c:pt>
              </c:numCache>
            </c:numRef>
          </c:val>
          <c:extLst>
            <c:ext xmlns:c16="http://schemas.microsoft.com/office/drawing/2014/chart" uri="{C3380CC4-5D6E-409C-BE32-E72D297353CC}">
              <c16:uniqueId val="{00000003-5716-416D-98BA-DA1A8E7D02DD}"/>
            </c:ext>
          </c:extLst>
        </c:ser>
        <c:dLbls>
          <c:showLegendKey val="0"/>
          <c:showVal val="0"/>
          <c:showCatName val="0"/>
          <c:showSerName val="0"/>
          <c:showPercent val="0"/>
          <c:showBubbleSize val="0"/>
        </c:dLbls>
        <c:gapWidth val="219"/>
        <c:axId val="512238687"/>
        <c:axId val="512242847"/>
      </c:barChart>
      <c:lineChart>
        <c:grouping val="standard"/>
        <c:varyColors val="0"/>
        <c:ser>
          <c:idx val="4"/>
          <c:order val="4"/>
          <c:tx>
            <c:strRef>
              <c:f>'EE RoM'!$H$80</c:f>
              <c:strCache>
                <c:ptCount val="1"/>
                <c:pt idx="0">
                  <c:v>TOTAL SECTOR</c:v>
                </c:pt>
              </c:strCache>
            </c:strRef>
          </c:tx>
          <c:spPr>
            <a:ln w="28575" cap="rnd">
              <a:solidFill>
                <a:schemeClr val="accent5"/>
              </a:solidFill>
              <a:round/>
            </a:ln>
            <a:effectLst/>
          </c:spPr>
          <c:marker>
            <c:symbol val="none"/>
          </c:marker>
          <c:cat>
            <c:numRef>
              <c:f>'EE RoM'!$C$81:$C$97</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'EE RoM'!$H$81:$H$97</c:f>
              <c:numCache>
                <c:formatCode>#,##0.0</c:formatCode>
                <c:ptCount val="17"/>
                <c:pt idx="0">
                  <c:v>560.24789476769706</c:v>
                </c:pt>
                <c:pt idx="1">
                  <c:v>574.80535351452363</c:v>
                </c:pt>
                <c:pt idx="2">
                  <c:v>573.57592467442544</c:v>
                </c:pt>
                <c:pt idx="3">
                  <c:v>593.24143943546937</c:v>
                </c:pt>
                <c:pt idx="4">
                  <c:v>612.66703669035019</c:v>
                </c:pt>
                <c:pt idx="5">
                  <c:v>619.69737830632994</c:v>
                </c:pt>
                <c:pt idx="6">
                  <c:v>628.38636224774825</c:v>
                </c:pt>
                <c:pt idx="7">
                  <c:v>634.23965421665446</c:v>
                </c:pt>
                <c:pt idx="8">
                  <c:v>642.32512158115651</c:v>
                </c:pt>
                <c:pt idx="9">
                  <c:v>605.43490084207065</c:v>
                </c:pt>
                <c:pt idx="10">
                  <c:v>633.71503795364185</c:v>
                </c:pt>
                <c:pt idx="11">
                  <c:v>648.53806799243137</c:v>
                </c:pt>
                <c:pt idx="12">
                  <c:v>639.44214026425664</c:v>
                </c:pt>
                <c:pt idx="13">
                  <c:v>610.51565791521716</c:v>
                </c:pt>
                <c:pt idx="14">
                  <c:v>612.12595652259733</c:v>
                </c:pt>
                <c:pt idx="15">
                  <c:v>592.12449585858599</c:v>
                </c:pt>
                <c:pt idx="16">
                  <c:v>593.87983612003177</c:v>
                </c:pt>
              </c:numCache>
            </c:numRef>
          </c:val>
          <c:smooth val="0"/>
          <c:extLst>
            <c:ext xmlns:c16="http://schemas.microsoft.com/office/drawing/2014/chart" uri="{C3380CC4-5D6E-409C-BE32-E72D297353CC}">
              <c16:uniqueId val="{00000004-5716-416D-98BA-DA1A8E7D02DD}"/>
            </c:ext>
          </c:extLst>
        </c:ser>
        <c:dLbls>
          <c:showLegendKey val="0"/>
          <c:showVal val="0"/>
          <c:showCatName val="0"/>
          <c:showSerName val="0"/>
          <c:showPercent val="0"/>
          <c:showBubbleSize val="0"/>
        </c:dLbls>
        <c:marker val="1"/>
        <c:smooth val="0"/>
        <c:axId val="512238687"/>
        <c:axId val="512242847"/>
      </c:lineChart>
      <c:catAx>
        <c:axId val="5122386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12242847"/>
        <c:crosses val="autoZero"/>
        <c:auto val="1"/>
        <c:lblAlgn val="ctr"/>
        <c:lblOffset val="100"/>
        <c:noMultiLvlLbl val="0"/>
      </c:catAx>
      <c:valAx>
        <c:axId val="51224284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1223868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ES" sz="1200" b="1"/>
              <a:t>Solid Waste Disposal emissions</a:t>
            </a:r>
            <a:r>
              <a:rPr lang="es-ES" sz="1200" b="1" baseline="0"/>
              <a:t> (Gg CO2 eq)</a:t>
            </a:r>
            <a:endParaRPr lang="es-ES" sz="12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cat>
            <c:numRef>
              <c:f>'EE RoM'!$A$6:$A$22</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'EE RoM'!$C$6:$C$22</c:f>
              <c:numCache>
                <c:formatCode>#,##0.00</c:formatCode>
                <c:ptCount val="17"/>
                <c:pt idx="0">
                  <c:v>352.64523000000003</c:v>
                </c:pt>
                <c:pt idx="1">
                  <c:v>356.95400999999998</c:v>
                </c:pt>
                <c:pt idx="2">
                  <c:v>370.03490999999997</c:v>
                </c:pt>
                <c:pt idx="3">
                  <c:v>386.47224</c:v>
                </c:pt>
                <c:pt idx="4">
                  <c:v>400.09598999999997</c:v>
                </c:pt>
                <c:pt idx="5">
                  <c:v>413.28020999999995</c:v>
                </c:pt>
                <c:pt idx="6">
                  <c:v>430.84775999999999</c:v>
                </c:pt>
                <c:pt idx="7">
                  <c:v>443.77199999999999</c:v>
                </c:pt>
                <c:pt idx="8">
                  <c:v>450.69213000000002</c:v>
                </c:pt>
                <c:pt idx="9">
                  <c:v>410.47692000000001</c:v>
                </c:pt>
                <c:pt idx="10">
                  <c:v>440.99432999999999</c:v>
                </c:pt>
                <c:pt idx="11">
                  <c:v>449.12279999999998</c:v>
                </c:pt>
                <c:pt idx="12">
                  <c:v>441.58863000000002</c:v>
                </c:pt>
                <c:pt idx="13">
                  <c:v>417.5976</c:v>
                </c:pt>
                <c:pt idx="14">
                  <c:v>418.27379999999999</c:v>
                </c:pt>
                <c:pt idx="15">
                  <c:v>403.60487999999998</c:v>
                </c:pt>
                <c:pt idx="16">
                  <c:v>404.37473999999997</c:v>
                </c:pt>
              </c:numCache>
            </c:numRef>
          </c:val>
          <c:extLst>
            <c:ext xmlns:c16="http://schemas.microsoft.com/office/drawing/2014/chart" uri="{C3380CC4-5D6E-409C-BE32-E72D297353CC}">
              <c16:uniqueId val="{00000000-5A7B-4CB3-B15F-CC5887B251CA}"/>
            </c:ext>
          </c:extLst>
        </c:ser>
        <c:dLbls>
          <c:showLegendKey val="0"/>
          <c:showVal val="0"/>
          <c:showCatName val="0"/>
          <c:showSerName val="0"/>
          <c:showPercent val="0"/>
          <c:showBubbleSize val="0"/>
        </c:dLbls>
        <c:gapWidth val="150"/>
        <c:axId val="505132063"/>
        <c:axId val="505127071"/>
      </c:barChart>
      <c:catAx>
        <c:axId val="5051320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ES"/>
          </a:p>
        </c:txPr>
        <c:crossAx val="505127071"/>
        <c:crosses val="autoZero"/>
        <c:auto val="1"/>
        <c:lblAlgn val="ctr"/>
        <c:lblOffset val="100"/>
        <c:noMultiLvlLbl val="0"/>
      </c:catAx>
      <c:valAx>
        <c:axId val="50512707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ES"/>
          </a:p>
        </c:txPr>
        <c:crossAx val="5051320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ES" sz="1200" b="1"/>
              <a:t>Biological Treatment of Solid Waste emissions - Composting</a:t>
            </a:r>
          </a:p>
          <a:p>
            <a:pPr>
              <a:defRPr sz="1200" b="1"/>
            </a:pPr>
            <a:r>
              <a:rPr lang="es-ES" sz="1200" b="1"/>
              <a:t>(Gg CO2 eq)</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cat>
            <c:numRef>
              <c:f>'EE RoM'!$E$6:$E$22</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'EE RoM'!$H$6:$H$22</c:f>
              <c:numCache>
                <c:formatCode>#,##0.0</c:formatCode>
                <c:ptCount val="17"/>
                <c:pt idx="0">
                  <c:v>0</c:v>
                </c:pt>
                <c:pt idx="1">
                  <c:v>0</c:v>
                </c:pt>
                <c:pt idx="2">
                  <c:v>0</c:v>
                </c:pt>
                <c:pt idx="3">
                  <c:v>0</c:v>
                </c:pt>
                <c:pt idx="4">
                  <c:v>0</c:v>
                </c:pt>
                <c:pt idx="5">
                  <c:v>0</c:v>
                </c:pt>
                <c:pt idx="6">
                  <c:v>0</c:v>
                </c:pt>
                <c:pt idx="7">
                  <c:v>0</c:v>
                </c:pt>
                <c:pt idx="8">
                  <c:v>0</c:v>
                </c:pt>
                <c:pt idx="9">
                  <c:v>0</c:v>
                </c:pt>
                <c:pt idx="10">
                  <c:v>0</c:v>
                </c:pt>
                <c:pt idx="11" formatCode="#,##0.00">
                  <c:v>0.81639359999999994</c:v>
                </c:pt>
                <c:pt idx="12" formatCode="#,##0.00">
                  <c:v>5.5099439999999991</c:v>
                </c:pt>
                <c:pt idx="13" formatCode="#,##0.00">
                  <c:v>3.0503087999999998</c:v>
                </c:pt>
                <c:pt idx="14" formatCode="#,##0.00">
                  <c:v>6.4994687999999998</c:v>
                </c:pt>
                <c:pt idx="15" formatCode="#,##0.00">
                  <c:v>6.0158735999999999</c:v>
                </c:pt>
                <c:pt idx="16" formatCode="#,##0.00">
                  <c:v>6.0679871999999992</c:v>
                </c:pt>
              </c:numCache>
            </c:numRef>
          </c:val>
          <c:extLst>
            <c:ext xmlns:c16="http://schemas.microsoft.com/office/drawing/2014/chart" uri="{C3380CC4-5D6E-409C-BE32-E72D297353CC}">
              <c16:uniqueId val="{00000000-3175-46B8-BD05-AA4472608821}"/>
            </c:ext>
          </c:extLst>
        </c:ser>
        <c:dLbls>
          <c:showLegendKey val="0"/>
          <c:showVal val="0"/>
          <c:showCatName val="0"/>
          <c:showSerName val="0"/>
          <c:showPercent val="0"/>
          <c:showBubbleSize val="0"/>
        </c:dLbls>
        <c:gapWidth val="150"/>
        <c:axId val="511193327"/>
        <c:axId val="511195823"/>
      </c:barChart>
      <c:catAx>
        <c:axId val="511193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ES"/>
          </a:p>
        </c:txPr>
        <c:crossAx val="511195823"/>
        <c:crosses val="autoZero"/>
        <c:auto val="1"/>
        <c:lblAlgn val="ctr"/>
        <c:lblOffset val="100"/>
        <c:noMultiLvlLbl val="0"/>
      </c:catAx>
      <c:valAx>
        <c:axId val="51119582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ES"/>
          </a:p>
        </c:txPr>
        <c:crossAx val="5111933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ES" sz="1200" b="1"/>
              <a:t>Incineration and Open Burning</a:t>
            </a:r>
            <a:r>
              <a:rPr lang="es-ES" sz="1200" b="1" baseline="0"/>
              <a:t> of Waste emissions - Clinical Waste (Gg CO2 eq)</a:t>
            </a:r>
            <a:endParaRPr lang="es-ES" sz="12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cat>
            <c:numRef>
              <c:f>'EE RoM'!$N$6:$N$22</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'EE RoM'!$L$6:$L$22</c:f>
              <c:numCache>
                <c:formatCode>#,##0.00</c:formatCode>
                <c:ptCount val="17"/>
                <c:pt idx="0">
                  <c:v>0.56415920000000008</c:v>
                </c:pt>
                <c:pt idx="1">
                  <c:v>0.55207680000000003</c:v>
                </c:pt>
                <c:pt idx="2">
                  <c:v>0.55888800000000005</c:v>
                </c:pt>
                <c:pt idx="3">
                  <c:v>0.51880399999999993</c:v>
                </c:pt>
                <c:pt idx="4">
                  <c:v>0.52330080000000001</c:v>
                </c:pt>
                <c:pt idx="5">
                  <c:v>0.52252639999999995</c:v>
                </c:pt>
                <c:pt idx="6">
                  <c:v>0.54822240000000011</c:v>
                </c:pt>
                <c:pt idx="7">
                  <c:v>0.52944319999999989</c:v>
                </c:pt>
                <c:pt idx="8">
                  <c:v>0.53775919999999999</c:v>
                </c:pt>
                <c:pt idx="9">
                  <c:v>0.51835520000000002</c:v>
                </c:pt>
                <c:pt idx="10">
                  <c:v>0.52667120000000001</c:v>
                </c:pt>
                <c:pt idx="11">
                  <c:v>0.56825120000000007</c:v>
                </c:pt>
                <c:pt idx="12">
                  <c:v>0.56825120000000007</c:v>
                </c:pt>
                <c:pt idx="13">
                  <c:v>0.58765519999999993</c:v>
                </c:pt>
                <c:pt idx="14">
                  <c:v>0.66342760000000001</c:v>
                </c:pt>
                <c:pt idx="15">
                  <c:v>0.73920000000000008</c:v>
                </c:pt>
                <c:pt idx="16">
                  <c:v>0.73953306489997639</c:v>
                </c:pt>
              </c:numCache>
            </c:numRef>
          </c:val>
          <c:extLst>
            <c:ext xmlns:c16="http://schemas.microsoft.com/office/drawing/2014/chart" uri="{C3380CC4-5D6E-409C-BE32-E72D297353CC}">
              <c16:uniqueId val="{00000000-0E23-4300-80AA-0B858D5A0C1F}"/>
            </c:ext>
          </c:extLst>
        </c:ser>
        <c:dLbls>
          <c:showLegendKey val="0"/>
          <c:showVal val="0"/>
          <c:showCatName val="0"/>
          <c:showSerName val="0"/>
          <c:showPercent val="0"/>
          <c:showBubbleSize val="0"/>
        </c:dLbls>
        <c:gapWidth val="150"/>
        <c:axId val="469824927"/>
        <c:axId val="469825343"/>
      </c:barChart>
      <c:catAx>
        <c:axId val="4698249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ES"/>
          </a:p>
        </c:txPr>
        <c:crossAx val="469825343"/>
        <c:crosses val="autoZero"/>
        <c:auto val="1"/>
        <c:lblAlgn val="ctr"/>
        <c:lblOffset val="100"/>
        <c:noMultiLvlLbl val="0"/>
      </c:catAx>
      <c:valAx>
        <c:axId val="46982534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ES"/>
          </a:p>
        </c:txPr>
        <c:crossAx val="4698249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a:t>Domestic/Commercial Wastewater</a:t>
            </a:r>
            <a:r>
              <a:rPr lang="es-ES" sz="1200" baseline="0"/>
              <a:t> emissions (t CH4)</a:t>
            </a:r>
            <a:endParaRPr lang="es-E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cat>
            <c:numRef>
              <c:f>'EE RoM'!$A$30:$A$46</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'EE RoM'!$B$30:$B$46</c:f>
              <c:numCache>
                <c:formatCode>#,##0</c:formatCode>
                <c:ptCount val="17"/>
                <c:pt idx="0">
                  <c:v>5281.3624576564507</c:v>
                </c:pt>
                <c:pt idx="1">
                  <c:v>5295.2827945094377</c:v>
                </c:pt>
                <c:pt idx="2">
                  <c:v>5332.009658277314</c:v>
                </c:pt>
                <c:pt idx="3">
                  <c:v>5370.5826216331125</c:v>
                </c:pt>
                <c:pt idx="4">
                  <c:v>5404.182366412886</c:v>
                </c:pt>
                <c:pt idx="5">
                  <c:v>5436.0874675101431</c:v>
                </c:pt>
                <c:pt idx="6">
                  <c:v>5106.8807808168058</c:v>
                </c:pt>
                <c:pt idx="7">
                  <c:v>5114.2965830849234</c:v>
                </c:pt>
                <c:pt idx="8">
                  <c:v>5115.5961091946983</c:v>
                </c:pt>
                <c:pt idx="9">
                  <c:v>5111.9930902333563</c:v>
                </c:pt>
                <c:pt idx="10">
                  <c:v>5075.4435423631985</c:v>
                </c:pt>
                <c:pt idx="11">
                  <c:v>5464.8696873562612</c:v>
                </c:pt>
                <c:pt idx="12">
                  <c:v>5334.6527531257234</c:v>
                </c:pt>
                <c:pt idx="13">
                  <c:v>5238.6414699261077</c:v>
                </c:pt>
                <c:pt idx="14">
                  <c:v>5173.669502929235</c:v>
                </c:pt>
                <c:pt idx="15">
                  <c:v>5133.8324709985463</c:v>
                </c:pt>
                <c:pt idx="16">
                  <c:v>5049.8667071240061</c:v>
                </c:pt>
              </c:numCache>
            </c:numRef>
          </c:val>
          <c:extLst>
            <c:ext xmlns:c16="http://schemas.microsoft.com/office/drawing/2014/chart" uri="{C3380CC4-5D6E-409C-BE32-E72D297353CC}">
              <c16:uniqueId val="{00000000-70C6-4D13-82D0-7C8A7A1A0B31}"/>
            </c:ext>
          </c:extLst>
        </c:ser>
        <c:dLbls>
          <c:showLegendKey val="0"/>
          <c:showVal val="0"/>
          <c:showCatName val="0"/>
          <c:showSerName val="0"/>
          <c:showPercent val="0"/>
          <c:showBubbleSize val="0"/>
        </c:dLbls>
        <c:gapWidth val="150"/>
        <c:axId val="197380223"/>
        <c:axId val="197381055"/>
      </c:barChart>
      <c:catAx>
        <c:axId val="1973802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7381055"/>
        <c:crosses val="autoZero"/>
        <c:auto val="1"/>
        <c:lblAlgn val="ctr"/>
        <c:lblOffset val="100"/>
        <c:noMultiLvlLbl val="0"/>
      </c:catAx>
      <c:valAx>
        <c:axId val="197381055"/>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73802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a:t>Domestic/Commercial Wastewater emissions (t N2O)</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cat>
            <c:numRef>
              <c:f>'EE RoM'!$A$30:$A$46</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'EE RoM'!$C$30:$C$46</c:f>
              <c:numCache>
                <c:formatCode>#,##0.00</c:formatCode>
                <c:ptCount val="17"/>
                <c:pt idx="0">
                  <c:v>59.145915586811434</c:v>
                </c:pt>
                <c:pt idx="1">
                  <c:v>60.286644854275728</c:v>
                </c:pt>
                <c:pt idx="2">
                  <c:v>62.30295395355428</c:v>
                </c:pt>
                <c:pt idx="3">
                  <c:v>63.620594374755008</c:v>
                </c:pt>
                <c:pt idx="4">
                  <c:v>65.754367969934279</c:v>
                </c:pt>
                <c:pt idx="5">
                  <c:v>65.083041818119284</c:v>
                </c:pt>
                <c:pt idx="6">
                  <c:v>64.74082363095286</c:v>
                </c:pt>
                <c:pt idx="7">
                  <c:v>67.828993828616433</c:v>
                </c:pt>
                <c:pt idx="8">
                  <c:v>66.370999687315731</c:v>
                </c:pt>
                <c:pt idx="9">
                  <c:v>70.625046974742858</c:v>
                </c:pt>
                <c:pt idx="10">
                  <c:v>71.06155864198287</c:v>
                </c:pt>
                <c:pt idx="11">
                  <c:v>70.362363138547877</c:v>
                </c:pt>
                <c:pt idx="12">
                  <c:v>69.651985713278577</c:v>
                </c:pt>
                <c:pt idx="13">
                  <c:v>70.179159279900006</c:v>
                </c:pt>
                <c:pt idx="14">
                  <c:v>68.209734350269315</c:v>
                </c:pt>
                <c:pt idx="15">
                  <c:v>69.024940595537146</c:v>
                </c:pt>
                <c:pt idx="16">
                  <c:v>69.551830130734288</c:v>
                </c:pt>
              </c:numCache>
            </c:numRef>
          </c:val>
          <c:extLst>
            <c:ext xmlns:c16="http://schemas.microsoft.com/office/drawing/2014/chart" uri="{C3380CC4-5D6E-409C-BE32-E72D297353CC}">
              <c16:uniqueId val="{00000000-070F-491C-9BDB-69E675A25254}"/>
            </c:ext>
          </c:extLst>
        </c:ser>
        <c:dLbls>
          <c:showLegendKey val="0"/>
          <c:showVal val="0"/>
          <c:showCatName val="0"/>
          <c:showSerName val="0"/>
          <c:showPercent val="0"/>
          <c:showBubbleSize val="0"/>
        </c:dLbls>
        <c:gapWidth val="150"/>
        <c:axId val="590991695"/>
        <c:axId val="590990031"/>
      </c:barChart>
      <c:catAx>
        <c:axId val="5909916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90990031"/>
        <c:crosses val="autoZero"/>
        <c:auto val="1"/>
        <c:lblAlgn val="ctr"/>
        <c:lblOffset val="100"/>
        <c:noMultiLvlLbl val="0"/>
      </c:catAx>
      <c:valAx>
        <c:axId val="59099003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909916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1.xml"/><Relationship Id="rId3" Type="http://schemas.openxmlformats.org/officeDocument/2006/relationships/chart" Target="../charts/chart6.xml"/><Relationship Id="rId7" Type="http://schemas.openxmlformats.org/officeDocument/2006/relationships/chart" Target="../charts/chart10.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10" Type="http://schemas.openxmlformats.org/officeDocument/2006/relationships/chart" Target="../charts/chart13.xml"/><Relationship Id="rId4" Type="http://schemas.openxmlformats.org/officeDocument/2006/relationships/chart" Target="../charts/chart7.xml"/><Relationship Id="rId9"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23</xdr:col>
      <xdr:colOff>164042</xdr:colOff>
      <xdr:row>3</xdr:row>
      <xdr:rowOff>158749</xdr:rowOff>
    </xdr:from>
    <xdr:to>
      <xdr:col>28</xdr:col>
      <xdr:colOff>2104571</xdr:colOff>
      <xdr:row>21</xdr:row>
      <xdr:rowOff>11642</xdr:rowOff>
    </xdr:to>
    <xdr:graphicFrame macro="">
      <xdr:nvGraphicFramePr>
        <xdr:cNvPr id="2" name="Gráfico 1">
          <a:extLst>
            <a:ext uri="{FF2B5EF4-FFF2-40B4-BE49-F238E27FC236}">
              <a16:creationId xmlns:a16="http://schemas.microsoft.com/office/drawing/2014/main" id="{3E0198EF-CC88-4A8F-9DC2-56C6A64849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190499</xdr:colOff>
      <xdr:row>21</xdr:row>
      <xdr:rowOff>137584</xdr:rowOff>
    </xdr:from>
    <xdr:to>
      <xdr:col>28</xdr:col>
      <xdr:colOff>2122714</xdr:colOff>
      <xdr:row>41</xdr:row>
      <xdr:rowOff>96309</xdr:rowOff>
    </xdr:to>
    <xdr:graphicFrame macro="">
      <xdr:nvGraphicFramePr>
        <xdr:cNvPr id="3" name="Gráfico 2">
          <a:extLst>
            <a:ext uri="{FF2B5EF4-FFF2-40B4-BE49-F238E27FC236}">
              <a16:creationId xmlns:a16="http://schemas.microsoft.com/office/drawing/2014/main" id="{14B53D0D-F1B3-4FCB-AD22-248861E73F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18143</xdr:colOff>
      <xdr:row>21</xdr:row>
      <xdr:rowOff>149678</xdr:rowOff>
    </xdr:from>
    <xdr:to>
      <xdr:col>33</xdr:col>
      <xdr:colOff>14363</xdr:colOff>
      <xdr:row>41</xdr:row>
      <xdr:rowOff>108403</xdr:rowOff>
    </xdr:to>
    <xdr:graphicFrame macro="">
      <xdr:nvGraphicFramePr>
        <xdr:cNvPr id="4" name="Gráfico 3">
          <a:extLst>
            <a:ext uri="{FF2B5EF4-FFF2-40B4-BE49-F238E27FC236}">
              <a16:creationId xmlns:a16="http://schemas.microsoft.com/office/drawing/2014/main" id="{9641DC24-1540-4856-B8AA-B9DBA1F366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290287</xdr:colOff>
      <xdr:row>56</xdr:row>
      <xdr:rowOff>117929</xdr:rowOff>
    </xdr:from>
    <xdr:to>
      <xdr:col>26</xdr:col>
      <xdr:colOff>589644</xdr:colOff>
      <xdr:row>62</xdr:row>
      <xdr:rowOff>81643</xdr:rowOff>
    </xdr:to>
    <xdr:sp macro="" textlink="">
      <xdr:nvSpPr>
        <xdr:cNvPr id="6" name="Flecha: a la izquierda y arriba 5">
          <a:extLst>
            <a:ext uri="{FF2B5EF4-FFF2-40B4-BE49-F238E27FC236}">
              <a16:creationId xmlns:a16="http://schemas.microsoft.com/office/drawing/2014/main" id="{1A4DB2D8-4B68-4508-A5BB-6EE9B05B110B}"/>
            </a:ext>
          </a:extLst>
        </xdr:cNvPr>
        <xdr:cNvSpPr/>
      </xdr:nvSpPr>
      <xdr:spPr>
        <a:xfrm>
          <a:off x="19929930" y="11557000"/>
          <a:ext cx="1587500" cy="1052286"/>
        </a:xfrm>
        <a:prstGeom prst="leftUpArrow">
          <a:avLst>
            <a:gd name="adj1" fmla="val 25000"/>
            <a:gd name="adj2" fmla="val 19231"/>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37798</xdr:colOff>
      <xdr:row>79</xdr:row>
      <xdr:rowOff>120651</xdr:rowOff>
    </xdr:from>
    <xdr:to>
      <xdr:col>20</xdr:col>
      <xdr:colOff>317501</xdr:colOff>
      <xdr:row>97</xdr:row>
      <xdr:rowOff>113394</xdr:rowOff>
    </xdr:to>
    <xdr:graphicFrame macro="">
      <xdr:nvGraphicFramePr>
        <xdr:cNvPr id="3" name="Gráfico 2">
          <a:extLst>
            <a:ext uri="{FF2B5EF4-FFF2-40B4-BE49-F238E27FC236}">
              <a16:creationId xmlns:a16="http://schemas.microsoft.com/office/drawing/2014/main" id="{D10AB5D9-4282-4842-ABB6-113B639A19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176892</xdr:colOff>
      <xdr:row>3</xdr:row>
      <xdr:rowOff>34471</xdr:rowOff>
    </xdr:from>
    <xdr:to>
      <xdr:col>26</xdr:col>
      <xdr:colOff>63499</xdr:colOff>
      <xdr:row>18</xdr:row>
      <xdr:rowOff>56243</xdr:rowOff>
    </xdr:to>
    <xdr:graphicFrame macro="">
      <xdr:nvGraphicFramePr>
        <xdr:cNvPr id="5" name="Gráfico 4">
          <a:extLst>
            <a:ext uri="{FF2B5EF4-FFF2-40B4-BE49-F238E27FC236}">
              <a16:creationId xmlns:a16="http://schemas.microsoft.com/office/drawing/2014/main" id="{A4A044F5-6E0C-4BD8-8F8C-AA3EB8AD3C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176894</xdr:colOff>
      <xdr:row>18</xdr:row>
      <xdr:rowOff>170542</xdr:rowOff>
    </xdr:from>
    <xdr:to>
      <xdr:col>27</xdr:col>
      <xdr:colOff>211666</xdr:colOff>
      <xdr:row>31</xdr:row>
      <xdr:rowOff>54429</xdr:rowOff>
    </xdr:to>
    <xdr:graphicFrame macro="">
      <xdr:nvGraphicFramePr>
        <xdr:cNvPr id="7" name="Gráfico 6">
          <a:extLst>
            <a:ext uri="{FF2B5EF4-FFF2-40B4-BE49-F238E27FC236}">
              <a16:creationId xmlns:a16="http://schemas.microsoft.com/office/drawing/2014/main" id="{CF0AA709-DA01-4D5B-8FAE-F16D5827DE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26</xdr:col>
      <xdr:colOff>204106</xdr:colOff>
      <xdr:row>3</xdr:row>
      <xdr:rowOff>75293</xdr:rowOff>
    </xdr:from>
    <xdr:to>
      <xdr:col>34</xdr:col>
      <xdr:colOff>539750</xdr:colOff>
      <xdr:row>18</xdr:row>
      <xdr:rowOff>113393</xdr:rowOff>
    </xdr:to>
    <xdr:graphicFrame macro="">
      <xdr:nvGraphicFramePr>
        <xdr:cNvPr id="8" name="Gráfico 7">
          <a:extLst>
            <a:ext uri="{FF2B5EF4-FFF2-40B4-BE49-F238E27FC236}">
              <a16:creationId xmlns:a16="http://schemas.microsoft.com/office/drawing/2014/main" id="{045228CC-844D-44D3-BB43-870E980B04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140609</xdr:colOff>
      <xdr:row>32</xdr:row>
      <xdr:rowOff>16329</xdr:rowOff>
    </xdr:from>
    <xdr:to>
      <xdr:col>19</xdr:col>
      <xdr:colOff>435429</xdr:colOff>
      <xdr:row>48</xdr:row>
      <xdr:rowOff>0</xdr:rowOff>
    </xdr:to>
    <xdr:graphicFrame macro="">
      <xdr:nvGraphicFramePr>
        <xdr:cNvPr id="9" name="Gráfico 8">
          <a:extLst>
            <a:ext uri="{FF2B5EF4-FFF2-40B4-BE49-F238E27FC236}">
              <a16:creationId xmlns:a16="http://schemas.microsoft.com/office/drawing/2014/main" id="{1DC3DCCC-8908-44E9-B2C4-959A53B1C1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612321</xdr:colOff>
      <xdr:row>32</xdr:row>
      <xdr:rowOff>16329</xdr:rowOff>
    </xdr:from>
    <xdr:to>
      <xdr:col>27</xdr:col>
      <xdr:colOff>435428</xdr:colOff>
      <xdr:row>48</xdr:row>
      <xdr:rowOff>127000</xdr:rowOff>
    </xdr:to>
    <xdr:graphicFrame macro="">
      <xdr:nvGraphicFramePr>
        <xdr:cNvPr id="10" name="Gráfico 9">
          <a:extLst>
            <a:ext uri="{FF2B5EF4-FFF2-40B4-BE49-F238E27FC236}">
              <a16:creationId xmlns:a16="http://schemas.microsoft.com/office/drawing/2014/main" id="{20BD93B9-6F7B-4168-BAFF-22B5EDBE54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xdr:col>
      <xdr:colOff>580572</xdr:colOff>
      <xdr:row>32</xdr:row>
      <xdr:rowOff>52612</xdr:rowOff>
    </xdr:from>
    <xdr:to>
      <xdr:col>37</xdr:col>
      <xdr:colOff>195038</xdr:colOff>
      <xdr:row>49</xdr:row>
      <xdr:rowOff>45356</xdr:rowOff>
    </xdr:to>
    <xdr:graphicFrame macro="">
      <xdr:nvGraphicFramePr>
        <xdr:cNvPr id="11" name="Gráfico 10">
          <a:extLst>
            <a:ext uri="{FF2B5EF4-FFF2-40B4-BE49-F238E27FC236}">
              <a16:creationId xmlns:a16="http://schemas.microsoft.com/office/drawing/2014/main" id="{FF6793DC-714C-4D80-92D5-194DF753E4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427870</xdr:colOff>
      <xdr:row>54</xdr:row>
      <xdr:rowOff>49589</xdr:rowOff>
    </xdr:from>
    <xdr:to>
      <xdr:col>28</xdr:col>
      <xdr:colOff>595690</xdr:colOff>
      <xdr:row>72</xdr:row>
      <xdr:rowOff>51404</xdr:rowOff>
    </xdr:to>
    <xdr:graphicFrame macro="">
      <xdr:nvGraphicFramePr>
        <xdr:cNvPr id="12" name="Gráfico 11">
          <a:extLst>
            <a:ext uri="{FF2B5EF4-FFF2-40B4-BE49-F238E27FC236}">
              <a16:creationId xmlns:a16="http://schemas.microsoft.com/office/drawing/2014/main" id="{C3292D84-5D6E-46A0-9189-DCED00E4B4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322792</xdr:colOff>
      <xdr:row>98</xdr:row>
      <xdr:rowOff>178857</xdr:rowOff>
    </xdr:from>
    <xdr:to>
      <xdr:col>17</xdr:col>
      <xdr:colOff>592667</xdr:colOff>
      <xdr:row>117</xdr:row>
      <xdr:rowOff>158749</xdr:rowOff>
    </xdr:to>
    <xdr:graphicFrame macro="">
      <xdr:nvGraphicFramePr>
        <xdr:cNvPr id="13" name="Gráfico 12">
          <a:extLst>
            <a:ext uri="{FF2B5EF4-FFF2-40B4-BE49-F238E27FC236}">
              <a16:creationId xmlns:a16="http://schemas.microsoft.com/office/drawing/2014/main" id="{3E5F9E45-50F0-42AF-BEE1-22B45BA0E6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20</xdr:col>
      <xdr:colOff>476252</xdr:colOff>
      <xdr:row>79</xdr:row>
      <xdr:rowOff>127000</xdr:rowOff>
    </xdr:from>
    <xdr:to>
      <xdr:col>33</xdr:col>
      <xdr:colOff>618371</xdr:colOff>
      <xdr:row>97</xdr:row>
      <xdr:rowOff>119743</xdr:rowOff>
    </xdr:to>
    <xdr:graphicFrame macro="">
      <xdr:nvGraphicFramePr>
        <xdr:cNvPr id="15" name="Gráfico 14">
          <a:extLst>
            <a:ext uri="{FF2B5EF4-FFF2-40B4-BE49-F238E27FC236}">
              <a16:creationId xmlns:a16="http://schemas.microsoft.com/office/drawing/2014/main" id="{B1FFF5A4-7190-4A35-AB0F-B21929D33D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o.org/faostat/en/"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A47D9-1F3D-442B-8A2D-9FBBBD52889B}">
  <sheetPr>
    <tabColor theme="4" tint="0.39997558519241921"/>
  </sheetPr>
  <dimension ref="A2:AF177"/>
  <sheetViews>
    <sheetView showGridLines="0" topLeftCell="A169" zoomScale="70" zoomScaleNormal="70" workbookViewId="0">
      <selection activeCell="AB60" sqref="AB60"/>
    </sheetView>
  </sheetViews>
  <sheetFormatPr baseColWidth="10" defaultColWidth="9.1796875" defaultRowHeight="14.5" x14ac:dyDescent="0.35"/>
  <cols>
    <col min="1" max="1" width="6.26953125" style="66" customWidth="1"/>
    <col min="2" max="2" width="13.1796875" style="66" bestFit="1" customWidth="1"/>
    <col min="3" max="3" width="16.1796875" style="66" bestFit="1" customWidth="1"/>
    <col min="4" max="4" width="11.54296875" style="66" bestFit="1" customWidth="1"/>
    <col min="5" max="5" width="12.7265625" style="66" bestFit="1" customWidth="1"/>
    <col min="6" max="6" width="12.54296875" style="66" bestFit="1" customWidth="1"/>
    <col min="7" max="7" width="13.08984375" style="66" bestFit="1" customWidth="1"/>
    <col min="8" max="8" width="11.36328125" style="66" customWidth="1"/>
    <col min="9" max="9" width="13.7265625" style="66" customWidth="1"/>
    <col min="10" max="10" width="9.81640625" style="66" bestFit="1" customWidth="1"/>
    <col min="11" max="11" width="9.1796875" style="66"/>
    <col min="12" max="12" width="11.54296875" style="66" customWidth="1"/>
    <col min="13" max="13" width="11.36328125" style="66" customWidth="1"/>
    <col min="14" max="14" width="9.1796875" style="66"/>
    <col min="15" max="15" width="10.26953125" style="66" customWidth="1"/>
    <col min="16" max="16" width="12" style="66" customWidth="1"/>
    <col min="17" max="17" width="10.54296875" style="66" customWidth="1"/>
    <col min="18" max="18" width="12.08984375" style="66" customWidth="1"/>
    <col min="19" max="19" width="12.1796875" style="66" customWidth="1"/>
    <col min="20" max="20" width="12.54296875" style="66" customWidth="1"/>
    <col min="21" max="21" width="9.1796875" style="66" customWidth="1"/>
    <col min="22" max="22" width="14.1796875" style="66" customWidth="1"/>
    <col min="23" max="23" width="14.81640625" style="66" customWidth="1"/>
    <col min="24" max="24" width="11.1796875" style="66" customWidth="1"/>
    <col min="25" max="26" width="9.1796875" style="66"/>
    <col min="27" max="27" width="20.453125" style="66" bestFit="1" customWidth="1"/>
    <col min="28" max="28" width="26.08984375" style="66" bestFit="1" customWidth="1"/>
    <col min="29" max="29" width="32.54296875" style="66" bestFit="1" customWidth="1"/>
    <col min="30" max="30" width="29.90625" style="66" bestFit="1" customWidth="1"/>
    <col min="31" max="31" width="28.1796875" style="66" bestFit="1" customWidth="1"/>
    <col min="32" max="32" width="27.90625" style="66" bestFit="1" customWidth="1"/>
    <col min="33" max="16384" width="9.1796875" style="66"/>
  </cols>
  <sheetData>
    <row r="2" spans="1:26" ht="46" x14ac:dyDescent="1">
      <c r="A2" s="220" t="s">
        <v>14</v>
      </c>
      <c r="B2" s="220"/>
      <c r="C2" s="220"/>
      <c r="D2" s="220"/>
      <c r="E2" s="220"/>
      <c r="F2" s="220"/>
      <c r="G2" s="220"/>
      <c r="H2" s="220"/>
      <c r="I2" s="220"/>
      <c r="J2" s="220"/>
      <c r="K2" s="220"/>
      <c r="L2" s="220"/>
      <c r="M2" s="220"/>
      <c r="N2" s="220"/>
      <c r="O2" s="220"/>
      <c r="P2" s="220"/>
      <c r="Q2" s="220"/>
      <c r="R2" s="220"/>
      <c r="S2" s="220"/>
      <c r="T2" s="220"/>
      <c r="U2" s="220"/>
      <c r="V2" s="220"/>
      <c r="W2" s="220"/>
    </row>
    <row r="4" spans="1:26" s="69" customFormat="1" ht="51" customHeight="1" x14ac:dyDescent="0.35">
      <c r="A4" s="67" t="s">
        <v>0</v>
      </c>
      <c r="B4" s="68" t="s">
        <v>9</v>
      </c>
      <c r="C4" s="68" t="s">
        <v>13</v>
      </c>
      <c r="D4" s="68" t="s">
        <v>10</v>
      </c>
      <c r="E4" s="68" t="s">
        <v>386</v>
      </c>
      <c r="F4" s="68" t="s">
        <v>385</v>
      </c>
      <c r="G4" s="68" t="s">
        <v>11</v>
      </c>
      <c r="H4" s="68" t="s">
        <v>12</v>
      </c>
      <c r="J4" s="67" t="s">
        <v>0</v>
      </c>
      <c r="K4" s="68" t="s">
        <v>1</v>
      </c>
      <c r="L4" s="68" t="s">
        <v>2</v>
      </c>
      <c r="M4" s="68" t="s">
        <v>3</v>
      </c>
      <c r="N4" s="68" t="s">
        <v>4</v>
      </c>
      <c r="O4" s="68" t="s">
        <v>5</v>
      </c>
      <c r="P4" s="68" t="s">
        <v>6</v>
      </c>
      <c r="Q4" s="68" t="s">
        <v>7</v>
      </c>
      <c r="R4" s="68" t="s">
        <v>8</v>
      </c>
      <c r="T4" s="67" t="s">
        <v>0</v>
      </c>
      <c r="U4" s="68" t="s">
        <v>18</v>
      </c>
      <c r="V4" s="68" t="s">
        <v>19</v>
      </c>
      <c r="W4" s="68" t="s">
        <v>21</v>
      </c>
    </row>
    <row r="5" spans="1:26" s="69" customFormat="1" x14ac:dyDescent="0.35">
      <c r="A5" s="70">
        <v>1960</v>
      </c>
      <c r="B5" s="112">
        <f>B6-(B7-B6)</f>
        <v>652703</v>
      </c>
      <c r="C5" s="72">
        <v>261.50842917505554</v>
      </c>
      <c r="D5" s="71">
        <f>F5+G5+H5</f>
        <v>170687.33624784628</v>
      </c>
      <c r="E5" s="71">
        <v>0</v>
      </c>
      <c r="F5" s="112">
        <v>170687.33624784628</v>
      </c>
      <c r="G5" s="73">
        <v>0</v>
      </c>
      <c r="H5" s="73">
        <v>0</v>
      </c>
      <c r="I5" s="156"/>
      <c r="J5" s="74">
        <f t="shared" ref="J5:J36" si="0">A5</f>
        <v>1960</v>
      </c>
      <c r="K5" s="73">
        <v>25</v>
      </c>
      <c r="L5" s="73">
        <v>43</v>
      </c>
      <c r="M5" s="73">
        <v>12</v>
      </c>
      <c r="N5" s="73">
        <v>0</v>
      </c>
      <c r="O5" s="73">
        <v>3</v>
      </c>
      <c r="P5" s="73">
        <v>0</v>
      </c>
      <c r="Q5" s="73">
        <v>17</v>
      </c>
      <c r="R5" s="73">
        <f t="shared" ref="R5:R41" si="1">SUM(K5:Q5)</f>
        <v>100</v>
      </c>
      <c r="T5" s="74">
        <f>J5</f>
        <v>1960</v>
      </c>
      <c r="U5" s="73">
        <f t="shared" ref="U5:U41" si="2">V5+W5</f>
        <v>0</v>
      </c>
      <c r="V5" s="73">
        <v>0</v>
      </c>
      <c r="W5" s="73">
        <v>0</v>
      </c>
      <c r="Z5" s="155"/>
    </row>
    <row r="6" spans="1:26" s="69" customFormat="1" x14ac:dyDescent="0.35">
      <c r="A6" s="70">
        <f>A5+1</f>
        <v>1961</v>
      </c>
      <c r="B6" s="112">
        <f>B7-(B8-B7)</f>
        <v>667161</v>
      </c>
      <c r="C6" s="72">
        <v>261.50842917505554</v>
      </c>
      <c r="D6" s="71">
        <f t="shared" ref="D6:D61" si="3">F6+G6+H6</f>
        <v>174468.22511685922</v>
      </c>
      <c r="E6" s="71">
        <v>0</v>
      </c>
      <c r="F6" s="112">
        <v>174468.22511685922</v>
      </c>
      <c r="G6" s="73">
        <v>0</v>
      </c>
      <c r="H6" s="73">
        <v>0</v>
      </c>
      <c r="I6" s="156"/>
      <c r="J6" s="74">
        <f t="shared" si="0"/>
        <v>1961</v>
      </c>
      <c r="K6" s="73">
        <v>25</v>
      </c>
      <c r="L6" s="73">
        <v>43</v>
      </c>
      <c r="M6" s="73">
        <v>12</v>
      </c>
      <c r="N6" s="73">
        <v>0</v>
      </c>
      <c r="O6" s="73">
        <v>3</v>
      </c>
      <c r="P6" s="73">
        <v>0</v>
      </c>
      <c r="Q6" s="73">
        <v>17</v>
      </c>
      <c r="R6" s="73">
        <f t="shared" si="1"/>
        <v>100</v>
      </c>
      <c r="T6" s="74">
        <f t="shared" ref="T6:T61" si="4">J6</f>
        <v>1961</v>
      </c>
      <c r="U6" s="73">
        <f t="shared" si="2"/>
        <v>0</v>
      </c>
      <c r="V6" s="73">
        <v>0</v>
      </c>
      <c r="W6" s="73">
        <v>0</v>
      </c>
      <c r="Z6" s="155"/>
    </row>
    <row r="7" spans="1:26" s="69" customFormat="1" x14ac:dyDescent="0.35">
      <c r="A7" s="70">
        <f t="shared" ref="A7:A61" si="5">A6+1</f>
        <v>1962</v>
      </c>
      <c r="B7" s="71">
        <v>681619</v>
      </c>
      <c r="C7" s="72">
        <v>261.50842917505554</v>
      </c>
      <c r="D7" s="71">
        <f t="shared" si="3"/>
        <v>178249.11398587219</v>
      </c>
      <c r="E7" s="71">
        <v>0</v>
      </c>
      <c r="F7" s="112">
        <v>178249.11398587219</v>
      </c>
      <c r="G7" s="73">
        <v>0</v>
      </c>
      <c r="H7" s="73">
        <v>0</v>
      </c>
      <c r="I7" s="156"/>
      <c r="J7" s="74">
        <f t="shared" si="0"/>
        <v>1962</v>
      </c>
      <c r="K7" s="73">
        <v>25</v>
      </c>
      <c r="L7" s="73">
        <v>43</v>
      </c>
      <c r="M7" s="73">
        <v>12</v>
      </c>
      <c r="N7" s="73">
        <v>0</v>
      </c>
      <c r="O7" s="73">
        <v>3</v>
      </c>
      <c r="P7" s="73">
        <v>0</v>
      </c>
      <c r="Q7" s="73">
        <v>17</v>
      </c>
      <c r="R7" s="73">
        <f t="shared" si="1"/>
        <v>100</v>
      </c>
      <c r="T7" s="74">
        <f t="shared" si="4"/>
        <v>1962</v>
      </c>
      <c r="U7" s="73">
        <f t="shared" si="2"/>
        <v>0</v>
      </c>
      <c r="V7" s="73">
        <v>0</v>
      </c>
      <c r="W7" s="73">
        <v>0</v>
      </c>
      <c r="Z7" s="155"/>
    </row>
    <row r="8" spans="1:26" s="69" customFormat="1" x14ac:dyDescent="0.35">
      <c r="A8" s="70">
        <f t="shared" si="5"/>
        <v>1963</v>
      </c>
      <c r="B8" s="112">
        <f>B7+($B$17-$B$7)/10</f>
        <v>696077</v>
      </c>
      <c r="C8" s="72">
        <v>261.50842917505554</v>
      </c>
      <c r="D8" s="71">
        <f t="shared" si="3"/>
        <v>182030.00285488513</v>
      </c>
      <c r="E8" s="71">
        <v>0</v>
      </c>
      <c r="F8" s="112">
        <v>182030.00285488513</v>
      </c>
      <c r="G8" s="73">
        <v>0</v>
      </c>
      <c r="H8" s="73">
        <v>0</v>
      </c>
      <c r="I8" s="156"/>
      <c r="J8" s="74">
        <f t="shared" si="0"/>
        <v>1963</v>
      </c>
      <c r="K8" s="73">
        <v>25</v>
      </c>
      <c r="L8" s="73">
        <v>43</v>
      </c>
      <c r="M8" s="73">
        <v>12</v>
      </c>
      <c r="N8" s="73">
        <v>0</v>
      </c>
      <c r="O8" s="73">
        <v>3</v>
      </c>
      <c r="P8" s="73">
        <v>0</v>
      </c>
      <c r="Q8" s="73">
        <v>17</v>
      </c>
      <c r="R8" s="73">
        <f t="shared" si="1"/>
        <v>100</v>
      </c>
      <c r="T8" s="74">
        <f t="shared" si="4"/>
        <v>1963</v>
      </c>
      <c r="U8" s="73">
        <f t="shared" si="2"/>
        <v>0</v>
      </c>
      <c r="V8" s="73">
        <v>0</v>
      </c>
      <c r="W8" s="73">
        <v>0</v>
      </c>
      <c r="Z8" s="155"/>
    </row>
    <row r="9" spans="1:26" s="69" customFormat="1" x14ac:dyDescent="0.35">
      <c r="A9" s="70">
        <f t="shared" si="5"/>
        <v>1964</v>
      </c>
      <c r="B9" s="112">
        <f t="shared" ref="B9:B16" si="6">B8+($B$17-$B$7)/10</f>
        <v>710535</v>
      </c>
      <c r="C9" s="72">
        <v>261.50842917505554</v>
      </c>
      <c r="D9" s="71">
        <f t="shared" si="3"/>
        <v>185810.89172389809</v>
      </c>
      <c r="E9" s="71">
        <v>0</v>
      </c>
      <c r="F9" s="112">
        <v>185810.89172389809</v>
      </c>
      <c r="G9" s="73">
        <v>0</v>
      </c>
      <c r="H9" s="73">
        <v>0</v>
      </c>
      <c r="I9" s="156"/>
      <c r="J9" s="74">
        <f t="shared" si="0"/>
        <v>1964</v>
      </c>
      <c r="K9" s="73">
        <v>25</v>
      </c>
      <c r="L9" s="73">
        <v>43</v>
      </c>
      <c r="M9" s="73">
        <v>12</v>
      </c>
      <c r="N9" s="73">
        <v>0</v>
      </c>
      <c r="O9" s="73">
        <v>3</v>
      </c>
      <c r="P9" s="73">
        <v>0</v>
      </c>
      <c r="Q9" s="73">
        <v>17</v>
      </c>
      <c r="R9" s="73">
        <f t="shared" si="1"/>
        <v>100</v>
      </c>
      <c r="T9" s="74">
        <f t="shared" si="4"/>
        <v>1964</v>
      </c>
      <c r="U9" s="73">
        <f t="shared" si="2"/>
        <v>0</v>
      </c>
      <c r="V9" s="73">
        <v>0</v>
      </c>
      <c r="W9" s="73">
        <v>0</v>
      </c>
      <c r="Z9" s="155"/>
    </row>
    <row r="10" spans="1:26" s="69" customFormat="1" x14ac:dyDescent="0.35">
      <c r="A10" s="70">
        <f t="shared" si="5"/>
        <v>1965</v>
      </c>
      <c r="B10" s="112">
        <f t="shared" si="6"/>
        <v>724993</v>
      </c>
      <c r="C10" s="72">
        <v>261.50842917505554</v>
      </c>
      <c r="D10" s="71">
        <f t="shared" si="3"/>
        <v>189591.78059291103</v>
      </c>
      <c r="E10" s="71">
        <v>0</v>
      </c>
      <c r="F10" s="112">
        <v>189591.78059291103</v>
      </c>
      <c r="G10" s="73">
        <v>0</v>
      </c>
      <c r="H10" s="73">
        <v>0</v>
      </c>
      <c r="I10" s="156"/>
      <c r="J10" s="74">
        <f t="shared" si="0"/>
        <v>1965</v>
      </c>
      <c r="K10" s="73">
        <v>25</v>
      </c>
      <c r="L10" s="73">
        <v>43</v>
      </c>
      <c r="M10" s="73">
        <v>12</v>
      </c>
      <c r="N10" s="73">
        <v>0</v>
      </c>
      <c r="O10" s="73">
        <v>3</v>
      </c>
      <c r="P10" s="73">
        <v>0</v>
      </c>
      <c r="Q10" s="73">
        <v>17</v>
      </c>
      <c r="R10" s="73">
        <f t="shared" si="1"/>
        <v>100</v>
      </c>
      <c r="T10" s="74">
        <f t="shared" si="4"/>
        <v>1965</v>
      </c>
      <c r="U10" s="73">
        <f t="shared" si="2"/>
        <v>0</v>
      </c>
      <c r="V10" s="73">
        <v>0</v>
      </c>
      <c r="W10" s="73">
        <v>0</v>
      </c>
      <c r="Z10" s="155"/>
    </row>
    <row r="11" spans="1:26" s="69" customFormat="1" x14ac:dyDescent="0.35">
      <c r="A11" s="70">
        <f t="shared" si="5"/>
        <v>1966</v>
      </c>
      <c r="B11" s="112">
        <f t="shared" si="6"/>
        <v>739451</v>
      </c>
      <c r="C11" s="72">
        <v>261.50842917505554</v>
      </c>
      <c r="D11" s="71">
        <f t="shared" si="3"/>
        <v>193372.669461924</v>
      </c>
      <c r="E11" s="71">
        <v>0</v>
      </c>
      <c r="F11" s="112">
        <v>193372.669461924</v>
      </c>
      <c r="G11" s="73">
        <v>0</v>
      </c>
      <c r="H11" s="73">
        <v>0</v>
      </c>
      <c r="I11" s="156"/>
      <c r="J11" s="74">
        <f t="shared" si="0"/>
        <v>1966</v>
      </c>
      <c r="K11" s="73">
        <v>25</v>
      </c>
      <c r="L11" s="73">
        <v>43</v>
      </c>
      <c r="M11" s="73">
        <v>12</v>
      </c>
      <c r="N11" s="73">
        <v>0</v>
      </c>
      <c r="O11" s="73">
        <v>3</v>
      </c>
      <c r="P11" s="73">
        <v>0</v>
      </c>
      <c r="Q11" s="73">
        <v>17</v>
      </c>
      <c r="R11" s="73">
        <f t="shared" si="1"/>
        <v>100</v>
      </c>
      <c r="T11" s="74">
        <f t="shared" si="4"/>
        <v>1966</v>
      </c>
      <c r="U11" s="73">
        <f t="shared" si="2"/>
        <v>0</v>
      </c>
      <c r="V11" s="73">
        <v>0</v>
      </c>
      <c r="W11" s="73">
        <v>0</v>
      </c>
      <c r="Z11" s="155"/>
    </row>
    <row r="12" spans="1:26" s="69" customFormat="1" x14ac:dyDescent="0.35">
      <c r="A12" s="70">
        <f t="shared" si="5"/>
        <v>1967</v>
      </c>
      <c r="B12" s="112">
        <f t="shared" si="6"/>
        <v>753909</v>
      </c>
      <c r="C12" s="72">
        <v>261.50842917505554</v>
      </c>
      <c r="D12" s="71">
        <f t="shared" si="3"/>
        <v>197153.55833093694</v>
      </c>
      <c r="E12" s="71">
        <v>0</v>
      </c>
      <c r="F12" s="112">
        <v>197153.55833093694</v>
      </c>
      <c r="G12" s="73">
        <v>0</v>
      </c>
      <c r="H12" s="73">
        <v>0</v>
      </c>
      <c r="I12" s="156"/>
      <c r="J12" s="74">
        <f t="shared" si="0"/>
        <v>1967</v>
      </c>
      <c r="K12" s="73">
        <v>25</v>
      </c>
      <c r="L12" s="73">
        <v>43</v>
      </c>
      <c r="M12" s="73">
        <v>12</v>
      </c>
      <c r="N12" s="73">
        <v>0</v>
      </c>
      <c r="O12" s="73">
        <v>3</v>
      </c>
      <c r="P12" s="73">
        <v>0</v>
      </c>
      <c r="Q12" s="73">
        <v>17</v>
      </c>
      <c r="R12" s="73">
        <f t="shared" si="1"/>
        <v>100</v>
      </c>
      <c r="T12" s="74">
        <f t="shared" si="4"/>
        <v>1967</v>
      </c>
      <c r="U12" s="73">
        <f t="shared" si="2"/>
        <v>0</v>
      </c>
      <c r="V12" s="73">
        <v>0</v>
      </c>
      <c r="W12" s="73">
        <v>0</v>
      </c>
      <c r="Z12" s="155"/>
    </row>
    <row r="13" spans="1:26" s="69" customFormat="1" x14ac:dyDescent="0.35">
      <c r="A13" s="70">
        <f t="shared" si="5"/>
        <v>1968</v>
      </c>
      <c r="B13" s="112">
        <f t="shared" si="6"/>
        <v>768367</v>
      </c>
      <c r="C13" s="72">
        <v>261.50842917505554</v>
      </c>
      <c r="D13" s="71">
        <f t="shared" si="3"/>
        <v>200934.44719994988</v>
      </c>
      <c r="E13" s="71">
        <v>0</v>
      </c>
      <c r="F13" s="112">
        <v>200934.44719994988</v>
      </c>
      <c r="G13" s="73">
        <v>0</v>
      </c>
      <c r="H13" s="73">
        <v>0</v>
      </c>
      <c r="I13" s="156"/>
      <c r="J13" s="74">
        <f t="shared" si="0"/>
        <v>1968</v>
      </c>
      <c r="K13" s="73">
        <v>25</v>
      </c>
      <c r="L13" s="73">
        <v>43</v>
      </c>
      <c r="M13" s="73">
        <v>12</v>
      </c>
      <c r="N13" s="73">
        <v>0</v>
      </c>
      <c r="O13" s="73">
        <v>3</v>
      </c>
      <c r="P13" s="73">
        <v>0</v>
      </c>
      <c r="Q13" s="73">
        <v>17</v>
      </c>
      <c r="R13" s="73">
        <f t="shared" si="1"/>
        <v>100</v>
      </c>
      <c r="T13" s="74">
        <f t="shared" si="4"/>
        <v>1968</v>
      </c>
      <c r="U13" s="73">
        <f t="shared" si="2"/>
        <v>0</v>
      </c>
      <c r="V13" s="73">
        <v>0</v>
      </c>
      <c r="W13" s="73">
        <v>0</v>
      </c>
      <c r="Z13" s="155"/>
    </row>
    <row r="14" spans="1:26" s="69" customFormat="1" x14ac:dyDescent="0.35">
      <c r="A14" s="70">
        <f t="shared" si="5"/>
        <v>1969</v>
      </c>
      <c r="B14" s="112">
        <f t="shared" si="6"/>
        <v>782825</v>
      </c>
      <c r="C14" s="72">
        <v>261.50842917505554</v>
      </c>
      <c r="D14" s="71">
        <f t="shared" si="3"/>
        <v>204715.33606896285</v>
      </c>
      <c r="E14" s="71">
        <v>0</v>
      </c>
      <c r="F14" s="112">
        <v>204715.33606896285</v>
      </c>
      <c r="G14" s="73">
        <v>0</v>
      </c>
      <c r="H14" s="73">
        <v>0</v>
      </c>
      <c r="I14" s="156"/>
      <c r="J14" s="74">
        <f t="shared" si="0"/>
        <v>1969</v>
      </c>
      <c r="K14" s="73">
        <v>25</v>
      </c>
      <c r="L14" s="73">
        <v>43</v>
      </c>
      <c r="M14" s="73">
        <v>12</v>
      </c>
      <c r="N14" s="73">
        <v>0</v>
      </c>
      <c r="O14" s="73">
        <v>3</v>
      </c>
      <c r="P14" s="73">
        <v>0</v>
      </c>
      <c r="Q14" s="73">
        <v>17</v>
      </c>
      <c r="R14" s="73">
        <f t="shared" si="1"/>
        <v>100</v>
      </c>
      <c r="T14" s="74">
        <f t="shared" si="4"/>
        <v>1969</v>
      </c>
      <c r="U14" s="73">
        <f t="shared" si="2"/>
        <v>0</v>
      </c>
      <c r="V14" s="73">
        <v>0</v>
      </c>
      <c r="W14" s="73">
        <v>0</v>
      </c>
      <c r="Z14" s="155"/>
    </row>
    <row r="15" spans="1:26" s="69" customFormat="1" x14ac:dyDescent="0.35">
      <c r="A15" s="70">
        <f t="shared" si="5"/>
        <v>1970</v>
      </c>
      <c r="B15" s="112">
        <f t="shared" si="6"/>
        <v>797283</v>
      </c>
      <c r="C15" s="72">
        <v>261.50842917505554</v>
      </c>
      <c r="D15" s="71">
        <f t="shared" si="3"/>
        <v>208496.22493797578</v>
      </c>
      <c r="E15" s="71">
        <v>0</v>
      </c>
      <c r="F15" s="112">
        <v>208496.22493797578</v>
      </c>
      <c r="G15" s="73">
        <v>0</v>
      </c>
      <c r="H15" s="73">
        <v>0</v>
      </c>
      <c r="I15" s="156"/>
      <c r="J15" s="74">
        <f t="shared" si="0"/>
        <v>1970</v>
      </c>
      <c r="K15" s="73">
        <v>25</v>
      </c>
      <c r="L15" s="73">
        <v>43</v>
      </c>
      <c r="M15" s="73">
        <v>12</v>
      </c>
      <c r="N15" s="73">
        <v>0</v>
      </c>
      <c r="O15" s="73">
        <v>3</v>
      </c>
      <c r="P15" s="73">
        <v>0</v>
      </c>
      <c r="Q15" s="73">
        <v>17</v>
      </c>
      <c r="R15" s="73">
        <f t="shared" si="1"/>
        <v>100</v>
      </c>
      <c r="T15" s="74">
        <f t="shared" si="4"/>
        <v>1970</v>
      </c>
      <c r="U15" s="73">
        <f t="shared" si="2"/>
        <v>0</v>
      </c>
      <c r="V15" s="73">
        <v>0</v>
      </c>
      <c r="W15" s="73">
        <v>0</v>
      </c>
      <c r="Z15" s="155"/>
    </row>
    <row r="16" spans="1:26" s="69" customFormat="1" x14ac:dyDescent="0.35">
      <c r="A16" s="70">
        <f t="shared" si="5"/>
        <v>1971</v>
      </c>
      <c r="B16" s="112">
        <f t="shared" si="6"/>
        <v>811741</v>
      </c>
      <c r="C16" s="72">
        <v>261.50842917505554</v>
      </c>
      <c r="D16" s="71">
        <f t="shared" si="3"/>
        <v>212277.11380698875</v>
      </c>
      <c r="E16" s="71">
        <v>0</v>
      </c>
      <c r="F16" s="112">
        <v>212277.11380698875</v>
      </c>
      <c r="G16" s="73">
        <v>0</v>
      </c>
      <c r="H16" s="73">
        <v>0</v>
      </c>
      <c r="I16" s="156"/>
      <c r="J16" s="74">
        <f t="shared" si="0"/>
        <v>1971</v>
      </c>
      <c r="K16" s="73">
        <v>25</v>
      </c>
      <c r="L16" s="73">
        <v>43</v>
      </c>
      <c r="M16" s="73">
        <v>12</v>
      </c>
      <c r="N16" s="73">
        <v>0</v>
      </c>
      <c r="O16" s="73">
        <v>3</v>
      </c>
      <c r="P16" s="73">
        <v>0</v>
      </c>
      <c r="Q16" s="73">
        <v>17</v>
      </c>
      <c r="R16" s="73">
        <f t="shared" si="1"/>
        <v>100</v>
      </c>
      <c r="T16" s="74">
        <f t="shared" si="4"/>
        <v>1971</v>
      </c>
      <c r="U16" s="73">
        <f t="shared" si="2"/>
        <v>0</v>
      </c>
      <c r="V16" s="73">
        <v>0</v>
      </c>
      <c r="W16" s="73">
        <v>0</v>
      </c>
      <c r="Z16" s="155"/>
    </row>
    <row r="17" spans="1:26" s="69" customFormat="1" x14ac:dyDescent="0.35">
      <c r="A17" s="70">
        <f t="shared" si="5"/>
        <v>1972</v>
      </c>
      <c r="B17" s="71">
        <v>826199</v>
      </c>
      <c r="C17" s="72">
        <v>261.50842917505554</v>
      </c>
      <c r="D17" s="71">
        <f t="shared" si="3"/>
        <v>216058.00267600169</v>
      </c>
      <c r="E17" s="71">
        <v>0</v>
      </c>
      <c r="F17" s="112">
        <v>216058.00267600169</v>
      </c>
      <c r="G17" s="73">
        <v>0</v>
      </c>
      <c r="H17" s="73">
        <v>0</v>
      </c>
      <c r="I17" s="156"/>
      <c r="J17" s="74">
        <f t="shared" si="0"/>
        <v>1972</v>
      </c>
      <c r="K17" s="73">
        <v>25</v>
      </c>
      <c r="L17" s="73">
        <v>43</v>
      </c>
      <c r="M17" s="73">
        <v>12</v>
      </c>
      <c r="N17" s="73">
        <v>0</v>
      </c>
      <c r="O17" s="73">
        <v>3</v>
      </c>
      <c r="P17" s="73">
        <v>0</v>
      </c>
      <c r="Q17" s="73">
        <v>17</v>
      </c>
      <c r="R17" s="73">
        <f t="shared" si="1"/>
        <v>100</v>
      </c>
      <c r="T17" s="74">
        <f t="shared" si="4"/>
        <v>1972</v>
      </c>
      <c r="U17" s="73">
        <f t="shared" si="2"/>
        <v>0</v>
      </c>
      <c r="V17" s="73">
        <v>0</v>
      </c>
      <c r="W17" s="73">
        <v>0</v>
      </c>
      <c r="Z17" s="155"/>
    </row>
    <row r="18" spans="1:26" s="69" customFormat="1" x14ac:dyDescent="0.35">
      <c r="A18" s="70">
        <f t="shared" si="5"/>
        <v>1973</v>
      </c>
      <c r="B18" s="112">
        <f>B17+($B$28-$B$17)/11</f>
        <v>838986.63636363635</v>
      </c>
      <c r="C18" s="72">
        <v>261.50842917505554</v>
      </c>
      <c r="D18" s="71">
        <f t="shared" si="3"/>
        <v>219402.07737431806</v>
      </c>
      <c r="E18" s="71">
        <v>0</v>
      </c>
      <c r="F18" s="112">
        <v>219402.07737431806</v>
      </c>
      <c r="G18" s="73">
        <v>0</v>
      </c>
      <c r="H18" s="73">
        <v>0</v>
      </c>
      <c r="I18" s="156"/>
      <c r="J18" s="74">
        <f t="shared" si="0"/>
        <v>1973</v>
      </c>
      <c r="K18" s="73">
        <v>25</v>
      </c>
      <c r="L18" s="73">
        <v>43</v>
      </c>
      <c r="M18" s="73">
        <v>12</v>
      </c>
      <c r="N18" s="73">
        <v>0</v>
      </c>
      <c r="O18" s="73">
        <v>3</v>
      </c>
      <c r="P18" s="73">
        <v>0</v>
      </c>
      <c r="Q18" s="73">
        <v>17</v>
      </c>
      <c r="R18" s="73">
        <f t="shared" si="1"/>
        <v>100</v>
      </c>
      <c r="T18" s="74">
        <f t="shared" si="4"/>
        <v>1973</v>
      </c>
      <c r="U18" s="73">
        <f t="shared" si="2"/>
        <v>0</v>
      </c>
      <c r="V18" s="73">
        <v>0</v>
      </c>
      <c r="W18" s="73">
        <v>0</v>
      </c>
      <c r="Z18" s="155"/>
    </row>
    <row r="19" spans="1:26" s="69" customFormat="1" x14ac:dyDescent="0.35">
      <c r="A19" s="70">
        <f t="shared" si="5"/>
        <v>1974</v>
      </c>
      <c r="B19" s="112">
        <f t="shared" ref="B19:B27" si="7">B18+($B$28-$B$17)/11</f>
        <v>851774.27272727271</v>
      </c>
      <c r="C19" s="72">
        <v>261.50842917505554</v>
      </c>
      <c r="D19" s="71">
        <f t="shared" si="3"/>
        <v>222746.15207263443</v>
      </c>
      <c r="E19" s="71">
        <v>0</v>
      </c>
      <c r="F19" s="112">
        <v>222746.15207263443</v>
      </c>
      <c r="G19" s="73">
        <v>0</v>
      </c>
      <c r="H19" s="73">
        <v>0</v>
      </c>
      <c r="I19" s="156"/>
      <c r="J19" s="74">
        <f t="shared" si="0"/>
        <v>1974</v>
      </c>
      <c r="K19" s="73">
        <v>25</v>
      </c>
      <c r="L19" s="73">
        <v>43</v>
      </c>
      <c r="M19" s="73">
        <v>12</v>
      </c>
      <c r="N19" s="73">
        <v>0</v>
      </c>
      <c r="O19" s="73">
        <v>3</v>
      </c>
      <c r="P19" s="73">
        <v>0</v>
      </c>
      <c r="Q19" s="73">
        <v>17</v>
      </c>
      <c r="R19" s="73">
        <f t="shared" si="1"/>
        <v>100</v>
      </c>
      <c r="T19" s="74">
        <f t="shared" si="4"/>
        <v>1974</v>
      </c>
      <c r="U19" s="73">
        <f t="shared" si="2"/>
        <v>0</v>
      </c>
      <c r="V19" s="73">
        <v>0</v>
      </c>
      <c r="W19" s="73">
        <v>0</v>
      </c>
      <c r="Z19" s="155"/>
    </row>
    <row r="20" spans="1:26" s="69" customFormat="1" x14ac:dyDescent="0.35">
      <c r="A20" s="70">
        <f t="shared" si="5"/>
        <v>1975</v>
      </c>
      <c r="B20" s="112">
        <f t="shared" si="7"/>
        <v>864561.90909090906</v>
      </c>
      <c r="C20" s="72">
        <v>261.50842917505554</v>
      </c>
      <c r="D20" s="71">
        <f t="shared" si="3"/>
        <v>226090.2267709508</v>
      </c>
      <c r="E20" s="71">
        <v>0</v>
      </c>
      <c r="F20" s="112">
        <v>226090.2267709508</v>
      </c>
      <c r="G20" s="73">
        <v>0</v>
      </c>
      <c r="H20" s="73">
        <v>0</v>
      </c>
      <c r="I20" s="156"/>
      <c r="J20" s="74">
        <f t="shared" si="0"/>
        <v>1975</v>
      </c>
      <c r="K20" s="73">
        <v>25</v>
      </c>
      <c r="L20" s="73">
        <v>43</v>
      </c>
      <c r="M20" s="73">
        <v>12</v>
      </c>
      <c r="N20" s="73">
        <v>0</v>
      </c>
      <c r="O20" s="73">
        <v>3</v>
      </c>
      <c r="P20" s="73">
        <v>0</v>
      </c>
      <c r="Q20" s="73">
        <v>17</v>
      </c>
      <c r="R20" s="73">
        <f t="shared" si="1"/>
        <v>100</v>
      </c>
      <c r="T20" s="74">
        <f t="shared" si="4"/>
        <v>1975</v>
      </c>
      <c r="U20" s="73">
        <f t="shared" si="2"/>
        <v>0</v>
      </c>
      <c r="V20" s="73">
        <v>0</v>
      </c>
      <c r="W20" s="73">
        <v>0</v>
      </c>
      <c r="Z20" s="155"/>
    </row>
    <row r="21" spans="1:26" s="69" customFormat="1" x14ac:dyDescent="0.35">
      <c r="A21" s="70">
        <f t="shared" si="5"/>
        <v>1976</v>
      </c>
      <c r="B21" s="112">
        <f t="shared" si="7"/>
        <v>877349.54545454541</v>
      </c>
      <c r="C21" s="72">
        <v>261.50842917505554</v>
      </c>
      <c r="D21" s="71">
        <f t="shared" si="3"/>
        <v>229434.30146926717</v>
      </c>
      <c r="E21" s="71">
        <v>0</v>
      </c>
      <c r="F21" s="112">
        <v>229434.30146926717</v>
      </c>
      <c r="G21" s="73">
        <v>0</v>
      </c>
      <c r="H21" s="73">
        <v>0</v>
      </c>
      <c r="I21" s="156"/>
      <c r="J21" s="74">
        <f t="shared" si="0"/>
        <v>1976</v>
      </c>
      <c r="K21" s="73">
        <v>25</v>
      </c>
      <c r="L21" s="73">
        <v>43</v>
      </c>
      <c r="M21" s="73">
        <v>12</v>
      </c>
      <c r="N21" s="73">
        <v>0</v>
      </c>
      <c r="O21" s="73">
        <v>3</v>
      </c>
      <c r="P21" s="73">
        <v>0</v>
      </c>
      <c r="Q21" s="73">
        <v>17</v>
      </c>
      <c r="R21" s="73">
        <f t="shared" si="1"/>
        <v>100</v>
      </c>
      <c r="T21" s="74">
        <f t="shared" si="4"/>
        <v>1976</v>
      </c>
      <c r="U21" s="73">
        <f t="shared" si="2"/>
        <v>0</v>
      </c>
      <c r="V21" s="73">
        <v>0</v>
      </c>
      <c r="W21" s="73">
        <v>0</v>
      </c>
      <c r="Z21" s="155"/>
    </row>
    <row r="22" spans="1:26" s="69" customFormat="1" x14ac:dyDescent="0.35">
      <c r="A22" s="70">
        <f t="shared" si="5"/>
        <v>1977</v>
      </c>
      <c r="B22" s="112">
        <f t="shared" si="7"/>
        <v>890137.18181818177</v>
      </c>
      <c r="C22" s="72">
        <v>261.50842917505554</v>
      </c>
      <c r="D22" s="71">
        <f t="shared" si="3"/>
        <v>232778.37616758351</v>
      </c>
      <c r="E22" s="71">
        <v>0</v>
      </c>
      <c r="F22" s="112">
        <v>232778.37616758351</v>
      </c>
      <c r="G22" s="73">
        <v>0</v>
      </c>
      <c r="H22" s="73">
        <v>0</v>
      </c>
      <c r="I22" s="156"/>
      <c r="J22" s="74">
        <f t="shared" si="0"/>
        <v>1977</v>
      </c>
      <c r="K22" s="73">
        <v>25</v>
      </c>
      <c r="L22" s="73">
        <v>43</v>
      </c>
      <c r="M22" s="73">
        <v>12</v>
      </c>
      <c r="N22" s="73">
        <v>0</v>
      </c>
      <c r="O22" s="73">
        <v>3</v>
      </c>
      <c r="P22" s="73">
        <v>0</v>
      </c>
      <c r="Q22" s="73">
        <v>17</v>
      </c>
      <c r="R22" s="73">
        <f t="shared" si="1"/>
        <v>100</v>
      </c>
      <c r="T22" s="74">
        <f t="shared" si="4"/>
        <v>1977</v>
      </c>
      <c r="U22" s="73">
        <f t="shared" si="2"/>
        <v>0</v>
      </c>
      <c r="V22" s="73">
        <v>0</v>
      </c>
      <c r="W22" s="73">
        <v>0</v>
      </c>
      <c r="Z22" s="155"/>
    </row>
    <row r="23" spans="1:26" s="69" customFormat="1" x14ac:dyDescent="0.35">
      <c r="A23" s="70">
        <f t="shared" si="5"/>
        <v>1978</v>
      </c>
      <c r="B23" s="112">
        <f t="shared" si="7"/>
        <v>902924.81818181812</v>
      </c>
      <c r="C23" s="72">
        <v>261.50842917505554</v>
      </c>
      <c r="D23" s="71">
        <f t="shared" si="3"/>
        <v>236122.45086589988</v>
      </c>
      <c r="E23" s="71">
        <v>0</v>
      </c>
      <c r="F23" s="112">
        <v>236122.45086589988</v>
      </c>
      <c r="G23" s="73">
        <v>0</v>
      </c>
      <c r="H23" s="73">
        <v>0</v>
      </c>
      <c r="I23" s="156"/>
      <c r="J23" s="74">
        <f t="shared" si="0"/>
        <v>1978</v>
      </c>
      <c r="K23" s="73">
        <v>25</v>
      </c>
      <c r="L23" s="73">
        <v>43</v>
      </c>
      <c r="M23" s="73">
        <v>12</v>
      </c>
      <c r="N23" s="73">
        <v>0</v>
      </c>
      <c r="O23" s="73">
        <v>3</v>
      </c>
      <c r="P23" s="73">
        <v>0</v>
      </c>
      <c r="Q23" s="73">
        <v>17</v>
      </c>
      <c r="R23" s="73">
        <f t="shared" si="1"/>
        <v>100</v>
      </c>
      <c r="T23" s="74">
        <f t="shared" si="4"/>
        <v>1978</v>
      </c>
      <c r="U23" s="73">
        <f t="shared" si="2"/>
        <v>0</v>
      </c>
      <c r="V23" s="73">
        <v>0</v>
      </c>
      <c r="W23" s="73">
        <v>0</v>
      </c>
      <c r="Z23" s="155"/>
    </row>
    <row r="24" spans="1:26" s="69" customFormat="1" x14ac:dyDescent="0.35">
      <c r="A24" s="70">
        <f t="shared" si="5"/>
        <v>1979</v>
      </c>
      <c r="B24" s="112">
        <f t="shared" si="7"/>
        <v>915712.45454545447</v>
      </c>
      <c r="C24" s="72">
        <v>261.50842917505554</v>
      </c>
      <c r="D24" s="71">
        <f t="shared" si="3"/>
        <v>239466.52556421625</v>
      </c>
      <c r="E24" s="71">
        <v>0</v>
      </c>
      <c r="F24" s="112">
        <v>239466.52556421625</v>
      </c>
      <c r="G24" s="73">
        <v>0</v>
      </c>
      <c r="H24" s="73">
        <v>0</v>
      </c>
      <c r="I24" s="156"/>
      <c r="J24" s="74">
        <f t="shared" si="0"/>
        <v>1979</v>
      </c>
      <c r="K24" s="73">
        <v>25</v>
      </c>
      <c r="L24" s="73">
        <v>43</v>
      </c>
      <c r="M24" s="73">
        <v>12</v>
      </c>
      <c r="N24" s="73">
        <v>0</v>
      </c>
      <c r="O24" s="73">
        <v>3</v>
      </c>
      <c r="P24" s="73">
        <v>0</v>
      </c>
      <c r="Q24" s="73">
        <v>17</v>
      </c>
      <c r="R24" s="73">
        <f t="shared" si="1"/>
        <v>100</v>
      </c>
      <c r="T24" s="74">
        <f t="shared" si="4"/>
        <v>1979</v>
      </c>
      <c r="U24" s="73">
        <f t="shared" si="2"/>
        <v>0</v>
      </c>
      <c r="V24" s="73">
        <v>0</v>
      </c>
      <c r="W24" s="73">
        <v>0</v>
      </c>
      <c r="Z24" s="155"/>
    </row>
    <row r="25" spans="1:26" s="69" customFormat="1" x14ac:dyDescent="0.35">
      <c r="A25" s="70">
        <f t="shared" si="5"/>
        <v>1980</v>
      </c>
      <c r="B25" s="112">
        <f t="shared" si="7"/>
        <v>928500.09090909082</v>
      </c>
      <c r="C25" s="72">
        <v>261.50842917505554</v>
      </c>
      <c r="D25" s="71">
        <f t="shared" si="3"/>
        <v>242810.60026253262</v>
      </c>
      <c r="E25" s="71">
        <v>0</v>
      </c>
      <c r="F25" s="112">
        <v>242810.60026253262</v>
      </c>
      <c r="G25" s="73">
        <v>0</v>
      </c>
      <c r="H25" s="73">
        <v>0</v>
      </c>
      <c r="I25" s="156"/>
      <c r="J25" s="74">
        <f t="shared" si="0"/>
        <v>1980</v>
      </c>
      <c r="K25" s="73">
        <v>25</v>
      </c>
      <c r="L25" s="73">
        <v>43</v>
      </c>
      <c r="M25" s="73">
        <v>12</v>
      </c>
      <c r="N25" s="73">
        <v>0</v>
      </c>
      <c r="O25" s="73">
        <v>3</v>
      </c>
      <c r="P25" s="73">
        <v>0</v>
      </c>
      <c r="Q25" s="73">
        <v>17</v>
      </c>
      <c r="R25" s="73">
        <f t="shared" si="1"/>
        <v>100</v>
      </c>
      <c r="T25" s="74">
        <f t="shared" si="4"/>
        <v>1980</v>
      </c>
      <c r="U25" s="73">
        <f t="shared" si="2"/>
        <v>0</v>
      </c>
      <c r="V25" s="73">
        <v>0</v>
      </c>
      <c r="W25" s="73">
        <v>0</v>
      </c>
      <c r="Z25" s="155"/>
    </row>
    <row r="26" spans="1:26" s="69" customFormat="1" x14ac:dyDescent="0.35">
      <c r="A26" s="70">
        <f t="shared" si="5"/>
        <v>1981</v>
      </c>
      <c r="B26" s="112">
        <f t="shared" si="7"/>
        <v>941287.72727272718</v>
      </c>
      <c r="C26" s="72">
        <v>261.50842917505554</v>
      </c>
      <c r="D26" s="71">
        <f t="shared" si="3"/>
        <v>246154.67496084896</v>
      </c>
      <c r="E26" s="71">
        <v>0</v>
      </c>
      <c r="F26" s="112">
        <v>246154.67496084896</v>
      </c>
      <c r="G26" s="73">
        <v>0</v>
      </c>
      <c r="H26" s="73">
        <v>0</v>
      </c>
      <c r="I26" s="156"/>
      <c r="J26" s="74">
        <f t="shared" si="0"/>
        <v>1981</v>
      </c>
      <c r="K26" s="73">
        <v>25</v>
      </c>
      <c r="L26" s="73">
        <v>43</v>
      </c>
      <c r="M26" s="73">
        <v>12</v>
      </c>
      <c r="N26" s="73">
        <v>0</v>
      </c>
      <c r="O26" s="73">
        <v>3</v>
      </c>
      <c r="P26" s="73">
        <v>0</v>
      </c>
      <c r="Q26" s="73">
        <v>17</v>
      </c>
      <c r="R26" s="73">
        <f t="shared" si="1"/>
        <v>100</v>
      </c>
      <c r="T26" s="74">
        <f t="shared" si="4"/>
        <v>1981</v>
      </c>
      <c r="U26" s="73">
        <f t="shared" si="2"/>
        <v>0</v>
      </c>
      <c r="V26" s="73">
        <v>0</v>
      </c>
      <c r="W26" s="73">
        <v>0</v>
      </c>
      <c r="Z26" s="155"/>
    </row>
    <row r="27" spans="1:26" s="69" customFormat="1" x14ac:dyDescent="0.35">
      <c r="A27" s="70">
        <f t="shared" si="5"/>
        <v>1982</v>
      </c>
      <c r="B27" s="112">
        <f t="shared" si="7"/>
        <v>954075.36363636353</v>
      </c>
      <c r="C27" s="72">
        <v>261.50842917505554</v>
      </c>
      <c r="D27" s="71">
        <f t="shared" si="3"/>
        <v>249498.74965916533</v>
      </c>
      <c r="E27" s="71">
        <v>0</v>
      </c>
      <c r="F27" s="112">
        <v>249498.74965916533</v>
      </c>
      <c r="G27" s="73">
        <v>0</v>
      </c>
      <c r="H27" s="73">
        <v>0</v>
      </c>
      <c r="I27" s="156"/>
      <c r="J27" s="74">
        <f t="shared" si="0"/>
        <v>1982</v>
      </c>
      <c r="K27" s="73">
        <v>25</v>
      </c>
      <c r="L27" s="73">
        <v>43</v>
      </c>
      <c r="M27" s="73">
        <v>12</v>
      </c>
      <c r="N27" s="73">
        <v>0</v>
      </c>
      <c r="O27" s="73">
        <v>3</v>
      </c>
      <c r="P27" s="73">
        <v>0</v>
      </c>
      <c r="Q27" s="73">
        <v>17</v>
      </c>
      <c r="R27" s="73">
        <f t="shared" si="1"/>
        <v>100</v>
      </c>
      <c r="T27" s="74">
        <f t="shared" si="4"/>
        <v>1982</v>
      </c>
      <c r="U27" s="73">
        <f t="shared" si="2"/>
        <v>0</v>
      </c>
      <c r="V27" s="73">
        <v>0</v>
      </c>
      <c r="W27" s="73">
        <v>0</v>
      </c>
      <c r="Z27" s="155"/>
    </row>
    <row r="28" spans="1:26" s="69" customFormat="1" x14ac:dyDescent="0.35">
      <c r="A28" s="70">
        <f t="shared" si="5"/>
        <v>1983</v>
      </c>
      <c r="B28" s="71">
        <v>966863</v>
      </c>
      <c r="C28" s="72">
        <v>261.50842917505554</v>
      </c>
      <c r="D28" s="71">
        <f t="shared" si="3"/>
        <v>252842.82435748173</v>
      </c>
      <c r="E28" s="71">
        <v>0</v>
      </c>
      <c r="F28" s="112">
        <v>252842.82435748173</v>
      </c>
      <c r="G28" s="73">
        <v>0</v>
      </c>
      <c r="H28" s="73">
        <v>0</v>
      </c>
      <c r="I28" s="156"/>
      <c r="J28" s="74">
        <f t="shared" si="0"/>
        <v>1983</v>
      </c>
      <c r="K28" s="73">
        <v>25</v>
      </c>
      <c r="L28" s="73">
        <v>43</v>
      </c>
      <c r="M28" s="73">
        <v>12</v>
      </c>
      <c r="N28" s="73">
        <v>0</v>
      </c>
      <c r="O28" s="73">
        <v>3</v>
      </c>
      <c r="P28" s="73">
        <v>0</v>
      </c>
      <c r="Q28" s="73">
        <v>17</v>
      </c>
      <c r="R28" s="73">
        <f t="shared" si="1"/>
        <v>100</v>
      </c>
      <c r="T28" s="74">
        <f t="shared" si="4"/>
        <v>1983</v>
      </c>
      <c r="U28" s="73">
        <f t="shared" si="2"/>
        <v>0</v>
      </c>
      <c r="V28" s="73">
        <v>0</v>
      </c>
      <c r="W28" s="73">
        <v>0</v>
      </c>
      <c r="Z28" s="155"/>
    </row>
    <row r="29" spans="1:26" s="69" customFormat="1" x14ac:dyDescent="0.35">
      <c r="A29" s="70">
        <f t="shared" si="5"/>
        <v>1984</v>
      </c>
      <c r="B29" s="112">
        <f>B28+($B$35-$B$28)/7</f>
        <v>974804.85714285716</v>
      </c>
      <c r="C29" s="72">
        <v>261.50842917505554</v>
      </c>
      <c r="D29" s="71">
        <f t="shared" si="3"/>
        <v>254919.686943643</v>
      </c>
      <c r="E29" s="71">
        <v>0</v>
      </c>
      <c r="F29" s="112">
        <v>254919.686943643</v>
      </c>
      <c r="G29" s="73">
        <v>0</v>
      </c>
      <c r="H29" s="73">
        <v>0</v>
      </c>
      <c r="I29" s="156"/>
      <c r="J29" s="74">
        <f t="shared" si="0"/>
        <v>1984</v>
      </c>
      <c r="K29" s="73">
        <v>25</v>
      </c>
      <c r="L29" s="73">
        <v>43</v>
      </c>
      <c r="M29" s="73">
        <v>12</v>
      </c>
      <c r="N29" s="73">
        <v>0</v>
      </c>
      <c r="O29" s="73">
        <v>3</v>
      </c>
      <c r="P29" s="73">
        <v>0</v>
      </c>
      <c r="Q29" s="73">
        <v>17</v>
      </c>
      <c r="R29" s="73">
        <f t="shared" si="1"/>
        <v>100</v>
      </c>
      <c r="T29" s="74">
        <f t="shared" si="4"/>
        <v>1984</v>
      </c>
      <c r="U29" s="73">
        <f t="shared" si="2"/>
        <v>0</v>
      </c>
      <c r="V29" s="73">
        <v>0</v>
      </c>
      <c r="W29" s="73">
        <v>0</v>
      </c>
      <c r="Z29" s="155"/>
    </row>
    <row r="30" spans="1:26" s="69" customFormat="1" x14ac:dyDescent="0.35">
      <c r="A30" s="70">
        <f t="shared" si="5"/>
        <v>1985</v>
      </c>
      <c r="B30" s="112">
        <f t="shared" ref="B30:B34" si="8">B29+($B$35-$B$28)/7</f>
        <v>982746.71428571432</v>
      </c>
      <c r="C30" s="72">
        <v>261.50842917505554</v>
      </c>
      <c r="D30" s="71">
        <f t="shared" si="3"/>
        <v>256996.54952980427</v>
      </c>
      <c r="E30" s="71">
        <v>0</v>
      </c>
      <c r="F30" s="112">
        <v>256996.54952980427</v>
      </c>
      <c r="G30" s="73">
        <v>0</v>
      </c>
      <c r="H30" s="73">
        <v>0</v>
      </c>
      <c r="I30" s="156"/>
      <c r="J30" s="74">
        <f t="shared" si="0"/>
        <v>1985</v>
      </c>
      <c r="K30" s="73">
        <v>25</v>
      </c>
      <c r="L30" s="73">
        <v>43</v>
      </c>
      <c r="M30" s="73">
        <v>12</v>
      </c>
      <c r="N30" s="73">
        <v>0</v>
      </c>
      <c r="O30" s="73">
        <v>3</v>
      </c>
      <c r="P30" s="73">
        <v>0</v>
      </c>
      <c r="Q30" s="73">
        <v>17</v>
      </c>
      <c r="R30" s="73">
        <f t="shared" si="1"/>
        <v>100</v>
      </c>
      <c r="T30" s="74">
        <f t="shared" si="4"/>
        <v>1985</v>
      </c>
      <c r="U30" s="73">
        <f t="shared" si="2"/>
        <v>0</v>
      </c>
      <c r="V30" s="73">
        <v>0</v>
      </c>
      <c r="W30" s="73">
        <v>0</v>
      </c>
      <c r="Z30" s="155"/>
    </row>
    <row r="31" spans="1:26" s="69" customFormat="1" x14ac:dyDescent="0.35">
      <c r="A31" s="70">
        <f t="shared" si="5"/>
        <v>1986</v>
      </c>
      <c r="B31" s="112">
        <f t="shared" si="8"/>
        <v>990688.57142857148</v>
      </c>
      <c r="C31" s="72">
        <v>261.50842917505554</v>
      </c>
      <c r="D31" s="71">
        <f t="shared" si="3"/>
        <v>259073.41211596553</v>
      </c>
      <c r="E31" s="71">
        <v>0</v>
      </c>
      <c r="F31" s="112">
        <v>259073.41211596553</v>
      </c>
      <c r="G31" s="73">
        <v>0</v>
      </c>
      <c r="H31" s="73">
        <v>0</v>
      </c>
      <c r="I31" s="156"/>
      <c r="J31" s="74">
        <f t="shared" si="0"/>
        <v>1986</v>
      </c>
      <c r="K31" s="73">
        <v>25</v>
      </c>
      <c r="L31" s="73">
        <v>43</v>
      </c>
      <c r="M31" s="73">
        <v>12</v>
      </c>
      <c r="N31" s="73">
        <v>0</v>
      </c>
      <c r="O31" s="73">
        <v>3</v>
      </c>
      <c r="P31" s="73">
        <v>0</v>
      </c>
      <c r="Q31" s="73">
        <v>17</v>
      </c>
      <c r="R31" s="73">
        <f t="shared" si="1"/>
        <v>100</v>
      </c>
      <c r="T31" s="74">
        <f t="shared" si="4"/>
        <v>1986</v>
      </c>
      <c r="U31" s="73">
        <f t="shared" si="2"/>
        <v>0</v>
      </c>
      <c r="V31" s="73">
        <v>0</v>
      </c>
      <c r="W31" s="73">
        <v>0</v>
      </c>
      <c r="Z31" s="155"/>
    </row>
    <row r="32" spans="1:26" s="69" customFormat="1" x14ac:dyDescent="0.35">
      <c r="A32" s="70">
        <f t="shared" si="5"/>
        <v>1987</v>
      </c>
      <c r="B32" s="112">
        <f t="shared" si="8"/>
        <v>998630.42857142864</v>
      </c>
      <c r="C32" s="72">
        <v>261.50842917505554</v>
      </c>
      <c r="D32" s="71">
        <f t="shared" si="3"/>
        <v>261150.2747021268</v>
      </c>
      <c r="E32" s="71">
        <v>0</v>
      </c>
      <c r="F32" s="112">
        <v>261150.2747021268</v>
      </c>
      <c r="G32" s="73">
        <v>0</v>
      </c>
      <c r="H32" s="73">
        <v>0</v>
      </c>
      <c r="I32" s="156"/>
      <c r="J32" s="74">
        <f t="shared" si="0"/>
        <v>1987</v>
      </c>
      <c r="K32" s="73">
        <v>25</v>
      </c>
      <c r="L32" s="73">
        <v>43</v>
      </c>
      <c r="M32" s="73">
        <v>12</v>
      </c>
      <c r="N32" s="73">
        <v>0</v>
      </c>
      <c r="O32" s="73">
        <v>3</v>
      </c>
      <c r="P32" s="73">
        <v>0</v>
      </c>
      <c r="Q32" s="73">
        <v>17</v>
      </c>
      <c r="R32" s="73">
        <f t="shared" si="1"/>
        <v>100</v>
      </c>
      <c r="T32" s="74">
        <f t="shared" si="4"/>
        <v>1987</v>
      </c>
      <c r="U32" s="73">
        <f t="shared" si="2"/>
        <v>0</v>
      </c>
      <c r="V32" s="73">
        <v>0</v>
      </c>
      <c r="W32" s="73">
        <v>0</v>
      </c>
      <c r="Z32" s="155"/>
    </row>
    <row r="33" spans="1:32" s="69" customFormat="1" x14ac:dyDescent="0.35">
      <c r="A33" s="70">
        <f t="shared" si="5"/>
        <v>1988</v>
      </c>
      <c r="B33" s="112">
        <f t="shared" si="8"/>
        <v>1006572.2857142858</v>
      </c>
      <c r="C33" s="72">
        <v>261.50842917505554</v>
      </c>
      <c r="D33" s="71">
        <f t="shared" si="3"/>
        <v>263227.1372882881</v>
      </c>
      <c r="E33" s="71">
        <v>0</v>
      </c>
      <c r="F33" s="112">
        <v>263227.1372882881</v>
      </c>
      <c r="G33" s="73">
        <v>0</v>
      </c>
      <c r="H33" s="73">
        <v>0</v>
      </c>
      <c r="I33" s="156"/>
      <c r="J33" s="74">
        <f t="shared" si="0"/>
        <v>1988</v>
      </c>
      <c r="K33" s="73">
        <v>25</v>
      </c>
      <c r="L33" s="73">
        <v>43</v>
      </c>
      <c r="M33" s="73">
        <v>12</v>
      </c>
      <c r="N33" s="73">
        <v>0</v>
      </c>
      <c r="O33" s="73">
        <v>3</v>
      </c>
      <c r="P33" s="73">
        <v>0</v>
      </c>
      <c r="Q33" s="73">
        <v>17</v>
      </c>
      <c r="R33" s="73">
        <f t="shared" si="1"/>
        <v>100</v>
      </c>
      <c r="T33" s="74">
        <f t="shared" si="4"/>
        <v>1988</v>
      </c>
      <c r="U33" s="73">
        <f t="shared" si="2"/>
        <v>0</v>
      </c>
      <c r="V33" s="73">
        <v>0</v>
      </c>
      <c r="W33" s="73">
        <v>0</v>
      </c>
      <c r="Z33" s="155"/>
    </row>
    <row r="34" spans="1:32" s="69" customFormat="1" x14ac:dyDescent="0.35">
      <c r="A34" s="70">
        <f t="shared" si="5"/>
        <v>1989</v>
      </c>
      <c r="B34" s="112">
        <f t="shared" si="8"/>
        <v>1014514.142857143</v>
      </c>
      <c r="C34" s="72">
        <v>261.50842917505554</v>
      </c>
      <c r="D34" s="71">
        <f t="shared" si="3"/>
        <v>265303.99987444934</v>
      </c>
      <c r="E34" s="71">
        <v>0</v>
      </c>
      <c r="F34" s="112">
        <v>265303.99987444934</v>
      </c>
      <c r="G34" s="73">
        <v>0</v>
      </c>
      <c r="H34" s="73">
        <v>0</v>
      </c>
      <c r="I34" s="156"/>
      <c r="J34" s="74">
        <f t="shared" si="0"/>
        <v>1989</v>
      </c>
      <c r="K34" s="73">
        <v>25</v>
      </c>
      <c r="L34" s="73">
        <v>43</v>
      </c>
      <c r="M34" s="73">
        <v>12</v>
      </c>
      <c r="N34" s="73">
        <v>0</v>
      </c>
      <c r="O34" s="73">
        <v>3</v>
      </c>
      <c r="P34" s="73">
        <v>0</v>
      </c>
      <c r="Q34" s="73">
        <v>17</v>
      </c>
      <c r="R34" s="73">
        <f t="shared" si="1"/>
        <v>100</v>
      </c>
      <c r="T34" s="74">
        <f t="shared" si="4"/>
        <v>1989</v>
      </c>
      <c r="U34" s="73">
        <f t="shared" si="2"/>
        <v>0</v>
      </c>
      <c r="V34" s="73">
        <v>0</v>
      </c>
      <c r="W34" s="73">
        <v>0</v>
      </c>
      <c r="Z34" s="155"/>
    </row>
    <row r="35" spans="1:32" s="69" customFormat="1" x14ac:dyDescent="0.35">
      <c r="A35" s="70">
        <f t="shared" si="5"/>
        <v>1990</v>
      </c>
      <c r="B35" s="71">
        <v>1022456</v>
      </c>
      <c r="C35" s="72">
        <v>261.50842917505554</v>
      </c>
      <c r="D35" s="71">
        <f t="shared" si="3"/>
        <v>267380.86246061057</v>
      </c>
      <c r="E35" s="71">
        <v>0</v>
      </c>
      <c r="F35" s="112">
        <v>267380.86246061057</v>
      </c>
      <c r="G35" s="73">
        <v>0</v>
      </c>
      <c r="H35" s="73">
        <v>0</v>
      </c>
      <c r="I35" s="156"/>
      <c r="J35" s="74">
        <f t="shared" si="0"/>
        <v>1990</v>
      </c>
      <c r="K35" s="73">
        <v>25</v>
      </c>
      <c r="L35" s="73">
        <v>43</v>
      </c>
      <c r="M35" s="73">
        <v>12</v>
      </c>
      <c r="N35" s="73">
        <v>0</v>
      </c>
      <c r="O35" s="73">
        <v>3</v>
      </c>
      <c r="P35" s="73">
        <v>0</v>
      </c>
      <c r="Q35" s="73">
        <v>17</v>
      </c>
      <c r="R35" s="73">
        <f t="shared" si="1"/>
        <v>100</v>
      </c>
      <c r="T35" s="74">
        <f t="shared" si="4"/>
        <v>1990</v>
      </c>
      <c r="U35" s="73">
        <f t="shared" si="2"/>
        <v>0</v>
      </c>
      <c r="V35" s="73">
        <v>0</v>
      </c>
      <c r="W35" s="73">
        <v>0</v>
      </c>
      <c r="Z35" s="155"/>
    </row>
    <row r="36" spans="1:32" s="69" customFormat="1" x14ac:dyDescent="0.35">
      <c r="A36" s="70">
        <f t="shared" si="5"/>
        <v>1991</v>
      </c>
      <c r="B36" s="112">
        <f>B35+($B$44-$B$35)/9</f>
        <v>1036041</v>
      </c>
      <c r="C36" s="72">
        <v>261.50842917505554</v>
      </c>
      <c r="D36" s="71">
        <f t="shared" si="3"/>
        <v>270933.45447095373</v>
      </c>
      <c r="E36" s="71">
        <v>0</v>
      </c>
      <c r="F36" s="112">
        <v>270933.45447095373</v>
      </c>
      <c r="G36" s="73">
        <v>0</v>
      </c>
      <c r="H36" s="73">
        <v>0</v>
      </c>
      <c r="I36" s="156"/>
      <c r="J36" s="74">
        <f t="shared" si="0"/>
        <v>1991</v>
      </c>
      <c r="K36" s="73">
        <v>25</v>
      </c>
      <c r="L36" s="73">
        <v>43</v>
      </c>
      <c r="M36" s="73">
        <v>12</v>
      </c>
      <c r="N36" s="73">
        <v>0</v>
      </c>
      <c r="O36" s="73">
        <v>3</v>
      </c>
      <c r="P36" s="73">
        <v>0</v>
      </c>
      <c r="Q36" s="73">
        <v>17</v>
      </c>
      <c r="R36" s="73">
        <f t="shared" si="1"/>
        <v>100</v>
      </c>
      <c r="T36" s="74">
        <f t="shared" si="4"/>
        <v>1991</v>
      </c>
      <c r="U36" s="73">
        <f t="shared" si="2"/>
        <v>0</v>
      </c>
      <c r="V36" s="73">
        <v>0</v>
      </c>
      <c r="W36" s="73">
        <v>0</v>
      </c>
      <c r="Z36" s="155"/>
    </row>
    <row r="37" spans="1:32" s="69" customFormat="1" x14ac:dyDescent="0.35">
      <c r="A37" s="70">
        <f t="shared" si="5"/>
        <v>1992</v>
      </c>
      <c r="B37" s="112">
        <f t="shared" ref="B37:B43" si="9">B36+($B$44-$B$35)/9</f>
        <v>1049626</v>
      </c>
      <c r="C37" s="72">
        <v>261.50842917505554</v>
      </c>
      <c r="D37" s="71">
        <f t="shared" si="3"/>
        <v>274486.04648129683</v>
      </c>
      <c r="E37" s="71">
        <v>0</v>
      </c>
      <c r="F37" s="112">
        <v>274486.04648129683</v>
      </c>
      <c r="G37" s="73">
        <v>0</v>
      </c>
      <c r="H37" s="73">
        <v>0</v>
      </c>
      <c r="I37" s="156"/>
      <c r="J37" s="74">
        <f t="shared" ref="J37:J61" si="10">A37</f>
        <v>1992</v>
      </c>
      <c r="K37" s="73">
        <v>25</v>
      </c>
      <c r="L37" s="73">
        <v>43</v>
      </c>
      <c r="M37" s="73">
        <v>12</v>
      </c>
      <c r="N37" s="73">
        <v>0</v>
      </c>
      <c r="O37" s="73">
        <v>3</v>
      </c>
      <c r="P37" s="73">
        <v>0</v>
      </c>
      <c r="Q37" s="73">
        <v>17</v>
      </c>
      <c r="R37" s="73">
        <f t="shared" si="1"/>
        <v>100</v>
      </c>
      <c r="T37" s="74">
        <f t="shared" si="4"/>
        <v>1992</v>
      </c>
      <c r="U37" s="73">
        <f t="shared" si="2"/>
        <v>0</v>
      </c>
      <c r="V37" s="73">
        <v>0</v>
      </c>
      <c r="W37" s="73">
        <v>0</v>
      </c>
      <c r="Z37" s="155"/>
    </row>
    <row r="38" spans="1:32" s="69" customFormat="1" x14ac:dyDescent="0.35">
      <c r="A38" s="70">
        <f t="shared" si="5"/>
        <v>1993</v>
      </c>
      <c r="B38" s="112">
        <f t="shared" si="9"/>
        <v>1063211</v>
      </c>
      <c r="C38" s="72">
        <v>261.50842917505554</v>
      </c>
      <c r="D38" s="71">
        <f t="shared" si="3"/>
        <v>278038.63849163998</v>
      </c>
      <c r="E38" s="71">
        <v>0</v>
      </c>
      <c r="F38" s="112">
        <v>278038.63849163998</v>
      </c>
      <c r="G38" s="73">
        <v>0</v>
      </c>
      <c r="H38" s="73">
        <v>0</v>
      </c>
      <c r="I38" s="156"/>
      <c r="J38" s="74">
        <f t="shared" si="10"/>
        <v>1993</v>
      </c>
      <c r="K38" s="73">
        <v>25</v>
      </c>
      <c r="L38" s="73">
        <v>43</v>
      </c>
      <c r="M38" s="73">
        <v>12</v>
      </c>
      <c r="N38" s="73">
        <v>0</v>
      </c>
      <c r="O38" s="73">
        <v>3</v>
      </c>
      <c r="P38" s="73">
        <v>0</v>
      </c>
      <c r="Q38" s="73">
        <v>17</v>
      </c>
      <c r="R38" s="73">
        <f t="shared" si="1"/>
        <v>100</v>
      </c>
      <c r="T38" s="74">
        <f t="shared" si="4"/>
        <v>1993</v>
      </c>
      <c r="U38" s="73">
        <f t="shared" si="2"/>
        <v>0</v>
      </c>
      <c r="V38" s="73">
        <v>0</v>
      </c>
      <c r="W38" s="73">
        <v>0</v>
      </c>
      <c r="Z38" s="155"/>
    </row>
    <row r="39" spans="1:32" s="69" customFormat="1" x14ac:dyDescent="0.35">
      <c r="A39" s="70">
        <f t="shared" si="5"/>
        <v>1994</v>
      </c>
      <c r="B39" s="112">
        <f t="shared" si="9"/>
        <v>1076796</v>
      </c>
      <c r="C39" s="72">
        <v>261.50842917505554</v>
      </c>
      <c r="D39" s="71">
        <f t="shared" si="3"/>
        <v>281591.23050198308</v>
      </c>
      <c r="E39" s="71">
        <v>0</v>
      </c>
      <c r="F39" s="112">
        <v>281591.23050198308</v>
      </c>
      <c r="G39" s="73">
        <v>0</v>
      </c>
      <c r="H39" s="73">
        <v>0</v>
      </c>
      <c r="I39" s="156"/>
      <c r="J39" s="74">
        <f t="shared" si="10"/>
        <v>1994</v>
      </c>
      <c r="K39" s="73">
        <v>25</v>
      </c>
      <c r="L39" s="73">
        <v>43</v>
      </c>
      <c r="M39" s="73">
        <v>12</v>
      </c>
      <c r="N39" s="73">
        <v>0</v>
      </c>
      <c r="O39" s="73">
        <v>3</v>
      </c>
      <c r="P39" s="73">
        <v>0</v>
      </c>
      <c r="Q39" s="73">
        <v>17</v>
      </c>
      <c r="R39" s="73">
        <f t="shared" si="1"/>
        <v>100</v>
      </c>
      <c r="T39" s="74">
        <f t="shared" si="4"/>
        <v>1994</v>
      </c>
      <c r="U39" s="73">
        <f t="shared" si="2"/>
        <v>0</v>
      </c>
      <c r="V39" s="73">
        <v>0</v>
      </c>
      <c r="W39" s="73">
        <v>0</v>
      </c>
      <c r="Z39" s="155"/>
    </row>
    <row r="40" spans="1:32" s="69" customFormat="1" x14ac:dyDescent="0.35">
      <c r="A40" s="70">
        <f t="shared" si="5"/>
        <v>1995</v>
      </c>
      <c r="B40" s="112">
        <f t="shared" si="9"/>
        <v>1090381</v>
      </c>
      <c r="C40" s="72">
        <v>261.50842917505554</v>
      </c>
      <c r="D40" s="71">
        <f t="shared" si="3"/>
        <v>285143.82251232624</v>
      </c>
      <c r="E40" s="71">
        <v>0</v>
      </c>
      <c r="F40" s="112">
        <v>285143.82251232624</v>
      </c>
      <c r="G40" s="73">
        <v>0</v>
      </c>
      <c r="H40" s="73">
        <v>0</v>
      </c>
      <c r="I40" s="156"/>
      <c r="J40" s="74">
        <f t="shared" si="10"/>
        <v>1995</v>
      </c>
      <c r="K40" s="73">
        <v>25</v>
      </c>
      <c r="L40" s="73">
        <v>43</v>
      </c>
      <c r="M40" s="73">
        <v>12</v>
      </c>
      <c r="N40" s="73">
        <v>0</v>
      </c>
      <c r="O40" s="73">
        <v>3</v>
      </c>
      <c r="P40" s="73">
        <v>0</v>
      </c>
      <c r="Q40" s="73">
        <v>17</v>
      </c>
      <c r="R40" s="73">
        <f t="shared" si="1"/>
        <v>100</v>
      </c>
      <c r="T40" s="74">
        <f t="shared" si="4"/>
        <v>1995</v>
      </c>
      <c r="U40" s="73">
        <f t="shared" si="2"/>
        <v>0</v>
      </c>
      <c r="V40" s="73">
        <v>0</v>
      </c>
      <c r="W40" s="73">
        <v>0</v>
      </c>
      <c r="Z40" s="155"/>
    </row>
    <row r="41" spans="1:32" s="69" customFormat="1" x14ac:dyDescent="0.35">
      <c r="A41" s="70">
        <f t="shared" si="5"/>
        <v>1996</v>
      </c>
      <c r="B41" s="112">
        <f t="shared" si="9"/>
        <v>1103966</v>
      </c>
      <c r="C41" s="72">
        <v>261.50842917505554</v>
      </c>
      <c r="D41" s="71">
        <f t="shared" si="3"/>
        <v>288696.41452266939</v>
      </c>
      <c r="E41" s="71">
        <v>0</v>
      </c>
      <c r="F41" s="112">
        <v>288696.41452266939</v>
      </c>
      <c r="G41" s="73">
        <v>0</v>
      </c>
      <c r="H41" s="73">
        <v>0</v>
      </c>
      <c r="I41" s="156"/>
      <c r="J41" s="74">
        <f t="shared" si="10"/>
        <v>1996</v>
      </c>
      <c r="K41" s="73">
        <v>25</v>
      </c>
      <c r="L41" s="73">
        <v>43</v>
      </c>
      <c r="M41" s="73">
        <v>12</v>
      </c>
      <c r="N41" s="73">
        <v>0</v>
      </c>
      <c r="O41" s="73">
        <v>3</v>
      </c>
      <c r="P41" s="73">
        <v>0</v>
      </c>
      <c r="Q41" s="73">
        <v>17</v>
      </c>
      <c r="R41" s="73">
        <f t="shared" si="1"/>
        <v>100</v>
      </c>
      <c r="T41" s="74">
        <f t="shared" si="4"/>
        <v>1996</v>
      </c>
      <c r="U41" s="73">
        <f t="shared" si="2"/>
        <v>0</v>
      </c>
      <c r="V41" s="73">
        <v>0</v>
      </c>
      <c r="W41" s="73">
        <v>0</v>
      </c>
      <c r="Z41" s="155"/>
    </row>
    <row r="42" spans="1:32" s="69" customFormat="1" x14ac:dyDescent="0.35">
      <c r="A42" s="70">
        <f t="shared" si="5"/>
        <v>1997</v>
      </c>
      <c r="B42" s="113">
        <f t="shared" si="9"/>
        <v>1117551</v>
      </c>
      <c r="C42" s="78">
        <v>261.50842917505554</v>
      </c>
      <c r="D42" s="71">
        <f t="shared" si="3"/>
        <v>292249.00653301249</v>
      </c>
      <c r="E42" s="79">
        <v>0</v>
      </c>
      <c r="F42" s="113">
        <v>292249.00653301249</v>
      </c>
      <c r="G42" s="79">
        <v>0</v>
      </c>
      <c r="H42" s="90">
        <v>0</v>
      </c>
      <c r="I42" s="156"/>
      <c r="J42" s="76">
        <f t="shared" si="10"/>
        <v>1997</v>
      </c>
      <c r="K42" s="81">
        <v>25</v>
      </c>
      <c r="L42" s="81">
        <v>43</v>
      </c>
      <c r="M42" s="81">
        <v>12</v>
      </c>
      <c r="N42" s="81">
        <v>0</v>
      </c>
      <c r="O42" s="81">
        <v>3</v>
      </c>
      <c r="P42" s="81">
        <v>0</v>
      </c>
      <c r="Q42" s="81">
        <v>17</v>
      </c>
      <c r="R42" s="82">
        <f t="shared" ref="R42:R44" si="11">SUM(K42:Q42)</f>
        <v>100</v>
      </c>
      <c r="T42" s="76">
        <f t="shared" si="4"/>
        <v>1997</v>
      </c>
      <c r="U42" s="101">
        <f t="shared" ref="U42:U53" si="12">V42+W42</f>
        <v>0</v>
      </c>
      <c r="V42" s="102">
        <v>0</v>
      </c>
      <c r="W42" s="103">
        <v>0</v>
      </c>
      <c r="Z42" s="155"/>
    </row>
    <row r="43" spans="1:32" s="69" customFormat="1" ht="15" thickBot="1" x14ac:dyDescent="0.4">
      <c r="A43" s="70">
        <f t="shared" si="5"/>
        <v>1998</v>
      </c>
      <c r="B43" s="113">
        <f t="shared" si="9"/>
        <v>1131136</v>
      </c>
      <c r="C43" s="78">
        <v>261.50842917505554</v>
      </c>
      <c r="D43" s="71">
        <f t="shared" si="3"/>
        <v>295801.59854335565</v>
      </c>
      <c r="E43" s="79">
        <v>0</v>
      </c>
      <c r="F43" s="113">
        <v>295801.59854335565</v>
      </c>
      <c r="G43" s="79">
        <v>0</v>
      </c>
      <c r="H43" s="90">
        <v>0</v>
      </c>
      <c r="I43" s="156"/>
      <c r="J43" s="76">
        <f t="shared" si="10"/>
        <v>1998</v>
      </c>
      <c r="K43" s="81">
        <v>25</v>
      </c>
      <c r="L43" s="81">
        <v>43</v>
      </c>
      <c r="M43" s="81">
        <v>12</v>
      </c>
      <c r="N43" s="81">
        <v>0</v>
      </c>
      <c r="O43" s="81">
        <v>3</v>
      </c>
      <c r="P43" s="81">
        <v>0</v>
      </c>
      <c r="Q43" s="81">
        <v>17</v>
      </c>
      <c r="R43" s="82">
        <f t="shared" si="11"/>
        <v>100</v>
      </c>
      <c r="T43" s="76">
        <f t="shared" si="4"/>
        <v>1998</v>
      </c>
      <c r="U43" s="101">
        <f t="shared" si="12"/>
        <v>0</v>
      </c>
      <c r="V43" s="102">
        <v>0</v>
      </c>
      <c r="W43" s="103">
        <v>0</v>
      </c>
      <c r="Z43" s="155"/>
    </row>
    <row r="44" spans="1:32" s="69" customFormat="1" ht="17" thickBot="1" x14ac:dyDescent="0.4">
      <c r="A44" s="70">
        <f t="shared" si="5"/>
        <v>1999</v>
      </c>
      <c r="B44" s="80">
        <v>1144721</v>
      </c>
      <c r="C44" s="78">
        <v>261.50842917505554</v>
      </c>
      <c r="D44" s="71">
        <f t="shared" si="3"/>
        <v>299354.19055369881</v>
      </c>
      <c r="E44" s="79">
        <v>0</v>
      </c>
      <c r="F44" s="113">
        <v>299354.19055369881</v>
      </c>
      <c r="G44" s="79">
        <v>0</v>
      </c>
      <c r="H44" s="90">
        <v>0</v>
      </c>
      <c r="I44" s="156"/>
      <c r="J44" s="76">
        <f t="shared" si="10"/>
        <v>1999</v>
      </c>
      <c r="K44" s="81">
        <v>25</v>
      </c>
      <c r="L44" s="81">
        <v>43</v>
      </c>
      <c r="M44" s="81">
        <v>12</v>
      </c>
      <c r="N44" s="81">
        <v>0</v>
      </c>
      <c r="O44" s="81">
        <v>3</v>
      </c>
      <c r="P44" s="81">
        <v>0</v>
      </c>
      <c r="Q44" s="81">
        <v>17</v>
      </c>
      <c r="R44" s="82">
        <f t="shared" si="11"/>
        <v>100</v>
      </c>
      <c r="T44" s="76">
        <f t="shared" si="4"/>
        <v>1999</v>
      </c>
      <c r="U44" s="101">
        <f t="shared" si="12"/>
        <v>0</v>
      </c>
      <c r="V44" s="102">
        <v>0</v>
      </c>
      <c r="W44" s="103">
        <v>0</v>
      </c>
      <c r="Z44" s="243" t="s">
        <v>0</v>
      </c>
      <c r="AA44" s="244" t="s">
        <v>418</v>
      </c>
      <c r="AB44" s="244" t="s">
        <v>419</v>
      </c>
      <c r="AC44" s="244" t="s">
        <v>420</v>
      </c>
      <c r="AD44" s="244" t="s">
        <v>421</v>
      </c>
      <c r="AE44" s="244" t="s">
        <v>422</v>
      </c>
      <c r="AF44" s="244" t="s">
        <v>423</v>
      </c>
    </row>
    <row r="45" spans="1:32" ht="16" thickBot="1" x14ac:dyDescent="0.4">
      <c r="A45" s="70">
        <f t="shared" si="5"/>
        <v>2000</v>
      </c>
      <c r="B45" s="80">
        <v>1157290</v>
      </c>
      <c r="C45" s="78">
        <f>(D45*1000)/B45</f>
        <v>261.50842917505554</v>
      </c>
      <c r="D45" s="71">
        <f t="shared" si="3"/>
        <v>302641.09000000003</v>
      </c>
      <c r="E45" s="79">
        <v>0</v>
      </c>
      <c r="F45" s="79">
        <v>302000</v>
      </c>
      <c r="G45" s="79">
        <v>0</v>
      </c>
      <c r="H45" s="90">
        <v>641.09</v>
      </c>
      <c r="I45" s="155"/>
      <c r="J45" s="76">
        <f t="shared" si="10"/>
        <v>2000</v>
      </c>
      <c r="K45" s="81">
        <v>25</v>
      </c>
      <c r="L45" s="81">
        <v>43</v>
      </c>
      <c r="M45" s="81">
        <v>12</v>
      </c>
      <c r="N45" s="81">
        <v>0</v>
      </c>
      <c r="O45" s="81">
        <v>3</v>
      </c>
      <c r="P45" s="81">
        <v>0</v>
      </c>
      <c r="Q45" s="81">
        <v>17</v>
      </c>
      <c r="R45" s="82">
        <f>SUM(K45:Q45)</f>
        <v>100</v>
      </c>
      <c r="T45" s="76">
        <f t="shared" si="4"/>
        <v>2000</v>
      </c>
      <c r="U45" s="78">
        <f t="shared" si="12"/>
        <v>0</v>
      </c>
      <c r="V45" s="104">
        <v>0</v>
      </c>
      <c r="W45" s="105">
        <v>0</v>
      </c>
      <c r="Z45" s="245">
        <v>2009</v>
      </c>
      <c r="AA45" s="246">
        <v>7060962</v>
      </c>
      <c r="AB45" s="247">
        <v>0</v>
      </c>
      <c r="AC45" s="248">
        <v>7060962</v>
      </c>
      <c r="AD45" s="248">
        <v>3530481</v>
      </c>
      <c r="AE45" s="248">
        <v>2315996</v>
      </c>
      <c r="AF45" s="249">
        <v>2.3199999999999998</v>
      </c>
    </row>
    <row r="46" spans="1:32" ht="16" thickBot="1" x14ac:dyDescent="0.4">
      <c r="A46" s="70">
        <f t="shared" si="5"/>
        <v>2001</v>
      </c>
      <c r="B46" s="80">
        <v>1160083</v>
      </c>
      <c r="C46" s="78">
        <f t="shared" ref="C46:C61" si="13">(D46*1000)/B46</f>
        <v>299.05391252177645</v>
      </c>
      <c r="D46" s="71">
        <f t="shared" si="3"/>
        <v>346927.35999999999</v>
      </c>
      <c r="E46" s="79">
        <v>0</v>
      </c>
      <c r="F46" s="79">
        <v>346300</v>
      </c>
      <c r="G46" s="79">
        <v>0</v>
      </c>
      <c r="H46" s="173">
        <v>627.36</v>
      </c>
      <c r="I46" s="176"/>
      <c r="J46" s="175">
        <f t="shared" si="10"/>
        <v>2001</v>
      </c>
      <c r="K46" s="81">
        <v>25</v>
      </c>
      <c r="L46" s="81">
        <v>43</v>
      </c>
      <c r="M46" s="81">
        <v>12</v>
      </c>
      <c r="N46" s="81">
        <v>0</v>
      </c>
      <c r="O46" s="81">
        <v>3</v>
      </c>
      <c r="P46" s="81">
        <v>0</v>
      </c>
      <c r="Q46" s="81">
        <v>17</v>
      </c>
      <c r="R46" s="82">
        <f t="shared" ref="R46:R61" si="14">SUM(K46:Q46)</f>
        <v>100</v>
      </c>
      <c r="T46" s="76">
        <f t="shared" si="4"/>
        <v>2001</v>
      </c>
      <c r="U46" s="78">
        <f t="shared" si="12"/>
        <v>0</v>
      </c>
      <c r="V46" s="104">
        <v>0</v>
      </c>
      <c r="W46" s="105">
        <v>0</v>
      </c>
      <c r="Z46" s="245">
        <v>2010</v>
      </c>
      <c r="AA46" s="246">
        <v>5809655</v>
      </c>
      <c r="AB46" s="247">
        <v>0</v>
      </c>
      <c r="AC46" s="248">
        <v>5809655</v>
      </c>
      <c r="AD46" s="248">
        <v>2904828</v>
      </c>
      <c r="AE46" s="248">
        <v>1905567</v>
      </c>
      <c r="AF46" s="249">
        <v>1.91</v>
      </c>
    </row>
    <row r="47" spans="1:32" ht="31" customHeight="1" thickBot="1" x14ac:dyDescent="0.4">
      <c r="A47" s="70">
        <f t="shared" si="5"/>
        <v>2002</v>
      </c>
      <c r="B47" s="80">
        <v>1167995</v>
      </c>
      <c r="C47" s="78">
        <f t="shared" si="13"/>
        <v>320.92183613799716</v>
      </c>
      <c r="D47" s="71">
        <f t="shared" si="3"/>
        <v>374835.1</v>
      </c>
      <c r="E47" s="79">
        <v>0</v>
      </c>
      <c r="F47" s="79">
        <v>374200</v>
      </c>
      <c r="G47" s="79">
        <v>0</v>
      </c>
      <c r="H47" s="173">
        <v>635.1</v>
      </c>
      <c r="I47" s="176"/>
      <c r="J47" s="175">
        <f t="shared" si="10"/>
        <v>2002</v>
      </c>
      <c r="K47" s="81">
        <v>25</v>
      </c>
      <c r="L47" s="81">
        <v>43</v>
      </c>
      <c r="M47" s="81">
        <v>12</v>
      </c>
      <c r="N47" s="81">
        <v>0</v>
      </c>
      <c r="O47" s="81">
        <v>3</v>
      </c>
      <c r="P47" s="81">
        <v>0</v>
      </c>
      <c r="Q47" s="81">
        <v>17</v>
      </c>
      <c r="R47" s="82">
        <f t="shared" si="14"/>
        <v>100</v>
      </c>
      <c r="T47" s="76">
        <f t="shared" si="4"/>
        <v>2002</v>
      </c>
      <c r="U47" s="78">
        <f t="shared" si="12"/>
        <v>0</v>
      </c>
      <c r="V47" s="104">
        <v>0</v>
      </c>
      <c r="W47" s="105">
        <v>0</v>
      </c>
      <c r="Z47" s="245">
        <v>2011</v>
      </c>
      <c r="AA47" s="250" t="s">
        <v>424</v>
      </c>
      <c r="AB47" s="251"/>
      <c r="AC47" s="248">
        <v>6977828</v>
      </c>
      <c r="AD47" s="248">
        <v>3488914</v>
      </c>
      <c r="AE47" s="248">
        <v>2288728</v>
      </c>
      <c r="AF47" s="249">
        <v>2.29</v>
      </c>
    </row>
    <row r="48" spans="1:32" ht="16" thickBot="1" x14ac:dyDescent="0.4">
      <c r="A48" s="70">
        <f t="shared" si="5"/>
        <v>2003</v>
      </c>
      <c r="B48" s="80">
        <v>1176323</v>
      </c>
      <c r="C48" s="78">
        <f t="shared" si="13"/>
        <v>320.31130055265436</v>
      </c>
      <c r="D48" s="71">
        <f t="shared" si="3"/>
        <v>376789.55</v>
      </c>
      <c r="E48" s="79">
        <v>0</v>
      </c>
      <c r="F48" s="79">
        <v>376200</v>
      </c>
      <c r="G48" s="79">
        <v>0</v>
      </c>
      <c r="H48" s="173">
        <v>589.54999999999995</v>
      </c>
      <c r="I48" s="176"/>
      <c r="J48" s="175">
        <f t="shared" si="10"/>
        <v>2003</v>
      </c>
      <c r="K48" s="81">
        <v>25</v>
      </c>
      <c r="L48" s="81">
        <v>43</v>
      </c>
      <c r="M48" s="81">
        <v>12</v>
      </c>
      <c r="N48" s="81">
        <v>0</v>
      </c>
      <c r="O48" s="81">
        <v>3</v>
      </c>
      <c r="P48" s="81">
        <v>0</v>
      </c>
      <c r="Q48" s="81">
        <v>17</v>
      </c>
      <c r="R48" s="82">
        <f t="shared" si="14"/>
        <v>100</v>
      </c>
      <c r="T48" s="76">
        <f t="shared" si="4"/>
        <v>2003</v>
      </c>
      <c r="U48" s="78">
        <f t="shared" si="12"/>
        <v>0</v>
      </c>
      <c r="V48" s="104">
        <v>0</v>
      </c>
      <c r="W48" s="105">
        <v>0</v>
      </c>
      <c r="Z48" s="245">
        <v>2012</v>
      </c>
      <c r="AA48" s="246">
        <v>507495</v>
      </c>
      <c r="AB48" s="246">
        <v>8510785</v>
      </c>
      <c r="AC48" s="248">
        <v>9018280</v>
      </c>
      <c r="AD48" s="248">
        <v>4509140</v>
      </c>
      <c r="AE48" s="248">
        <v>2957996</v>
      </c>
      <c r="AF48" s="249">
        <v>2.96</v>
      </c>
    </row>
    <row r="49" spans="1:32" ht="16" thickBot="1" x14ac:dyDescent="0.4">
      <c r="A49" s="70">
        <f t="shared" si="5"/>
        <v>2004</v>
      </c>
      <c r="B49" s="80">
        <v>1183533</v>
      </c>
      <c r="C49" s="78">
        <f t="shared" si="13"/>
        <v>326.64459715107228</v>
      </c>
      <c r="D49" s="71">
        <f t="shared" si="3"/>
        <v>386594.66</v>
      </c>
      <c r="E49" s="79">
        <v>0</v>
      </c>
      <c r="F49" s="79">
        <v>386000</v>
      </c>
      <c r="G49" s="79">
        <v>0</v>
      </c>
      <c r="H49" s="173">
        <v>594.66</v>
      </c>
      <c r="I49" s="176"/>
      <c r="J49" s="175">
        <f t="shared" si="10"/>
        <v>2004</v>
      </c>
      <c r="K49" s="81">
        <v>25</v>
      </c>
      <c r="L49" s="81">
        <v>43</v>
      </c>
      <c r="M49" s="81">
        <v>12</v>
      </c>
      <c r="N49" s="81">
        <v>0</v>
      </c>
      <c r="O49" s="81">
        <v>3</v>
      </c>
      <c r="P49" s="81">
        <v>0</v>
      </c>
      <c r="Q49" s="81">
        <v>17</v>
      </c>
      <c r="R49" s="82">
        <f t="shared" si="14"/>
        <v>100</v>
      </c>
      <c r="T49" s="76">
        <f t="shared" si="4"/>
        <v>2004</v>
      </c>
      <c r="U49" s="78">
        <f t="shared" si="12"/>
        <v>0</v>
      </c>
      <c r="V49" s="104">
        <v>0</v>
      </c>
      <c r="W49" s="105">
        <v>0</v>
      </c>
      <c r="Z49" s="245">
        <v>2013</v>
      </c>
      <c r="AA49" s="246">
        <v>318685</v>
      </c>
      <c r="AB49" s="246">
        <v>11707785</v>
      </c>
      <c r="AC49" s="248">
        <v>12026470</v>
      </c>
      <c r="AD49" s="248">
        <v>6013235</v>
      </c>
      <c r="AE49" s="248">
        <v>3944682</v>
      </c>
      <c r="AF49" s="249">
        <v>3.94</v>
      </c>
    </row>
    <row r="50" spans="1:32" ht="16" thickBot="1" x14ac:dyDescent="0.4">
      <c r="A50" s="70">
        <f t="shared" si="5"/>
        <v>2005</v>
      </c>
      <c r="B50" s="80">
        <v>1190361</v>
      </c>
      <c r="C50" s="78">
        <f t="shared" si="13"/>
        <v>351.40077673915727</v>
      </c>
      <c r="D50" s="71">
        <f t="shared" si="3"/>
        <v>418293.78</v>
      </c>
      <c r="E50" s="79">
        <v>0</v>
      </c>
      <c r="F50" s="79">
        <v>417700</v>
      </c>
      <c r="G50" s="79">
        <v>0</v>
      </c>
      <c r="H50" s="173">
        <v>593.78</v>
      </c>
      <c r="I50" s="176"/>
      <c r="J50" s="175">
        <f t="shared" si="10"/>
        <v>2005</v>
      </c>
      <c r="K50" s="81">
        <v>25</v>
      </c>
      <c r="L50" s="81">
        <v>43</v>
      </c>
      <c r="M50" s="81">
        <v>12</v>
      </c>
      <c r="N50" s="81">
        <v>0</v>
      </c>
      <c r="O50" s="81">
        <v>3</v>
      </c>
      <c r="P50" s="81">
        <v>0</v>
      </c>
      <c r="Q50" s="81">
        <v>17</v>
      </c>
      <c r="R50" s="82">
        <f t="shared" si="14"/>
        <v>100</v>
      </c>
      <c r="T50" s="76">
        <f t="shared" si="4"/>
        <v>2005</v>
      </c>
      <c r="U50" s="78">
        <f t="shared" si="12"/>
        <v>0</v>
      </c>
      <c r="V50" s="104">
        <v>0</v>
      </c>
      <c r="W50" s="105">
        <v>0</v>
      </c>
      <c r="Z50" s="245">
        <v>2014</v>
      </c>
      <c r="AA50" s="246">
        <v>26632</v>
      </c>
      <c r="AB50" s="246">
        <v>12846801</v>
      </c>
      <c r="AC50" s="248">
        <v>12873433</v>
      </c>
      <c r="AD50" s="248">
        <v>6436717</v>
      </c>
      <c r="AE50" s="248">
        <v>4222486</v>
      </c>
      <c r="AF50" s="249">
        <v>4.22</v>
      </c>
    </row>
    <row r="51" spans="1:32" ht="16" thickBot="1" x14ac:dyDescent="0.4">
      <c r="A51" s="70">
        <f t="shared" si="5"/>
        <v>2006</v>
      </c>
      <c r="B51" s="80">
        <v>1195676</v>
      </c>
      <c r="C51" s="78">
        <f t="shared" si="13"/>
        <v>340.94686185889822</v>
      </c>
      <c r="D51" s="71">
        <f t="shared" si="3"/>
        <v>407661.98</v>
      </c>
      <c r="E51" s="79">
        <v>8056</v>
      </c>
      <c r="F51" s="79">
        <v>407039</v>
      </c>
      <c r="G51" s="79">
        <v>0</v>
      </c>
      <c r="H51" s="173">
        <v>622.98</v>
      </c>
      <c r="I51" s="176"/>
      <c r="J51" s="175">
        <f t="shared" si="10"/>
        <v>2006</v>
      </c>
      <c r="K51" s="81">
        <v>25</v>
      </c>
      <c r="L51" s="81">
        <v>43</v>
      </c>
      <c r="M51" s="81">
        <v>12</v>
      </c>
      <c r="N51" s="81">
        <v>0</v>
      </c>
      <c r="O51" s="81">
        <v>3</v>
      </c>
      <c r="P51" s="81">
        <v>0</v>
      </c>
      <c r="Q51" s="81">
        <v>17</v>
      </c>
      <c r="R51" s="82">
        <f t="shared" si="14"/>
        <v>100</v>
      </c>
      <c r="T51" s="76">
        <f t="shared" si="4"/>
        <v>2006</v>
      </c>
      <c r="U51" s="78">
        <f t="shared" si="12"/>
        <v>0</v>
      </c>
      <c r="V51" s="104">
        <v>0</v>
      </c>
      <c r="W51" s="105">
        <v>0</v>
      </c>
      <c r="Z51" s="245">
        <v>2015</v>
      </c>
      <c r="AA51" s="246">
        <v>97341</v>
      </c>
      <c r="AB51" s="246">
        <v>12014370</v>
      </c>
      <c r="AC51" s="248">
        <v>12111711</v>
      </c>
      <c r="AD51" s="248">
        <v>6055856</v>
      </c>
      <c r="AE51" s="248">
        <v>3972641</v>
      </c>
      <c r="AF51" s="249">
        <v>3.97</v>
      </c>
    </row>
    <row r="52" spans="1:32" ht="16" thickBot="1" x14ac:dyDescent="0.4">
      <c r="A52" s="70">
        <f t="shared" si="5"/>
        <v>2007</v>
      </c>
      <c r="B52" s="80">
        <v>1200887</v>
      </c>
      <c r="C52" s="78">
        <f t="shared" si="13"/>
        <v>322.82524500639943</v>
      </c>
      <c r="D52" s="71">
        <f t="shared" si="3"/>
        <v>387676.64</v>
      </c>
      <c r="E52" s="79">
        <v>13077</v>
      </c>
      <c r="F52" s="79">
        <v>387075</v>
      </c>
      <c r="G52" s="79">
        <v>0</v>
      </c>
      <c r="H52" s="173">
        <v>601.64</v>
      </c>
      <c r="I52" s="176"/>
      <c r="J52" s="175">
        <f t="shared" si="10"/>
        <v>2007</v>
      </c>
      <c r="K52" s="81">
        <v>25</v>
      </c>
      <c r="L52" s="81">
        <v>43</v>
      </c>
      <c r="M52" s="81">
        <v>12</v>
      </c>
      <c r="N52" s="81">
        <v>0</v>
      </c>
      <c r="O52" s="81">
        <v>3</v>
      </c>
      <c r="P52" s="81">
        <v>0</v>
      </c>
      <c r="Q52" s="81">
        <v>17</v>
      </c>
      <c r="R52" s="82">
        <f t="shared" si="14"/>
        <v>100</v>
      </c>
      <c r="T52" s="76">
        <f t="shared" si="4"/>
        <v>2007</v>
      </c>
      <c r="U52" s="78">
        <f t="shared" si="12"/>
        <v>0</v>
      </c>
      <c r="V52" s="104">
        <v>0</v>
      </c>
      <c r="W52" s="105">
        <v>0</v>
      </c>
      <c r="Z52" s="245">
        <v>2016</v>
      </c>
      <c r="AA52" s="246">
        <v>50324</v>
      </c>
      <c r="AB52" s="246">
        <v>11004192</v>
      </c>
      <c r="AC52" s="248">
        <v>11054516</v>
      </c>
      <c r="AD52" s="248">
        <v>5527258</v>
      </c>
      <c r="AE52" s="248">
        <v>3625881</v>
      </c>
      <c r="AF52" s="249">
        <v>3.63</v>
      </c>
    </row>
    <row r="53" spans="1:32" ht="16" thickBot="1" x14ac:dyDescent="0.4">
      <c r="A53" s="70">
        <f t="shared" si="5"/>
        <v>2008</v>
      </c>
      <c r="B53" s="80">
        <v>1204955</v>
      </c>
      <c r="C53" s="78">
        <f t="shared" si="13"/>
        <v>332.04483984879101</v>
      </c>
      <c r="D53" s="71">
        <f t="shared" si="3"/>
        <v>400099.09</v>
      </c>
      <c r="E53" s="79">
        <v>12148</v>
      </c>
      <c r="F53" s="79">
        <v>399488</v>
      </c>
      <c r="G53" s="79">
        <v>0</v>
      </c>
      <c r="H53" s="173">
        <v>611.09</v>
      </c>
      <c r="I53" s="176"/>
      <c r="J53" s="175">
        <f t="shared" si="10"/>
        <v>2008</v>
      </c>
      <c r="K53" s="81">
        <v>25</v>
      </c>
      <c r="L53" s="81">
        <v>43</v>
      </c>
      <c r="M53" s="81">
        <v>12</v>
      </c>
      <c r="N53" s="81">
        <v>0</v>
      </c>
      <c r="O53" s="81">
        <v>3</v>
      </c>
      <c r="P53" s="81">
        <v>0</v>
      </c>
      <c r="Q53" s="81">
        <v>17</v>
      </c>
      <c r="R53" s="82">
        <f t="shared" si="14"/>
        <v>100</v>
      </c>
      <c r="T53" s="76">
        <f t="shared" si="4"/>
        <v>2008</v>
      </c>
      <c r="U53" s="78">
        <f t="shared" si="12"/>
        <v>0</v>
      </c>
      <c r="V53" s="104">
        <v>0</v>
      </c>
      <c r="W53" s="105">
        <v>0</v>
      </c>
      <c r="Z53" s="245">
        <v>2017</v>
      </c>
      <c r="AA53" s="246">
        <v>75912</v>
      </c>
      <c r="AB53" s="246">
        <v>9652159</v>
      </c>
      <c r="AC53" s="248">
        <v>9728071</v>
      </c>
      <c r="AD53" s="248">
        <v>4864036</v>
      </c>
      <c r="AE53" s="248">
        <v>3190807</v>
      </c>
      <c r="AF53" s="249">
        <v>3.19</v>
      </c>
    </row>
    <row r="54" spans="1:32" ht="16" thickBot="1" x14ac:dyDescent="0.4">
      <c r="A54" s="70">
        <f t="shared" si="5"/>
        <v>2009</v>
      </c>
      <c r="B54" s="80">
        <v>1207842</v>
      </c>
      <c r="C54" s="78">
        <f t="shared" si="13"/>
        <v>344.86053639466087</v>
      </c>
      <c r="D54" s="71">
        <f t="shared" si="3"/>
        <v>416537.04</v>
      </c>
      <c r="E54" s="79">
        <v>9126</v>
      </c>
      <c r="F54" s="79">
        <v>415948</v>
      </c>
      <c r="G54" s="79">
        <v>0</v>
      </c>
      <c r="H54" s="173">
        <v>589.04</v>
      </c>
      <c r="I54" s="176"/>
      <c r="J54" s="175">
        <f t="shared" si="10"/>
        <v>2009</v>
      </c>
      <c r="K54" s="81">
        <v>45</v>
      </c>
      <c r="L54" s="81">
        <v>25</v>
      </c>
      <c r="M54" s="81">
        <v>10</v>
      </c>
      <c r="N54" s="81">
        <v>0</v>
      </c>
      <c r="O54" s="81">
        <v>4</v>
      </c>
      <c r="P54" s="81">
        <v>0</v>
      </c>
      <c r="Q54" s="81">
        <v>16</v>
      </c>
      <c r="R54" s="81">
        <f t="shared" si="14"/>
        <v>100</v>
      </c>
      <c r="T54" s="76">
        <f t="shared" si="4"/>
        <v>2009</v>
      </c>
      <c r="U54" s="78">
        <f>V54+W54</f>
        <v>2315.9960000000001</v>
      </c>
      <c r="V54" s="78">
        <v>2315.9960000000001</v>
      </c>
      <c r="W54" s="78">
        <v>0</v>
      </c>
      <c r="Z54" s="245">
        <v>2018</v>
      </c>
      <c r="AA54" s="246">
        <v>110493</v>
      </c>
      <c r="AB54" s="246">
        <v>12642390</v>
      </c>
      <c r="AC54" s="248">
        <v>12752883</v>
      </c>
      <c r="AD54" s="248">
        <v>6376442</v>
      </c>
      <c r="AE54" s="248">
        <v>4182946</v>
      </c>
      <c r="AF54" s="249">
        <v>4.18</v>
      </c>
    </row>
    <row r="55" spans="1:32" x14ac:dyDescent="0.35">
      <c r="A55" s="70">
        <f t="shared" si="5"/>
        <v>2010</v>
      </c>
      <c r="B55" s="80">
        <v>1210391</v>
      </c>
      <c r="C55" s="78">
        <f t="shared" si="13"/>
        <v>353.93562080352547</v>
      </c>
      <c r="D55" s="71">
        <f t="shared" si="3"/>
        <v>428400.49</v>
      </c>
      <c r="E55" s="79">
        <v>10949</v>
      </c>
      <c r="F55" s="79">
        <v>427802</v>
      </c>
      <c r="G55" s="79">
        <v>0</v>
      </c>
      <c r="H55" s="173">
        <v>598.49</v>
      </c>
      <c r="I55" s="176"/>
      <c r="J55" s="175">
        <f t="shared" si="10"/>
        <v>2010</v>
      </c>
      <c r="K55" s="81">
        <v>45</v>
      </c>
      <c r="L55" s="81">
        <v>25</v>
      </c>
      <c r="M55" s="81">
        <v>10</v>
      </c>
      <c r="N55" s="81">
        <v>0</v>
      </c>
      <c r="O55" s="81">
        <v>4</v>
      </c>
      <c r="P55" s="81">
        <v>0</v>
      </c>
      <c r="Q55" s="81">
        <v>16</v>
      </c>
      <c r="R55" s="81">
        <f t="shared" si="14"/>
        <v>100</v>
      </c>
      <c r="T55" s="76">
        <f t="shared" si="4"/>
        <v>2010</v>
      </c>
      <c r="U55" s="78">
        <f t="shared" ref="U55:U61" si="15">V55+W55</f>
        <v>1905.567</v>
      </c>
      <c r="V55" s="78">
        <v>1905.567</v>
      </c>
      <c r="W55" s="78">
        <v>0</v>
      </c>
      <c r="Z55" s="252" t="s">
        <v>426</v>
      </c>
    </row>
    <row r="56" spans="1:32" x14ac:dyDescent="0.35">
      <c r="A56" s="70">
        <f t="shared" si="5"/>
        <v>2011</v>
      </c>
      <c r="B56" s="80">
        <v>1211970</v>
      </c>
      <c r="C56" s="78">
        <f t="shared" si="13"/>
        <v>346.82602704687412</v>
      </c>
      <c r="D56" s="71">
        <f t="shared" si="3"/>
        <v>420342.74</v>
      </c>
      <c r="E56" s="79">
        <v>10402</v>
      </c>
      <c r="F56" s="79">
        <v>414543</v>
      </c>
      <c r="G56" s="79">
        <v>5154</v>
      </c>
      <c r="H56" s="173">
        <v>645.74</v>
      </c>
      <c r="I56" s="176"/>
      <c r="J56" s="175">
        <f t="shared" si="10"/>
        <v>2011</v>
      </c>
      <c r="K56" s="81">
        <v>45</v>
      </c>
      <c r="L56" s="81">
        <v>25</v>
      </c>
      <c r="M56" s="81">
        <v>10</v>
      </c>
      <c r="N56" s="81">
        <v>0</v>
      </c>
      <c r="O56" s="81">
        <v>4</v>
      </c>
      <c r="P56" s="81">
        <v>0</v>
      </c>
      <c r="Q56" s="81">
        <v>16</v>
      </c>
      <c r="R56" s="81">
        <f t="shared" si="14"/>
        <v>100</v>
      </c>
      <c r="T56" s="76">
        <f t="shared" si="4"/>
        <v>2011</v>
      </c>
      <c r="U56" s="78">
        <f t="shared" si="15"/>
        <v>2288.7280000000001</v>
      </c>
      <c r="V56" s="115">
        <v>64.39797923550833</v>
      </c>
      <c r="W56" s="115">
        <v>2224.3300207644916</v>
      </c>
      <c r="Z56" s="252" t="s">
        <v>425</v>
      </c>
    </row>
    <row r="57" spans="1:32" x14ac:dyDescent="0.35">
      <c r="A57" s="70">
        <f t="shared" si="5"/>
        <v>2012</v>
      </c>
      <c r="B57" s="80">
        <v>1214987</v>
      </c>
      <c r="C57" s="78">
        <f t="shared" si="13"/>
        <v>348.4454895402173</v>
      </c>
      <c r="D57" s="71">
        <f t="shared" si="3"/>
        <v>423356.74</v>
      </c>
      <c r="E57" s="79">
        <v>7370</v>
      </c>
      <c r="F57" s="79">
        <v>387926</v>
      </c>
      <c r="G57" s="79">
        <v>34785</v>
      </c>
      <c r="H57" s="173">
        <v>645.74</v>
      </c>
      <c r="I57" s="176"/>
      <c r="J57" s="175">
        <f t="shared" si="10"/>
        <v>2012</v>
      </c>
      <c r="K57" s="81">
        <v>45</v>
      </c>
      <c r="L57" s="81">
        <v>25</v>
      </c>
      <c r="M57" s="81">
        <v>10</v>
      </c>
      <c r="N57" s="81">
        <v>0</v>
      </c>
      <c r="O57" s="81">
        <v>4</v>
      </c>
      <c r="P57" s="81">
        <v>0</v>
      </c>
      <c r="Q57" s="81">
        <v>16</v>
      </c>
      <c r="R57" s="81">
        <f t="shared" si="14"/>
        <v>100</v>
      </c>
      <c r="T57" s="76">
        <f t="shared" si="4"/>
        <v>2012</v>
      </c>
      <c r="U57" s="78">
        <f t="shared" si="15"/>
        <v>2957.9960000000001</v>
      </c>
      <c r="V57" s="78">
        <v>166.45836900384552</v>
      </c>
      <c r="W57" s="78">
        <v>2791.5376309961548</v>
      </c>
      <c r="X57" s="177"/>
      <c r="Z57" s="155"/>
    </row>
    <row r="58" spans="1:32" x14ac:dyDescent="0.35">
      <c r="A58" s="70">
        <f t="shared" si="5"/>
        <v>2013</v>
      </c>
      <c r="B58" s="80">
        <v>1217341</v>
      </c>
      <c r="C58" s="78">
        <f t="shared" si="13"/>
        <v>369.54295468566323</v>
      </c>
      <c r="D58" s="71">
        <f t="shared" si="3"/>
        <v>449859.79</v>
      </c>
      <c r="E58" s="79">
        <v>6963</v>
      </c>
      <c r="F58" s="79">
        <v>429935</v>
      </c>
      <c r="G58" s="79">
        <v>19257</v>
      </c>
      <c r="H58" s="173">
        <v>667.79</v>
      </c>
      <c r="I58" s="176"/>
      <c r="J58" s="175">
        <f t="shared" si="10"/>
        <v>2013</v>
      </c>
      <c r="K58" s="81">
        <v>45</v>
      </c>
      <c r="L58" s="81">
        <v>25</v>
      </c>
      <c r="M58" s="81">
        <v>10</v>
      </c>
      <c r="N58" s="81">
        <v>0</v>
      </c>
      <c r="O58" s="81">
        <v>4</v>
      </c>
      <c r="P58" s="81">
        <v>0</v>
      </c>
      <c r="Q58" s="81">
        <v>16</v>
      </c>
      <c r="R58" s="81">
        <f t="shared" si="14"/>
        <v>100</v>
      </c>
      <c r="T58" s="76">
        <f t="shared" si="4"/>
        <v>2013</v>
      </c>
      <c r="U58" s="78">
        <f t="shared" si="15"/>
        <v>3944.6819999999998</v>
      </c>
      <c r="V58" s="78">
        <v>104.5286757602189</v>
      </c>
      <c r="W58" s="78">
        <v>3840.1533242397809</v>
      </c>
      <c r="X58" s="177"/>
      <c r="Z58" s="155"/>
    </row>
    <row r="59" spans="1:32" x14ac:dyDescent="0.35">
      <c r="A59" s="70">
        <f t="shared" si="5"/>
        <v>2014</v>
      </c>
      <c r="B59" s="80">
        <v>1219265</v>
      </c>
      <c r="C59" s="78">
        <f t="shared" si="13"/>
        <v>376.67274546550584</v>
      </c>
      <c r="D59" s="71">
        <f t="shared" si="3"/>
        <v>459263.89500000002</v>
      </c>
      <c r="E59" s="79">
        <v>5191</v>
      </c>
      <c r="F59" s="79">
        <v>417478</v>
      </c>
      <c r="G59" s="79">
        <v>41032</v>
      </c>
      <c r="H59" s="174">
        <f>(H60+H58)/2</f>
        <v>753.89499999999998</v>
      </c>
      <c r="I59" s="176"/>
      <c r="J59" s="175">
        <f t="shared" si="10"/>
        <v>2014</v>
      </c>
      <c r="K59" s="81">
        <v>27</v>
      </c>
      <c r="L59" s="81">
        <v>27</v>
      </c>
      <c r="M59" s="81">
        <v>14</v>
      </c>
      <c r="N59" s="81">
        <v>0</v>
      </c>
      <c r="O59" s="81">
        <v>6</v>
      </c>
      <c r="P59" s="81">
        <v>0</v>
      </c>
      <c r="Q59" s="81">
        <v>26</v>
      </c>
      <c r="R59" s="81">
        <f t="shared" si="14"/>
        <v>100</v>
      </c>
      <c r="T59" s="76">
        <f t="shared" si="4"/>
        <v>2014</v>
      </c>
      <c r="U59" s="78">
        <f t="shared" si="15"/>
        <v>4222.4859999999999</v>
      </c>
      <c r="V59" s="78">
        <v>8.7352959503498404</v>
      </c>
      <c r="W59" s="78">
        <v>4213.7507040496503</v>
      </c>
      <c r="X59" s="177"/>
      <c r="Z59" s="155"/>
    </row>
    <row r="60" spans="1:32" x14ac:dyDescent="0.35">
      <c r="A60" s="70">
        <f t="shared" si="5"/>
        <v>2015</v>
      </c>
      <c r="B60" s="80">
        <v>1220663</v>
      </c>
      <c r="C60" s="78">
        <f t="shared" si="13"/>
        <v>399.205186034147</v>
      </c>
      <c r="D60" s="71">
        <f t="shared" si="3"/>
        <v>487295</v>
      </c>
      <c r="E60" s="79">
        <v>4692</v>
      </c>
      <c r="F60" s="79">
        <v>448476</v>
      </c>
      <c r="G60" s="79">
        <v>37979</v>
      </c>
      <c r="H60" s="173">
        <v>840</v>
      </c>
      <c r="I60" s="176"/>
      <c r="J60" s="175">
        <f t="shared" si="10"/>
        <v>2015</v>
      </c>
      <c r="K60" s="81">
        <v>27</v>
      </c>
      <c r="L60" s="81">
        <v>27</v>
      </c>
      <c r="M60" s="81">
        <v>14</v>
      </c>
      <c r="N60" s="81">
        <v>0</v>
      </c>
      <c r="O60" s="81">
        <v>6</v>
      </c>
      <c r="P60" s="81">
        <v>0</v>
      </c>
      <c r="Q60" s="81">
        <v>26</v>
      </c>
      <c r="R60" s="81">
        <f t="shared" si="14"/>
        <v>100</v>
      </c>
      <c r="T60" s="76">
        <f t="shared" si="4"/>
        <v>2015</v>
      </c>
      <c r="U60" s="78">
        <f t="shared" si="15"/>
        <v>3972.6410000000001</v>
      </c>
      <c r="V60" s="78">
        <v>31.927846328318104</v>
      </c>
      <c r="W60" s="78">
        <v>3940.713153671682</v>
      </c>
      <c r="Z60" s="155"/>
    </row>
    <row r="61" spans="1:32" x14ac:dyDescent="0.35">
      <c r="A61" s="70">
        <f t="shared" si="5"/>
        <v>2016</v>
      </c>
      <c r="B61" s="80">
        <v>1221213</v>
      </c>
      <c r="C61" s="78">
        <f t="shared" si="13"/>
        <v>396.19900744820183</v>
      </c>
      <c r="D61" s="71">
        <f t="shared" si="3"/>
        <v>483843.3784828409</v>
      </c>
      <c r="E61" s="79">
        <v>4280</v>
      </c>
      <c r="F61" s="79">
        <v>444695</v>
      </c>
      <c r="G61" s="79">
        <v>38308</v>
      </c>
      <c r="H61" s="174">
        <f>B61*(H60/B60)</f>
        <v>840.37848284088227</v>
      </c>
      <c r="I61" s="176"/>
      <c r="J61" s="175">
        <f t="shared" si="10"/>
        <v>2016</v>
      </c>
      <c r="K61" s="81">
        <v>27</v>
      </c>
      <c r="L61" s="81">
        <v>27</v>
      </c>
      <c r="M61" s="81">
        <v>14</v>
      </c>
      <c r="N61" s="81">
        <v>0</v>
      </c>
      <c r="O61" s="81">
        <v>6</v>
      </c>
      <c r="P61" s="81">
        <v>0</v>
      </c>
      <c r="Q61" s="81">
        <v>26</v>
      </c>
      <c r="R61" s="81">
        <f t="shared" si="14"/>
        <v>100</v>
      </c>
      <c r="T61" s="76">
        <f t="shared" si="4"/>
        <v>2016</v>
      </c>
      <c r="U61" s="78">
        <f t="shared" si="15"/>
        <v>3625.8810000000003</v>
      </c>
      <c r="V61" s="78">
        <v>16.506270871017779</v>
      </c>
      <c r="W61" s="78">
        <v>3609.3747291289824</v>
      </c>
      <c r="Z61" s="155"/>
    </row>
    <row r="62" spans="1:32" x14ac:dyDescent="0.35">
      <c r="A62" s="86" t="s">
        <v>16</v>
      </c>
      <c r="C62" s="106"/>
      <c r="H62" s="69"/>
      <c r="I62" s="156"/>
      <c r="T62" s="66" t="s">
        <v>417</v>
      </c>
    </row>
    <row r="63" spans="1:32" x14ac:dyDescent="0.35">
      <c r="A63" s="99" t="s">
        <v>20</v>
      </c>
      <c r="B63" s="87"/>
      <c r="C63" s="87"/>
      <c r="D63" s="87"/>
      <c r="H63" s="69"/>
      <c r="I63" s="156"/>
      <c r="J63" s="87"/>
      <c r="K63" s="87"/>
    </row>
    <row r="64" spans="1:32" x14ac:dyDescent="0.35">
      <c r="A64" s="86" t="s">
        <v>15</v>
      </c>
      <c r="H64" s="69"/>
      <c r="I64" s="156"/>
    </row>
    <row r="66" spans="1:32" ht="46" x14ac:dyDescent="1">
      <c r="A66" s="220" t="s">
        <v>287</v>
      </c>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row>
    <row r="68" spans="1:32" ht="101.5" x14ac:dyDescent="0.35">
      <c r="A68" s="67" t="s">
        <v>0</v>
      </c>
      <c r="B68" s="68" t="s">
        <v>9</v>
      </c>
      <c r="C68" s="68" t="s">
        <v>338</v>
      </c>
      <c r="D68" s="68" t="s">
        <v>395</v>
      </c>
      <c r="F68" s="67" t="s">
        <v>0</v>
      </c>
      <c r="G68" s="68" t="s">
        <v>339</v>
      </c>
      <c r="H68" s="68" t="s">
        <v>340</v>
      </c>
      <c r="I68" s="68" t="s">
        <v>347</v>
      </c>
      <c r="J68" s="68" t="s">
        <v>341</v>
      </c>
      <c r="K68" s="68" t="s">
        <v>342</v>
      </c>
      <c r="L68" s="68" t="s">
        <v>115</v>
      </c>
      <c r="M68" s="68" t="s">
        <v>118</v>
      </c>
      <c r="N68" s="68" t="s">
        <v>343</v>
      </c>
      <c r="O68" s="68" t="s">
        <v>323</v>
      </c>
      <c r="P68" s="68" t="s">
        <v>125</v>
      </c>
      <c r="Q68" s="68" t="s">
        <v>346</v>
      </c>
      <c r="R68" s="68" t="s">
        <v>348</v>
      </c>
      <c r="S68" s="68" t="s">
        <v>344</v>
      </c>
      <c r="T68" s="68" t="s">
        <v>328</v>
      </c>
      <c r="U68" s="68" t="s">
        <v>345</v>
      </c>
      <c r="W68" s="67" t="s">
        <v>0</v>
      </c>
      <c r="X68" s="68" t="s">
        <v>17</v>
      </c>
      <c r="Y68" s="68" t="s">
        <v>18</v>
      </c>
      <c r="Z68" s="68" t="s">
        <v>19</v>
      </c>
      <c r="AA68" s="68" t="s">
        <v>21</v>
      </c>
    </row>
    <row r="69" spans="1:32" x14ac:dyDescent="0.35">
      <c r="A69" s="88">
        <v>2000</v>
      </c>
      <c r="B69" s="80">
        <f t="shared" ref="B69:B85" si="16">B45</f>
        <v>1157290</v>
      </c>
      <c r="C69" s="89">
        <v>28.674400000000002</v>
      </c>
      <c r="D69" s="219">
        <f>37*365/1000</f>
        <v>13.505000000000001</v>
      </c>
      <c r="E69" s="197"/>
      <c r="F69" s="88">
        <v>2000</v>
      </c>
      <c r="G69" s="157"/>
      <c r="H69" s="157"/>
      <c r="I69" s="157"/>
      <c r="J69" s="167">
        <f t="shared" ref="J69:J73" si="17">J70</f>
        <v>20.485325072481036</v>
      </c>
      <c r="K69" s="168"/>
      <c r="L69" s="167">
        <f t="shared" ref="L69:L73" si="18">L70</f>
        <v>65.185192389835706</v>
      </c>
      <c r="M69" s="169"/>
      <c r="N69" s="169"/>
      <c r="O69" s="191"/>
      <c r="P69" s="167">
        <f t="shared" ref="P69:P73" si="19">P70</f>
        <v>3.4835475951371855</v>
      </c>
      <c r="Q69" s="167">
        <f t="shared" ref="Q69:Q73" si="20">Q70</f>
        <v>10.845934942546064</v>
      </c>
      <c r="R69" s="157"/>
      <c r="S69" s="157"/>
      <c r="T69" s="157"/>
      <c r="U69" s="105">
        <f t="shared" ref="U69:U85" si="21">SUM(G69:T69)</f>
        <v>99.999999999999986</v>
      </c>
      <c r="W69" s="74">
        <f t="shared" ref="W69:W85" si="22">A69</f>
        <v>2000</v>
      </c>
      <c r="X69" s="179">
        <f>(((B69*D69*(J69/100)*EFs!$E$32)+('AD Mauritius'!B69*'AD Mauritius'!D69*('AD Mauritius'!L69/100)*EFs!$E$34)+('AD Mauritius'!B69*'AD Mauritius'!D69*('AD Mauritius'!P69/100)*EFs!$E$38)+('AD Mauritius'!B69*'AD Mauritius'!D69*('AD Mauritius'!Q69/100)*EFs!$E$39)))/1000</f>
        <v>5155.247199058771</v>
      </c>
      <c r="Y69" s="73">
        <f t="shared" ref="Y69:Y85" si="23">Z69+AA69</f>
        <v>0</v>
      </c>
      <c r="Z69" s="73">
        <v>0</v>
      </c>
      <c r="AA69" s="73">
        <v>0</v>
      </c>
      <c r="AC69" s="152"/>
      <c r="AD69" s="152"/>
      <c r="AE69" s="153"/>
      <c r="AF69" s="152"/>
    </row>
    <row r="70" spans="1:32" ht="15.5" x14ac:dyDescent="0.35">
      <c r="A70" s="88">
        <f t="shared" ref="A70:A85" si="24">A69+1</f>
        <v>2001</v>
      </c>
      <c r="B70" s="80">
        <f t="shared" si="16"/>
        <v>1160083</v>
      </c>
      <c r="C70" s="89">
        <v>29.148900000000001</v>
      </c>
      <c r="D70" s="219">
        <f t="shared" ref="D70:D85" si="25">37*365/1000</f>
        <v>13.505000000000001</v>
      </c>
      <c r="E70" s="197"/>
      <c r="F70" s="88">
        <f t="shared" ref="F70:F85" si="26">F69+1</f>
        <v>2001</v>
      </c>
      <c r="G70" s="157"/>
      <c r="H70" s="157"/>
      <c r="I70" s="157"/>
      <c r="J70" s="167">
        <f t="shared" si="17"/>
        <v>20.485325072481036</v>
      </c>
      <c r="K70" s="168"/>
      <c r="L70" s="167">
        <f t="shared" si="18"/>
        <v>65.185192389835706</v>
      </c>
      <c r="M70" s="169"/>
      <c r="N70" s="169"/>
      <c r="O70" s="191"/>
      <c r="P70" s="167">
        <f t="shared" si="19"/>
        <v>3.4835475951371855</v>
      </c>
      <c r="Q70" s="167">
        <f t="shared" si="20"/>
        <v>10.845934942546064</v>
      </c>
      <c r="R70" s="157"/>
      <c r="S70" s="157"/>
      <c r="T70" s="157"/>
      <c r="U70" s="105">
        <f t="shared" si="21"/>
        <v>99.999999999999986</v>
      </c>
      <c r="V70" s="177"/>
      <c r="W70" s="74">
        <f t="shared" si="22"/>
        <v>2001</v>
      </c>
      <c r="X70" s="179">
        <f>(((B70*D70*(J70/100)*EFs!$E$32)+('AD Mauritius'!B70*'AD Mauritius'!D70*('AD Mauritius'!L70/100)*EFs!$E$34)+('AD Mauritius'!B70*'AD Mauritius'!D70*('AD Mauritius'!P70/100)*EFs!$E$38)+('AD Mauritius'!B70*'AD Mauritius'!D70*('AD Mauritius'!Q70/100)*EFs!$E$39)))/1000</f>
        <v>5167.688856229378</v>
      </c>
      <c r="Y70" s="73">
        <f t="shared" si="23"/>
        <v>0</v>
      </c>
      <c r="Z70" s="73">
        <v>0</v>
      </c>
      <c r="AA70" s="73">
        <v>0</v>
      </c>
      <c r="AC70" s="203"/>
      <c r="AD70" s="204"/>
      <c r="AE70" s="204"/>
      <c r="AF70" s="204"/>
    </row>
    <row r="71" spans="1:32" ht="15.5" x14ac:dyDescent="0.35">
      <c r="A71" s="88">
        <f t="shared" si="24"/>
        <v>2002</v>
      </c>
      <c r="B71" s="80">
        <f t="shared" si="16"/>
        <v>1167995</v>
      </c>
      <c r="C71" s="89">
        <v>29.915399999999998</v>
      </c>
      <c r="D71" s="219">
        <f t="shared" si="25"/>
        <v>13.505000000000001</v>
      </c>
      <c r="E71" s="197"/>
      <c r="F71" s="88">
        <f t="shared" si="26"/>
        <v>2002</v>
      </c>
      <c r="G71" s="157"/>
      <c r="H71" s="157"/>
      <c r="I71" s="157"/>
      <c r="J71" s="167">
        <f t="shared" si="17"/>
        <v>20.485325072481036</v>
      </c>
      <c r="K71" s="168"/>
      <c r="L71" s="167">
        <f t="shared" si="18"/>
        <v>65.185192389835706</v>
      </c>
      <c r="M71" s="169"/>
      <c r="N71" s="169"/>
      <c r="O71" s="191"/>
      <c r="P71" s="167">
        <f t="shared" si="19"/>
        <v>3.4835475951371855</v>
      </c>
      <c r="Q71" s="167">
        <f t="shared" si="20"/>
        <v>10.845934942546064</v>
      </c>
      <c r="R71" s="157"/>
      <c r="S71" s="157"/>
      <c r="T71" s="157"/>
      <c r="U71" s="105">
        <f t="shared" si="21"/>
        <v>99.999999999999986</v>
      </c>
      <c r="V71" s="177"/>
      <c r="W71" s="74">
        <f t="shared" si="22"/>
        <v>2002</v>
      </c>
      <c r="X71" s="179">
        <f>(((B71*D71*(J71/100)*EFs!$E$32)+('AD Mauritius'!B71*'AD Mauritius'!D71*('AD Mauritius'!L71/100)*EFs!$E$34)+('AD Mauritius'!B71*'AD Mauritius'!D71*('AD Mauritius'!P71/100)*EFs!$E$38)+('AD Mauritius'!B71*'AD Mauritius'!D71*('AD Mauritius'!Q71/100)*EFs!$E$39)))/1000</f>
        <v>5202.9335363345836</v>
      </c>
      <c r="Y71" s="73">
        <f t="shared" si="23"/>
        <v>0</v>
      </c>
      <c r="Z71" s="73">
        <v>0</v>
      </c>
      <c r="AA71" s="73">
        <v>0</v>
      </c>
      <c r="AC71" s="203"/>
      <c r="AD71" s="204"/>
      <c r="AE71" s="204"/>
      <c r="AF71" s="204"/>
    </row>
    <row r="72" spans="1:32" ht="15.5" x14ac:dyDescent="0.35">
      <c r="A72" s="88">
        <f t="shared" si="24"/>
        <v>2003</v>
      </c>
      <c r="B72" s="80">
        <f t="shared" si="16"/>
        <v>1176323</v>
      </c>
      <c r="C72" s="89">
        <v>30.327850000000002</v>
      </c>
      <c r="D72" s="219">
        <f t="shared" si="25"/>
        <v>13.505000000000001</v>
      </c>
      <c r="E72" s="197"/>
      <c r="F72" s="88">
        <f t="shared" si="26"/>
        <v>2003</v>
      </c>
      <c r="G72" s="157"/>
      <c r="H72" s="157"/>
      <c r="I72" s="157"/>
      <c r="J72" s="167">
        <f t="shared" si="17"/>
        <v>20.485325072481036</v>
      </c>
      <c r="K72" s="168"/>
      <c r="L72" s="167">
        <f t="shared" si="18"/>
        <v>65.185192389835706</v>
      </c>
      <c r="M72" s="169"/>
      <c r="N72" s="169"/>
      <c r="O72" s="191"/>
      <c r="P72" s="167">
        <f t="shared" si="19"/>
        <v>3.4835475951371855</v>
      </c>
      <c r="Q72" s="167">
        <f t="shared" si="20"/>
        <v>10.845934942546064</v>
      </c>
      <c r="R72" s="157"/>
      <c r="S72" s="157"/>
      <c r="T72" s="157"/>
      <c r="U72" s="105">
        <f t="shared" si="21"/>
        <v>99.999999999999986</v>
      </c>
      <c r="V72" s="177"/>
      <c r="W72" s="74">
        <f t="shared" si="22"/>
        <v>2003</v>
      </c>
      <c r="X72" s="179">
        <f>(((B72*D72*(J72/100)*EFs!$E$32)+('AD Mauritius'!B72*'AD Mauritius'!D72*('AD Mauritius'!L72/100)*EFs!$E$34)+('AD Mauritius'!B72*'AD Mauritius'!D72*('AD Mauritius'!P72/100)*EFs!$E$38)+('AD Mauritius'!B72*'AD Mauritius'!D72*('AD Mauritius'!Q72/100)*EFs!$E$39)))/1000</f>
        <v>5240.0313239882926</v>
      </c>
      <c r="Y72" s="73">
        <f t="shared" si="23"/>
        <v>0</v>
      </c>
      <c r="Z72" s="73">
        <v>0</v>
      </c>
      <c r="AA72" s="73">
        <v>0</v>
      </c>
      <c r="AC72" s="203"/>
      <c r="AD72" s="204"/>
      <c r="AE72" s="204"/>
      <c r="AF72" s="204"/>
    </row>
    <row r="73" spans="1:32" ht="15.5" x14ac:dyDescent="0.35">
      <c r="A73" s="88">
        <f t="shared" si="24"/>
        <v>2004</v>
      </c>
      <c r="B73" s="80">
        <f t="shared" si="16"/>
        <v>1183533</v>
      </c>
      <c r="C73" s="89">
        <v>31.149100000000001</v>
      </c>
      <c r="D73" s="219">
        <f t="shared" si="25"/>
        <v>13.505000000000001</v>
      </c>
      <c r="E73" s="197"/>
      <c r="F73" s="88">
        <f t="shared" si="26"/>
        <v>2004</v>
      </c>
      <c r="G73" s="157"/>
      <c r="H73" s="157"/>
      <c r="I73" s="157"/>
      <c r="J73" s="167">
        <f t="shared" si="17"/>
        <v>20.485325072481036</v>
      </c>
      <c r="K73" s="168"/>
      <c r="L73" s="167">
        <f t="shared" si="18"/>
        <v>65.185192389835706</v>
      </c>
      <c r="M73" s="169"/>
      <c r="N73" s="169"/>
      <c r="O73" s="191"/>
      <c r="P73" s="167">
        <f t="shared" si="19"/>
        <v>3.4835475951371855</v>
      </c>
      <c r="Q73" s="167">
        <f t="shared" si="20"/>
        <v>10.845934942546064</v>
      </c>
      <c r="R73" s="157"/>
      <c r="S73" s="157"/>
      <c r="T73" s="157"/>
      <c r="U73" s="105">
        <f t="shared" si="21"/>
        <v>99.999999999999986</v>
      </c>
      <c r="V73" s="177"/>
      <c r="W73" s="74">
        <f t="shared" si="22"/>
        <v>2004</v>
      </c>
      <c r="X73" s="179">
        <f>(((B73*D73*(J73/100)*EFs!$E$32)+('AD Mauritius'!B73*'AD Mauritius'!D73*('AD Mauritius'!L73/100)*EFs!$E$34)+('AD Mauritius'!B73*'AD Mauritius'!D73*('AD Mauritius'!P73/100)*EFs!$E$38)+('AD Mauritius'!B73*'AD Mauritius'!D73*('AD Mauritius'!Q73/100)*EFs!$E$39)))/1000</f>
        <v>5272.1488851053964</v>
      </c>
      <c r="Y73" s="73">
        <f t="shared" si="23"/>
        <v>0</v>
      </c>
      <c r="Z73" s="73">
        <v>0</v>
      </c>
      <c r="AA73" s="73">
        <v>0</v>
      </c>
      <c r="AC73" s="203"/>
      <c r="AD73" s="204"/>
      <c r="AE73" s="204"/>
      <c r="AF73" s="204"/>
    </row>
    <row r="74" spans="1:32" x14ac:dyDescent="0.35">
      <c r="A74" s="88">
        <f t="shared" si="24"/>
        <v>2005</v>
      </c>
      <c r="B74" s="80">
        <f t="shared" si="16"/>
        <v>1190361</v>
      </c>
      <c r="C74" s="89">
        <v>30.649049999999999</v>
      </c>
      <c r="D74" s="219">
        <f t="shared" si="25"/>
        <v>13.505000000000001</v>
      </c>
      <c r="E74" s="197"/>
      <c r="F74" s="88">
        <f t="shared" si="26"/>
        <v>2005</v>
      </c>
      <c r="G74" s="157"/>
      <c r="H74" s="157"/>
      <c r="I74" s="157"/>
      <c r="J74" s="167">
        <f>J75</f>
        <v>20.485325072481036</v>
      </c>
      <c r="K74" s="168"/>
      <c r="L74" s="167">
        <f>L75</f>
        <v>65.185192389835706</v>
      </c>
      <c r="M74" s="169"/>
      <c r="N74" s="169"/>
      <c r="O74" s="191"/>
      <c r="P74" s="167">
        <f>P75</f>
        <v>3.4835475951371855</v>
      </c>
      <c r="Q74" s="167">
        <f>Q75</f>
        <v>10.845934942546064</v>
      </c>
      <c r="R74" s="157"/>
      <c r="S74" s="157"/>
      <c r="T74" s="157"/>
      <c r="U74" s="105">
        <f t="shared" si="21"/>
        <v>99.999999999999986</v>
      </c>
      <c r="V74" s="177"/>
      <c r="W74" s="74">
        <f t="shared" si="22"/>
        <v>2005</v>
      </c>
      <c r="X74" s="179">
        <f>(((B74*D74*(J74/100)*EFs!$E$32)+('AD Mauritius'!B74*'AD Mauritius'!D74*('AD Mauritius'!L74/100)*EFs!$E$34)+('AD Mauritius'!B74*'AD Mauritius'!D74*('AD Mauritius'!P74/100)*EFs!$E$38)+('AD Mauritius'!B74*'AD Mauritius'!D74*('AD Mauritius'!Q74/100)*EFs!$E$39)))/1000</f>
        <v>5302.5647945794035</v>
      </c>
      <c r="Y74" s="73">
        <f t="shared" si="23"/>
        <v>0</v>
      </c>
      <c r="Z74" s="73">
        <v>0</v>
      </c>
      <c r="AA74" s="73">
        <v>0</v>
      </c>
    </row>
    <row r="75" spans="1:32" x14ac:dyDescent="0.35">
      <c r="A75" s="88">
        <f t="shared" si="24"/>
        <v>2006</v>
      </c>
      <c r="B75" s="80">
        <f t="shared" si="16"/>
        <v>1195676</v>
      </c>
      <c r="C75" s="89">
        <v>30.3461</v>
      </c>
      <c r="D75" s="219">
        <f t="shared" si="25"/>
        <v>13.505000000000001</v>
      </c>
      <c r="E75" s="197"/>
      <c r="F75" s="88">
        <f t="shared" si="26"/>
        <v>2006</v>
      </c>
      <c r="G75" s="157"/>
      <c r="H75" s="157"/>
      <c r="I75" s="157"/>
      <c r="J75" s="191">
        <v>20.485325072481036</v>
      </c>
      <c r="K75" s="168"/>
      <c r="L75" s="191">
        <v>65.185192389835706</v>
      </c>
      <c r="M75" s="169"/>
      <c r="N75" s="169"/>
      <c r="O75" s="191"/>
      <c r="P75" s="191">
        <v>3.4835475951371855</v>
      </c>
      <c r="Q75" s="191">
        <v>10.845934942546064</v>
      </c>
      <c r="R75" s="157"/>
      <c r="S75" s="157"/>
      <c r="T75" s="157"/>
      <c r="U75" s="105">
        <f t="shared" si="21"/>
        <v>99.999999999999986</v>
      </c>
      <c r="V75" s="177"/>
      <c r="W75" s="74">
        <f t="shared" si="22"/>
        <v>2006</v>
      </c>
      <c r="X75" s="179">
        <f>(((B75*D75*(J75/100)*EFs!$E$32)+('AD Mauritius'!B75*'AD Mauritius'!D75*('AD Mauritius'!L75/100)*EFs!$E$34)+('AD Mauritius'!B75*'AD Mauritius'!D75*('AD Mauritius'!P75/100)*EFs!$E$38)+('AD Mauritius'!B75*'AD Mauritius'!D75*('AD Mauritius'!Q75/100)*EFs!$E$39)))/1000</f>
        <v>5326.2409162628164</v>
      </c>
      <c r="Y75" s="73">
        <f t="shared" si="23"/>
        <v>354.37200000000001</v>
      </c>
      <c r="Z75" s="183">
        <v>354.37200000000001</v>
      </c>
      <c r="AA75" s="73">
        <v>0</v>
      </c>
    </row>
    <row r="76" spans="1:32" x14ac:dyDescent="0.35">
      <c r="A76" s="88">
        <f t="shared" si="24"/>
        <v>2007</v>
      </c>
      <c r="B76" s="80">
        <f t="shared" si="16"/>
        <v>1200887</v>
      </c>
      <c r="C76" s="89">
        <v>31.649149999999999</v>
      </c>
      <c r="D76" s="219">
        <f t="shared" si="25"/>
        <v>13.505000000000001</v>
      </c>
      <c r="E76" s="197"/>
      <c r="F76" s="88">
        <f t="shared" si="26"/>
        <v>2007</v>
      </c>
      <c r="G76" s="157"/>
      <c r="H76" s="157"/>
      <c r="I76" s="157"/>
      <c r="J76" s="191">
        <v>20.74512195515458</v>
      </c>
      <c r="K76" s="168"/>
      <c r="L76" s="191">
        <v>64.975605742330814</v>
      </c>
      <c r="M76" s="169"/>
      <c r="N76" s="169"/>
      <c r="O76" s="191"/>
      <c r="P76" s="191">
        <v>3.4713415873691957</v>
      </c>
      <c r="Q76" s="191">
        <v>10.807930715145414</v>
      </c>
      <c r="R76" s="157"/>
      <c r="S76" s="157"/>
      <c r="T76" s="157"/>
      <c r="U76" s="105">
        <f t="shared" si="21"/>
        <v>100</v>
      </c>
      <c r="V76" s="177"/>
      <c r="W76" s="74">
        <f t="shared" si="22"/>
        <v>2007</v>
      </c>
      <c r="X76" s="179">
        <f>(((B76*D76*(J76/100)*EFs!$E$32)+('AD Mauritius'!B76*'AD Mauritius'!D76*('AD Mauritius'!L76/100)*EFs!$E$34)+('AD Mauritius'!B76*'AD Mauritius'!D76*('AD Mauritius'!P76/100)*EFs!$E$38)+('AD Mauritius'!B76*'AD Mauritius'!D76*('AD Mauritius'!Q76/100)*EFs!$E$39)))/1000</f>
        <v>5332.1745348682634</v>
      </c>
      <c r="Y76" s="73">
        <f t="shared" si="23"/>
        <v>354.37200000000001</v>
      </c>
      <c r="Z76" s="183">
        <v>354.37200000000001</v>
      </c>
      <c r="AA76" s="73">
        <v>0</v>
      </c>
    </row>
    <row r="77" spans="1:32" x14ac:dyDescent="0.35">
      <c r="A77" s="88">
        <f t="shared" si="24"/>
        <v>2008</v>
      </c>
      <c r="B77" s="80">
        <f t="shared" si="16"/>
        <v>1204955</v>
      </c>
      <c r="C77" s="89">
        <v>30.857100000000003</v>
      </c>
      <c r="D77" s="219">
        <f t="shared" si="25"/>
        <v>13.505000000000001</v>
      </c>
      <c r="E77" s="197"/>
      <c r="F77" s="88">
        <f t="shared" si="26"/>
        <v>2008</v>
      </c>
      <c r="G77" s="157"/>
      <c r="H77" s="157"/>
      <c r="I77" s="157"/>
      <c r="J77" s="191">
        <v>21.012464878466432</v>
      </c>
      <c r="K77" s="168"/>
      <c r="L77" s="191">
        <v>64.753134307960082</v>
      </c>
      <c r="M77" s="169"/>
      <c r="N77" s="169"/>
      <c r="O77" s="191"/>
      <c r="P77" s="191">
        <v>3.460420694672782</v>
      </c>
      <c r="Q77" s="191">
        <v>10.773980118900711</v>
      </c>
      <c r="R77" s="157"/>
      <c r="S77" s="157"/>
      <c r="T77" s="157"/>
      <c r="U77" s="105">
        <f t="shared" si="21"/>
        <v>100</v>
      </c>
      <c r="V77" s="177"/>
      <c r="W77" s="74">
        <f t="shared" si="22"/>
        <v>2008</v>
      </c>
      <c r="X77" s="179">
        <f>(((B77*D77*(J77/100)*EFs!$E$32)+('AD Mauritius'!B77*'AD Mauritius'!D77*('AD Mauritius'!L77/100)*EFs!$E$34)+('AD Mauritius'!B77*'AD Mauritius'!D77*('AD Mauritius'!P77/100)*EFs!$E$38)+('AD Mauritius'!B77*'AD Mauritius'!D77*('AD Mauritius'!Q77/100)*EFs!$E$39)))/1000</f>
        <v>5331.9953812956583</v>
      </c>
      <c r="Y77" s="73">
        <f t="shared" si="23"/>
        <v>354.37200000000001</v>
      </c>
      <c r="Z77" s="183">
        <v>354.37200000000001</v>
      </c>
      <c r="AA77" s="73">
        <v>0</v>
      </c>
    </row>
    <row r="78" spans="1:32" x14ac:dyDescent="0.35">
      <c r="A78" s="88">
        <f t="shared" si="24"/>
        <v>2009</v>
      </c>
      <c r="B78" s="80">
        <f t="shared" si="16"/>
        <v>1207842</v>
      </c>
      <c r="C78" s="89">
        <v>32.747799999999998</v>
      </c>
      <c r="D78" s="219">
        <f t="shared" si="25"/>
        <v>13.505000000000001</v>
      </c>
      <c r="E78" s="197"/>
      <c r="F78" s="88">
        <f t="shared" si="26"/>
        <v>2009</v>
      </c>
      <c r="G78" s="157"/>
      <c r="H78" s="157"/>
      <c r="I78" s="157"/>
      <c r="J78" s="191">
        <v>21.276310852114008</v>
      </c>
      <c r="K78" s="168"/>
      <c r="L78" s="191">
        <v>64.536755815407915</v>
      </c>
      <c r="M78" s="169"/>
      <c r="N78" s="169"/>
      <c r="O78" s="191"/>
      <c r="P78" s="191">
        <v>3.4489145320252339</v>
      </c>
      <c r="Q78" s="191">
        <v>10.738018800452853</v>
      </c>
      <c r="R78" s="157"/>
      <c r="S78" s="157"/>
      <c r="T78" s="157"/>
      <c r="U78" s="105">
        <f t="shared" si="21"/>
        <v>100</v>
      </c>
      <c r="V78" s="177"/>
      <c r="W78" s="74">
        <f t="shared" si="22"/>
        <v>2009</v>
      </c>
      <c r="X78" s="179">
        <f>(((B78*D78*(J78/100)*EFs!$E$32)+('AD Mauritius'!B78*'AD Mauritius'!D78*('AD Mauritius'!L78/100)*EFs!$E$34)+('AD Mauritius'!B78*'AD Mauritius'!D78*('AD Mauritius'!P78/100)*EFs!$E$38)+('AD Mauritius'!B78*'AD Mauritius'!D78*('AD Mauritius'!Q78/100)*EFs!$E$39)))/1000</f>
        <v>5326.9136826519361</v>
      </c>
      <c r="Y78" s="73">
        <f t="shared" si="23"/>
        <v>354.37200000000001</v>
      </c>
      <c r="Z78" s="183">
        <v>354.37200000000001</v>
      </c>
      <c r="AA78" s="73">
        <v>0</v>
      </c>
    </row>
    <row r="79" spans="1:32" x14ac:dyDescent="0.35">
      <c r="A79" s="88">
        <f t="shared" si="24"/>
        <v>2010</v>
      </c>
      <c r="B79" s="80">
        <f t="shared" si="16"/>
        <v>1210391</v>
      </c>
      <c r="C79" s="89">
        <v>32.871900000000004</v>
      </c>
      <c r="D79" s="219">
        <f t="shared" si="25"/>
        <v>13.505000000000001</v>
      </c>
      <c r="E79" s="197"/>
      <c r="F79" s="88">
        <f t="shared" si="26"/>
        <v>2010</v>
      </c>
      <c r="G79" s="157"/>
      <c r="H79" s="157"/>
      <c r="I79" s="157"/>
      <c r="J79" s="191">
        <v>21.370505843375568</v>
      </c>
      <c r="K79" s="168"/>
      <c r="L79" s="191">
        <v>64.459578943486918</v>
      </c>
      <c r="M79" s="169"/>
      <c r="N79" s="169"/>
      <c r="O79" s="191"/>
      <c r="P79" s="191">
        <v>3.4447819245343214</v>
      </c>
      <c r="Q79" s="191">
        <v>10.725133288603192</v>
      </c>
      <c r="R79" s="157"/>
      <c r="S79" s="157"/>
      <c r="T79" s="157"/>
      <c r="U79" s="105">
        <f t="shared" si="21"/>
        <v>100</v>
      </c>
      <c r="V79" s="177"/>
      <c r="W79" s="74">
        <f t="shared" si="22"/>
        <v>2010</v>
      </c>
      <c r="X79" s="179">
        <f>(((B79*D79*(J79/100)*EFs!$E$32)+('AD Mauritius'!B79*'AD Mauritius'!D79*('AD Mauritius'!L79/100)*EFs!$E$34)+('AD Mauritius'!B79*'AD Mauritius'!D79*('AD Mauritius'!P79/100)*EFs!$E$38)+('AD Mauritius'!B79*'AD Mauritius'!D79*('AD Mauritius'!Q79/100)*EFs!$E$39)))/1000</f>
        <v>5331.7709511191088</v>
      </c>
      <c r="Y79" s="73">
        <f t="shared" si="23"/>
        <v>397.26100000000002</v>
      </c>
      <c r="Z79" s="183">
        <v>397.26100000000002</v>
      </c>
      <c r="AA79" s="73">
        <v>0</v>
      </c>
    </row>
    <row r="80" spans="1:32" x14ac:dyDescent="0.35">
      <c r="A80" s="88">
        <f t="shared" si="24"/>
        <v>2011</v>
      </c>
      <c r="B80" s="80">
        <f t="shared" si="16"/>
        <v>1211970</v>
      </c>
      <c r="C80" s="89">
        <v>32.495950000000001</v>
      </c>
      <c r="D80" s="219">
        <f t="shared" si="25"/>
        <v>13.505000000000001</v>
      </c>
      <c r="E80" s="197"/>
      <c r="F80" s="88">
        <f t="shared" si="26"/>
        <v>2011</v>
      </c>
      <c r="G80" s="157"/>
      <c r="H80" s="157"/>
      <c r="I80" s="157"/>
      <c r="J80" s="191">
        <v>21.653620119441342</v>
      </c>
      <c r="K80" s="168"/>
      <c r="L80" s="191">
        <v>68.173166147184077</v>
      </c>
      <c r="M80" s="169"/>
      <c r="N80" s="169"/>
      <c r="O80" s="191"/>
      <c r="P80" s="191">
        <v>6.6629390817451437</v>
      </c>
      <c r="Q80" s="191">
        <v>3.5102746516294303</v>
      </c>
      <c r="R80" s="157"/>
      <c r="S80" s="157"/>
      <c r="T80" s="157"/>
      <c r="U80" s="105">
        <f t="shared" si="21"/>
        <v>100</v>
      </c>
      <c r="V80" s="177"/>
      <c r="W80" s="74">
        <f t="shared" si="22"/>
        <v>2011</v>
      </c>
      <c r="X80" s="179">
        <f>(((B80*D80*(J80/100)*EFs!$E$32)+('AD Mauritius'!B80*'AD Mauritius'!D80*('AD Mauritius'!L80/100)*EFs!$E$34)+('AD Mauritius'!B80*'AD Mauritius'!D80*('AD Mauritius'!P80/100)*EFs!$E$38)+('AD Mauritius'!B80*'AD Mauritius'!D80*('AD Mauritius'!Q80/100)*EFs!$E$39)))/1000</f>
        <v>5717.650336823991</v>
      </c>
      <c r="Y80" s="73">
        <f t="shared" si="23"/>
        <v>395.26299999999998</v>
      </c>
      <c r="Z80" s="183">
        <v>395.26299999999998</v>
      </c>
      <c r="AA80" s="73">
        <v>0</v>
      </c>
    </row>
    <row r="81" spans="1:27" x14ac:dyDescent="0.35">
      <c r="A81" s="88">
        <f t="shared" si="24"/>
        <v>2012</v>
      </c>
      <c r="B81" s="80">
        <f t="shared" si="16"/>
        <v>1214987</v>
      </c>
      <c r="C81" s="89">
        <v>32.07985</v>
      </c>
      <c r="D81" s="219">
        <f t="shared" si="25"/>
        <v>13.505000000000001</v>
      </c>
      <c r="E81" s="197"/>
      <c r="F81" s="88">
        <f t="shared" si="26"/>
        <v>2012</v>
      </c>
      <c r="G81" s="157"/>
      <c r="H81" s="157"/>
      <c r="I81" s="157"/>
      <c r="J81" s="191">
        <v>22.749687544495245</v>
      </c>
      <c r="K81" s="169"/>
      <c r="L81" s="191">
        <v>67.218829597051055</v>
      </c>
      <c r="M81" s="169"/>
      <c r="N81" s="169"/>
      <c r="O81" s="191"/>
      <c r="P81" s="191">
        <v>6.5701877897134899</v>
      </c>
      <c r="Q81" s="191">
        <v>3.4612950687402111</v>
      </c>
      <c r="R81" s="157"/>
      <c r="S81" s="157"/>
      <c r="T81" s="157"/>
      <c r="U81" s="105">
        <f t="shared" si="21"/>
        <v>100</v>
      </c>
      <c r="V81" s="177"/>
      <c r="W81" s="74">
        <f t="shared" si="22"/>
        <v>2012</v>
      </c>
      <c r="X81" s="179">
        <f>(((B81*D81*(J81/100)*EFs!$E$32)+('AD Mauritius'!B81*'AD Mauritius'!D81*('AD Mauritius'!L81/100)*EFs!$E$34)+('AD Mauritius'!B81*'AD Mauritius'!D81*('AD Mauritius'!P81/100)*EFs!$E$38)+('AD Mauritius'!B81*'AD Mauritius'!D81*('AD Mauritius'!Q81/100)*EFs!$E$39)))/1000</f>
        <v>5651.6717308716534</v>
      </c>
      <c r="Y81" s="73">
        <f t="shared" si="23"/>
        <v>460.97300000000001</v>
      </c>
      <c r="Z81" s="183">
        <v>460.97300000000001</v>
      </c>
      <c r="AA81" s="73">
        <v>0</v>
      </c>
    </row>
    <row r="82" spans="1:27" x14ac:dyDescent="0.35">
      <c r="A82" s="88">
        <f t="shared" si="24"/>
        <v>2013</v>
      </c>
      <c r="B82" s="80">
        <f t="shared" si="16"/>
        <v>1217341</v>
      </c>
      <c r="C82" s="89">
        <v>32.251400000000004</v>
      </c>
      <c r="D82" s="219">
        <f t="shared" si="25"/>
        <v>13.505000000000001</v>
      </c>
      <c r="E82" s="197"/>
      <c r="F82" s="88">
        <f t="shared" si="26"/>
        <v>2013</v>
      </c>
      <c r="G82" s="157"/>
      <c r="H82" s="157"/>
      <c r="I82" s="157"/>
      <c r="J82" s="191">
        <v>23.84471417712107</v>
      </c>
      <c r="K82" s="169"/>
      <c r="L82" s="191">
        <v>66.265961821871713</v>
      </c>
      <c r="M82" s="169"/>
      <c r="N82" s="169"/>
      <c r="O82" s="191"/>
      <c r="P82" s="191">
        <v>6.4770837296572363</v>
      </c>
      <c r="Q82" s="191">
        <v>3.4122402713499853</v>
      </c>
      <c r="R82" s="157"/>
      <c r="S82" s="157"/>
      <c r="T82" s="157"/>
      <c r="U82" s="105">
        <f t="shared" si="21"/>
        <v>100</v>
      </c>
      <c r="V82" s="177"/>
      <c r="W82" s="74">
        <f t="shared" si="22"/>
        <v>2013</v>
      </c>
      <c r="X82" s="179">
        <f>(((B82*D82*(J82/100)*EFs!$E$32)+('AD Mauritius'!B82*'AD Mauritius'!D82*('AD Mauritius'!L82/100)*EFs!$E$34)+('AD Mauritius'!B82*'AD Mauritius'!D82*('AD Mauritius'!P82/100)*EFs!$E$38)+('AD Mauritius'!B82*'AD Mauritius'!D82*('AD Mauritius'!Q82/100)*EFs!$E$39)))/1000</f>
        <v>5582.3522719699477</v>
      </c>
      <c r="Y82" s="73">
        <f t="shared" si="23"/>
        <v>489.14</v>
      </c>
      <c r="Z82" s="183">
        <v>489.14</v>
      </c>
      <c r="AA82" s="73">
        <v>0</v>
      </c>
    </row>
    <row r="83" spans="1:27" x14ac:dyDescent="0.35">
      <c r="A83" s="88">
        <f t="shared" si="24"/>
        <v>2014</v>
      </c>
      <c r="B83" s="80">
        <f t="shared" si="16"/>
        <v>1219265</v>
      </c>
      <c r="C83" s="89">
        <v>31.291450000000001</v>
      </c>
      <c r="D83" s="219">
        <f t="shared" si="25"/>
        <v>13.505000000000001</v>
      </c>
      <c r="E83" s="197"/>
      <c r="F83" s="88">
        <f t="shared" si="26"/>
        <v>2014</v>
      </c>
      <c r="G83" s="202"/>
      <c r="H83" s="157"/>
      <c r="I83" s="157"/>
      <c r="J83" s="191">
        <v>25.103760543329393</v>
      </c>
      <c r="K83" s="169"/>
      <c r="L83" s="191">
        <v>65.32258532328143</v>
      </c>
      <c r="M83" s="169"/>
      <c r="N83" s="169"/>
      <c r="O83" s="191"/>
      <c r="P83" s="191">
        <v>6.3899272110962215</v>
      </c>
      <c r="Q83" s="191">
        <v>3.1837269222929598</v>
      </c>
      <c r="R83" s="157"/>
      <c r="S83" s="157"/>
      <c r="T83" s="157"/>
      <c r="U83" s="105">
        <f t="shared" si="21"/>
        <v>100.00000000000001</v>
      </c>
      <c r="V83" s="177"/>
      <c r="W83" s="74">
        <f t="shared" si="22"/>
        <v>2014</v>
      </c>
      <c r="X83" s="179">
        <f>(((B83*D83*(J83/100)*EFs!$E$32)+('AD Mauritius'!B83*'AD Mauritius'!D83*('AD Mauritius'!L83/100)*EFs!$E$34)+('AD Mauritius'!B83*'AD Mauritius'!D83*('AD Mauritius'!P83/100)*EFs!$E$38)+('AD Mauritius'!B83*'AD Mauritius'!D83*('AD Mauritius'!Q83/100)*EFs!$E$39)))/1000</f>
        <v>5510.0498513407292</v>
      </c>
      <c r="Y83" s="73">
        <f t="shared" si="23"/>
        <v>482.80467677001411</v>
      </c>
      <c r="Z83" s="184">
        <f>X83*(Z82/X82)</f>
        <v>482.80467677001411</v>
      </c>
      <c r="AA83" s="73">
        <v>0</v>
      </c>
    </row>
    <row r="84" spans="1:27" x14ac:dyDescent="0.35">
      <c r="A84" s="88">
        <f t="shared" si="24"/>
        <v>2015</v>
      </c>
      <c r="B84" s="80">
        <f t="shared" si="16"/>
        <v>1220663</v>
      </c>
      <c r="C84" s="89">
        <v>31.6236</v>
      </c>
      <c r="D84" s="219">
        <f t="shared" si="25"/>
        <v>13.505000000000001</v>
      </c>
      <c r="E84" s="197"/>
      <c r="F84" s="88">
        <f t="shared" si="26"/>
        <v>2015</v>
      </c>
      <c r="G84" s="202"/>
      <c r="H84" s="157"/>
      <c r="I84" s="157"/>
      <c r="J84" s="191">
        <v>25.798085782034967</v>
      </c>
      <c r="K84" s="169"/>
      <c r="L84" s="191">
        <v>64.719857786552225</v>
      </c>
      <c r="M84" s="169"/>
      <c r="N84" s="169"/>
      <c r="O84" s="191"/>
      <c r="P84" s="191">
        <v>6.3287904037520395</v>
      </c>
      <c r="Q84" s="191">
        <v>3.1532660276607469</v>
      </c>
      <c r="R84" s="157"/>
      <c r="S84" s="157"/>
      <c r="T84" s="157"/>
      <c r="U84" s="105">
        <f t="shared" si="21"/>
        <v>99.999999999999972</v>
      </c>
      <c r="V84" s="177"/>
      <c r="W84" s="74">
        <f t="shared" si="22"/>
        <v>2015</v>
      </c>
      <c r="X84" s="179">
        <f>(((B84*D84*(J84/100)*EFs!$E$32)+('AD Mauritius'!B84*'AD Mauritius'!D84*('AD Mauritius'!L84/100)*EFs!$E$34)+('AD Mauritius'!B84*'AD Mauritius'!D84*('AD Mauritius'!P84/100)*EFs!$E$38)+('AD Mauritius'!B84*'AD Mauritius'!D84*('AD Mauritius'!Q84/100)*EFs!$E$39)))/1000</f>
        <v>5465.350032114733</v>
      </c>
      <c r="Y84" s="73">
        <f t="shared" si="23"/>
        <v>478.88796415300686</v>
      </c>
      <c r="Z84" s="184">
        <f t="shared" ref="Z84:Z85" si="27">X84*(Z83/X83)</f>
        <v>478.88796415300686</v>
      </c>
      <c r="AA84" s="73">
        <v>0</v>
      </c>
    </row>
    <row r="85" spans="1:27" x14ac:dyDescent="0.35">
      <c r="A85" s="88">
        <f t="shared" si="24"/>
        <v>2016</v>
      </c>
      <c r="B85" s="80">
        <f t="shared" si="16"/>
        <v>1221213</v>
      </c>
      <c r="C85" s="89">
        <v>31.842599999999997</v>
      </c>
      <c r="D85" s="219">
        <f t="shared" si="25"/>
        <v>13.505000000000001</v>
      </c>
      <c r="E85" s="197"/>
      <c r="F85" s="88">
        <f t="shared" si="26"/>
        <v>2016</v>
      </c>
      <c r="G85" s="202"/>
      <c r="H85" s="157"/>
      <c r="I85" s="157"/>
      <c r="J85" s="191">
        <v>27.09802455401001</v>
      </c>
      <c r="K85" s="169"/>
      <c r="L85" s="191">
        <v>63.586034578079264</v>
      </c>
      <c r="M85" s="169"/>
      <c r="N85" s="169"/>
      <c r="O85" s="191"/>
      <c r="P85" s="191">
        <v>6.2179167138715581</v>
      </c>
      <c r="Q85" s="191">
        <v>3.0980241540391704</v>
      </c>
      <c r="R85" s="157"/>
      <c r="S85" s="157"/>
      <c r="T85" s="157"/>
      <c r="U85" s="105">
        <f t="shared" si="21"/>
        <v>100</v>
      </c>
      <c r="V85" s="177"/>
      <c r="W85" s="74">
        <f t="shared" si="22"/>
        <v>2016</v>
      </c>
      <c r="X85" s="179">
        <f>(((B85*D85*(J85/100)*EFs!$E$32)+('AD Mauritius'!B85*'AD Mauritius'!D85*('AD Mauritius'!L85/100)*EFs!$E$34)+('AD Mauritius'!B85*'AD Mauritius'!D85*('AD Mauritius'!P85/100)*EFs!$E$38)+('AD Mauritius'!B85*'AD Mauritius'!D85*('AD Mauritius'!Q85/100)*EFs!$E$39)))/1000</f>
        <v>5372.0223088157845</v>
      </c>
      <c r="Y85" s="73">
        <f t="shared" si="23"/>
        <v>470.71035006661771</v>
      </c>
      <c r="Z85" s="184">
        <f t="shared" si="27"/>
        <v>470.71035006661771</v>
      </c>
      <c r="AA85" s="73">
        <v>0</v>
      </c>
    </row>
    <row r="86" spans="1:27" x14ac:dyDescent="0.35">
      <c r="A86" s="86" t="s">
        <v>16</v>
      </c>
      <c r="E86" s="197"/>
      <c r="F86" s="177" t="s">
        <v>391</v>
      </c>
      <c r="I86" s="91"/>
      <c r="J86" s="95"/>
      <c r="K86" s="96"/>
      <c r="L86" s="96"/>
      <c r="M86" s="96"/>
      <c r="V86" s="177"/>
    </row>
    <row r="87" spans="1:27" x14ac:dyDescent="0.35">
      <c r="A87" s="86" t="s">
        <v>15</v>
      </c>
      <c r="E87" s="197"/>
      <c r="I87" s="91"/>
      <c r="J87" s="95"/>
      <c r="K87" s="96"/>
      <c r="L87" s="96"/>
      <c r="M87" s="164"/>
      <c r="N87" s="165"/>
      <c r="O87" s="165"/>
      <c r="V87" s="177"/>
      <c r="W87" s="108"/>
    </row>
    <row r="88" spans="1:27" x14ac:dyDescent="0.35">
      <c r="A88" s="100" t="s">
        <v>286</v>
      </c>
      <c r="E88" s="197"/>
      <c r="I88" s="91"/>
      <c r="J88" s="95"/>
      <c r="K88" s="96"/>
      <c r="L88" s="96"/>
      <c r="M88" s="96"/>
      <c r="V88" s="177"/>
      <c r="W88" s="108"/>
    </row>
    <row r="89" spans="1:27" s="177" customFormat="1" x14ac:dyDescent="0.35">
      <c r="A89" s="100"/>
      <c r="I89" s="91"/>
      <c r="J89" s="95"/>
      <c r="K89" s="96"/>
      <c r="L89" s="96"/>
      <c r="M89" s="96"/>
      <c r="W89" s="108"/>
    </row>
    <row r="90" spans="1:27" s="177" customFormat="1" x14ac:dyDescent="0.35">
      <c r="A90" s="129" t="s">
        <v>401</v>
      </c>
      <c r="B90" s="130"/>
      <c r="C90" s="130"/>
      <c r="D90" s="130"/>
      <c r="E90" s="130"/>
      <c r="F90" s="130"/>
      <c r="G90" s="130"/>
      <c r="H90" s="130"/>
      <c r="I90" s="131"/>
      <c r="J90" s="132"/>
      <c r="K90" s="133"/>
      <c r="L90" s="133"/>
      <c r="M90" s="133"/>
      <c r="N90" s="130"/>
      <c r="O90" s="130"/>
      <c r="P90" s="130"/>
      <c r="Q90" s="130"/>
      <c r="R90" s="130"/>
      <c r="S90" s="130"/>
      <c r="T90" s="130"/>
      <c r="U90" s="130"/>
      <c r="V90" s="130"/>
      <c r="W90" s="187"/>
      <c r="X90" s="130"/>
      <c r="Y90" s="130"/>
      <c r="Z90" s="130"/>
      <c r="AA90" s="152"/>
    </row>
    <row r="91" spans="1:27" s="177" customFormat="1" x14ac:dyDescent="0.35">
      <c r="A91" s="100"/>
      <c r="I91" s="91"/>
      <c r="J91" s="95"/>
      <c r="K91" s="96"/>
      <c r="L91" s="96"/>
      <c r="M91" s="96"/>
      <c r="W91" s="108"/>
    </row>
    <row r="92" spans="1:27" s="177" customFormat="1" ht="101.5" x14ac:dyDescent="0.35">
      <c r="A92" s="67" t="s">
        <v>0</v>
      </c>
      <c r="B92" s="68" t="s">
        <v>336</v>
      </c>
      <c r="C92" s="68" t="s">
        <v>355</v>
      </c>
      <c r="E92" s="67" t="s">
        <v>0</v>
      </c>
      <c r="F92" s="68" t="s">
        <v>339</v>
      </c>
      <c r="G92" s="68" t="s">
        <v>340</v>
      </c>
      <c r="H92" s="68" t="s">
        <v>347</v>
      </c>
      <c r="I92" s="68" t="s">
        <v>341</v>
      </c>
      <c r="J92" s="68" t="s">
        <v>342</v>
      </c>
      <c r="K92" s="68" t="s">
        <v>115</v>
      </c>
      <c r="L92" s="68" t="s">
        <v>118</v>
      </c>
      <c r="M92" s="68" t="s">
        <v>343</v>
      </c>
      <c r="N92" s="68" t="s">
        <v>323</v>
      </c>
      <c r="O92" s="68" t="s">
        <v>125</v>
      </c>
      <c r="P92" s="68" t="s">
        <v>346</v>
      </c>
      <c r="Q92" s="68" t="s">
        <v>348</v>
      </c>
      <c r="R92" s="68" t="s">
        <v>344</v>
      </c>
      <c r="S92" s="68" t="s">
        <v>328</v>
      </c>
      <c r="T92" s="68" t="s">
        <v>345</v>
      </c>
      <c r="U92" s="108"/>
      <c r="V92" s="67" t="s">
        <v>0</v>
      </c>
      <c r="W92" s="68" t="s">
        <v>17</v>
      </c>
      <c r="X92" s="68" t="s">
        <v>18</v>
      </c>
      <c r="Y92" s="68" t="s">
        <v>19</v>
      </c>
      <c r="Z92" s="68" t="s">
        <v>21</v>
      </c>
    </row>
    <row r="93" spans="1:27" s="177" customFormat="1" x14ac:dyDescent="0.35">
      <c r="A93" s="88">
        <v>2000</v>
      </c>
      <c r="B93" s="170">
        <v>656453</v>
      </c>
      <c r="C93" s="114">
        <f t="shared" ref="C93:C97" si="28">B93*$C$99/$B$99</f>
        <v>3.6808456175248261</v>
      </c>
      <c r="E93" s="88">
        <v>2000</v>
      </c>
      <c r="F93" s="157"/>
      <c r="G93" s="157"/>
      <c r="H93" s="157"/>
      <c r="I93" s="192">
        <v>100</v>
      </c>
      <c r="J93" s="168"/>
      <c r="K93" s="161"/>
      <c r="L93" s="169"/>
      <c r="M93" s="169"/>
      <c r="N93" s="169"/>
      <c r="O93" s="169"/>
      <c r="P93" s="169"/>
      <c r="Q93" s="157"/>
      <c r="R93" s="157"/>
      <c r="S93" s="157"/>
      <c r="T93" s="105">
        <f>SUM(F93:S93)</f>
        <v>100</v>
      </c>
      <c r="U93" s="108"/>
      <c r="V93" s="74">
        <f t="shared" ref="V93:V109" si="29">A93</f>
        <v>2000</v>
      </c>
      <c r="W93" s="179">
        <f>(((B93*C93*(I93/100)*EFs!$E$32)+('AD Mauritius'!B93*'AD Mauritius'!C93*('AD Mauritius'!N93/100)*EFs!$E$37)+('AD Mauritius'!B93*'AD Mauritius'!C93*('AD Mauritius'!O93/100)*EFs!$E$38)+('AD Mauritius'!B93*'AD Mauritius'!C93*('AD Mauritius'!P93/100)*EFs!$E$39)))/1000</f>
        <v>0</v>
      </c>
      <c r="X93" s="179">
        <f t="shared" ref="X93:X109" si="30">Y93+Z93</f>
        <v>0</v>
      </c>
      <c r="Y93" s="179">
        <v>0</v>
      </c>
      <c r="Z93" s="179">
        <v>0</v>
      </c>
    </row>
    <row r="94" spans="1:27" s="177" customFormat="1" x14ac:dyDescent="0.35">
      <c r="A94" s="88">
        <f t="shared" ref="A94:A109" si="31">A93+1</f>
        <v>2001</v>
      </c>
      <c r="B94" s="170">
        <v>660318</v>
      </c>
      <c r="C94" s="114">
        <f t="shared" si="28"/>
        <v>3.7025173416417601</v>
      </c>
      <c r="E94" s="88">
        <f t="shared" ref="E94:E109" si="32">E93+1</f>
        <v>2001</v>
      </c>
      <c r="F94" s="157"/>
      <c r="G94" s="157"/>
      <c r="H94" s="157"/>
      <c r="I94" s="192">
        <v>100</v>
      </c>
      <c r="J94" s="168"/>
      <c r="K94" s="161"/>
      <c r="L94" s="169"/>
      <c r="M94" s="169"/>
      <c r="N94" s="169"/>
      <c r="O94" s="169"/>
      <c r="P94" s="169"/>
      <c r="Q94" s="157"/>
      <c r="R94" s="157"/>
      <c r="S94" s="157"/>
      <c r="T94" s="105">
        <f t="shared" ref="T94:T105" si="33">SUM(F94:S94)</f>
        <v>100</v>
      </c>
      <c r="U94" s="108"/>
      <c r="V94" s="74">
        <f t="shared" si="29"/>
        <v>2001</v>
      </c>
      <c r="W94" s="179">
        <f>(((B94*C94*(I94/100)*EFs!$E$32)+('AD Mauritius'!B94*'AD Mauritius'!C94*('AD Mauritius'!N94/100)*EFs!$E$37)+('AD Mauritius'!B94*'AD Mauritius'!C94*('AD Mauritius'!O94/100)*EFs!$E$38)+('AD Mauritius'!B94*'AD Mauritius'!C94*('AD Mauritius'!P94/100)*EFs!$E$39)))/1000</f>
        <v>0</v>
      </c>
      <c r="X94" s="179">
        <f t="shared" si="30"/>
        <v>0</v>
      </c>
      <c r="Y94" s="179">
        <v>0</v>
      </c>
      <c r="Z94" s="179">
        <v>0</v>
      </c>
    </row>
    <row r="95" spans="1:27" s="177" customFormat="1" x14ac:dyDescent="0.35">
      <c r="A95" s="88">
        <f t="shared" si="31"/>
        <v>2002</v>
      </c>
      <c r="B95" s="170">
        <v>681648</v>
      </c>
      <c r="C95" s="114">
        <f t="shared" si="28"/>
        <v>3.8221183443362481</v>
      </c>
      <c r="E95" s="88">
        <f t="shared" si="32"/>
        <v>2002</v>
      </c>
      <c r="F95" s="157"/>
      <c r="G95" s="157"/>
      <c r="H95" s="157"/>
      <c r="I95" s="192">
        <v>100</v>
      </c>
      <c r="J95" s="168"/>
      <c r="K95" s="161"/>
      <c r="L95" s="169"/>
      <c r="M95" s="169"/>
      <c r="N95" s="169"/>
      <c r="O95" s="169"/>
      <c r="P95" s="169"/>
      <c r="Q95" s="157"/>
      <c r="R95" s="157"/>
      <c r="S95" s="157"/>
      <c r="T95" s="105">
        <f t="shared" si="33"/>
        <v>100</v>
      </c>
      <c r="U95" s="108"/>
      <c r="V95" s="74">
        <f t="shared" si="29"/>
        <v>2002</v>
      </c>
      <c r="W95" s="179">
        <f>(((B95*C95*(I95/100)*EFs!$E$32)+('AD Mauritius'!B95*'AD Mauritius'!C95*('AD Mauritius'!N95/100)*EFs!$E$37)+('AD Mauritius'!B95*'AD Mauritius'!C95*('AD Mauritius'!O95/100)*EFs!$E$38)+('AD Mauritius'!B95*'AD Mauritius'!C95*('AD Mauritius'!P95/100)*EFs!$E$39)))/1000</f>
        <v>0</v>
      </c>
      <c r="X95" s="179">
        <f t="shared" si="30"/>
        <v>0</v>
      </c>
      <c r="Y95" s="179">
        <v>0</v>
      </c>
      <c r="Z95" s="179">
        <v>0</v>
      </c>
    </row>
    <row r="96" spans="1:27" s="177" customFormat="1" x14ac:dyDescent="0.35">
      <c r="A96" s="88">
        <f t="shared" si="31"/>
        <v>2003</v>
      </c>
      <c r="B96" s="170">
        <v>702018</v>
      </c>
      <c r="C96" s="114">
        <f t="shared" si="28"/>
        <v>3.9363364608335152</v>
      </c>
      <c r="E96" s="88">
        <f t="shared" si="32"/>
        <v>2003</v>
      </c>
      <c r="F96" s="157"/>
      <c r="G96" s="157"/>
      <c r="H96" s="157"/>
      <c r="I96" s="192">
        <v>100</v>
      </c>
      <c r="J96" s="168"/>
      <c r="K96" s="161"/>
      <c r="L96" s="169"/>
      <c r="M96" s="169"/>
      <c r="N96" s="169"/>
      <c r="O96" s="169"/>
      <c r="P96" s="169"/>
      <c r="Q96" s="157"/>
      <c r="R96" s="157"/>
      <c r="S96" s="157"/>
      <c r="T96" s="105">
        <f t="shared" si="33"/>
        <v>100</v>
      </c>
      <c r="U96" s="108"/>
      <c r="V96" s="74">
        <f t="shared" si="29"/>
        <v>2003</v>
      </c>
      <c r="W96" s="179">
        <f>(((B96*C96*(I96/100)*EFs!$E$32)+('AD Mauritius'!B96*'AD Mauritius'!C96*('AD Mauritius'!N96/100)*EFs!$E$37)+('AD Mauritius'!B96*'AD Mauritius'!C96*('AD Mauritius'!O96/100)*EFs!$E$38)+('AD Mauritius'!B96*'AD Mauritius'!C96*('AD Mauritius'!P96/100)*EFs!$E$39)))/1000</f>
        <v>0</v>
      </c>
      <c r="X96" s="179">
        <f t="shared" si="30"/>
        <v>0</v>
      </c>
      <c r="Y96" s="179">
        <v>0</v>
      </c>
      <c r="Z96" s="179">
        <v>0</v>
      </c>
    </row>
    <row r="97" spans="1:28" s="177" customFormat="1" x14ac:dyDescent="0.35">
      <c r="A97" s="88">
        <f t="shared" si="31"/>
        <v>2004</v>
      </c>
      <c r="B97" s="170">
        <v>718861</v>
      </c>
      <c r="C97" s="114">
        <f t="shared" si="28"/>
        <v>4.0307780777291207</v>
      </c>
      <c r="E97" s="88">
        <f t="shared" si="32"/>
        <v>2004</v>
      </c>
      <c r="F97" s="157"/>
      <c r="G97" s="157"/>
      <c r="H97" s="157"/>
      <c r="I97" s="192">
        <v>100</v>
      </c>
      <c r="J97" s="168"/>
      <c r="K97" s="161"/>
      <c r="L97" s="169"/>
      <c r="M97" s="169"/>
      <c r="N97" s="169"/>
      <c r="O97" s="169"/>
      <c r="P97" s="169"/>
      <c r="Q97" s="157"/>
      <c r="R97" s="157"/>
      <c r="S97" s="157"/>
      <c r="T97" s="105">
        <f t="shared" si="33"/>
        <v>100</v>
      </c>
      <c r="U97" s="108"/>
      <c r="V97" s="74">
        <f t="shared" si="29"/>
        <v>2004</v>
      </c>
      <c r="W97" s="179">
        <f>(((B97*C97*(I97/100)*EFs!$E$32)+('AD Mauritius'!B97*'AD Mauritius'!C97*('AD Mauritius'!N97/100)*EFs!$E$37)+('AD Mauritius'!B97*'AD Mauritius'!C97*('AD Mauritius'!O97/100)*EFs!$E$38)+('AD Mauritius'!B97*'AD Mauritius'!C97*('AD Mauritius'!P97/100)*EFs!$E$39)))/1000</f>
        <v>0</v>
      </c>
      <c r="X97" s="179">
        <f t="shared" si="30"/>
        <v>0</v>
      </c>
      <c r="Y97" s="179">
        <v>0</v>
      </c>
      <c r="Z97" s="179">
        <v>0</v>
      </c>
    </row>
    <row r="98" spans="1:28" s="177" customFormat="1" x14ac:dyDescent="0.35">
      <c r="A98" s="88">
        <f t="shared" si="31"/>
        <v>2005</v>
      </c>
      <c r="B98" s="170">
        <v>761063</v>
      </c>
      <c r="C98" s="114">
        <f>B98*$C$99/$B$99</f>
        <v>4.2674119978281722</v>
      </c>
      <c r="E98" s="88">
        <f t="shared" si="32"/>
        <v>2005</v>
      </c>
      <c r="F98" s="157"/>
      <c r="G98" s="157"/>
      <c r="H98" s="157"/>
      <c r="I98" s="192">
        <v>100</v>
      </c>
      <c r="J98" s="168"/>
      <c r="K98" s="161"/>
      <c r="L98" s="169"/>
      <c r="M98" s="169"/>
      <c r="N98" s="169"/>
      <c r="O98" s="169"/>
      <c r="P98" s="169"/>
      <c r="Q98" s="157"/>
      <c r="R98" s="157"/>
      <c r="S98" s="157"/>
      <c r="T98" s="105">
        <f t="shared" si="33"/>
        <v>100</v>
      </c>
      <c r="U98" s="108"/>
      <c r="V98" s="74">
        <f t="shared" si="29"/>
        <v>2005</v>
      </c>
      <c r="W98" s="179">
        <f>(((B98*C98*(I98/100)*EFs!$E$32)+('AD Mauritius'!B98*'AD Mauritius'!C98*('AD Mauritius'!N98/100)*EFs!$E$37)+('AD Mauritius'!B98*'AD Mauritius'!C98*('AD Mauritius'!O98/100)*EFs!$E$38)+('AD Mauritius'!B98*'AD Mauritius'!C98*('AD Mauritius'!P98/100)*EFs!$E$39)))/1000</f>
        <v>0</v>
      </c>
      <c r="X98" s="179">
        <f t="shared" si="30"/>
        <v>0</v>
      </c>
      <c r="Y98" s="179">
        <v>0</v>
      </c>
      <c r="Z98" s="179">
        <v>0</v>
      </c>
    </row>
    <row r="99" spans="1:28" s="177" customFormat="1" x14ac:dyDescent="0.35">
      <c r="A99" s="88">
        <f t="shared" si="31"/>
        <v>2006</v>
      </c>
      <c r="B99" s="170">
        <v>788276</v>
      </c>
      <c r="C99" s="190">
        <v>4.42</v>
      </c>
      <c r="E99" s="88">
        <f t="shared" si="32"/>
        <v>2006</v>
      </c>
      <c r="F99" s="157"/>
      <c r="G99" s="157"/>
      <c r="H99" s="157"/>
      <c r="I99" s="192">
        <v>100</v>
      </c>
      <c r="J99" s="168"/>
      <c r="K99" s="161"/>
      <c r="L99" s="169"/>
      <c r="M99" s="169"/>
      <c r="N99" s="169"/>
      <c r="O99" s="169"/>
      <c r="P99" s="169"/>
      <c r="Q99" s="157"/>
      <c r="R99" s="157"/>
      <c r="S99" s="157"/>
      <c r="T99" s="105">
        <f t="shared" si="33"/>
        <v>100</v>
      </c>
      <c r="U99" s="108"/>
      <c r="V99" s="74">
        <f t="shared" si="29"/>
        <v>2006</v>
      </c>
      <c r="W99" s="179">
        <f>(((B99*C99*(I99/100)*EFs!$E$32)+('AD Mauritius'!B99*'AD Mauritius'!C99*('AD Mauritius'!N99/100)*EFs!$E$37)+('AD Mauritius'!B99*'AD Mauritius'!C99*('AD Mauritius'!O99/100)*EFs!$E$38)+('AD Mauritius'!B99*'AD Mauritius'!C99*('AD Mauritius'!P99/100)*EFs!$E$39)))/1000</f>
        <v>0</v>
      </c>
      <c r="X99" s="179">
        <f t="shared" si="30"/>
        <v>0</v>
      </c>
      <c r="Y99" s="179">
        <v>0</v>
      </c>
      <c r="Z99" s="179">
        <v>0</v>
      </c>
    </row>
    <row r="100" spans="1:28" s="177" customFormat="1" x14ac:dyDescent="0.35">
      <c r="A100" s="88">
        <f t="shared" si="31"/>
        <v>2007</v>
      </c>
      <c r="B100" s="170">
        <v>906971</v>
      </c>
      <c r="C100" s="190">
        <v>4.5</v>
      </c>
      <c r="E100" s="88">
        <f t="shared" si="32"/>
        <v>2007</v>
      </c>
      <c r="F100" s="157"/>
      <c r="G100" s="157"/>
      <c r="H100" s="157"/>
      <c r="I100" s="192">
        <v>100</v>
      </c>
      <c r="J100" s="168"/>
      <c r="K100" s="161"/>
      <c r="L100" s="169"/>
      <c r="M100" s="169"/>
      <c r="N100" s="169"/>
      <c r="O100" s="169"/>
      <c r="P100" s="169"/>
      <c r="Q100" s="157"/>
      <c r="R100" s="157"/>
      <c r="S100" s="157"/>
      <c r="T100" s="105">
        <f t="shared" si="33"/>
        <v>100</v>
      </c>
      <c r="U100" s="108"/>
      <c r="V100" s="74">
        <f t="shared" si="29"/>
        <v>2007</v>
      </c>
      <c r="W100" s="179">
        <f>(((B100*C100*(I100/100)*EFs!$E$32)+('AD Mauritius'!B100*'AD Mauritius'!C100*('AD Mauritius'!N100/100)*EFs!$E$37)+('AD Mauritius'!B100*'AD Mauritius'!C100*('AD Mauritius'!O100/100)*EFs!$E$38)+('AD Mauritius'!B100*'AD Mauritius'!C100*('AD Mauritius'!P100/100)*EFs!$E$39)))/1000</f>
        <v>0</v>
      </c>
      <c r="X100" s="179">
        <f t="shared" si="30"/>
        <v>0</v>
      </c>
      <c r="Y100" s="179">
        <v>0</v>
      </c>
      <c r="Z100" s="179">
        <v>0</v>
      </c>
    </row>
    <row r="101" spans="1:28" s="177" customFormat="1" x14ac:dyDescent="0.35">
      <c r="A101" s="88">
        <f t="shared" si="31"/>
        <v>2008</v>
      </c>
      <c r="B101" s="170">
        <v>930456</v>
      </c>
      <c r="C101" s="190">
        <v>4.76</v>
      </c>
      <c r="E101" s="88">
        <f t="shared" si="32"/>
        <v>2008</v>
      </c>
      <c r="F101" s="157"/>
      <c r="G101" s="157"/>
      <c r="H101" s="157"/>
      <c r="I101" s="192">
        <v>100</v>
      </c>
      <c r="J101" s="168"/>
      <c r="K101" s="161"/>
      <c r="L101" s="169"/>
      <c r="M101" s="169"/>
      <c r="N101" s="169"/>
      <c r="O101" s="169"/>
      <c r="P101" s="169"/>
      <c r="Q101" s="157"/>
      <c r="R101" s="157"/>
      <c r="S101" s="157"/>
      <c r="T101" s="105">
        <f t="shared" si="33"/>
        <v>100</v>
      </c>
      <c r="U101" s="108"/>
      <c r="V101" s="74">
        <f t="shared" si="29"/>
        <v>2008</v>
      </c>
      <c r="W101" s="179">
        <f>(((B101*C101*(I101/100)*EFs!$E$32)+('AD Mauritius'!B101*'AD Mauritius'!C101*('AD Mauritius'!N101/100)*EFs!$E$37)+('AD Mauritius'!B101*'AD Mauritius'!C101*('AD Mauritius'!O101/100)*EFs!$E$38)+('AD Mauritius'!B101*'AD Mauritius'!C101*('AD Mauritius'!P101/100)*EFs!$E$39)))/1000</f>
        <v>0</v>
      </c>
      <c r="X101" s="179">
        <f t="shared" si="30"/>
        <v>0</v>
      </c>
      <c r="Y101" s="179">
        <v>0</v>
      </c>
      <c r="Z101" s="179">
        <v>0</v>
      </c>
    </row>
    <row r="102" spans="1:28" s="177" customFormat="1" x14ac:dyDescent="0.35">
      <c r="A102" s="88">
        <f t="shared" si="31"/>
        <v>2009</v>
      </c>
      <c r="B102" s="170">
        <v>871356</v>
      </c>
      <c r="C102" s="190">
        <v>4.75</v>
      </c>
      <c r="E102" s="88">
        <f t="shared" si="32"/>
        <v>2009</v>
      </c>
      <c r="F102" s="157"/>
      <c r="G102" s="157"/>
      <c r="H102" s="157"/>
      <c r="I102" s="192">
        <v>100</v>
      </c>
      <c r="J102" s="168"/>
      <c r="K102" s="161"/>
      <c r="L102" s="169"/>
      <c r="M102" s="169"/>
      <c r="N102" s="169"/>
      <c r="O102" s="169"/>
      <c r="P102" s="169"/>
      <c r="Q102" s="157"/>
      <c r="R102" s="157"/>
      <c r="S102" s="157"/>
      <c r="T102" s="105">
        <f t="shared" si="33"/>
        <v>100</v>
      </c>
      <c r="U102" s="108"/>
      <c r="V102" s="74">
        <f t="shared" si="29"/>
        <v>2009</v>
      </c>
      <c r="W102" s="179">
        <f>(((B102*C102*(I102/100)*EFs!$E$32)+('AD Mauritius'!B102*'AD Mauritius'!C102*('AD Mauritius'!N102/100)*EFs!$E$37)+('AD Mauritius'!B102*'AD Mauritius'!C102*('AD Mauritius'!O102/100)*EFs!$E$38)+('AD Mauritius'!B102*'AD Mauritius'!C102*('AD Mauritius'!P102/100)*EFs!$E$39)))/1000</f>
        <v>0</v>
      </c>
      <c r="X102" s="179">
        <f t="shared" si="30"/>
        <v>0</v>
      </c>
      <c r="Y102" s="179">
        <v>0</v>
      </c>
      <c r="Z102" s="179">
        <v>0</v>
      </c>
    </row>
    <row r="103" spans="1:28" s="177" customFormat="1" x14ac:dyDescent="0.35">
      <c r="A103" s="88">
        <f t="shared" si="31"/>
        <v>2010</v>
      </c>
      <c r="B103" s="170">
        <v>934827</v>
      </c>
      <c r="C103" s="190">
        <v>5</v>
      </c>
      <c r="E103" s="88">
        <f t="shared" si="32"/>
        <v>2010</v>
      </c>
      <c r="F103" s="157"/>
      <c r="G103" s="157"/>
      <c r="H103" s="157"/>
      <c r="I103" s="192">
        <v>100</v>
      </c>
      <c r="J103" s="168"/>
      <c r="K103" s="161"/>
      <c r="L103" s="169"/>
      <c r="M103" s="169"/>
      <c r="N103" s="169"/>
      <c r="O103" s="169"/>
      <c r="P103" s="169"/>
      <c r="Q103" s="157"/>
      <c r="R103" s="157"/>
      <c r="S103" s="157"/>
      <c r="T103" s="105">
        <f t="shared" si="33"/>
        <v>100</v>
      </c>
      <c r="U103" s="108"/>
      <c r="V103" s="74">
        <f t="shared" si="29"/>
        <v>2010</v>
      </c>
      <c r="W103" s="179">
        <f>(((B103*C103*(I103/100)*EFs!$E$32)+('AD Mauritius'!B103*'AD Mauritius'!C103*('AD Mauritius'!N103/100)*EFs!$E$37)+('AD Mauritius'!B103*'AD Mauritius'!C103*('AD Mauritius'!O103/100)*EFs!$E$38)+('AD Mauritius'!B103*'AD Mauritius'!C103*('AD Mauritius'!P103/100)*EFs!$E$39)))/1000</f>
        <v>0</v>
      </c>
      <c r="X103" s="179">
        <f t="shared" si="30"/>
        <v>0</v>
      </c>
      <c r="Y103" s="179">
        <v>0</v>
      </c>
      <c r="Z103" s="179">
        <v>0</v>
      </c>
    </row>
    <row r="104" spans="1:28" s="177" customFormat="1" x14ac:dyDescent="0.35">
      <c r="A104" s="88">
        <f t="shared" si="31"/>
        <v>2011</v>
      </c>
      <c r="B104" s="170">
        <v>964642</v>
      </c>
      <c r="C104" s="190">
        <v>4.9400000000000004</v>
      </c>
      <c r="E104" s="88">
        <f t="shared" si="32"/>
        <v>2011</v>
      </c>
      <c r="F104" s="157"/>
      <c r="G104" s="157"/>
      <c r="H104" s="157"/>
      <c r="I104" s="192">
        <v>100</v>
      </c>
      <c r="J104" s="168"/>
      <c r="K104" s="161"/>
      <c r="L104" s="169"/>
      <c r="M104" s="169"/>
      <c r="N104" s="169"/>
      <c r="O104" s="169"/>
      <c r="P104" s="169"/>
      <c r="Q104" s="157"/>
      <c r="R104" s="157"/>
      <c r="S104" s="157"/>
      <c r="T104" s="105">
        <f t="shared" si="33"/>
        <v>100</v>
      </c>
      <c r="U104" s="108"/>
      <c r="V104" s="74">
        <f t="shared" si="29"/>
        <v>2011</v>
      </c>
      <c r="W104" s="179">
        <f>(((B104*C104*(I104/100)*EFs!$E$32)+('AD Mauritius'!B104*'AD Mauritius'!C104*('AD Mauritius'!N104/100)*EFs!$E$37)+('AD Mauritius'!B104*'AD Mauritius'!C104*('AD Mauritius'!O104/100)*EFs!$E$38)+('AD Mauritius'!B104*'AD Mauritius'!C104*('AD Mauritius'!P104/100)*EFs!$E$39)))/1000</f>
        <v>0</v>
      </c>
      <c r="X104" s="179">
        <f t="shared" si="30"/>
        <v>0</v>
      </c>
      <c r="Y104" s="179">
        <v>0</v>
      </c>
      <c r="Z104" s="179">
        <v>0</v>
      </c>
    </row>
    <row r="105" spans="1:28" s="177" customFormat="1" x14ac:dyDescent="0.35">
      <c r="A105" s="88">
        <f t="shared" si="31"/>
        <v>2012</v>
      </c>
      <c r="B105" s="170">
        <v>965441</v>
      </c>
      <c r="C105" s="190">
        <v>5.19</v>
      </c>
      <c r="E105" s="88">
        <f t="shared" si="32"/>
        <v>2012</v>
      </c>
      <c r="F105" s="157"/>
      <c r="G105" s="157"/>
      <c r="H105" s="157"/>
      <c r="I105" s="192">
        <v>100</v>
      </c>
      <c r="J105" s="169"/>
      <c r="K105" s="158"/>
      <c r="L105" s="169"/>
      <c r="M105" s="169"/>
      <c r="N105" s="191"/>
      <c r="O105" s="191"/>
      <c r="P105" s="191"/>
      <c r="Q105" s="157"/>
      <c r="R105" s="157"/>
      <c r="S105" s="157"/>
      <c r="T105" s="105">
        <f t="shared" si="33"/>
        <v>100</v>
      </c>
      <c r="U105" s="108"/>
      <c r="V105" s="74">
        <f t="shared" si="29"/>
        <v>2012</v>
      </c>
      <c r="W105" s="179">
        <f>(((B105*C105*(I105/100)*EFs!$E$32)+('AD Mauritius'!B105*'AD Mauritius'!C105*('AD Mauritius'!N105/100)*EFs!$E$37)+('AD Mauritius'!B105*'AD Mauritius'!C105*('AD Mauritius'!O105/100)*EFs!$E$38)+('AD Mauritius'!B105*'AD Mauritius'!C105*('AD Mauritius'!P105/100)*EFs!$E$39)))/1000</f>
        <v>0</v>
      </c>
      <c r="X105" s="179">
        <f t="shared" si="30"/>
        <v>0</v>
      </c>
      <c r="Y105" s="179">
        <v>0</v>
      </c>
      <c r="Z105" s="179">
        <v>0</v>
      </c>
    </row>
    <row r="106" spans="1:28" s="177" customFormat="1" x14ac:dyDescent="0.35">
      <c r="A106" s="88">
        <f t="shared" si="31"/>
        <v>2013</v>
      </c>
      <c r="B106" s="170">
        <v>992503</v>
      </c>
      <c r="C106" s="190">
        <v>5.13</v>
      </c>
      <c r="E106" s="88">
        <f t="shared" si="32"/>
        <v>2013</v>
      </c>
      <c r="F106" s="157"/>
      <c r="G106" s="157"/>
      <c r="H106" s="157"/>
      <c r="I106" s="192">
        <v>100</v>
      </c>
      <c r="J106" s="169"/>
      <c r="K106" s="158"/>
      <c r="L106" s="169"/>
      <c r="M106" s="169"/>
      <c r="N106" s="191"/>
      <c r="O106" s="191"/>
      <c r="P106" s="191"/>
      <c r="Q106" s="157"/>
      <c r="R106" s="157"/>
      <c r="S106" s="157"/>
      <c r="T106" s="105">
        <v>100</v>
      </c>
      <c r="U106" s="108"/>
      <c r="V106" s="74">
        <f t="shared" si="29"/>
        <v>2013</v>
      </c>
      <c r="W106" s="179">
        <f>(((B106*C106*(I106/100)*EFs!$E$32)+('AD Mauritius'!B106*'AD Mauritius'!C106*('AD Mauritius'!N106/100)*EFs!$E$37)+('AD Mauritius'!B106*'AD Mauritius'!C106*('AD Mauritius'!O106/100)*EFs!$E$38)+('AD Mauritius'!B106*'AD Mauritius'!C106*('AD Mauritius'!P106/100)*EFs!$E$39)))/1000</f>
        <v>0</v>
      </c>
      <c r="X106" s="179">
        <f t="shared" si="30"/>
        <v>0</v>
      </c>
      <c r="Y106" s="179">
        <v>0</v>
      </c>
      <c r="Z106" s="179">
        <v>0</v>
      </c>
    </row>
    <row r="107" spans="1:28" s="177" customFormat="1" x14ac:dyDescent="0.35">
      <c r="A107" s="88">
        <f t="shared" si="31"/>
        <v>2014</v>
      </c>
      <c r="B107" s="170">
        <v>1038334</v>
      </c>
      <c r="C107" s="114">
        <f>B107*$C$106/$B$106</f>
        <v>5.3668889867335414</v>
      </c>
      <c r="E107" s="88">
        <f t="shared" si="32"/>
        <v>2014</v>
      </c>
      <c r="F107" s="157"/>
      <c r="G107" s="157"/>
      <c r="H107" s="157"/>
      <c r="I107" s="192">
        <v>100</v>
      </c>
      <c r="J107" s="169"/>
      <c r="K107" s="158"/>
      <c r="L107" s="169"/>
      <c r="M107" s="169"/>
      <c r="N107" s="191"/>
      <c r="O107" s="191"/>
      <c r="P107" s="191"/>
      <c r="Q107" s="157"/>
      <c r="R107" s="157"/>
      <c r="S107" s="157"/>
      <c r="T107" s="105">
        <f t="shared" ref="T107:T109" si="34">SUM(F107:S107)</f>
        <v>100</v>
      </c>
      <c r="U107" s="108"/>
      <c r="V107" s="74">
        <f t="shared" si="29"/>
        <v>2014</v>
      </c>
      <c r="W107" s="179">
        <f>(((B107*C107*(I107/100)*EFs!$E$32)+('AD Mauritius'!B107*'AD Mauritius'!C107*('AD Mauritius'!N107/100)*EFs!$E$37)+('AD Mauritius'!B107*'AD Mauritius'!C107*('AD Mauritius'!O107/100)*EFs!$E$38)+('AD Mauritius'!B107*'AD Mauritius'!C107*('AD Mauritius'!P107/100)*EFs!$E$39)))/1000</f>
        <v>0</v>
      </c>
      <c r="X107" s="179">
        <f t="shared" si="30"/>
        <v>0</v>
      </c>
      <c r="Y107" s="179">
        <v>0</v>
      </c>
      <c r="Z107" s="179">
        <v>0</v>
      </c>
    </row>
    <row r="108" spans="1:28" s="177" customFormat="1" x14ac:dyDescent="0.35">
      <c r="A108" s="88">
        <f t="shared" si="31"/>
        <v>2015</v>
      </c>
      <c r="B108" s="170">
        <v>1151252</v>
      </c>
      <c r="C108" s="114">
        <f>B108*$C$106/$B$106</f>
        <v>5.9505339127438406</v>
      </c>
      <c r="E108" s="88">
        <f t="shared" si="32"/>
        <v>2015</v>
      </c>
      <c r="F108" s="157"/>
      <c r="G108" s="157"/>
      <c r="H108" s="157"/>
      <c r="I108" s="192">
        <v>100</v>
      </c>
      <c r="J108" s="169"/>
      <c r="K108" s="158"/>
      <c r="L108" s="169"/>
      <c r="M108" s="169"/>
      <c r="N108" s="191"/>
      <c r="O108" s="191"/>
      <c r="P108" s="191"/>
      <c r="Q108" s="157"/>
      <c r="R108" s="157"/>
      <c r="S108" s="157"/>
      <c r="T108" s="105">
        <f t="shared" si="34"/>
        <v>100</v>
      </c>
      <c r="U108" s="108"/>
      <c r="V108" s="74">
        <f t="shared" si="29"/>
        <v>2015</v>
      </c>
      <c r="W108" s="179">
        <f>(((B108*C108*(I108/100)*EFs!$E$32)+('AD Mauritius'!B108*'AD Mauritius'!C108*('AD Mauritius'!N108/100)*EFs!$E$37)+('AD Mauritius'!B108*'AD Mauritius'!C108*('AD Mauritius'!O108/100)*EFs!$E$38)+('AD Mauritius'!B108*'AD Mauritius'!C108*('AD Mauritius'!P108/100)*EFs!$E$39)))/1000</f>
        <v>0</v>
      </c>
      <c r="X108" s="179">
        <f t="shared" si="30"/>
        <v>0</v>
      </c>
      <c r="Y108" s="179">
        <v>0</v>
      </c>
      <c r="Z108" s="179">
        <v>0</v>
      </c>
    </row>
    <row r="109" spans="1:28" s="177" customFormat="1" x14ac:dyDescent="0.35">
      <c r="A109" s="88">
        <f t="shared" si="31"/>
        <v>2016</v>
      </c>
      <c r="B109" s="170">
        <v>1275227</v>
      </c>
      <c r="C109" s="114">
        <f>B109*$C$106/$B$106</f>
        <v>6.5913297088270761</v>
      </c>
      <c r="E109" s="88">
        <f t="shared" si="32"/>
        <v>2016</v>
      </c>
      <c r="F109" s="157"/>
      <c r="G109" s="157"/>
      <c r="H109" s="157"/>
      <c r="I109" s="192">
        <v>100</v>
      </c>
      <c r="J109" s="169"/>
      <c r="K109" s="158"/>
      <c r="L109" s="169"/>
      <c r="M109" s="169"/>
      <c r="N109" s="191"/>
      <c r="O109" s="191"/>
      <c r="P109" s="191"/>
      <c r="Q109" s="157"/>
      <c r="R109" s="157"/>
      <c r="S109" s="157"/>
      <c r="T109" s="105">
        <f t="shared" si="34"/>
        <v>100</v>
      </c>
      <c r="U109" s="108"/>
      <c r="V109" s="74">
        <f t="shared" si="29"/>
        <v>2016</v>
      </c>
      <c r="W109" s="179">
        <f>(((B109*C109*(I109/100)*EFs!$E$32)+('AD Mauritius'!B109*'AD Mauritius'!C109*('AD Mauritius'!N109/100)*EFs!$E$37)+('AD Mauritius'!B109*'AD Mauritius'!C109*('AD Mauritius'!O109/100)*EFs!$E$38)+('AD Mauritius'!B109*'AD Mauritius'!C109*('AD Mauritius'!P109/100)*EFs!$E$39)))/1000</f>
        <v>0</v>
      </c>
      <c r="X109" s="179">
        <f t="shared" si="30"/>
        <v>0</v>
      </c>
      <c r="Y109" s="179">
        <v>0</v>
      </c>
      <c r="Z109" s="179">
        <v>0</v>
      </c>
    </row>
    <row r="110" spans="1:28" s="177" customFormat="1" x14ac:dyDescent="0.35">
      <c r="A110" s="194" t="s">
        <v>402</v>
      </c>
      <c r="E110" s="177" t="s">
        <v>403</v>
      </c>
      <c r="I110" s="91"/>
      <c r="J110" s="95"/>
      <c r="K110" s="96"/>
      <c r="L110" s="96"/>
      <c r="M110" s="96"/>
      <c r="W110" s="108"/>
    </row>
    <row r="111" spans="1:28" x14ac:dyDescent="0.35">
      <c r="I111" s="91"/>
      <c r="J111" s="95"/>
      <c r="K111" s="96"/>
      <c r="L111" s="96"/>
      <c r="M111" s="96"/>
      <c r="W111" s="108"/>
    </row>
    <row r="112" spans="1:28" ht="46" x14ac:dyDescent="1">
      <c r="A112" s="220" t="s">
        <v>288</v>
      </c>
      <c r="B112" s="220"/>
      <c r="C112" s="220"/>
      <c r="D112" s="220"/>
      <c r="E112" s="220"/>
      <c r="F112" s="220"/>
      <c r="G112" s="220"/>
      <c r="H112" s="220"/>
      <c r="I112" s="220"/>
      <c r="J112" s="220"/>
      <c r="K112" s="220"/>
      <c r="L112" s="220"/>
      <c r="M112" s="220"/>
      <c r="N112" s="220"/>
      <c r="O112" s="220"/>
      <c r="P112" s="220"/>
      <c r="Q112" s="220"/>
      <c r="R112" s="220"/>
      <c r="S112" s="220"/>
      <c r="T112" s="220"/>
      <c r="U112" s="220"/>
      <c r="V112" s="116"/>
      <c r="W112" s="116"/>
      <c r="X112" s="116"/>
      <c r="Y112" s="116"/>
      <c r="Z112" s="116"/>
      <c r="AA112" s="116"/>
      <c r="AB112" s="116"/>
    </row>
    <row r="114" spans="1:22" x14ac:dyDescent="0.35">
      <c r="A114" s="129" t="s">
        <v>349</v>
      </c>
      <c r="B114" s="130"/>
      <c r="C114" s="130"/>
      <c r="D114" s="130"/>
      <c r="E114" s="130"/>
      <c r="F114" s="130"/>
      <c r="G114" s="130"/>
      <c r="H114" s="130"/>
      <c r="I114" s="130"/>
      <c r="J114" s="130"/>
      <c r="K114" s="130"/>
      <c r="L114" s="130"/>
      <c r="M114" s="130"/>
      <c r="N114" s="130"/>
      <c r="O114" s="130"/>
      <c r="P114" s="130"/>
      <c r="Q114" s="130"/>
      <c r="R114" s="130"/>
      <c r="S114" s="130"/>
      <c r="T114" s="130"/>
      <c r="U114" s="130"/>
    </row>
    <row r="116" spans="1:22" ht="72.5" x14ac:dyDescent="0.35">
      <c r="A116" s="67" t="s">
        <v>0</v>
      </c>
      <c r="B116" s="68" t="s">
        <v>353</v>
      </c>
      <c r="C116" s="68" t="s">
        <v>354</v>
      </c>
      <c r="D116" s="138" t="s">
        <v>355</v>
      </c>
      <c r="E116" s="118" t="s">
        <v>356</v>
      </c>
      <c r="F116" s="118" t="s">
        <v>394</v>
      </c>
      <c r="H116" s="67" t="s">
        <v>0</v>
      </c>
      <c r="I116" s="68" t="s">
        <v>339</v>
      </c>
      <c r="J116" s="68" t="s">
        <v>304</v>
      </c>
      <c r="K116" s="68" t="s">
        <v>305</v>
      </c>
      <c r="L116" s="68" t="s">
        <v>115</v>
      </c>
      <c r="M116" s="68" t="s">
        <v>330</v>
      </c>
      <c r="N116" s="68" t="s">
        <v>119</v>
      </c>
      <c r="O116" s="68" t="s">
        <v>123</v>
      </c>
      <c r="P116" s="68" t="s">
        <v>345</v>
      </c>
      <c r="R116" s="67" t="s">
        <v>0</v>
      </c>
      <c r="S116" s="68" t="s">
        <v>18</v>
      </c>
      <c r="T116" s="68" t="s">
        <v>19</v>
      </c>
      <c r="U116" s="68" t="s">
        <v>21</v>
      </c>
    </row>
    <row r="117" spans="1:22" x14ac:dyDescent="0.35">
      <c r="A117" s="88">
        <v>2000</v>
      </c>
      <c r="B117" s="80">
        <v>569289</v>
      </c>
      <c r="C117" s="80">
        <v>8</v>
      </c>
      <c r="D117" s="139">
        <f>B117*C117</f>
        <v>4554312</v>
      </c>
      <c r="E117" s="119">
        <v>5</v>
      </c>
      <c r="F117" s="119">
        <v>22771560</v>
      </c>
      <c r="H117" s="88">
        <v>2000</v>
      </c>
      <c r="I117" s="90"/>
      <c r="J117" s="166">
        <v>25</v>
      </c>
      <c r="K117" s="159"/>
      <c r="L117" s="166">
        <v>75</v>
      </c>
      <c r="M117" s="90"/>
      <c r="N117" s="158"/>
      <c r="O117" s="157"/>
      <c r="P117" s="81">
        <f t="shared" ref="P117:P133" si="35">SUM(I117:O117)</f>
        <v>100</v>
      </c>
      <c r="R117" s="74">
        <f t="shared" ref="R117:R133" si="36">A117</f>
        <v>2000</v>
      </c>
      <c r="S117" s="73">
        <f t="shared" ref="S117:S133" si="37">T117+U117</f>
        <v>0</v>
      </c>
      <c r="T117" s="73">
        <v>0</v>
      </c>
      <c r="U117" s="73">
        <v>0</v>
      </c>
      <c r="V117" s="141"/>
    </row>
    <row r="118" spans="1:22" x14ac:dyDescent="0.35">
      <c r="A118" s="88">
        <f t="shared" ref="A118:A133" si="38">A117+1</f>
        <v>2001</v>
      </c>
      <c r="B118" s="80">
        <v>645597</v>
      </c>
      <c r="C118" s="80">
        <v>8</v>
      </c>
      <c r="D118" s="139">
        <f t="shared" ref="D118:D133" si="39">B118*C118</f>
        <v>5164776</v>
      </c>
      <c r="E118" s="119">
        <v>5</v>
      </c>
      <c r="F118" s="119">
        <v>25823880</v>
      </c>
      <c r="H118" s="88">
        <f t="shared" ref="H118:H133" si="40">H117+1</f>
        <v>2001</v>
      </c>
      <c r="I118" s="90"/>
      <c r="J118" s="166">
        <v>25</v>
      </c>
      <c r="K118" s="159"/>
      <c r="L118" s="166">
        <v>75</v>
      </c>
      <c r="M118" s="90"/>
      <c r="N118" s="158"/>
      <c r="O118" s="157"/>
      <c r="P118" s="81">
        <f t="shared" si="35"/>
        <v>100</v>
      </c>
      <c r="R118" s="74">
        <f t="shared" si="36"/>
        <v>2001</v>
      </c>
      <c r="S118" s="73">
        <f t="shared" si="37"/>
        <v>0</v>
      </c>
      <c r="T118" s="73">
        <v>0</v>
      </c>
      <c r="U118" s="73">
        <v>0</v>
      </c>
      <c r="V118" s="142"/>
    </row>
    <row r="119" spans="1:22" x14ac:dyDescent="0.35">
      <c r="A119" s="88">
        <f t="shared" si="38"/>
        <v>2002</v>
      </c>
      <c r="B119" s="80">
        <v>520887</v>
      </c>
      <c r="C119" s="80">
        <v>8</v>
      </c>
      <c r="D119" s="139">
        <f t="shared" si="39"/>
        <v>4167096</v>
      </c>
      <c r="E119" s="119">
        <v>5</v>
      </c>
      <c r="F119" s="119">
        <v>20835480</v>
      </c>
      <c r="H119" s="88">
        <f t="shared" si="40"/>
        <v>2002</v>
      </c>
      <c r="I119" s="90"/>
      <c r="J119" s="166">
        <v>25</v>
      </c>
      <c r="K119" s="159"/>
      <c r="L119" s="166">
        <v>75</v>
      </c>
      <c r="M119" s="90"/>
      <c r="N119" s="158"/>
      <c r="O119" s="157"/>
      <c r="P119" s="81">
        <f t="shared" si="35"/>
        <v>100</v>
      </c>
      <c r="R119" s="74">
        <f t="shared" si="36"/>
        <v>2002</v>
      </c>
      <c r="S119" s="73">
        <f t="shared" si="37"/>
        <v>0</v>
      </c>
      <c r="T119" s="73">
        <v>0</v>
      </c>
      <c r="U119" s="73">
        <v>0</v>
      </c>
      <c r="V119" s="141"/>
    </row>
    <row r="120" spans="1:22" x14ac:dyDescent="0.35">
      <c r="A120" s="88">
        <f t="shared" si="38"/>
        <v>2003</v>
      </c>
      <c r="B120" s="80">
        <v>537155</v>
      </c>
      <c r="C120" s="80">
        <v>8</v>
      </c>
      <c r="D120" s="139">
        <f t="shared" si="39"/>
        <v>4297240</v>
      </c>
      <c r="E120" s="119">
        <v>5</v>
      </c>
      <c r="F120" s="119">
        <v>21486200</v>
      </c>
      <c r="H120" s="88">
        <f t="shared" si="40"/>
        <v>2003</v>
      </c>
      <c r="I120" s="90"/>
      <c r="J120" s="166">
        <v>25</v>
      </c>
      <c r="K120" s="159"/>
      <c r="L120" s="166">
        <v>75</v>
      </c>
      <c r="M120" s="90"/>
      <c r="N120" s="158"/>
      <c r="O120" s="157"/>
      <c r="P120" s="81">
        <f t="shared" si="35"/>
        <v>100</v>
      </c>
      <c r="R120" s="74">
        <f t="shared" si="36"/>
        <v>2003</v>
      </c>
      <c r="S120" s="73">
        <f t="shared" si="37"/>
        <v>0</v>
      </c>
      <c r="T120" s="73">
        <v>0</v>
      </c>
      <c r="U120" s="73">
        <v>0</v>
      </c>
      <c r="V120" s="141"/>
    </row>
    <row r="121" spans="1:22" x14ac:dyDescent="0.35">
      <c r="A121" s="88">
        <f t="shared" si="38"/>
        <v>2004</v>
      </c>
      <c r="B121" s="80">
        <v>572316</v>
      </c>
      <c r="C121" s="80">
        <v>8</v>
      </c>
      <c r="D121" s="139">
        <f t="shared" si="39"/>
        <v>4578528</v>
      </c>
      <c r="E121" s="119">
        <v>5</v>
      </c>
      <c r="F121" s="119">
        <v>22892640</v>
      </c>
      <c r="H121" s="88">
        <f t="shared" si="40"/>
        <v>2004</v>
      </c>
      <c r="I121" s="90"/>
      <c r="J121" s="166">
        <v>25</v>
      </c>
      <c r="K121" s="159"/>
      <c r="L121" s="166">
        <v>75</v>
      </c>
      <c r="M121" s="90"/>
      <c r="N121" s="158"/>
      <c r="O121" s="157"/>
      <c r="P121" s="81">
        <f t="shared" si="35"/>
        <v>100</v>
      </c>
      <c r="R121" s="74">
        <f t="shared" si="36"/>
        <v>2004</v>
      </c>
      <c r="S121" s="73">
        <f t="shared" si="37"/>
        <v>0</v>
      </c>
      <c r="T121" s="73">
        <v>0</v>
      </c>
      <c r="U121" s="73">
        <v>0</v>
      </c>
      <c r="V121" s="141"/>
    </row>
    <row r="122" spans="1:22" x14ac:dyDescent="0.35">
      <c r="A122" s="88">
        <f t="shared" si="38"/>
        <v>2005</v>
      </c>
      <c r="B122" s="80">
        <v>519816</v>
      </c>
      <c r="C122" s="80">
        <v>8</v>
      </c>
      <c r="D122" s="139">
        <f t="shared" si="39"/>
        <v>4158528</v>
      </c>
      <c r="E122" s="119">
        <v>5</v>
      </c>
      <c r="F122" s="119">
        <v>20792640</v>
      </c>
      <c r="H122" s="88">
        <f t="shared" si="40"/>
        <v>2005</v>
      </c>
      <c r="I122" s="90"/>
      <c r="J122" s="166">
        <v>25</v>
      </c>
      <c r="K122" s="159"/>
      <c r="L122" s="166">
        <v>75</v>
      </c>
      <c r="M122" s="90"/>
      <c r="N122" s="158"/>
      <c r="O122" s="157"/>
      <c r="P122" s="81">
        <f t="shared" si="35"/>
        <v>100</v>
      </c>
      <c r="R122" s="74">
        <f t="shared" si="36"/>
        <v>2005</v>
      </c>
      <c r="S122" s="73">
        <f t="shared" si="37"/>
        <v>0</v>
      </c>
      <c r="T122" s="73">
        <v>0</v>
      </c>
      <c r="U122" s="73">
        <v>0</v>
      </c>
      <c r="V122" s="141"/>
    </row>
    <row r="123" spans="1:22" x14ac:dyDescent="0.35">
      <c r="A123" s="88">
        <f t="shared" si="38"/>
        <v>2006</v>
      </c>
      <c r="B123" s="80">
        <v>504857</v>
      </c>
      <c r="C123" s="80">
        <v>8</v>
      </c>
      <c r="D123" s="139">
        <f t="shared" si="39"/>
        <v>4038856</v>
      </c>
      <c r="E123" s="119">
        <v>5</v>
      </c>
      <c r="F123" s="119">
        <v>20194280</v>
      </c>
      <c r="H123" s="88">
        <f t="shared" si="40"/>
        <v>2006</v>
      </c>
      <c r="I123" s="90"/>
      <c r="J123" s="166">
        <v>25</v>
      </c>
      <c r="K123" s="159"/>
      <c r="L123" s="166">
        <v>75</v>
      </c>
      <c r="M123" s="90"/>
      <c r="N123" s="158"/>
      <c r="O123" s="157"/>
      <c r="P123" s="81">
        <f t="shared" si="35"/>
        <v>100</v>
      </c>
      <c r="R123" s="74">
        <f t="shared" si="36"/>
        <v>2006</v>
      </c>
      <c r="S123" s="73">
        <f t="shared" si="37"/>
        <v>0</v>
      </c>
      <c r="T123" s="73">
        <v>0</v>
      </c>
      <c r="U123" s="73">
        <v>0</v>
      </c>
      <c r="V123" s="141"/>
    </row>
    <row r="124" spans="1:22" x14ac:dyDescent="0.35">
      <c r="A124" s="88">
        <f t="shared" si="38"/>
        <v>2007</v>
      </c>
      <c r="B124" s="80">
        <v>435972</v>
      </c>
      <c r="C124" s="80">
        <v>8</v>
      </c>
      <c r="D124" s="139">
        <f t="shared" si="39"/>
        <v>3487776</v>
      </c>
      <c r="E124" s="119">
        <v>5</v>
      </c>
      <c r="F124" s="119">
        <v>17438880</v>
      </c>
      <c r="H124" s="88">
        <f t="shared" si="40"/>
        <v>2007</v>
      </c>
      <c r="I124" s="90"/>
      <c r="J124" s="166">
        <v>25</v>
      </c>
      <c r="K124" s="159"/>
      <c r="L124" s="166">
        <v>75</v>
      </c>
      <c r="M124" s="90"/>
      <c r="N124" s="158"/>
      <c r="O124" s="157"/>
      <c r="P124" s="81">
        <f t="shared" si="35"/>
        <v>100</v>
      </c>
      <c r="R124" s="74">
        <f t="shared" si="36"/>
        <v>2007</v>
      </c>
      <c r="S124" s="73">
        <f t="shared" si="37"/>
        <v>0</v>
      </c>
      <c r="T124" s="73">
        <v>0</v>
      </c>
      <c r="U124" s="73">
        <v>0</v>
      </c>
      <c r="V124" s="141"/>
    </row>
    <row r="125" spans="1:22" x14ac:dyDescent="0.35">
      <c r="A125" s="88">
        <f t="shared" si="38"/>
        <v>2008</v>
      </c>
      <c r="B125" s="80">
        <v>452062</v>
      </c>
      <c r="C125" s="80">
        <v>8</v>
      </c>
      <c r="D125" s="139">
        <f t="shared" si="39"/>
        <v>3616496</v>
      </c>
      <c r="E125" s="119">
        <v>5</v>
      </c>
      <c r="F125" s="119">
        <v>18082480</v>
      </c>
      <c r="H125" s="88">
        <f t="shared" si="40"/>
        <v>2008</v>
      </c>
      <c r="I125" s="90"/>
      <c r="J125" s="166">
        <v>25</v>
      </c>
      <c r="K125" s="159"/>
      <c r="L125" s="166">
        <v>75</v>
      </c>
      <c r="M125" s="90"/>
      <c r="N125" s="158"/>
      <c r="O125" s="157"/>
      <c r="P125" s="81">
        <f t="shared" si="35"/>
        <v>100</v>
      </c>
      <c r="R125" s="74">
        <f t="shared" si="36"/>
        <v>2008</v>
      </c>
      <c r="S125" s="73">
        <f t="shared" si="37"/>
        <v>0</v>
      </c>
      <c r="T125" s="73">
        <v>0</v>
      </c>
      <c r="U125" s="73">
        <v>0</v>
      </c>
      <c r="V125" s="141"/>
    </row>
    <row r="126" spans="1:22" x14ac:dyDescent="0.35">
      <c r="A126" s="88">
        <f t="shared" si="38"/>
        <v>2009</v>
      </c>
      <c r="B126" s="80">
        <v>467234</v>
      </c>
      <c r="C126" s="80">
        <v>8</v>
      </c>
      <c r="D126" s="139">
        <f t="shared" si="39"/>
        <v>3737872</v>
      </c>
      <c r="E126" s="119">
        <v>5</v>
      </c>
      <c r="F126" s="119">
        <v>18689360</v>
      </c>
      <c r="H126" s="88">
        <f t="shared" si="40"/>
        <v>2009</v>
      </c>
      <c r="I126" s="90"/>
      <c r="J126" s="166">
        <v>25</v>
      </c>
      <c r="K126" s="159"/>
      <c r="L126" s="166">
        <v>75</v>
      </c>
      <c r="M126" s="90"/>
      <c r="N126" s="158"/>
      <c r="O126" s="157"/>
      <c r="P126" s="81">
        <f t="shared" si="35"/>
        <v>100</v>
      </c>
      <c r="R126" s="74">
        <f t="shared" si="36"/>
        <v>2009</v>
      </c>
      <c r="S126" s="73">
        <f t="shared" si="37"/>
        <v>0</v>
      </c>
      <c r="T126" s="73">
        <v>0</v>
      </c>
      <c r="U126" s="73">
        <v>0</v>
      </c>
      <c r="V126" s="141"/>
    </row>
    <row r="127" spans="1:22" x14ac:dyDescent="0.35">
      <c r="A127" s="88">
        <f t="shared" si="38"/>
        <v>2010</v>
      </c>
      <c r="B127" s="80">
        <v>452473</v>
      </c>
      <c r="C127" s="80">
        <v>8</v>
      </c>
      <c r="D127" s="139">
        <f t="shared" si="39"/>
        <v>3619784</v>
      </c>
      <c r="E127" s="119">
        <v>5</v>
      </c>
      <c r="F127" s="119">
        <v>18098920</v>
      </c>
      <c r="H127" s="88">
        <f t="shared" si="40"/>
        <v>2010</v>
      </c>
      <c r="I127" s="90"/>
      <c r="J127" s="166">
        <v>25</v>
      </c>
      <c r="K127" s="159"/>
      <c r="L127" s="166">
        <v>75</v>
      </c>
      <c r="M127" s="90"/>
      <c r="N127" s="158"/>
      <c r="O127" s="157"/>
      <c r="P127" s="81">
        <f t="shared" si="35"/>
        <v>100</v>
      </c>
      <c r="R127" s="74">
        <f t="shared" si="36"/>
        <v>2010</v>
      </c>
      <c r="S127" s="73">
        <f t="shared" si="37"/>
        <v>0</v>
      </c>
      <c r="T127" s="73">
        <v>0</v>
      </c>
      <c r="U127" s="73">
        <v>0</v>
      </c>
      <c r="V127" s="141"/>
    </row>
    <row r="128" spans="1:22" x14ac:dyDescent="0.35">
      <c r="A128" s="88">
        <f t="shared" si="38"/>
        <v>2011</v>
      </c>
      <c r="B128" s="80">
        <v>435310</v>
      </c>
      <c r="C128" s="80">
        <v>8</v>
      </c>
      <c r="D128" s="139">
        <f t="shared" si="39"/>
        <v>3482480</v>
      </c>
      <c r="E128" s="119">
        <v>5</v>
      </c>
      <c r="F128" s="119">
        <v>17412400</v>
      </c>
      <c r="H128" s="88">
        <f t="shared" si="40"/>
        <v>2011</v>
      </c>
      <c r="I128" s="90"/>
      <c r="J128" s="166">
        <v>25</v>
      </c>
      <c r="K128" s="159"/>
      <c r="L128" s="166">
        <v>75</v>
      </c>
      <c r="M128" s="90"/>
      <c r="N128" s="158"/>
      <c r="O128" s="157"/>
      <c r="P128" s="81">
        <f t="shared" si="35"/>
        <v>100</v>
      </c>
      <c r="R128" s="74">
        <f t="shared" si="36"/>
        <v>2011</v>
      </c>
      <c r="S128" s="73">
        <f t="shared" si="37"/>
        <v>0</v>
      </c>
      <c r="T128" s="73">
        <v>0</v>
      </c>
      <c r="U128" s="73">
        <v>0</v>
      </c>
      <c r="V128" s="141"/>
    </row>
    <row r="129" spans="1:22" x14ac:dyDescent="0.35">
      <c r="A129" s="88">
        <f t="shared" si="38"/>
        <v>2012</v>
      </c>
      <c r="B129" s="80">
        <v>409200</v>
      </c>
      <c r="C129" s="80">
        <v>8</v>
      </c>
      <c r="D129" s="139">
        <f t="shared" si="39"/>
        <v>3273600</v>
      </c>
      <c r="E129" s="119">
        <v>5</v>
      </c>
      <c r="F129" s="119">
        <v>16368000</v>
      </c>
      <c r="H129" s="88">
        <f t="shared" si="40"/>
        <v>2012</v>
      </c>
      <c r="I129" s="90"/>
      <c r="J129" s="166">
        <v>25</v>
      </c>
      <c r="K129" s="159"/>
      <c r="L129" s="166">
        <v>75</v>
      </c>
      <c r="M129" s="90"/>
      <c r="N129" s="158"/>
      <c r="O129" s="157"/>
      <c r="P129" s="81">
        <f t="shared" si="35"/>
        <v>100</v>
      </c>
      <c r="R129" s="74">
        <f t="shared" si="36"/>
        <v>2012</v>
      </c>
      <c r="S129" s="73">
        <f t="shared" si="37"/>
        <v>0</v>
      </c>
      <c r="T129" s="73">
        <v>0</v>
      </c>
      <c r="U129" s="73">
        <v>0</v>
      </c>
      <c r="V129" s="141"/>
    </row>
    <row r="130" spans="1:22" x14ac:dyDescent="0.35">
      <c r="A130" s="88">
        <f t="shared" si="38"/>
        <v>2013</v>
      </c>
      <c r="B130" s="80">
        <v>404713</v>
      </c>
      <c r="C130" s="80">
        <v>8</v>
      </c>
      <c r="D130" s="139">
        <f t="shared" si="39"/>
        <v>3237704</v>
      </c>
      <c r="E130" s="119">
        <v>5</v>
      </c>
      <c r="F130" s="119">
        <v>16188520</v>
      </c>
      <c r="H130" s="88">
        <f t="shared" si="40"/>
        <v>2013</v>
      </c>
      <c r="I130" s="90"/>
      <c r="J130" s="166">
        <v>25</v>
      </c>
      <c r="K130" s="159"/>
      <c r="L130" s="166">
        <v>75</v>
      </c>
      <c r="M130" s="90"/>
      <c r="N130" s="158"/>
      <c r="O130" s="157"/>
      <c r="P130" s="81">
        <f t="shared" si="35"/>
        <v>100</v>
      </c>
      <c r="R130" s="74">
        <f t="shared" si="36"/>
        <v>2013</v>
      </c>
      <c r="S130" s="73">
        <f t="shared" si="37"/>
        <v>0</v>
      </c>
      <c r="T130" s="73">
        <v>0</v>
      </c>
      <c r="U130" s="73">
        <v>0</v>
      </c>
      <c r="V130" s="141"/>
    </row>
    <row r="131" spans="1:22" x14ac:dyDescent="0.35">
      <c r="A131" s="88">
        <f t="shared" si="38"/>
        <v>2014</v>
      </c>
      <c r="B131" s="80">
        <v>400173</v>
      </c>
      <c r="C131" s="80">
        <v>8</v>
      </c>
      <c r="D131" s="139">
        <f t="shared" si="39"/>
        <v>3201384</v>
      </c>
      <c r="E131" s="119">
        <v>5</v>
      </c>
      <c r="F131" s="119">
        <v>16006920</v>
      </c>
      <c r="H131" s="88">
        <f t="shared" si="40"/>
        <v>2014</v>
      </c>
      <c r="I131" s="90"/>
      <c r="J131" s="159">
        <v>25</v>
      </c>
      <c r="K131" s="159"/>
      <c r="L131" s="159">
        <v>75</v>
      </c>
      <c r="M131" s="90"/>
      <c r="N131" s="158"/>
      <c r="O131" s="157"/>
      <c r="P131" s="81">
        <f t="shared" si="35"/>
        <v>100</v>
      </c>
      <c r="R131" s="74">
        <f t="shared" si="36"/>
        <v>2014</v>
      </c>
      <c r="S131" s="73">
        <f t="shared" si="37"/>
        <v>0</v>
      </c>
      <c r="T131" s="73">
        <v>0</v>
      </c>
      <c r="U131" s="73">
        <v>0</v>
      </c>
      <c r="V131" s="142"/>
    </row>
    <row r="132" spans="1:22" x14ac:dyDescent="0.35">
      <c r="A132" s="88">
        <f t="shared" si="38"/>
        <v>2015</v>
      </c>
      <c r="B132" s="80">
        <v>366069.87800000003</v>
      </c>
      <c r="C132" s="80">
        <v>8</v>
      </c>
      <c r="D132" s="139">
        <f t="shared" si="39"/>
        <v>2928559.0240000002</v>
      </c>
      <c r="E132" s="119">
        <v>5</v>
      </c>
      <c r="F132" s="119">
        <v>14642795.120000001</v>
      </c>
      <c r="H132" s="88">
        <f t="shared" si="40"/>
        <v>2015</v>
      </c>
      <c r="I132" s="90"/>
      <c r="J132" s="159">
        <v>25</v>
      </c>
      <c r="K132" s="159"/>
      <c r="L132" s="159">
        <v>75</v>
      </c>
      <c r="M132" s="90"/>
      <c r="N132" s="158"/>
      <c r="O132" s="157"/>
      <c r="P132" s="81">
        <f t="shared" si="35"/>
        <v>100</v>
      </c>
      <c r="R132" s="74">
        <f t="shared" si="36"/>
        <v>2015</v>
      </c>
      <c r="S132" s="73">
        <f t="shared" si="37"/>
        <v>0</v>
      </c>
      <c r="T132" s="73">
        <v>0</v>
      </c>
      <c r="U132" s="73">
        <v>0</v>
      </c>
      <c r="V132" s="142"/>
    </row>
    <row r="133" spans="1:22" x14ac:dyDescent="0.35">
      <c r="A133" s="88">
        <f t="shared" si="38"/>
        <v>2016</v>
      </c>
      <c r="B133" s="80">
        <v>386277.255</v>
      </c>
      <c r="C133" s="80">
        <v>8</v>
      </c>
      <c r="D133" s="139">
        <f t="shared" si="39"/>
        <v>3090218.04</v>
      </c>
      <c r="E133" s="119">
        <v>5</v>
      </c>
      <c r="F133" s="119">
        <v>15451090.199999999</v>
      </c>
      <c r="H133" s="88">
        <f t="shared" si="40"/>
        <v>2016</v>
      </c>
      <c r="I133" s="90"/>
      <c r="J133" s="159">
        <v>25</v>
      </c>
      <c r="K133" s="159"/>
      <c r="L133" s="159">
        <v>75</v>
      </c>
      <c r="M133" s="90"/>
      <c r="N133" s="158"/>
      <c r="O133" s="157"/>
      <c r="P133" s="81">
        <f t="shared" si="35"/>
        <v>100</v>
      </c>
      <c r="R133" s="74">
        <f t="shared" si="36"/>
        <v>2016</v>
      </c>
      <c r="S133" s="73">
        <f t="shared" si="37"/>
        <v>0</v>
      </c>
      <c r="T133" s="73">
        <v>0</v>
      </c>
      <c r="U133" s="73">
        <v>0</v>
      </c>
      <c r="V133" s="142"/>
    </row>
    <row r="134" spans="1:22" x14ac:dyDescent="0.35">
      <c r="A134" s="136" t="s">
        <v>358</v>
      </c>
      <c r="H134" s="66" t="s">
        <v>391</v>
      </c>
      <c r="J134" s="92"/>
      <c r="K134" s="93"/>
      <c r="L134" s="94"/>
      <c r="M134" s="94"/>
      <c r="N134" s="94"/>
    </row>
    <row r="135" spans="1:22" x14ac:dyDescent="0.35">
      <c r="A135" s="129" t="s">
        <v>350</v>
      </c>
      <c r="B135" s="130"/>
      <c r="C135" s="130"/>
      <c r="D135" s="130"/>
      <c r="E135" s="130"/>
      <c r="F135" s="130"/>
      <c r="H135" s="130"/>
      <c r="I135" s="130"/>
      <c r="J135" s="131"/>
      <c r="K135" s="132"/>
      <c r="L135" s="133"/>
      <c r="M135" s="133"/>
      <c r="N135" s="133"/>
      <c r="O135" s="130"/>
      <c r="P135" s="130"/>
      <c r="Q135" s="130"/>
      <c r="R135" s="130"/>
      <c r="S135" s="130"/>
      <c r="T135" s="130"/>
      <c r="U135" s="130"/>
    </row>
    <row r="136" spans="1:22" x14ac:dyDescent="0.35">
      <c r="J136" s="107"/>
      <c r="K136" s="108"/>
      <c r="L136" s="109"/>
      <c r="M136" s="110"/>
      <c r="N136" s="111"/>
    </row>
    <row r="137" spans="1:22" ht="72.5" x14ac:dyDescent="0.35">
      <c r="A137" s="67" t="s">
        <v>0</v>
      </c>
      <c r="B137" s="68" t="s">
        <v>353</v>
      </c>
      <c r="C137" s="68" t="s">
        <v>354</v>
      </c>
      <c r="D137" s="138" t="s">
        <v>355</v>
      </c>
      <c r="E137" s="118" t="s">
        <v>356</v>
      </c>
      <c r="F137" s="118" t="s">
        <v>394</v>
      </c>
      <c r="H137" s="67" t="s">
        <v>0</v>
      </c>
      <c r="I137" s="68" t="s">
        <v>339</v>
      </c>
      <c r="J137" s="68" t="s">
        <v>304</v>
      </c>
      <c r="K137" s="68" t="s">
        <v>305</v>
      </c>
      <c r="L137" s="68" t="s">
        <v>115</v>
      </c>
      <c r="M137" s="68" t="s">
        <v>330</v>
      </c>
      <c r="N137" s="68" t="s">
        <v>119</v>
      </c>
      <c r="O137" s="68" t="s">
        <v>123</v>
      </c>
      <c r="P137" s="68" t="s">
        <v>345</v>
      </c>
      <c r="R137" s="67" t="s">
        <v>0</v>
      </c>
      <c r="S137" s="68" t="s">
        <v>18</v>
      </c>
      <c r="T137" s="68" t="s">
        <v>19</v>
      </c>
      <c r="U137" s="68" t="s">
        <v>21</v>
      </c>
    </row>
    <row r="138" spans="1:22" x14ac:dyDescent="0.35">
      <c r="A138" s="88">
        <v>2000</v>
      </c>
      <c r="B138" s="172">
        <f t="shared" ref="B138:B142" si="41">B139</f>
        <v>41276</v>
      </c>
      <c r="C138" s="89">
        <v>8.6</v>
      </c>
      <c r="D138" s="121">
        <f>B138*C138</f>
        <v>354973.6</v>
      </c>
      <c r="E138" s="137">
        <v>3.5</v>
      </c>
      <c r="F138" s="137">
        <v>1242407.5999999999</v>
      </c>
      <c r="H138" s="88">
        <v>2000</v>
      </c>
      <c r="I138" s="90"/>
      <c r="J138" s="166">
        <v>25</v>
      </c>
      <c r="K138" s="159"/>
      <c r="L138" s="166">
        <v>75</v>
      </c>
      <c r="M138" s="90"/>
      <c r="N138" s="158"/>
      <c r="O138" s="159"/>
      <c r="P138" s="81">
        <f t="shared" ref="P138:P154" si="42">SUM(I138:O138)</f>
        <v>100</v>
      </c>
      <c r="R138" s="74">
        <f t="shared" ref="R138:R154" si="43">A138</f>
        <v>2000</v>
      </c>
      <c r="S138" s="73">
        <f t="shared" ref="S138:S154" si="44">T138+U138</f>
        <v>0</v>
      </c>
      <c r="T138" s="73">
        <v>0</v>
      </c>
      <c r="U138" s="73">
        <v>0</v>
      </c>
    </row>
    <row r="139" spans="1:22" x14ac:dyDescent="0.35">
      <c r="A139" s="88">
        <f t="shared" ref="A139:A154" si="45">A138+1</f>
        <v>2001</v>
      </c>
      <c r="B139" s="172">
        <f t="shared" si="41"/>
        <v>41276</v>
      </c>
      <c r="C139" s="89">
        <v>8.6</v>
      </c>
      <c r="D139" s="121">
        <f t="shared" ref="D139:D154" si="46">B139*C139</f>
        <v>354973.6</v>
      </c>
      <c r="E139" s="137">
        <v>3.5</v>
      </c>
      <c r="F139" s="137">
        <v>1242407.5999999999</v>
      </c>
      <c r="H139" s="88">
        <f t="shared" ref="H139:H154" si="47">H138+1</f>
        <v>2001</v>
      </c>
      <c r="I139" s="90"/>
      <c r="J139" s="166">
        <v>25</v>
      </c>
      <c r="K139" s="159"/>
      <c r="L139" s="166">
        <v>75</v>
      </c>
      <c r="M139" s="90"/>
      <c r="N139" s="158"/>
      <c r="O139" s="159"/>
      <c r="P139" s="81">
        <f t="shared" si="42"/>
        <v>100</v>
      </c>
      <c r="R139" s="74">
        <f t="shared" si="43"/>
        <v>2001</v>
      </c>
      <c r="S139" s="73">
        <f t="shared" si="44"/>
        <v>0</v>
      </c>
      <c r="T139" s="73">
        <v>0</v>
      </c>
      <c r="U139" s="73">
        <v>0</v>
      </c>
    </row>
    <row r="140" spans="1:22" x14ac:dyDescent="0.35">
      <c r="A140" s="88">
        <f t="shared" si="45"/>
        <v>2002</v>
      </c>
      <c r="B140" s="172">
        <f t="shared" si="41"/>
        <v>41276</v>
      </c>
      <c r="C140" s="89">
        <v>8.6</v>
      </c>
      <c r="D140" s="121">
        <f t="shared" si="46"/>
        <v>354973.6</v>
      </c>
      <c r="E140" s="137">
        <v>3.5</v>
      </c>
      <c r="F140" s="137">
        <v>1242407.5999999999</v>
      </c>
      <c r="H140" s="88">
        <f t="shared" si="47"/>
        <v>2002</v>
      </c>
      <c r="I140" s="90"/>
      <c r="J140" s="166">
        <v>25</v>
      </c>
      <c r="K140" s="159"/>
      <c r="L140" s="166">
        <v>75</v>
      </c>
      <c r="M140" s="90"/>
      <c r="N140" s="158"/>
      <c r="O140" s="159"/>
      <c r="P140" s="81">
        <f t="shared" si="42"/>
        <v>100</v>
      </c>
      <c r="R140" s="74">
        <f t="shared" si="43"/>
        <v>2002</v>
      </c>
      <c r="S140" s="73">
        <f t="shared" si="44"/>
        <v>0</v>
      </c>
      <c r="T140" s="73">
        <v>0</v>
      </c>
      <c r="U140" s="73">
        <v>0</v>
      </c>
    </row>
    <row r="141" spans="1:22" x14ac:dyDescent="0.35">
      <c r="A141" s="88">
        <f t="shared" si="45"/>
        <v>2003</v>
      </c>
      <c r="B141" s="172">
        <f t="shared" si="41"/>
        <v>41276</v>
      </c>
      <c r="C141" s="89">
        <v>8.6</v>
      </c>
      <c r="D141" s="121">
        <f t="shared" si="46"/>
        <v>354973.6</v>
      </c>
      <c r="E141" s="137">
        <v>3.5</v>
      </c>
      <c r="F141" s="137">
        <v>1242407.5999999999</v>
      </c>
      <c r="H141" s="88">
        <f t="shared" si="47"/>
        <v>2003</v>
      </c>
      <c r="I141" s="90"/>
      <c r="J141" s="166">
        <v>25</v>
      </c>
      <c r="K141" s="159"/>
      <c r="L141" s="166">
        <v>75</v>
      </c>
      <c r="M141" s="90"/>
      <c r="N141" s="158"/>
      <c r="O141" s="159"/>
      <c r="P141" s="81">
        <f t="shared" si="42"/>
        <v>100</v>
      </c>
      <c r="R141" s="74">
        <f t="shared" si="43"/>
        <v>2003</v>
      </c>
      <c r="S141" s="73">
        <f t="shared" si="44"/>
        <v>0</v>
      </c>
      <c r="T141" s="73">
        <v>0</v>
      </c>
      <c r="U141" s="73">
        <v>0</v>
      </c>
    </row>
    <row r="142" spans="1:22" x14ac:dyDescent="0.35">
      <c r="A142" s="88">
        <f t="shared" si="45"/>
        <v>2004</v>
      </c>
      <c r="B142" s="172">
        <f t="shared" si="41"/>
        <v>41276</v>
      </c>
      <c r="C142" s="89">
        <v>8.6</v>
      </c>
      <c r="D142" s="121">
        <f t="shared" si="46"/>
        <v>354973.6</v>
      </c>
      <c r="E142" s="137">
        <v>3.5</v>
      </c>
      <c r="F142" s="137">
        <v>1242407.5999999999</v>
      </c>
      <c r="H142" s="88">
        <f t="shared" si="47"/>
        <v>2004</v>
      </c>
      <c r="I142" s="90"/>
      <c r="J142" s="166">
        <v>25</v>
      </c>
      <c r="K142" s="159"/>
      <c r="L142" s="166">
        <v>75</v>
      </c>
      <c r="M142" s="90"/>
      <c r="N142" s="158"/>
      <c r="O142" s="159"/>
      <c r="P142" s="81">
        <f t="shared" si="42"/>
        <v>100</v>
      </c>
      <c r="R142" s="74">
        <f t="shared" si="43"/>
        <v>2004</v>
      </c>
      <c r="S142" s="73">
        <f t="shared" si="44"/>
        <v>0</v>
      </c>
      <c r="T142" s="73">
        <v>0</v>
      </c>
      <c r="U142" s="73">
        <v>0</v>
      </c>
    </row>
    <row r="143" spans="1:22" x14ac:dyDescent="0.35">
      <c r="A143" s="88">
        <f t="shared" si="45"/>
        <v>2005</v>
      </c>
      <c r="B143" s="172">
        <f>B144</f>
        <v>41276</v>
      </c>
      <c r="C143" s="89">
        <v>8.6</v>
      </c>
      <c r="D143" s="121">
        <f t="shared" si="46"/>
        <v>354973.6</v>
      </c>
      <c r="E143" s="137">
        <v>3.5</v>
      </c>
      <c r="F143" s="137">
        <v>1242407.5999999999</v>
      </c>
      <c r="H143" s="88">
        <f t="shared" si="47"/>
        <v>2005</v>
      </c>
      <c r="I143" s="90"/>
      <c r="J143" s="166">
        <v>25</v>
      </c>
      <c r="K143" s="159"/>
      <c r="L143" s="166">
        <v>75</v>
      </c>
      <c r="M143" s="90"/>
      <c r="N143" s="158"/>
      <c r="O143" s="159"/>
      <c r="P143" s="81">
        <f t="shared" si="42"/>
        <v>100</v>
      </c>
      <c r="R143" s="74">
        <f t="shared" si="43"/>
        <v>2005</v>
      </c>
      <c r="S143" s="73">
        <f t="shared" si="44"/>
        <v>0</v>
      </c>
      <c r="T143" s="73">
        <v>0</v>
      </c>
      <c r="U143" s="73">
        <v>0</v>
      </c>
    </row>
    <row r="144" spans="1:22" x14ac:dyDescent="0.35">
      <c r="A144" s="88">
        <f t="shared" si="45"/>
        <v>2006</v>
      </c>
      <c r="B144" s="120">
        <v>41276</v>
      </c>
      <c r="C144" s="89">
        <v>8.6</v>
      </c>
      <c r="D144" s="121">
        <f t="shared" si="46"/>
        <v>354973.6</v>
      </c>
      <c r="E144" s="137">
        <v>3.5</v>
      </c>
      <c r="F144" s="137">
        <v>1242407.5999999999</v>
      </c>
      <c r="H144" s="88">
        <f t="shared" si="47"/>
        <v>2006</v>
      </c>
      <c r="I144" s="90"/>
      <c r="J144" s="166">
        <v>25</v>
      </c>
      <c r="K144" s="159"/>
      <c r="L144" s="166">
        <v>75</v>
      </c>
      <c r="M144" s="90"/>
      <c r="N144" s="158"/>
      <c r="O144" s="159"/>
      <c r="P144" s="81">
        <f t="shared" si="42"/>
        <v>100</v>
      </c>
      <c r="R144" s="74">
        <f t="shared" si="43"/>
        <v>2006</v>
      </c>
      <c r="S144" s="73">
        <f t="shared" si="44"/>
        <v>0</v>
      </c>
      <c r="T144" s="73">
        <v>0</v>
      </c>
      <c r="U144" s="73">
        <v>0</v>
      </c>
    </row>
    <row r="145" spans="1:21" x14ac:dyDescent="0.35">
      <c r="A145" s="88">
        <f t="shared" si="45"/>
        <v>2007</v>
      </c>
      <c r="B145" s="120">
        <v>46700</v>
      </c>
      <c r="C145" s="89">
        <v>8.6</v>
      </c>
      <c r="D145" s="121">
        <f t="shared" si="46"/>
        <v>401620</v>
      </c>
      <c r="E145" s="137">
        <v>3.5</v>
      </c>
      <c r="F145" s="137">
        <v>1405670</v>
      </c>
      <c r="H145" s="88">
        <f t="shared" si="47"/>
        <v>2007</v>
      </c>
      <c r="I145" s="90"/>
      <c r="J145" s="166">
        <v>25</v>
      </c>
      <c r="K145" s="159"/>
      <c r="L145" s="166">
        <v>75</v>
      </c>
      <c r="M145" s="90"/>
      <c r="N145" s="158"/>
      <c r="O145" s="159"/>
      <c r="P145" s="81">
        <f t="shared" si="42"/>
        <v>100</v>
      </c>
      <c r="R145" s="74">
        <f t="shared" si="43"/>
        <v>2007</v>
      </c>
      <c r="S145" s="73">
        <f t="shared" si="44"/>
        <v>0</v>
      </c>
      <c r="T145" s="73">
        <v>0</v>
      </c>
      <c r="U145" s="73">
        <v>0</v>
      </c>
    </row>
    <row r="146" spans="1:21" x14ac:dyDescent="0.35">
      <c r="A146" s="88">
        <f t="shared" si="45"/>
        <v>2008</v>
      </c>
      <c r="B146" s="120">
        <v>42000</v>
      </c>
      <c r="C146" s="89">
        <v>8.6</v>
      </c>
      <c r="D146" s="121">
        <f t="shared" si="46"/>
        <v>361200</v>
      </c>
      <c r="E146" s="137">
        <v>3.5</v>
      </c>
      <c r="F146" s="137">
        <v>1264200</v>
      </c>
      <c r="H146" s="88">
        <f t="shared" si="47"/>
        <v>2008</v>
      </c>
      <c r="I146" s="90"/>
      <c r="J146" s="166">
        <v>25</v>
      </c>
      <c r="K146" s="159"/>
      <c r="L146" s="166">
        <v>75</v>
      </c>
      <c r="M146" s="90"/>
      <c r="N146" s="158"/>
      <c r="O146" s="159"/>
      <c r="P146" s="81">
        <f t="shared" si="42"/>
        <v>100</v>
      </c>
      <c r="R146" s="74">
        <f t="shared" si="43"/>
        <v>2008</v>
      </c>
      <c r="S146" s="73">
        <f t="shared" si="44"/>
        <v>0</v>
      </c>
      <c r="T146" s="73">
        <v>0</v>
      </c>
      <c r="U146" s="73">
        <v>0</v>
      </c>
    </row>
    <row r="147" spans="1:21" x14ac:dyDescent="0.35">
      <c r="A147" s="88">
        <f t="shared" si="45"/>
        <v>2009</v>
      </c>
      <c r="B147" s="120">
        <v>44000</v>
      </c>
      <c r="C147" s="89">
        <v>8.6</v>
      </c>
      <c r="D147" s="121">
        <f t="shared" si="46"/>
        <v>378400</v>
      </c>
      <c r="E147" s="137">
        <v>3.5</v>
      </c>
      <c r="F147" s="137">
        <v>1324400</v>
      </c>
      <c r="H147" s="88">
        <f t="shared" si="47"/>
        <v>2009</v>
      </c>
      <c r="I147" s="90"/>
      <c r="J147" s="166">
        <v>25</v>
      </c>
      <c r="K147" s="159"/>
      <c r="L147" s="166">
        <v>75</v>
      </c>
      <c r="M147" s="90"/>
      <c r="N147" s="158"/>
      <c r="O147" s="159"/>
      <c r="P147" s="81">
        <f t="shared" si="42"/>
        <v>100</v>
      </c>
      <c r="R147" s="74">
        <f t="shared" si="43"/>
        <v>2009</v>
      </c>
      <c r="S147" s="73">
        <f t="shared" si="44"/>
        <v>0</v>
      </c>
      <c r="T147" s="73">
        <v>0</v>
      </c>
      <c r="U147" s="73">
        <v>0</v>
      </c>
    </row>
    <row r="148" spans="1:21" x14ac:dyDescent="0.35">
      <c r="A148" s="88">
        <f t="shared" si="45"/>
        <v>2010</v>
      </c>
      <c r="B148" s="120">
        <v>46600</v>
      </c>
      <c r="C148" s="89">
        <v>8.6</v>
      </c>
      <c r="D148" s="121">
        <f t="shared" si="46"/>
        <v>400760</v>
      </c>
      <c r="E148" s="137">
        <v>3.5</v>
      </c>
      <c r="F148" s="137">
        <v>1402660</v>
      </c>
      <c r="H148" s="88">
        <f t="shared" si="47"/>
        <v>2010</v>
      </c>
      <c r="I148" s="90"/>
      <c r="J148" s="166">
        <v>25</v>
      </c>
      <c r="K148" s="159"/>
      <c r="L148" s="166">
        <v>75</v>
      </c>
      <c r="M148" s="90"/>
      <c r="N148" s="158"/>
      <c r="O148" s="159"/>
      <c r="P148" s="81">
        <f t="shared" si="42"/>
        <v>100</v>
      </c>
      <c r="R148" s="74">
        <f t="shared" si="43"/>
        <v>2010</v>
      </c>
      <c r="S148" s="73">
        <f t="shared" si="44"/>
        <v>0</v>
      </c>
      <c r="T148" s="73">
        <v>0</v>
      </c>
      <c r="U148" s="73">
        <v>0</v>
      </c>
    </row>
    <row r="149" spans="1:21" x14ac:dyDescent="0.35">
      <c r="A149" s="88">
        <f t="shared" si="45"/>
        <v>2011</v>
      </c>
      <c r="B149" s="120">
        <v>47000</v>
      </c>
      <c r="C149" s="89">
        <v>8.6</v>
      </c>
      <c r="D149" s="121">
        <f t="shared" si="46"/>
        <v>404200</v>
      </c>
      <c r="E149" s="137">
        <v>3.5</v>
      </c>
      <c r="F149" s="137">
        <v>1414700</v>
      </c>
      <c r="H149" s="88">
        <f t="shared" si="47"/>
        <v>2011</v>
      </c>
      <c r="I149" s="90"/>
      <c r="J149" s="166">
        <v>25</v>
      </c>
      <c r="K149" s="159"/>
      <c r="L149" s="166">
        <v>75</v>
      </c>
      <c r="M149" s="90"/>
      <c r="N149" s="158"/>
      <c r="O149" s="159"/>
      <c r="P149" s="81">
        <f t="shared" si="42"/>
        <v>100</v>
      </c>
      <c r="R149" s="74">
        <f t="shared" si="43"/>
        <v>2011</v>
      </c>
      <c r="S149" s="73">
        <f t="shared" si="44"/>
        <v>0</v>
      </c>
      <c r="T149" s="73">
        <v>0</v>
      </c>
      <c r="U149" s="73">
        <v>0</v>
      </c>
    </row>
    <row r="150" spans="1:21" x14ac:dyDescent="0.35">
      <c r="A150" s="88">
        <f t="shared" si="45"/>
        <v>2012</v>
      </c>
      <c r="B150" s="120">
        <v>47200</v>
      </c>
      <c r="C150" s="89">
        <v>8.6</v>
      </c>
      <c r="D150" s="121">
        <f t="shared" si="46"/>
        <v>405920</v>
      </c>
      <c r="E150" s="137">
        <v>3.5</v>
      </c>
      <c r="F150" s="137">
        <v>1420720</v>
      </c>
      <c r="H150" s="88">
        <f t="shared" si="47"/>
        <v>2012</v>
      </c>
      <c r="I150" s="90"/>
      <c r="J150" s="166">
        <v>25</v>
      </c>
      <c r="K150" s="159"/>
      <c r="L150" s="166">
        <v>75</v>
      </c>
      <c r="M150" s="90"/>
      <c r="N150" s="158"/>
      <c r="O150" s="159"/>
      <c r="P150" s="81">
        <f t="shared" si="42"/>
        <v>100</v>
      </c>
      <c r="R150" s="74">
        <f t="shared" si="43"/>
        <v>2012</v>
      </c>
      <c r="S150" s="73">
        <f t="shared" si="44"/>
        <v>0</v>
      </c>
      <c r="T150" s="73">
        <v>0</v>
      </c>
      <c r="U150" s="73">
        <v>0</v>
      </c>
    </row>
    <row r="151" spans="1:21" x14ac:dyDescent="0.35">
      <c r="A151" s="88">
        <f t="shared" si="45"/>
        <v>2013</v>
      </c>
      <c r="B151" s="120">
        <v>46700</v>
      </c>
      <c r="C151" s="89">
        <v>8.6</v>
      </c>
      <c r="D151" s="121">
        <f t="shared" si="46"/>
        <v>401620</v>
      </c>
      <c r="E151" s="137">
        <v>3.5</v>
      </c>
      <c r="F151" s="137">
        <v>1405670</v>
      </c>
      <c r="H151" s="88">
        <f t="shared" si="47"/>
        <v>2013</v>
      </c>
      <c r="I151" s="90"/>
      <c r="J151" s="166">
        <v>25</v>
      </c>
      <c r="K151" s="159"/>
      <c r="L151" s="166">
        <v>75</v>
      </c>
      <c r="M151" s="90"/>
      <c r="N151" s="158"/>
      <c r="O151" s="159"/>
      <c r="P151" s="81">
        <f t="shared" si="42"/>
        <v>100</v>
      </c>
      <c r="R151" s="74">
        <f t="shared" si="43"/>
        <v>2013</v>
      </c>
      <c r="S151" s="73">
        <f t="shared" si="44"/>
        <v>0</v>
      </c>
      <c r="T151" s="73">
        <v>0</v>
      </c>
      <c r="U151" s="73">
        <v>0</v>
      </c>
    </row>
    <row r="152" spans="1:21" x14ac:dyDescent="0.35">
      <c r="A152" s="88">
        <f t="shared" si="45"/>
        <v>2014</v>
      </c>
      <c r="B152" s="171">
        <f>(B151+B153)/2</f>
        <v>46550</v>
      </c>
      <c r="C152" s="89">
        <v>8.6</v>
      </c>
      <c r="D152" s="121">
        <f t="shared" si="46"/>
        <v>400330</v>
      </c>
      <c r="E152" s="137">
        <v>3.5</v>
      </c>
      <c r="F152" s="137">
        <v>1401155</v>
      </c>
      <c r="H152" s="88">
        <f t="shared" si="47"/>
        <v>2014</v>
      </c>
      <c r="I152" s="90"/>
      <c r="J152" s="159">
        <v>25</v>
      </c>
      <c r="K152" s="159"/>
      <c r="L152" s="159">
        <v>75</v>
      </c>
      <c r="M152" s="90"/>
      <c r="N152" s="158"/>
      <c r="O152" s="159"/>
      <c r="P152" s="81">
        <f t="shared" si="42"/>
        <v>100</v>
      </c>
      <c r="R152" s="74">
        <f t="shared" si="43"/>
        <v>2014</v>
      </c>
      <c r="S152" s="73">
        <f t="shared" si="44"/>
        <v>0</v>
      </c>
      <c r="T152" s="73">
        <v>0</v>
      </c>
      <c r="U152" s="73">
        <v>0</v>
      </c>
    </row>
    <row r="153" spans="1:21" x14ac:dyDescent="0.35">
      <c r="A153" s="88">
        <f t="shared" si="45"/>
        <v>2015</v>
      </c>
      <c r="B153" s="135">
        <v>46400</v>
      </c>
      <c r="C153" s="89">
        <v>8.6</v>
      </c>
      <c r="D153" s="121">
        <f t="shared" si="46"/>
        <v>399040</v>
      </c>
      <c r="E153" s="137">
        <v>3.5</v>
      </c>
      <c r="F153" s="137">
        <v>1396640</v>
      </c>
      <c r="H153" s="88">
        <f t="shared" si="47"/>
        <v>2015</v>
      </c>
      <c r="I153" s="90"/>
      <c r="J153" s="159">
        <v>25</v>
      </c>
      <c r="K153" s="159"/>
      <c r="L153" s="159">
        <v>75</v>
      </c>
      <c r="M153" s="90"/>
      <c r="N153" s="158"/>
      <c r="O153" s="159"/>
      <c r="P153" s="81">
        <f t="shared" si="42"/>
        <v>100</v>
      </c>
      <c r="R153" s="74">
        <f t="shared" si="43"/>
        <v>2015</v>
      </c>
      <c r="S153" s="73">
        <f t="shared" si="44"/>
        <v>0</v>
      </c>
      <c r="T153" s="73">
        <v>0</v>
      </c>
      <c r="U153" s="73">
        <v>0</v>
      </c>
    </row>
    <row r="154" spans="1:21" x14ac:dyDescent="0.35">
      <c r="A154" s="88">
        <f t="shared" si="45"/>
        <v>2016</v>
      </c>
      <c r="B154" s="135">
        <v>45800</v>
      </c>
      <c r="C154" s="89">
        <v>8.6</v>
      </c>
      <c r="D154" s="121">
        <f t="shared" si="46"/>
        <v>393880</v>
      </c>
      <c r="E154" s="137">
        <v>3.5</v>
      </c>
      <c r="F154" s="137">
        <v>1378580</v>
      </c>
      <c r="H154" s="88">
        <f t="shared" si="47"/>
        <v>2016</v>
      </c>
      <c r="I154" s="90"/>
      <c r="J154" s="159">
        <v>25</v>
      </c>
      <c r="K154" s="159"/>
      <c r="L154" s="159">
        <v>75</v>
      </c>
      <c r="M154" s="90"/>
      <c r="N154" s="158"/>
      <c r="O154" s="159"/>
      <c r="P154" s="81">
        <f t="shared" si="42"/>
        <v>100</v>
      </c>
      <c r="R154" s="74">
        <f t="shared" si="43"/>
        <v>2016</v>
      </c>
      <c r="S154" s="73">
        <f t="shared" si="44"/>
        <v>0</v>
      </c>
      <c r="T154" s="73">
        <v>0</v>
      </c>
      <c r="U154" s="73">
        <v>0</v>
      </c>
    </row>
    <row r="155" spans="1:21" x14ac:dyDescent="0.35">
      <c r="A155" s="136" t="s">
        <v>352</v>
      </c>
      <c r="H155" s="177" t="s">
        <v>391</v>
      </c>
    </row>
    <row r="156" spans="1:21" x14ac:dyDescent="0.35">
      <c r="A156" s="129" t="s">
        <v>351</v>
      </c>
      <c r="B156" s="130"/>
      <c r="C156" s="130"/>
      <c r="D156" s="130"/>
      <c r="E156" s="130"/>
      <c r="H156" s="130"/>
      <c r="I156" s="130"/>
      <c r="J156" s="130"/>
      <c r="K156" s="130"/>
      <c r="L156" s="130"/>
      <c r="M156" s="130"/>
      <c r="N156" s="130"/>
      <c r="O156" s="130"/>
      <c r="P156" s="130"/>
      <c r="Q156" s="130"/>
      <c r="R156" s="130"/>
      <c r="S156" s="130"/>
      <c r="T156" s="130"/>
      <c r="U156" s="130"/>
    </row>
    <row r="158" spans="1:21" ht="72.5" x14ac:dyDescent="0.35">
      <c r="A158" s="67" t="s">
        <v>0</v>
      </c>
      <c r="B158" s="68" t="s">
        <v>353</v>
      </c>
      <c r="C158" s="68" t="s">
        <v>354</v>
      </c>
      <c r="D158" s="138" t="s">
        <v>355</v>
      </c>
      <c r="E158" s="118" t="s">
        <v>356</v>
      </c>
      <c r="F158" s="118" t="s">
        <v>394</v>
      </c>
      <c r="H158" s="67" t="s">
        <v>0</v>
      </c>
      <c r="I158" s="68" t="s">
        <v>339</v>
      </c>
      <c r="J158" s="68" t="s">
        <v>304</v>
      </c>
      <c r="K158" s="68" t="s">
        <v>305</v>
      </c>
      <c r="L158" s="68" t="s">
        <v>115</v>
      </c>
      <c r="M158" s="68" t="s">
        <v>330</v>
      </c>
      <c r="N158" s="68" t="s">
        <v>119</v>
      </c>
      <c r="O158" s="68" t="s">
        <v>123</v>
      </c>
      <c r="P158" s="68" t="s">
        <v>345</v>
      </c>
      <c r="R158" s="67" t="s">
        <v>0</v>
      </c>
      <c r="S158" s="68" t="s">
        <v>18</v>
      </c>
      <c r="T158" s="68" t="s">
        <v>19</v>
      </c>
      <c r="U158" s="68" t="s">
        <v>21</v>
      </c>
    </row>
    <row r="159" spans="1:21" x14ac:dyDescent="0.35">
      <c r="A159" s="88">
        <v>2000</v>
      </c>
      <c r="B159" s="113">
        <f t="shared" ref="B159:B168" si="48">B160</f>
        <v>37370</v>
      </c>
      <c r="C159" s="134">
        <v>6.3</v>
      </c>
      <c r="D159" s="119">
        <f>B159*C159</f>
        <v>235431</v>
      </c>
      <c r="E159" s="140">
        <v>2.9</v>
      </c>
      <c r="F159" s="140">
        <v>682749.9</v>
      </c>
      <c r="H159" s="88">
        <v>2000</v>
      </c>
      <c r="I159" s="90"/>
      <c r="J159" s="166">
        <v>25</v>
      </c>
      <c r="K159" s="159"/>
      <c r="L159" s="166">
        <v>75</v>
      </c>
      <c r="M159" s="90"/>
      <c r="N159" s="158"/>
      <c r="O159" s="159"/>
      <c r="P159" s="81">
        <f t="shared" ref="P159:P175" si="49">SUM(I159:O159)</f>
        <v>100</v>
      </c>
      <c r="R159" s="74">
        <f t="shared" ref="R159:R175" si="50">A159</f>
        <v>2000</v>
      </c>
      <c r="S159" s="73">
        <f t="shared" ref="S159:S175" si="51">T159+U159</f>
        <v>0</v>
      </c>
      <c r="T159" s="73">
        <v>0</v>
      </c>
      <c r="U159" s="73">
        <v>0</v>
      </c>
    </row>
    <row r="160" spans="1:21" x14ac:dyDescent="0.35">
      <c r="A160" s="88">
        <f t="shared" ref="A160:A175" si="52">A159+1</f>
        <v>2001</v>
      </c>
      <c r="B160" s="113">
        <f t="shared" si="48"/>
        <v>37370</v>
      </c>
      <c r="C160" s="134">
        <v>6.3</v>
      </c>
      <c r="D160" s="119">
        <f t="shared" ref="D160:D175" si="53">B160*C160</f>
        <v>235431</v>
      </c>
      <c r="E160" s="140">
        <v>2.9</v>
      </c>
      <c r="F160" s="140">
        <v>682749.9</v>
      </c>
      <c r="H160" s="88">
        <f t="shared" ref="H160:H175" si="54">H159+1</f>
        <v>2001</v>
      </c>
      <c r="I160" s="90"/>
      <c r="J160" s="166">
        <v>25</v>
      </c>
      <c r="K160" s="159"/>
      <c r="L160" s="166">
        <v>75</v>
      </c>
      <c r="M160" s="90"/>
      <c r="N160" s="158"/>
      <c r="O160" s="159"/>
      <c r="P160" s="81">
        <f t="shared" si="49"/>
        <v>100</v>
      </c>
      <c r="R160" s="74">
        <f t="shared" si="50"/>
        <v>2001</v>
      </c>
      <c r="S160" s="73">
        <f t="shared" si="51"/>
        <v>0</v>
      </c>
      <c r="T160" s="73">
        <v>0</v>
      </c>
      <c r="U160" s="73">
        <v>0</v>
      </c>
    </row>
    <row r="161" spans="1:21" x14ac:dyDescent="0.35">
      <c r="A161" s="88">
        <f t="shared" si="52"/>
        <v>2002</v>
      </c>
      <c r="B161" s="113">
        <f t="shared" si="48"/>
        <v>37370</v>
      </c>
      <c r="C161" s="134">
        <v>6.3</v>
      </c>
      <c r="D161" s="119">
        <f t="shared" si="53"/>
        <v>235431</v>
      </c>
      <c r="E161" s="140">
        <v>2.9</v>
      </c>
      <c r="F161" s="140">
        <v>682749.9</v>
      </c>
      <c r="H161" s="88">
        <f t="shared" si="54"/>
        <v>2002</v>
      </c>
      <c r="I161" s="90"/>
      <c r="J161" s="166">
        <v>25</v>
      </c>
      <c r="K161" s="159"/>
      <c r="L161" s="166">
        <v>75</v>
      </c>
      <c r="M161" s="90"/>
      <c r="N161" s="158"/>
      <c r="O161" s="159"/>
      <c r="P161" s="81">
        <f t="shared" si="49"/>
        <v>100</v>
      </c>
      <c r="R161" s="74">
        <f t="shared" si="50"/>
        <v>2002</v>
      </c>
      <c r="S161" s="73">
        <f t="shared" si="51"/>
        <v>0</v>
      </c>
      <c r="T161" s="73">
        <v>0</v>
      </c>
      <c r="U161" s="73">
        <v>0</v>
      </c>
    </row>
    <row r="162" spans="1:21" x14ac:dyDescent="0.35">
      <c r="A162" s="88">
        <f t="shared" si="52"/>
        <v>2003</v>
      </c>
      <c r="B162" s="113">
        <f t="shared" si="48"/>
        <v>37370</v>
      </c>
      <c r="C162" s="134">
        <v>6.3</v>
      </c>
      <c r="D162" s="119">
        <f t="shared" si="53"/>
        <v>235431</v>
      </c>
      <c r="E162" s="140">
        <v>2.9</v>
      </c>
      <c r="F162" s="140">
        <v>682749.9</v>
      </c>
      <c r="H162" s="88">
        <f t="shared" si="54"/>
        <v>2003</v>
      </c>
      <c r="I162" s="90"/>
      <c r="J162" s="166">
        <v>25</v>
      </c>
      <c r="K162" s="159"/>
      <c r="L162" s="166">
        <v>75</v>
      </c>
      <c r="M162" s="90"/>
      <c r="N162" s="158"/>
      <c r="O162" s="159"/>
      <c r="P162" s="81">
        <f t="shared" si="49"/>
        <v>100</v>
      </c>
      <c r="R162" s="74">
        <f t="shared" si="50"/>
        <v>2003</v>
      </c>
      <c r="S162" s="73">
        <f t="shared" si="51"/>
        <v>0</v>
      </c>
      <c r="T162" s="73">
        <v>0</v>
      </c>
      <c r="U162" s="73">
        <v>0</v>
      </c>
    </row>
    <row r="163" spans="1:21" x14ac:dyDescent="0.35">
      <c r="A163" s="88">
        <f t="shared" si="52"/>
        <v>2004</v>
      </c>
      <c r="B163" s="113">
        <f t="shared" si="48"/>
        <v>37370</v>
      </c>
      <c r="C163" s="134">
        <v>6.3</v>
      </c>
      <c r="D163" s="119">
        <f t="shared" si="53"/>
        <v>235431</v>
      </c>
      <c r="E163" s="140">
        <v>2.9</v>
      </c>
      <c r="F163" s="140">
        <v>682749.9</v>
      </c>
      <c r="H163" s="88">
        <f t="shared" si="54"/>
        <v>2004</v>
      </c>
      <c r="I163" s="90"/>
      <c r="J163" s="166">
        <v>25</v>
      </c>
      <c r="K163" s="159"/>
      <c r="L163" s="166">
        <v>75</v>
      </c>
      <c r="M163" s="90"/>
      <c r="N163" s="158"/>
      <c r="O163" s="159"/>
      <c r="P163" s="81">
        <f t="shared" si="49"/>
        <v>100</v>
      </c>
      <c r="R163" s="74">
        <f t="shared" si="50"/>
        <v>2004</v>
      </c>
      <c r="S163" s="73">
        <f t="shared" si="51"/>
        <v>0</v>
      </c>
      <c r="T163" s="73">
        <v>0</v>
      </c>
      <c r="U163" s="73">
        <v>0</v>
      </c>
    </row>
    <row r="164" spans="1:21" x14ac:dyDescent="0.35">
      <c r="A164" s="88">
        <f t="shared" si="52"/>
        <v>2005</v>
      </c>
      <c r="B164" s="113">
        <f t="shared" si="48"/>
        <v>37370</v>
      </c>
      <c r="C164" s="134">
        <v>6.3</v>
      </c>
      <c r="D164" s="119">
        <f t="shared" si="53"/>
        <v>235431</v>
      </c>
      <c r="E164" s="140">
        <v>2.9</v>
      </c>
      <c r="F164" s="140">
        <v>682749.9</v>
      </c>
      <c r="H164" s="88">
        <f t="shared" si="54"/>
        <v>2005</v>
      </c>
      <c r="I164" s="90"/>
      <c r="J164" s="166">
        <v>25</v>
      </c>
      <c r="K164" s="159"/>
      <c r="L164" s="166">
        <v>75</v>
      </c>
      <c r="M164" s="90"/>
      <c r="N164" s="158"/>
      <c r="O164" s="159"/>
      <c r="P164" s="81">
        <f t="shared" si="49"/>
        <v>100</v>
      </c>
      <c r="R164" s="74">
        <f t="shared" si="50"/>
        <v>2005</v>
      </c>
      <c r="S164" s="73">
        <f t="shared" si="51"/>
        <v>0</v>
      </c>
      <c r="T164" s="73">
        <v>0</v>
      </c>
      <c r="U164" s="73">
        <v>0</v>
      </c>
    </row>
    <row r="165" spans="1:21" x14ac:dyDescent="0.35">
      <c r="A165" s="88">
        <f t="shared" si="52"/>
        <v>2006</v>
      </c>
      <c r="B165" s="113">
        <f t="shared" si="48"/>
        <v>37370</v>
      </c>
      <c r="C165" s="134">
        <v>6.3</v>
      </c>
      <c r="D165" s="119">
        <f t="shared" si="53"/>
        <v>235431</v>
      </c>
      <c r="E165" s="140">
        <v>2.9</v>
      </c>
      <c r="F165" s="140">
        <v>682749.9</v>
      </c>
      <c r="H165" s="88">
        <f t="shared" si="54"/>
        <v>2006</v>
      </c>
      <c r="I165" s="90"/>
      <c r="J165" s="166">
        <v>25</v>
      </c>
      <c r="K165" s="159"/>
      <c r="L165" s="166">
        <v>75</v>
      </c>
      <c r="M165" s="90"/>
      <c r="N165" s="158"/>
      <c r="O165" s="159"/>
      <c r="P165" s="81">
        <f t="shared" si="49"/>
        <v>100</v>
      </c>
      <c r="R165" s="74">
        <f t="shared" si="50"/>
        <v>2006</v>
      </c>
      <c r="S165" s="73">
        <f t="shared" si="51"/>
        <v>0</v>
      </c>
      <c r="T165" s="73">
        <v>0</v>
      </c>
      <c r="U165" s="73">
        <v>0</v>
      </c>
    </row>
    <row r="166" spans="1:21" x14ac:dyDescent="0.35">
      <c r="A166" s="88">
        <f t="shared" si="52"/>
        <v>2007</v>
      </c>
      <c r="B166" s="113">
        <f t="shared" si="48"/>
        <v>37370</v>
      </c>
      <c r="C166" s="134">
        <v>6.3</v>
      </c>
      <c r="D166" s="119">
        <f t="shared" si="53"/>
        <v>235431</v>
      </c>
      <c r="E166" s="140">
        <v>2.9</v>
      </c>
      <c r="F166" s="140">
        <v>682749.9</v>
      </c>
      <c r="H166" s="88">
        <f t="shared" si="54"/>
        <v>2007</v>
      </c>
      <c r="I166" s="90"/>
      <c r="J166" s="166">
        <v>25</v>
      </c>
      <c r="K166" s="159"/>
      <c r="L166" s="166">
        <v>75</v>
      </c>
      <c r="M166" s="90"/>
      <c r="N166" s="158"/>
      <c r="O166" s="159"/>
      <c r="P166" s="81">
        <f t="shared" si="49"/>
        <v>100</v>
      </c>
      <c r="R166" s="74">
        <f t="shared" si="50"/>
        <v>2007</v>
      </c>
      <c r="S166" s="73">
        <f t="shared" si="51"/>
        <v>0</v>
      </c>
      <c r="T166" s="73">
        <v>0</v>
      </c>
      <c r="U166" s="73">
        <v>0</v>
      </c>
    </row>
    <row r="167" spans="1:21" x14ac:dyDescent="0.35">
      <c r="A167" s="88">
        <f t="shared" si="52"/>
        <v>2008</v>
      </c>
      <c r="B167" s="113">
        <f t="shared" si="48"/>
        <v>37370</v>
      </c>
      <c r="C167" s="134">
        <v>6.3</v>
      </c>
      <c r="D167" s="119">
        <f t="shared" si="53"/>
        <v>235431</v>
      </c>
      <c r="E167" s="140">
        <v>2.9</v>
      </c>
      <c r="F167" s="140">
        <v>682749.9</v>
      </c>
      <c r="H167" s="88">
        <f t="shared" si="54"/>
        <v>2008</v>
      </c>
      <c r="I167" s="90"/>
      <c r="J167" s="166">
        <v>25</v>
      </c>
      <c r="K167" s="159"/>
      <c r="L167" s="166">
        <v>75</v>
      </c>
      <c r="M167" s="90"/>
      <c r="N167" s="158"/>
      <c r="O167" s="159"/>
      <c r="P167" s="81">
        <f t="shared" si="49"/>
        <v>100</v>
      </c>
      <c r="R167" s="74">
        <f t="shared" si="50"/>
        <v>2008</v>
      </c>
      <c r="S167" s="73">
        <f t="shared" si="51"/>
        <v>0</v>
      </c>
      <c r="T167" s="73">
        <v>0</v>
      </c>
      <c r="U167" s="73">
        <v>0</v>
      </c>
    </row>
    <row r="168" spans="1:21" x14ac:dyDescent="0.35">
      <c r="A168" s="88">
        <f t="shared" si="52"/>
        <v>2009</v>
      </c>
      <c r="B168" s="113">
        <f t="shared" si="48"/>
        <v>37370</v>
      </c>
      <c r="C168" s="134">
        <v>6.3</v>
      </c>
      <c r="D168" s="119">
        <f t="shared" si="53"/>
        <v>235431</v>
      </c>
      <c r="E168" s="140">
        <v>2.9</v>
      </c>
      <c r="F168" s="140">
        <v>682749.9</v>
      </c>
      <c r="H168" s="88">
        <f t="shared" si="54"/>
        <v>2009</v>
      </c>
      <c r="I168" s="90"/>
      <c r="J168" s="166">
        <v>25</v>
      </c>
      <c r="K168" s="159"/>
      <c r="L168" s="166">
        <v>75</v>
      </c>
      <c r="M168" s="90"/>
      <c r="N168" s="158"/>
      <c r="O168" s="159"/>
      <c r="P168" s="81">
        <f t="shared" si="49"/>
        <v>100</v>
      </c>
      <c r="R168" s="74">
        <f t="shared" si="50"/>
        <v>2009</v>
      </c>
      <c r="S168" s="73">
        <f t="shared" si="51"/>
        <v>0</v>
      </c>
      <c r="T168" s="73">
        <v>0</v>
      </c>
      <c r="U168" s="73">
        <v>0</v>
      </c>
    </row>
    <row r="169" spans="1:21" x14ac:dyDescent="0.35">
      <c r="A169" s="88">
        <f t="shared" si="52"/>
        <v>2010</v>
      </c>
      <c r="B169" s="113">
        <f>B170</f>
        <v>37370</v>
      </c>
      <c r="C169" s="134">
        <v>6.3</v>
      </c>
      <c r="D169" s="119">
        <f t="shared" si="53"/>
        <v>235431</v>
      </c>
      <c r="E169" s="140">
        <v>2.9</v>
      </c>
      <c r="F169" s="140">
        <v>682749.9</v>
      </c>
      <c r="H169" s="88">
        <f t="shared" si="54"/>
        <v>2010</v>
      </c>
      <c r="I169" s="90"/>
      <c r="J169" s="166">
        <v>25</v>
      </c>
      <c r="K169" s="159"/>
      <c r="L169" s="166">
        <v>75</v>
      </c>
      <c r="M169" s="90"/>
      <c r="N169" s="158"/>
      <c r="O169" s="159"/>
      <c r="P169" s="81">
        <f t="shared" si="49"/>
        <v>100</v>
      </c>
      <c r="R169" s="74">
        <f t="shared" si="50"/>
        <v>2010</v>
      </c>
      <c r="S169" s="73">
        <f t="shared" si="51"/>
        <v>0</v>
      </c>
      <c r="T169" s="73">
        <v>0</v>
      </c>
      <c r="U169" s="73">
        <v>0</v>
      </c>
    </row>
    <row r="170" spans="1:21" x14ac:dyDescent="0.35">
      <c r="A170" s="88">
        <f t="shared" si="52"/>
        <v>2011</v>
      </c>
      <c r="B170" s="79">
        <v>37370</v>
      </c>
      <c r="C170" s="134">
        <v>6.3</v>
      </c>
      <c r="D170" s="119">
        <f t="shared" si="53"/>
        <v>235431</v>
      </c>
      <c r="E170" s="140">
        <v>2.9</v>
      </c>
      <c r="F170" s="140">
        <v>682749.9</v>
      </c>
      <c r="H170" s="88">
        <f t="shared" si="54"/>
        <v>2011</v>
      </c>
      <c r="I170" s="90"/>
      <c r="J170" s="166">
        <v>25</v>
      </c>
      <c r="K170" s="159"/>
      <c r="L170" s="166">
        <v>75</v>
      </c>
      <c r="M170" s="90"/>
      <c r="N170" s="158"/>
      <c r="O170" s="159"/>
      <c r="P170" s="81">
        <f t="shared" si="49"/>
        <v>100</v>
      </c>
      <c r="R170" s="74">
        <f t="shared" si="50"/>
        <v>2011</v>
      </c>
      <c r="S170" s="73">
        <f t="shared" si="51"/>
        <v>0</v>
      </c>
      <c r="T170" s="73">
        <v>0</v>
      </c>
      <c r="U170" s="73">
        <v>0</v>
      </c>
    </row>
    <row r="171" spans="1:21" x14ac:dyDescent="0.35">
      <c r="A171" s="88">
        <f t="shared" si="52"/>
        <v>2012</v>
      </c>
      <c r="B171" s="113">
        <f>B170-($B$170-$B$174)/4</f>
        <v>36855</v>
      </c>
      <c r="C171" s="134">
        <v>6.3</v>
      </c>
      <c r="D171" s="119">
        <f t="shared" si="53"/>
        <v>232186.5</v>
      </c>
      <c r="E171" s="140">
        <v>2.9</v>
      </c>
      <c r="F171" s="140">
        <v>673340.85</v>
      </c>
      <c r="H171" s="88">
        <f t="shared" si="54"/>
        <v>2012</v>
      </c>
      <c r="I171" s="90"/>
      <c r="J171" s="166">
        <v>25</v>
      </c>
      <c r="K171" s="159"/>
      <c r="L171" s="166">
        <v>75</v>
      </c>
      <c r="M171" s="90"/>
      <c r="N171" s="158"/>
      <c r="O171" s="159"/>
      <c r="P171" s="81">
        <f t="shared" si="49"/>
        <v>100</v>
      </c>
      <c r="R171" s="74">
        <f t="shared" si="50"/>
        <v>2012</v>
      </c>
      <c r="S171" s="73">
        <f t="shared" si="51"/>
        <v>0</v>
      </c>
      <c r="T171" s="73">
        <v>0</v>
      </c>
      <c r="U171" s="73">
        <v>0</v>
      </c>
    </row>
    <row r="172" spans="1:21" x14ac:dyDescent="0.35">
      <c r="A172" s="88">
        <f t="shared" si="52"/>
        <v>2013</v>
      </c>
      <c r="B172" s="113">
        <f t="shared" ref="B172:B173" si="55">B171-($B$170-$B$174)/4</f>
        <v>36340</v>
      </c>
      <c r="C172" s="134">
        <v>6.3</v>
      </c>
      <c r="D172" s="119">
        <f t="shared" si="53"/>
        <v>228942</v>
      </c>
      <c r="E172" s="140">
        <v>2.9</v>
      </c>
      <c r="F172" s="140">
        <v>663931.79999999993</v>
      </c>
      <c r="H172" s="88">
        <f t="shared" si="54"/>
        <v>2013</v>
      </c>
      <c r="I172" s="90"/>
      <c r="J172" s="166">
        <v>25</v>
      </c>
      <c r="K172" s="159"/>
      <c r="L172" s="166">
        <v>75</v>
      </c>
      <c r="M172" s="90"/>
      <c r="N172" s="158"/>
      <c r="O172" s="159"/>
      <c r="P172" s="81">
        <f t="shared" si="49"/>
        <v>100</v>
      </c>
      <c r="R172" s="74">
        <f t="shared" si="50"/>
        <v>2013</v>
      </c>
      <c r="S172" s="73">
        <f t="shared" si="51"/>
        <v>0</v>
      </c>
      <c r="T172" s="73">
        <v>0</v>
      </c>
      <c r="U172" s="73">
        <v>0</v>
      </c>
    </row>
    <row r="173" spans="1:21" x14ac:dyDescent="0.35">
      <c r="A173" s="88">
        <f t="shared" si="52"/>
        <v>2014</v>
      </c>
      <c r="B173" s="113">
        <f t="shared" si="55"/>
        <v>35825</v>
      </c>
      <c r="C173" s="134">
        <v>6.3</v>
      </c>
      <c r="D173" s="119">
        <f t="shared" si="53"/>
        <v>225697.5</v>
      </c>
      <c r="E173" s="140">
        <v>2.9</v>
      </c>
      <c r="F173" s="140">
        <v>654522.75</v>
      </c>
      <c r="H173" s="88">
        <f t="shared" si="54"/>
        <v>2014</v>
      </c>
      <c r="I173" s="90"/>
      <c r="J173" s="166">
        <v>25</v>
      </c>
      <c r="K173" s="159"/>
      <c r="L173" s="166">
        <v>75</v>
      </c>
      <c r="M173" s="90"/>
      <c r="N173" s="158"/>
      <c r="O173" s="159"/>
      <c r="P173" s="81">
        <f t="shared" si="49"/>
        <v>100</v>
      </c>
      <c r="R173" s="74">
        <f t="shared" si="50"/>
        <v>2014</v>
      </c>
      <c r="S173" s="73">
        <f t="shared" si="51"/>
        <v>0</v>
      </c>
      <c r="T173" s="73">
        <v>0</v>
      </c>
      <c r="U173" s="73">
        <v>0</v>
      </c>
    </row>
    <row r="174" spans="1:21" x14ac:dyDescent="0.35">
      <c r="A174" s="88">
        <f t="shared" si="52"/>
        <v>2015</v>
      </c>
      <c r="B174" s="79">
        <v>35310</v>
      </c>
      <c r="C174" s="134">
        <v>6.3</v>
      </c>
      <c r="D174" s="119">
        <f t="shared" si="53"/>
        <v>222453</v>
      </c>
      <c r="E174" s="140">
        <v>2.9</v>
      </c>
      <c r="F174" s="140">
        <v>645113.69999999995</v>
      </c>
      <c r="H174" s="88">
        <f t="shared" si="54"/>
        <v>2015</v>
      </c>
      <c r="I174" s="90"/>
      <c r="J174" s="166">
        <v>25</v>
      </c>
      <c r="K174" s="159"/>
      <c r="L174" s="166">
        <v>75</v>
      </c>
      <c r="M174" s="90"/>
      <c r="N174" s="158"/>
      <c r="O174" s="159"/>
      <c r="P174" s="81">
        <f t="shared" si="49"/>
        <v>100</v>
      </c>
      <c r="R174" s="74">
        <f t="shared" si="50"/>
        <v>2015</v>
      </c>
      <c r="S174" s="73">
        <f t="shared" si="51"/>
        <v>0</v>
      </c>
      <c r="T174" s="73">
        <v>0</v>
      </c>
      <c r="U174" s="73">
        <v>0</v>
      </c>
    </row>
    <row r="175" spans="1:21" x14ac:dyDescent="0.35">
      <c r="A175" s="88">
        <f t="shared" si="52"/>
        <v>2016</v>
      </c>
      <c r="B175" s="79">
        <v>36070</v>
      </c>
      <c r="C175" s="134">
        <v>6.3</v>
      </c>
      <c r="D175" s="119">
        <f t="shared" si="53"/>
        <v>227241</v>
      </c>
      <c r="E175" s="140">
        <v>2.9</v>
      </c>
      <c r="F175" s="140">
        <v>658998.9</v>
      </c>
      <c r="H175" s="88">
        <f t="shared" si="54"/>
        <v>2016</v>
      </c>
      <c r="I175" s="90"/>
      <c r="J175" s="166">
        <v>25</v>
      </c>
      <c r="K175" s="159"/>
      <c r="L175" s="166">
        <v>75</v>
      </c>
      <c r="M175" s="90"/>
      <c r="N175" s="158"/>
      <c r="O175" s="159"/>
      <c r="P175" s="81">
        <f t="shared" si="49"/>
        <v>100</v>
      </c>
      <c r="R175" s="74">
        <f t="shared" si="50"/>
        <v>2016</v>
      </c>
      <c r="S175" s="73">
        <f t="shared" si="51"/>
        <v>0</v>
      </c>
      <c r="T175" s="73">
        <v>0</v>
      </c>
      <c r="U175" s="73">
        <v>0</v>
      </c>
    </row>
    <row r="176" spans="1:21" x14ac:dyDescent="0.35">
      <c r="A176" s="66" t="s">
        <v>357</v>
      </c>
      <c r="H176" s="177" t="s">
        <v>391</v>
      </c>
    </row>
    <row r="177" spans="1:1" x14ac:dyDescent="0.35">
      <c r="A177" s="66" t="s">
        <v>392</v>
      </c>
    </row>
  </sheetData>
  <mergeCells count="4">
    <mergeCell ref="A2:W2"/>
    <mergeCell ref="A112:U112"/>
    <mergeCell ref="A66:AC66"/>
    <mergeCell ref="AA47:AB47"/>
  </mergeCells>
  <hyperlinks>
    <hyperlink ref="A88" r:id="rId1" location="data/FBS/visualize" xr:uid="{FA2F301F-E11D-40F9-9F7B-8F46FF2E2E4A}"/>
  </hyperlinks>
  <pageMargins left="0.7" right="0.7" top="0.75" bottom="0.75"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DAC16-C2F8-4716-898C-87271D058568}">
  <sheetPr>
    <tabColor theme="4" tint="0.39997558519241921"/>
  </sheetPr>
  <dimension ref="A2:AC92"/>
  <sheetViews>
    <sheetView showGridLines="0" topLeftCell="A76" zoomScale="70" zoomScaleNormal="70" workbookViewId="0">
      <selection activeCell="L44" sqref="L44"/>
    </sheetView>
  </sheetViews>
  <sheetFormatPr baseColWidth="10" defaultColWidth="9.1796875" defaultRowHeight="14.5" x14ac:dyDescent="0.35"/>
  <cols>
    <col min="1" max="1" width="9.1796875" style="66"/>
    <col min="2" max="2" width="13.1796875" style="66" bestFit="1" customWidth="1"/>
    <col min="3" max="3" width="16.1796875" style="66" bestFit="1" customWidth="1"/>
    <col min="4" max="6" width="11.54296875" style="66" bestFit="1" customWidth="1"/>
    <col min="7" max="7" width="13.08984375" style="66" bestFit="1" customWidth="1"/>
    <col min="8" max="8" width="9.1796875" style="66"/>
    <col min="9" max="9" width="9.90625" style="66" customWidth="1"/>
    <col min="10" max="10" width="9.6328125" style="66" customWidth="1"/>
    <col min="11" max="15" width="9.1796875" style="66"/>
    <col min="16" max="16" width="12" style="66" customWidth="1"/>
    <col min="17" max="17" width="10.54296875" style="66" customWidth="1"/>
    <col min="18" max="19" width="9.1796875" style="66"/>
    <col min="20" max="20" width="10.81640625" style="66" customWidth="1"/>
    <col min="21" max="22" width="9.1796875" style="66"/>
    <col min="23" max="23" width="12.54296875" style="66" bestFit="1" customWidth="1"/>
    <col min="24" max="16384" width="9.1796875" style="66"/>
  </cols>
  <sheetData>
    <row r="2" spans="1:23" ht="46" x14ac:dyDescent="1">
      <c r="A2" s="220" t="s">
        <v>14</v>
      </c>
      <c r="B2" s="220"/>
      <c r="C2" s="220"/>
      <c r="D2" s="220"/>
      <c r="E2" s="220"/>
      <c r="F2" s="220"/>
      <c r="G2" s="220"/>
      <c r="H2" s="220"/>
      <c r="I2" s="220"/>
      <c r="J2" s="220"/>
      <c r="K2" s="220"/>
      <c r="L2" s="220"/>
      <c r="M2" s="220"/>
      <c r="N2" s="220"/>
      <c r="O2" s="220"/>
      <c r="P2" s="220"/>
      <c r="Q2" s="220"/>
      <c r="R2" s="220"/>
      <c r="S2" s="220"/>
      <c r="T2" s="220"/>
      <c r="U2" s="220"/>
      <c r="V2" s="220"/>
      <c r="W2" s="220"/>
    </row>
    <row r="4" spans="1:23" s="69" customFormat="1" ht="51" customHeight="1" x14ac:dyDescent="0.35">
      <c r="A4" s="67" t="s">
        <v>0</v>
      </c>
      <c r="B4" s="68" t="s">
        <v>9</v>
      </c>
      <c r="C4" s="68" t="s">
        <v>13</v>
      </c>
      <c r="D4" s="68" t="s">
        <v>10</v>
      </c>
      <c r="E4" s="68" t="s">
        <v>386</v>
      </c>
      <c r="F4" s="68" t="s">
        <v>385</v>
      </c>
      <c r="G4" s="68" t="s">
        <v>11</v>
      </c>
      <c r="H4" s="68" t="s">
        <v>12</v>
      </c>
      <c r="J4" s="67" t="s">
        <v>0</v>
      </c>
      <c r="K4" s="68" t="s">
        <v>1</v>
      </c>
      <c r="L4" s="68" t="s">
        <v>2</v>
      </c>
      <c r="M4" s="68" t="s">
        <v>3</v>
      </c>
      <c r="N4" s="68" t="s">
        <v>4</v>
      </c>
      <c r="O4" s="68" t="s">
        <v>5</v>
      </c>
      <c r="P4" s="68" t="s">
        <v>6</v>
      </c>
      <c r="Q4" s="68" t="s">
        <v>7</v>
      </c>
      <c r="R4" s="68" t="s">
        <v>8</v>
      </c>
      <c r="T4" s="67" t="s">
        <v>0</v>
      </c>
      <c r="U4" s="68" t="s">
        <v>18</v>
      </c>
      <c r="V4" s="68" t="s">
        <v>19</v>
      </c>
      <c r="W4" s="68" t="s">
        <v>21</v>
      </c>
    </row>
    <row r="5" spans="1:23" s="69" customFormat="1" x14ac:dyDescent="0.35">
      <c r="A5" s="70">
        <v>1960</v>
      </c>
      <c r="B5" s="112">
        <f>B6-(B7-B6)</f>
        <v>17048.199999999997</v>
      </c>
      <c r="C5" s="72">
        <f>'AD Mauritius'!C5</f>
        <v>261.50842917505554</v>
      </c>
      <c r="D5" s="71">
        <f t="shared" ref="D5:D36" si="0">F5+G5+H5</f>
        <v>4458.2480022621803</v>
      </c>
      <c r="E5" s="71">
        <f t="shared" ref="E5:E36" si="1">G5+H5+I5</f>
        <v>0</v>
      </c>
      <c r="F5" s="71">
        <f t="shared" ref="F5:F36" si="2">B5*C5/1000</f>
        <v>4458.2480022621803</v>
      </c>
      <c r="G5" s="73">
        <v>0</v>
      </c>
      <c r="H5" s="73">
        <v>0</v>
      </c>
      <c r="J5" s="74">
        <f t="shared" ref="J5:J36" si="3">A5</f>
        <v>1960</v>
      </c>
      <c r="K5" s="73">
        <v>25</v>
      </c>
      <c r="L5" s="73">
        <v>43</v>
      </c>
      <c r="M5" s="73">
        <v>12</v>
      </c>
      <c r="N5" s="73">
        <v>0</v>
      </c>
      <c r="O5" s="73">
        <v>3</v>
      </c>
      <c r="P5" s="73">
        <v>0</v>
      </c>
      <c r="Q5" s="73">
        <v>17</v>
      </c>
      <c r="R5" s="73">
        <f t="shared" ref="R5:R41" si="4">SUM(K5:Q5)</f>
        <v>100</v>
      </c>
      <c r="T5" s="74">
        <f>J5</f>
        <v>1960</v>
      </c>
      <c r="U5" s="73">
        <f t="shared" ref="U5:U41" si="5">V5+W5</f>
        <v>0</v>
      </c>
      <c r="V5" s="73">
        <v>0</v>
      </c>
      <c r="W5" s="73">
        <v>0</v>
      </c>
    </row>
    <row r="6" spans="1:23" s="69" customFormat="1" x14ac:dyDescent="0.35">
      <c r="A6" s="70">
        <f>A5+1</f>
        <v>1961</v>
      </c>
      <c r="B6" s="112">
        <f>B7-(B8-B7)</f>
        <v>17691.599999999999</v>
      </c>
      <c r="C6" s="72">
        <f>'AD Mauritius'!C6</f>
        <v>261.50842917505554</v>
      </c>
      <c r="D6" s="71">
        <f t="shared" si="0"/>
        <v>4626.5025255934124</v>
      </c>
      <c r="E6" s="71">
        <f t="shared" si="1"/>
        <v>0</v>
      </c>
      <c r="F6" s="71">
        <f t="shared" si="2"/>
        <v>4626.5025255934124</v>
      </c>
      <c r="G6" s="73">
        <v>0</v>
      </c>
      <c r="H6" s="73">
        <v>0</v>
      </c>
      <c r="J6" s="74">
        <f t="shared" si="3"/>
        <v>1961</v>
      </c>
      <c r="K6" s="73">
        <v>25</v>
      </c>
      <c r="L6" s="73">
        <v>43</v>
      </c>
      <c r="M6" s="73">
        <v>12</v>
      </c>
      <c r="N6" s="73">
        <v>0</v>
      </c>
      <c r="O6" s="73">
        <v>3</v>
      </c>
      <c r="P6" s="73">
        <v>0</v>
      </c>
      <c r="Q6" s="73">
        <v>17</v>
      </c>
      <c r="R6" s="73">
        <f t="shared" si="4"/>
        <v>100</v>
      </c>
      <c r="T6" s="74">
        <f t="shared" ref="T6:T61" si="6">J6</f>
        <v>1961</v>
      </c>
      <c r="U6" s="73">
        <f t="shared" si="5"/>
        <v>0</v>
      </c>
      <c r="V6" s="73">
        <v>0</v>
      </c>
      <c r="W6" s="73">
        <v>0</v>
      </c>
    </row>
    <row r="7" spans="1:23" s="69" customFormat="1" x14ac:dyDescent="0.35">
      <c r="A7" s="70">
        <f t="shared" ref="A7:A61" si="7">A6+1</f>
        <v>1962</v>
      </c>
      <c r="B7" s="71">
        <v>18335</v>
      </c>
      <c r="C7" s="72">
        <f>'AD Mauritius'!C7</f>
        <v>261.50842917505554</v>
      </c>
      <c r="D7" s="71">
        <f t="shared" si="0"/>
        <v>4794.7570489246436</v>
      </c>
      <c r="E7" s="71">
        <f t="shared" si="1"/>
        <v>0</v>
      </c>
      <c r="F7" s="71">
        <f t="shared" si="2"/>
        <v>4794.7570489246436</v>
      </c>
      <c r="G7" s="73">
        <v>0</v>
      </c>
      <c r="H7" s="73">
        <v>0</v>
      </c>
      <c r="J7" s="74">
        <f t="shared" si="3"/>
        <v>1962</v>
      </c>
      <c r="K7" s="73">
        <v>25</v>
      </c>
      <c r="L7" s="73">
        <v>43</v>
      </c>
      <c r="M7" s="73">
        <v>12</v>
      </c>
      <c r="N7" s="73">
        <v>0</v>
      </c>
      <c r="O7" s="73">
        <v>3</v>
      </c>
      <c r="P7" s="73">
        <v>0</v>
      </c>
      <c r="Q7" s="73">
        <v>17</v>
      </c>
      <c r="R7" s="73">
        <f t="shared" si="4"/>
        <v>100</v>
      </c>
      <c r="T7" s="74">
        <f t="shared" si="6"/>
        <v>1962</v>
      </c>
      <c r="U7" s="73">
        <f t="shared" si="5"/>
        <v>0</v>
      </c>
      <c r="V7" s="73">
        <v>0</v>
      </c>
      <c r="W7" s="73">
        <v>0</v>
      </c>
    </row>
    <row r="8" spans="1:23" s="69" customFormat="1" x14ac:dyDescent="0.35">
      <c r="A8" s="70">
        <f t="shared" si="7"/>
        <v>1963</v>
      </c>
      <c r="B8" s="112">
        <f>B7+($B$17-$B$7)/10</f>
        <v>18978.400000000001</v>
      </c>
      <c r="C8" s="72">
        <f>'AD Mauritius'!C8</f>
        <v>261.50842917505554</v>
      </c>
      <c r="D8" s="71">
        <f t="shared" si="0"/>
        <v>4963.0115722558739</v>
      </c>
      <c r="E8" s="71">
        <f t="shared" si="1"/>
        <v>0</v>
      </c>
      <c r="F8" s="71">
        <f t="shared" si="2"/>
        <v>4963.0115722558739</v>
      </c>
      <c r="G8" s="73">
        <v>0</v>
      </c>
      <c r="H8" s="73">
        <v>0</v>
      </c>
      <c r="J8" s="74">
        <f t="shared" si="3"/>
        <v>1963</v>
      </c>
      <c r="K8" s="73">
        <v>25</v>
      </c>
      <c r="L8" s="73">
        <v>43</v>
      </c>
      <c r="M8" s="73">
        <v>12</v>
      </c>
      <c r="N8" s="73">
        <v>0</v>
      </c>
      <c r="O8" s="73">
        <v>3</v>
      </c>
      <c r="P8" s="73">
        <v>0</v>
      </c>
      <c r="Q8" s="73">
        <v>17</v>
      </c>
      <c r="R8" s="73">
        <f t="shared" si="4"/>
        <v>100</v>
      </c>
      <c r="T8" s="74">
        <f t="shared" si="6"/>
        <v>1963</v>
      </c>
      <c r="U8" s="73">
        <f t="shared" si="5"/>
        <v>0</v>
      </c>
      <c r="V8" s="73">
        <v>0</v>
      </c>
      <c r="W8" s="73">
        <v>0</v>
      </c>
    </row>
    <row r="9" spans="1:23" s="69" customFormat="1" x14ac:dyDescent="0.35">
      <c r="A9" s="70">
        <f t="shared" si="7"/>
        <v>1964</v>
      </c>
      <c r="B9" s="112">
        <f t="shared" ref="B9:B16" si="8">B8+($B$17-$B$7)/10</f>
        <v>19621.800000000003</v>
      </c>
      <c r="C9" s="72">
        <f>'AD Mauritius'!C9</f>
        <v>261.50842917505554</v>
      </c>
      <c r="D9" s="71">
        <f t="shared" si="0"/>
        <v>5131.2660955871052</v>
      </c>
      <c r="E9" s="71">
        <f t="shared" si="1"/>
        <v>0</v>
      </c>
      <c r="F9" s="71">
        <f t="shared" si="2"/>
        <v>5131.2660955871052</v>
      </c>
      <c r="G9" s="73">
        <v>0</v>
      </c>
      <c r="H9" s="73">
        <v>0</v>
      </c>
      <c r="J9" s="74">
        <f t="shared" si="3"/>
        <v>1964</v>
      </c>
      <c r="K9" s="73">
        <v>25</v>
      </c>
      <c r="L9" s="73">
        <v>43</v>
      </c>
      <c r="M9" s="73">
        <v>12</v>
      </c>
      <c r="N9" s="73">
        <v>0</v>
      </c>
      <c r="O9" s="73">
        <v>3</v>
      </c>
      <c r="P9" s="73">
        <v>0</v>
      </c>
      <c r="Q9" s="73">
        <v>17</v>
      </c>
      <c r="R9" s="73">
        <f t="shared" si="4"/>
        <v>100</v>
      </c>
      <c r="T9" s="74">
        <f t="shared" si="6"/>
        <v>1964</v>
      </c>
      <c r="U9" s="73">
        <f t="shared" si="5"/>
        <v>0</v>
      </c>
      <c r="V9" s="73">
        <v>0</v>
      </c>
      <c r="W9" s="73">
        <v>0</v>
      </c>
    </row>
    <row r="10" spans="1:23" s="69" customFormat="1" x14ac:dyDescent="0.35">
      <c r="A10" s="70">
        <f t="shared" si="7"/>
        <v>1965</v>
      </c>
      <c r="B10" s="112">
        <f t="shared" si="8"/>
        <v>20265.200000000004</v>
      </c>
      <c r="C10" s="72">
        <f>'AD Mauritius'!C10</f>
        <v>261.50842917505554</v>
      </c>
      <c r="D10" s="71">
        <f t="shared" si="0"/>
        <v>5299.5206189183373</v>
      </c>
      <c r="E10" s="71">
        <f t="shared" si="1"/>
        <v>0</v>
      </c>
      <c r="F10" s="71">
        <f t="shared" si="2"/>
        <v>5299.5206189183373</v>
      </c>
      <c r="G10" s="73">
        <v>0</v>
      </c>
      <c r="H10" s="73">
        <v>0</v>
      </c>
      <c r="J10" s="74">
        <f t="shared" si="3"/>
        <v>1965</v>
      </c>
      <c r="K10" s="73">
        <v>25</v>
      </c>
      <c r="L10" s="73">
        <v>43</v>
      </c>
      <c r="M10" s="73">
        <v>12</v>
      </c>
      <c r="N10" s="73">
        <v>0</v>
      </c>
      <c r="O10" s="73">
        <v>3</v>
      </c>
      <c r="P10" s="73">
        <v>0</v>
      </c>
      <c r="Q10" s="73">
        <v>17</v>
      </c>
      <c r="R10" s="73">
        <f t="shared" si="4"/>
        <v>100</v>
      </c>
      <c r="T10" s="74">
        <f t="shared" si="6"/>
        <v>1965</v>
      </c>
      <c r="U10" s="73">
        <f t="shared" si="5"/>
        <v>0</v>
      </c>
      <c r="V10" s="73">
        <v>0</v>
      </c>
      <c r="W10" s="73">
        <v>0</v>
      </c>
    </row>
    <row r="11" spans="1:23" s="69" customFormat="1" x14ac:dyDescent="0.35">
      <c r="A11" s="70">
        <f t="shared" si="7"/>
        <v>1966</v>
      </c>
      <c r="B11" s="112">
        <f t="shared" si="8"/>
        <v>20908.600000000006</v>
      </c>
      <c r="C11" s="72">
        <f>'AD Mauritius'!C11</f>
        <v>261.50842917505554</v>
      </c>
      <c r="D11" s="71">
        <f t="shared" si="0"/>
        <v>5467.7751422495676</v>
      </c>
      <c r="E11" s="71">
        <f t="shared" si="1"/>
        <v>0</v>
      </c>
      <c r="F11" s="71">
        <f t="shared" si="2"/>
        <v>5467.7751422495676</v>
      </c>
      <c r="G11" s="73">
        <v>0</v>
      </c>
      <c r="H11" s="73">
        <v>0</v>
      </c>
      <c r="J11" s="74">
        <f t="shared" si="3"/>
        <v>1966</v>
      </c>
      <c r="K11" s="73">
        <v>25</v>
      </c>
      <c r="L11" s="73">
        <v>43</v>
      </c>
      <c r="M11" s="73">
        <v>12</v>
      </c>
      <c r="N11" s="73">
        <v>0</v>
      </c>
      <c r="O11" s="73">
        <v>3</v>
      </c>
      <c r="P11" s="73">
        <v>0</v>
      </c>
      <c r="Q11" s="73">
        <v>17</v>
      </c>
      <c r="R11" s="73">
        <f t="shared" si="4"/>
        <v>100</v>
      </c>
      <c r="T11" s="74">
        <f t="shared" si="6"/>
        <v>1966</v>
      </c>
      <c r="U11" s="73">
        <f t="shared" si="5"/>
        <v>0</v>
      </c>
      <c r="V11" s="73">
        <v>0</v>
      </c>
      <c r="W11" s="73">
        <v>0</v>
      </c>
    </row>
    <row r="12" spans="1:23" s="69" customFormat="1" x14ac:dyDescent="0.35">
      <c r="A12" s="70">
        <f t="shared" si="7"/>
        <v>1967</v>
      </c>
      <c r="B12" s="112">
        <f t="shared" si="8"/>
        <v>21552.000000000007</v>
      </c>
      <c r="C12" s="72">
        <f>'AD Mauritius'!C12</f>
        <v>261.50842917505554</v>
      </c>
      <c r="D12" s="71">
        <f t="shared" si="0"/>
        <v>5636.0296655807988</v>
      </c>
      <c r="E12" s="71">
        <f t="shared" si="1"/>
        <v>0</v>
      </c>
      <c r="F12" s="71">
        <f t="shared" si="2"/>
        <v>5636.0296655807988</v>
      </c>
      <c r="G12" s="73">
        <v>0</v>
      </c>
      <c r="H12" s="73">
        <v>0</v>
      </c>
      <c r="J12" s="74">
        <f t="shared" si="3"/>
        <v>1967</v>
      </c>
      <c r="K12" s="73">
        <v>25</v>
      </c>
      <c r="L12" s="73">
        <v>43</v>
      </c>
      <c r="M12" s="73">
        <v>12</v>
      </c>
      <c r="N12" s="73">
        <v>0</v>
      </c>
      <c r="O12" s="73">
        <v>3</v>
      </c>
      <c r="P12" s="73">
        <v>0</v>
      </c>
      <c r="Q12" s="73">
        <v>17</v>
      </c>
      <c r="R12" s="73">
        <f t="shared" si="4"/>
        <v>100</v>
      </c>
      <c r="T12" s="74">
        <f t="shared" si="6"/>
        <v>1967</v>
      </c>
      <c r="U12" s="73">
        <f t="shared" si="5"/>
        <v>0</v>
      </c>
      <c r="V12" s="73">
        <v>0</v>
      </c>
      <c r="W12" s="73">
        <v>0</v>
      </c>
    </row>
    <row r="13" spans="1:23" s="69" customFormat="1" x14ac:dyDescent="0.35">
      <c r="A13" s="70">
        <f t="shared" si="7"/>
        <v>1968</v>
      </c>
      <c r="B13" s="112">
        <f t="shared" si="8"/>
        <v>22195.400000000009</v>
      </c>
      <c r="C13" s="72">
        <f>'AD Mauritius'!C13</f>
        <v>261.50842917505554</v>
      </c>
      <c r="D13" s="71">
        <f t="shared" si="0"/>
        <v>5804.28418891203</v>
      </c>
      <c r="E13" s="71">
        <f t="shared" si="1"/>
        <v>0</v>
      </c>
      <c r="F13" s="71">
        <f t="shared" si="2"/>
        <v>5804.28418891203</v>
      </c>
      <c r="G13" s="73">
        <v>0</v>
      </c>
      <c r="H13" s="73">
        <v>0</v>
      </c>
      <c r="J13" s="74">
        <f t="shared" si="3"/>
        <v>1968</v>
      </c>
      <c r="K13" s="73">
        <v>25</v>
      </c>
      <c r="L13" s="73">
        <v>43</v>
      </c>
      <c r="M13" s="73">
        <v>12</v>
      </c>
      <c r="N13" s="73">
        <v>0</v>
      </c>
      <c r="O13" s="73">
        <v>3</v>
      </c>
      <c r="P13" s="73">
        <v>0</v>
      </c>
      <c r="Q13" s="73">
        <v>17</v>
      </c>
      <c r="R13" s="73">
        <f t="shared" si="4"/>
        <v>100</v>
      </c>
      <c r="T13" s="74">
        <f t="shared" si="6"/>
        <v>1968</v>
      </c>
      <c r="U13" s="73">
        <f t="shared" si="5"/>
        <v>0</v>
      </c>
      <c r="V13" s="73">
        <v>0</v>
      </c>
      <c r="W13" s="73">
        <v>0</v>
      </c>
    </row>
    <row r="14" spans="1:23" s="69" customFormat="1" x14ac:dyDescent="0.35">
      <c r="A14" s="70">
        <f t="shared" si="7"/>
        <v>1969</v>
      </c>
      <c r="B14" s="112">
        <f t="shared" si="8"/>
        <v>22838.80000000001</v>
      </c>
      <c r="C14" s="72">
        <f>'AD Mauritius'!C14</f>
        <v>261.50842917505554</v>
      </c>
      <c r="D14" s="71">
        <f t="shared" si="0"/>
        <v>5972.5387122432612</v>
      </c>
      <c r="E14" s="71">
        <f t="shared" si="1"/>
        <v>0</v>
      </c>
      <c r="F14" s="71">
        <f t="shared" si="2"/>
        <v>5972.5387122432612</v>
      </c>
      <c r="G14" s="73">
        <v>0</v>
      </c>
      <c r="H14" s="73">
        <v>0</v>
      </c>
      <c r="J14" s="74">
        <f t="shared" si="3"/>
        <v>1969</v>
      </c>
      <c r="K14" s="73">
        <v>25</v>
      </c>
      <c r="L14" s="73">
        <v>43</v>
      </c>
      <c r="M14" s="73">
        <v>12</v>
      </c>
      <c r="N14" s="73">
        <v>0</v>
      </c>
      <c r="O14" s="73">
        <v>3</v>
      </c>
      <c r="P14" s="73">
        <v>0</v>
      </c>
      <c r="Q14" s="73">
        <v>17</v>
      </c>
      <c r="R14" s="73">
        <f t="shared" si="4"/>
        <v>100</v>
      </c>
      <c r="T14" s="74">
        <f t="shared" si="6"/>
        <v>1969</v>
      </c>
      <c r="U14" s="73">
        <f t="shared" si="5"/>
        <v>0</v>
      </c>
      <c r="V14" s="73">
        <v>0</v>
      </c>
      <c r="W14" s="73">
        <v>0</v>
      </c>
    </row>
    <row r="15" spans="1:23" s="69" customFormat="1" x14ac:dyDescent="0.35">
      <c r="A15" s="70">
        <f t="shared" si="7"/>
        <v>1970</v>
      </c>
      <c r="B15" s="112">
        <f t="shared" si="8"/>
        <v>23482.200000000012</v>
      </c>
      <c r="C15" s="72">
        <f>'AD Mauritius'!C15</f>
        <v>261.50842917505554</v>
      </c>
      <c r="D15" s="71">
        <f t="shared" si="0"/>
        <v>6140.7932355744924</v>
      </c>
      <c r="E15" s="71">
        <f t="shared" si="1"/>
        <v>0</v>
      </c>
      <c r="F15" s="71">
        <f t="shared" si="2"/>
        <v>6140.7932355744924</v>
      </c>
      <c r="G15" s="73">
        <v>0</v>
      </c>
      <c r="H15" s="73">
        <v>0</v>
      </c>
      <c r="J15" s="74">
        <f t="shared" si="3"/>
        <v>1970</v>
      </c>
      <c r="K15" s="73">
        <v>25</v>
      </c>
      <c r="L15" s="73">
        <v>43</v>
      </c>
      <c r="M15" s="73">
        <v>12</v>
      </c>
      <c r="N15" s="73">
        <v>0</v>
      </c>
      <c r="O15" s="73">
        <v>3</v>
      </c>
      <c r="P15" s="73">
        <v>0</v>
      </c>
      <c r="Q15" s="73">
        <v>17</v>
      </c>
      <c r="R15" s="73">
        <f t="shared" si="4"/>
        <v>100</v>
      </c>
      <c r="T15" s="74">
        <f t="shared" si="6"/>
        <v>1970</v>
      </c>
      <c r="U15" s="73">
        <f t="shared" si="5"/>
        <v>0</v>
      </c>
      <c r="V15" s="73">
        <v>0</v>
      </c>
      <c r="W15" s="73">
        <v>0</v>
      </c>
    </row>
    <row r="16" spans="1:23" s="69" customFormat="1" x14ac:dyDescent="0.35">
      <c r="A16" s="70">
        <f t="shared" si="7"/>
        <v>1971</v>
      </c>
      <c r="B16" s="112">
        <f t="shared" si="8"/>
        <v>24125.600000000013</v>
      </c>
      <c r="C16" s="72">
        <f>'AD Mauritius'!C16</f>
        <v>261.50842917505554</v>
      </c>
      <c r="D16" s="71">
        <f t="shared" si="0"/>
        <v>6309.0477589057236</v>
      </c>
      <c r="E16" s="71">
        <f t="shared" si="1"/>
        <v>0</v>
      </c>
      <c r="F16" s="71">
        <f t="shared" si="2"/>
        <v>6309.0477589057236</v>
      </c>
      <c r="G16" s="73">
        <v>0</v>
      </c>
      <c r="H16" s="73">
        <v>0</v>
      </c>
      <c r="J16" s="74">
        <f t="shared" si="3"/>
        <v>1971</v>
      </c>
      <c r="K16" s="73">
        <v>25</v>
      </c>
      <c r="L16" s="73">
        <v>43</v>
      </c>
      <c r="M16" s="73">
        <v>12</v>
      </c>
      <c r="N16" s="73">
        <v>0</v>
      </c>
      <c r="O16" s="73">
        <v>3</v>
      </c>
      <c r="P16" s="73">
        <v>0</v>
      </c>
      <c r="Q16" s="73">
        <v>17</v>
      </c>
      <c r="R16" s="73">
        <f t="shared" si="4"/>
        <v>100</v>
      </c>
      <c r="T16" s="74">
        <f t="shared" si="6"/>
        <v>1971</v>
      </c>
      <c r="U16" s="73">
        <f t="shared" si="5"/>
        <v>0</v>
      </c>
      <c r="V16" s="73">
        <v>0</v>
      </c>
      <c r="W16" s="73">
        <v>0</v>
      </c>
    </row>
    <row r="17" spans="1:23" s="69" customFormat="1" x14ac:dyDescent="0.35">
      <c r="A17" s="70">
        <f t="shared" si="7"/>
        <v>1972</v>
      </c>
      <c r="B17" s="71">
        <v>24769</v>
      </c>
      <c r="C17" s="72">
        <f>'AD Mauritius'!C17</f>
        <v>261.50842917505554</v>
      </c>
      <c r="D17" s="71">
        <f t="shared" si="0"/>
        <v>6477.3022822369503</v>
      </c>
      <c r="E17" s="71">
        <f t="shared" si="1"/>
        <v>0</v>
      </c>
      <c r="F17" s="71">
        <f t="shared" si="2"/>
        <v>6477.3022822369503</v>
      </c>
      <c r="G17" s="73">
        <v>0</v>
      </c>
      <c r="H17" s="73">
        <v>0</v>
      </c>
      <c r="J17" s="74">
        <f t="shared" si="3"/>
        <v>1972</v>
      </c>
      <c r="K17" s="73">
        <v>25</v>
      </c>
      <c r="L17" s="73">
        <v>43</v>
      </c>
      <c r="M17" s="73">
        <v>12</v>
      </c>
      <c r="N17" s="73">
        <v>0</v>
      </c>
      <c r="O17" s="73">
        <v>3</v>
      </c>
      <c r="P17" s="73">
        <v>0</v>
      </c>
      <c r="Q17" s="73">
        <v>17</v>
      </c>
      <c r="R17" s="73">
        <f t="shared" si="4"/>
        <v>100</v>
      </c>
      <c r="T17" s="74">
        <f t="shared" si="6"/>
        <v>1972</v>
      </c>
      <c r="U17" s="73">
        <f t="shared" si="5"/>
        <v>0</v>
      </c>
      <c r="V17" s="73">
        <v>0</v>
      </c>
      <c r="W17" s="73">
        <v>0</v>
      </c>
    </row>
    <row r="18" spans="1:23" s="69" customFormat="1" x14ac:dyDescent="0.35">
      <c r="A18" s="70">
        <f t="shared" si="7"/>
        <v>1973</v>
      </c>
      <c r="B18" s="112">
        <f>B17+($B$28-$B$17)/11</f>
        <v>25524.727272727272</v>
      </c>
      <c r="C18" s="72">
        <f>'AD Mauritius'!C18</f>
        <v>261.50842917505554</v>
      </c>
      <c r="D18" s="71">
        <f t="shared" si="0"/>
        <v>6674.9313342126088</v>
      </c>
      <c r="E18" s="71">
        <f t="shared" si="1"/>
        <v>0</v>
      </c>
      <c r="F18" s="71">
        <f t="shared" si="2"/>
        <v>6674.9313342126088</v>
      </c>
      <c r="G18" s="73">
        <v>0</v>
      </c>
      <c r="H18" s="73">
        <v>0</v>
      </c>
      <c r="J18" s="74">
        <f t="shared" si="3"/>
        <v>1973</v>
      </c>
      <c r="K18" s="73">
        <v>25</v>
      </c>
      <c r="L18" s="73">
        <v>43</v>
      </c>
      <c r="M18" s="73">
        <v>12</v>
      </c>
      <c r="N18" s="73">
        <v>0</v>
      </c>
      <c r="O18" s="73">
        <v>3</v>
      </c>
      <c r="P18" s="73">
        <v>0</v>
      </c>
      <c r="Q18" s="73">
        <v>17</v>
      </c>
      <c r="R18" s="73">
        <f t="shared" si="4"/>
        <v>100</v>
      </c>
      <c r="T18" s="74">
        <f t="shared" si="6"/>
        <v>1973</v>
      </c>
      <c r="U18" s="73">
        <f t="shared" si="5"/>
        <v>0</v>
      </c>
      <c r="V18" s="73">
        <v>0</v>
      </c>
      <c r="W18" s="73">
        <v>0</v>
      </c>
    </row>
    <row r="19" spans="1:23" s="69" customFormat="1" x14ac:dyDescent="0.35">
      <c r="A19" s="70">
        <f t="shared" si="7"/>
        <v>1974</v>
      </c>
      <c r="B19" s="112">
        <f t="shared" ref="B19:B27" si="9">B18+($B$28-$B$17)/11</f>
        <v>26280.454545454544</v>
      </c>
      <c r="C19" s="72">
        <f>'AD Mauritius'!C19</f>
        <v>261.50842917505554</v>
      </c>
      <c r="D19" s="71">
        <f t="shared" si="0"/>
        <v>6872.5603861882655</v>
      </c>
      <c r="E19" s="71">
        <f t="shared" si="1"/>
        <v>0</v>
      </c>
      <c r="F19" s="71">
        <f t="shared" si="2"/>
        <v>6872.5603861882655</v>
      </c>
      <c r="G19" s="73">
        <v>0</v>
      </c>
      <c r="H19" s="73">
        <v>0</v>
      </c>
      <c r="J19" s="74">
        <f t="shared" si="3"/>
        <v>1974</v>
      </c>
      <c r="K19" s="73">
        <v>25</v>
      </c>
      <c r="L19" s="73">
        <v>43</v>
      </c>
      <c r="M19" s="73">
        <v>12</v>
      </c>
      <c r="N19" s="73">
        <v>0</v>
      </c>
      <c r="O19" s="73">
        <v>3</v>
      </c>
      <c r="P19" s="73">
        <v>0</v>
      </c>
      <c r="Q19" s="73">
        <v>17</v>
      </c>
      <c r="R19" s="73">
        <f t="shared" si="4"/>
        <v>100</v>
      </c>
      <c r="T19" s="74">
        <f t="shared" si="6"/>
        <v>1974</v>
      </c>
      <c r="U19" s="73">
        <f t="shared" si="5"/>
        <v>0</v>
      </c>
      <c r="V19" s="73">
        <v>0</v>
      </c>
      <c r="W19" s="73">
        <v>0</v>
      </c>
    </row>
    <row r="20" spans="1:23" s="69" customFormat="1" x14ac:dyDescent="0.35">
      <c r="A20" s="70">
        <f t="shared" si="7"/>
        <v>1975</v>
      </c>
      <c r="B20" s="112">
        <f t="shared" si="9"/>
        <v>27036.181818181816</v>
      </c>
      <c r="C20" s="72">
        <f>'AD Mauritius'!C20</f>
        <v>261.50842917505554</v>
      </c>
      <c r="D20" s="71">
        <f t="shared" si="0"/>
        <v>7070.189438163924</v>
      </c>
      <c r="E20" s="71">
        <f t="shared" si="1"/>
        <v>0</v>
      </c>
      <c r="F20" s="71">
        <f t="shared" si="2"/>
        <v>7070.189438163924</v>
      </c>
      <c r="G20" s="73">
        <v>0</v>
      </c>
      <c r="H20" s="73">
        <v>0</v>
      </c>
      <c r="J20" s="74">
        <f t="shared" si="3"/>
        <v>1975</v>
      </c>
      <c r="K20" s="73">
        <v>25</v>
      </c>
      <c r="L20" s="73">
        <v>43</v>
      </c>
      <c r="M20" s="73">
        <v>12</v>
      </c>
      <c r="N20" s="73">
        <v>0</v>
      </c>
      <c r="O20" s="73">
        <v>3</v>
      </c>
      <c r="P20" s="73">
        <v>0</v>
      </c>
      <c r="Q20" s="73">
        <v>17</v>
      </c>
      <c r="R20" s="73">
        <f t="shared" si="4"/>
        <v>100</v>
      </c>
      <c r="T20" s="74">
        <f t="shared" si="6"/>
        <v>1975</v>
      </c>
      <c r="U20" s="73">
        <f t="shared" si="5"/>
        <v>0</v>
      </c>
      <c r="V20" s="73">
        <v>0</v>
      </c>
      <c r="W20" s="73">
        <v>0</v>
      </c>
    </row>
    <row r="21" spans="1:23" s="69" customFormat="1" x14ac:dyDescent="0.35">
      <c r="A21" s="70">
        <f t="shared" si="7"/>
        <v>1976</v>
      </c>
      <c r="B21" s="112">
        <f t="shared" si="9"/>
        <v>27791.909090909088</v>
      </c>
      <c r="C21" s="72">
        <f>'AD Mauritius'!C21</f>
        <v>261.50842917505554</v>
      </c>
      <c r="D21" s="71">
        <f t="shared" si="0"/>
        <v>7267.8184901395816</v>
      </c>
      <c r="E21" s="71">
        <f t="shared" si="1"/>
        <v>0</v>
      </c>
      <c r="F21" s="71">
        <f t="shared" si="2"/>
        <v>7267.8184901395816</v>
      </c>
      <c r="G21" s="73">
        <v>0</v>
      </c>
      <c r="H21" s="73">
        <v>0</v>
      </c>
      <c r="J21" s="74">
        <f t="shared" si="3"/>
        <v>1976</v>
      </c>
      <c r="K21" s="73">
        <v>25</v>
      </c>
      <c r="L21" s="73">
        <v>43</v>
      </c>
      <c r="M21" s="73">
        <v>12</v>
      </c>
      <c r="N21" s="73">
        <v>0</v>
      </c>
      <c r="O21" s="73">
        <v>3</v>
      </c>
      <c r="P21" s="73">
        <v>0</v>
      </c>
      <c r="Q21" s="73">
        <v>17</v>
      </c>
      <c r="R21" s="73">
        <f t="shared" si="4"/>
        <v>100</v>
      </c>
      <c r="T21" s="74">
        <f t="shared" si="6"/>
        <v>1976</v>
      </c>
      <c r="U21" s="73">
        <f t="shared" si="5"/>
        <v>0</v>
      </c>
      <c r="V21" s="73">
        <v>0</v>
      </c>
      <c r="W21" s="73">
        <v>0</v>
      </c>
    </row>
    <row r="22" spans="1:23" s="69" customFormat="1" x14ac:dyDescent="0.35">
      <c r="A22" s="70">
        <f t="shared" si="7"/>
        <v>1977</v>
      </c>
      <c r="B22" s="112">
        <f t="shared" si="9"/>
        <v>28547.63636363636</v>
      </c>
      <c r="C22" s="72">
        <f>'AD Mauritius'!C22</f>
        <v>261.50842917505554</v>
      </c>
      <c r="D22" s="71">
        <f t="shared" si="0"/>
        <v>7465.4475421152392</v>
      </c>
      <c r="E22" s="71">
        <f t="shared" si="1"/>
        <v>0</v>
      </c>
      <c r="F22" s="71">
        <f t="shared" si="2"/>
        <v>7465.4475421152392</v>
      </c>
      <c r="G22" s="73">
        <v>0</v>
      </c>
      <c r="H22" s="73">
        <v>0</v>
      </c>
      <c r="J22" s="74">
        <f t="shared" si="3"/>
        <v>1977</v>
      </c>
      <c r="K22" s="73">
        <v>25</v>
      </c>
      <c r="L22" s="73">
        <v>43</v>
      </c>
      <c r="M22" s="73">
        <v>12</v>
      </c>
      <c r="N22" s="73">
        <v>0</v>
      </c>
      <c r="O22" s="73">
        <v>3</v>
      </c>
      <c r="P22" s="73">
        <v>0</v>
      </c>
      <c r="Q22" s="73">
        <v>17</v>
      </c>
      <c r="R22" s="73">
        <f t="shared" si="4"/>
        <v>100</v>
      </c>
      <c r="T22" s="74">
        <f t="shared" si="6"/>
        <v>1977</v>
      </c>
      <c r="U22" s="73">
        <f t="shared" si="5"/>
        <v>0</v>
      </c>
      <c r="V22" s="73">
        <v>0</v>
      </c>
      <c r="W22" s="73">
        <v>0</v>
      </c>
    </row>
    <row r="23" spans="1:23" s="69" customFormat="1" x14ac:dyDescent="0.35">
      <c r="A23" s="70">
        <f t="shared" si="7"/>
        <v>1978</v>
      </c>
      <c r="B23" s="112">
        <f t="shared" si="9"/>
        <v>29303.363636363632</v>
      </c>
      <c r="C23" s="72">
        <f>'AD Mauritius'!C23</f>
        <v>261.50842917505554</v>
      </c>
      <c r="D23" s="71">
        <f t="shared" si="0"/>
        <v>7663.0765940908968</v>
      </c>
      <c r="E23" s="71">
        <f t="shared" si="1"/>
        <v>0</v>
      </c>
      <c r="F23" s="71">
        <f t="shared" si="2"/>
        <v>7663.0765940908968</v>
      </c>
      <c r="G23" s="73">
        <v>0</v>
      </c>
      <c r="H23" s="73">
        <v>0</v>
      </c>
      <c r="J23" s="74">
        <f t="shared" si="3"/>
        <v>1978</v>
      </c>
      <c r="K23" s="73">
        <v>25</v>
      </c>
      <c r="L23" s="73">
        <v>43</v>
      </c>
      <c r="M23" s="73">
        <v>12</v>
      </c>
      <c r="N23" s="73">
        <v>0</v>
      </c>
      <c r="O23" s="73">
        <v>3</v>
      </c>
      <c r="P23" s="73">
        <v>0</v>
      </c>
      <c r="Q23" s="73">
        <v>17</v>
      </c>
      <c r="R23" s="73">
        <f t="shared" si="4"/>
        <v>100</v>
      </c>
      <c r="T23" s="74">
        <f t="shared" si="6"/>
        <v>1978</v>
      </c>
      <c r="U23" s="73">
        <f t="shared" si="5"/>
        <v>0</v>
      </c>
      <c r="V23" s="73">
        <v>0</v>
      </c>
      <c r="W23" s="73">
        <v>0</v>
      </c>
    </row>
    <row r="24" spans="1:23" s="69" customFormat="1" x14ac:dyDescent="0.35">
      <c r="A24" s="70">
        <f t="shared" si="7"/>
        <v>1979</v>
      </c>
      <c r="B24" s="112">
        <f t="shared" si="9"/>
        <v>30059.090909090904</v>
      </c>
      <c r="C24" s="72">
        <f>'AD Mauritius'!C24</f>
        <v>261.50842917505554</v>
      </c>
      <c r="D24" s="71">
        <f t="shared" si="0"/>
        <v>7860.7056460665544</v>
      </c>
      <c r="E24" s="71">
        <f t="shared" si="1"/>
        <v>0</v>
      </c>
      <c r="F24" s="71">
        <f t="shared" si="2"/>
        <v>7860.7056460665544</v>
      </c>
      <c r="G24" s="73">
        <v>0</v>
      </c>
      <c r="H24" s="73">
        <v>0</v>
      </c>
      <c r="J24" s="74">
        <f t="shared" si="3"/>
        <v>1979</v>
      </c>
      <c r="K24" s="73">
        <v>25</v>
      </c>
      <c r="L24" s="73">
        <v>43</v>
      </c>
      <c r="M24" s="73">
        <v>12</v>
      </c>
      <c r="N24" s="73">
        <v>0</v>
      </c>
      <c r="O24" s="73">
        <v>3</v>
      </c>
      <c r="P24" s="73">
        <v>0</v>
      </c>
      <c r="Q24" s="73">
        <v>17</v>
      </c>
      <c r="R24" s="73">
        <f t="shared" si="4"/>
        <v>100</v>
      </c>
      <c r="T24" s="74">
        <f t="shared" si="6"/>
        <v>1979</v>
      </c>
      <c r="U24" s="73">
        <f t="shared" si="5"/>
        <v>0</v>
      </c>
      <c r="V24" s="73">
        <v>0</v>
      </c>
      <c r="W24" s="73">
        <v>0</v>
      </c>
    </row>
    <row r="25" spans="1:23" s="69" customFormat="1" x14ac:dyDescent="0.35">
      <c r="A25" s="70">
        <f t="shared" si="7"/>
        <v>1980</v>
      </c>
      <c r="B25" s="112">
        <f t="shared" si="9"/>
        <v>30814.818181818177</v>
      </c>
      <c r="C25" s="72">
        <f>'AD Mauritius'!C25</f>
        <v>261.50842917505554</v>
      </c>
      <c r="D25" s="71">
        <f t="shared" si="0"/>
        <v>8058.334698042212</v>
      </c>
      <c r="E25" s="71">
        <f t="shared" si="1"/>
        <v>0</v>
      </c>
      <c r="F25" s="71">
        <f t="shared" si="2"/>
        <v>8058.334698042212</v>
      </c>
      <c r="G25" s="73">
        <v>0</v>
      </c>
      <c r="H25" s="73">
        <v>0</v>
      </c>
      <c r="J25" s="74">
        <f t="shared" si="3"/>
        <v>1980</v>
      </c>
      <c r="K25" s="73">
        <v>25</v>
      </c>
      <c r="L25" s="73">
        <v>43</v>
      </c>
      <c r="M25" s="73">
        <v>12</v>
      </c>
      <c r="N25" s="73">
        <v>0</v>
      </c>
      <c r="O25" s="73">
        <v>3</v>
      </c>
      <c r="P25" s="73">
        <v>0</v>
      </c>
      <c r="Q25" s="73">
        <v>17</v>
      </c>
      <c r="R25" s="73">
        <f t="shared" si="4"/>
        <v>100</v>
      </c>
      <c r="T25" s="74">
        <f t="shared" si="6"/>
        <v>1980</v>
      </c>
      <c r="U25" s="73">
        <f t="shared" si="5"/>
        <v>0</v>
      </c>
      <c r="V25" s="73">
        <v>0</v>
      </c>
      <c r="W25" s="73">
        <v>0</v>
      </c>
    </row>
    <row r="26" spans="1:23" s="69" customFormat="1" x14ac:dyDescent="0.35">
      <c r="A26" s="70">
        <f t="shared" si="7"/>
        <v>1981</v>
      </c>
      <c r="B26" s="112">
        <f t="shared" si="9"/>
        <v>31570.545454545449</v>
      </c>
      <c r="C26" s="72">
        <f>'AD Mauritius'!C26</f>
        <v>261.50842917505554</v>
      </c>
      <c r="D26" s="71">
        <f t="shared" si="0"/>
        <v>8255.9637500178706</v>
      </c>
      <c r="E26" s="71">
        <f t="shared" si="1"/>
        <v>0</v>
      </c>
      <c r="F26" s="71">
        <f t="shared" si="2"/>
        <v>8255.9637500178706</v>
      </c>
      <c r="G26" s="73">
        <v>0</v>
      </c>
      <c r="H26" s="73">
        <v>0</v>
      </c>
      <c r="J26" s="74">
        <f t="shared" si="3"/>
        <v>1981</v>
      </c>
      <c r="K26" s="73">
        <v>25</v>
      </c>
      <c r="L26" s="73">
        <v>43</v>
      </c>
      <c r="M26" s="73">
        <v>12</v>
      </c>
      <c r="N26" s="73">
        <v>0</v>
      </c>
      <c r="O26" s="73">
        <v>3</v>
      </c>
      <c r="P26" s="73">
        <v>0</v>
      </c>
      <c r="Q26" s="73">
        <v>17</v>
      </c>
      <c r="R26" s="73">
        <f t="shared" si="4"/>
        <v>100</v>
      </c>
      <c r="T26" s="74">
        <f t="shared" si="6"/>
        <v>1981</v>
      </c>
      <c r="U26" s="73">
        <f t="shared" si="5"/>
        <v>0</v>
      </c>
      <c r="V26" s="73">
        <v>0</v>
      </c>
      <c r="W26" s="73">
        <v>0</v>
      </c>
    </row>
    <row r="27" spans="1:23" s="69" customFormat="1" x14ac:dyDescent="0.35">
      <c r="A27" s="70">
        <f t="shared" si="7"/>
        <v>1982</v>
      </c>
      <c r="B27" s="112">
        <f t="shared" si="9"/>
        <v>32326.272727272721</v>
      </c>
      <c r="C27" s="72">
        <f>'AD Mauritius'!C27</f>
        <v>261.50842917505554</v>
      </c>
      <c r="D27" s="71">
        <f t="shared" si="0"/>
        <v>8453.5928019935291</v>
      </c>
      <c r="E27" s="71">
        <f t="shared" si="1"/>
        <v>0</v>
      </c>
      <c r="F27" s="71">
        <f t="shared" si="2"/>
        <v>8453.5928019935291</v>
      </c>
      <c r="G27" s="73">
        <v>0</v>
      </c>
      <c r="H27" s="73">
        <v>0</v>
      </c>
      <c r="J27" s="74">
        <f t="shared" si="3"/>
        <v>1982</v>
      </c>
      <c r="K27" s="73">
        <v>25</v>
      </c>
      <c r="L27" s="73">
        <v>43</v>
      </c>
      <c r="M27" s="73">
        <v>12</v>
      </c>
      <c r="N27" s="73">
        <v>0</v>
      </c>
      <c r="O27" s="73">
        <v>3</v>
      </c>
      <c r="P27" s="73">
        <v>0</v>
      </c>
      <c r="Q27" s="73">
        <v>17</v>
      </c>
      <c r="R27" s="73">
        <f t="shared" si="4"/>
        <v>100</v>
      </c>
      <c r="T27" s="74">
        <f t="shared" si="6"/>
        <v>1982</v>
      </c>
      <c r="U27" s="73">
        <f t="shared" si="5"/>
        <v>0</v>
      </c>
      <c r="V27" s="73">
        <v>0</v>
      </c>
      <c r="W27" s="73">
        <v>0</v>
      </c>
    </row>
    <row r="28" spans="1:23" s="69" customFormat="1" x14ac:dyDescent="0.35">
      <c r="A28" s="70">
        <f t="shared" si="7"/>
        <v>1983</v>
      </c>
      <c r="B28" s="71">
        <v>33082</v>
      </c>
      <c r="C28" s="72">
        <f>'AD Mauritius'!C28</f>
        <v>261.50842917505554</v>
      </c>
      <c r="D28" s="71">
        <f t="shared" si="0"/>
        <v>8651.2218539691858</v>
      </c>
      <c r="E28" s="71">
        <f t="shared" si="1"/>
        <v>0</v>
      </c>
      <c r="F28" s="71">
        <f t="shared" si="2"/>
        <v>8651.2218539691858</v>
      </c>
      <c r="G28" s="73">
        <v>0</v>
      </c>
      <c r="H28" s="73">
        <v>0</v>
      </c>
      <c r="J28" s="74">
        <f t="shared" si="3"/>
        <v>1983</v>
      </c>
      <c r="K28" s="73">
        <v>25</v>
      </c>
      <c r="L28" s="73">
        <v>43</v>
      </c>
      <c r="M28" s="73">
        <v>12</v>
      </c>
      <c r="N28" s="73">
        <v>0</v>
      </c>
      <c r="O28" s="73">
        <v>3</v>
      </c>
      <c r="P28" s="73">
        <v>0</v>
      </c>
      <c r="Q28" s="73">
        <v>17</v>
      </c>
      <c r="R28" s="73">
        <f t="shared" si="4"/>
        <v>100</v>
      </c>
      <c r="T28" s="74">
        <f t="shared" si="6"/>
        <v>1983</v>
      </c>
      <c r="U28" s="73">
        <f t="shared" si="5"/>
        <v>0</v>
      </c>
      <c r="V28" s="73">
        <v>0</v>
      </c>
      <c r="W28" s="73">
        <v>0</v>
      </c>
    </row>
    <row r="29" spans="1:23" s="69" customFormat="1" x14ac:dyDescent="0.35">
      <c r="A29" s="70">
        <f t="shared" si="7"/>
        <v>1984</v>
      </c>
      <c r="B29" s="112">
        <f>B28+($B$35-$B$28)/7</f>
        <v>33242.285714285717</v>
      </c>
      <c r="C29" s="72">
        <f>'AD Mauritius'!C29</f>
        <v>261.50842917505554</v>
      </c>
      <c r="D29" s="71">
        <f t="shared" si="0"/>
        <v>8693.1379193312478</v>
      </c>
      <c r="E29" s="71">
        <f t="shared" si="1"/>
        <v>0</v>
      </c>
      <c r="F29" s="71">
        <f t="shared" si="2"/>
        <v>8693.1379193312478</v>
      </c>
      <c r="G29" s="73">
        <v>0</v>
      </c>
      <c r="H29" s="73">
        <v>0</v>
      </c>
      <c r="J29" s="74">
        <f t="shared" si="3"/>
        <v>1984</v>
      </c>
      <c r="K29" s="73">
        <v>25</v>
      </c>
      <c r="L29" s="73">
        <v>43</v>
      </c>
      <c r="M29" s="73">
        <v>12</v>
      </c>
      <c r="N29" s="73">
        <v>0</v>
      </c>
      <c r="O29" s="73">
        <v>3</v>
      </c>
      <c r="P29" s="73">
        <v>0</v>
      </c>
      <c r="Q29" s="73">
        <v>17</v>
      </c>
      <c r="R29" s="73">
        <f t="shared" si="4"/>
        <v>100</v>
      </c>
      <c r="T29" s="74">
        <f t="shared" si="6"/>
        <v>1984</v>
      </c>
      <c r="U29" s="73">
        <f t="shared" si="5"/>
        <v>0</v>
      </c>
      <c r="V29" s="73">
        <v>0</v>
      </c>
      <c r="W29" s="73">
        <v>0</v>
      </c>
    </row>
    <row r="30" spans="1:23" s="69" customFormat="1" x14ac:dyDescent="0.35">
      <c r="A30" s="70">
        <f t="shared" si="7"/>
        <v>1985</v>
      </c>
      <c r="B30" s="112">
        <f t="shared" ref="B30:B34" si="10">B29+($B$35-$B$28)/7</f>
        <v>33402.571428571435</v>
      </c>
      <c r="C30" s="72">
        <f>'AD Mauritius'!C30</f>
        <v>261.50842917505554</v>
      </c>
      <c r="D30" s="71">
        <f t="shared" si="0"/>
        <v>8735.0539846933079</v>
      </c>
      <c r="E30" s="71">
        <f t="shared" si="1"/>
        <v>0</v>
      </c>
      <c r="F30" s="71">
        <f t="shared" si="2"/>
        <v>8735.0539846933079</v>
      </c>
      <c r="G30" s="73">
        <v>0</v>
      </c>
      <c r="H30" s="73">
        <v>0</v>
      </c>
      <c r="J30" s="74">
        <f t="shared" si="3"/>
        <v>1985</v>
      </c>
      <c r="K30" s="73">
        <v>25</v>
      </c>
      <c r="L30" s="73">
        <v>43</v>
      </c>
      <c r="M30" s="73">
        <v>12</v>
      </c>
      <c r="N30" s="73">
        <v>0</v>
      </c>
      <c r="O30" s="73">
        <v>3</v>
      </c>
      <c r="P30" s="73">
        <v>0</v>
      </c>
      <c r="Q30" s="73">
        <v>17</v>
      </c>
      <c r="R30" s="73">
        <f t="shared" si="4"/>
        <v>100</v>
      </c>
      <c r="T30" s="74">
        <f t="shared" si="6"/>
        <v>1985</v>
      </c>
      <c r="U30" s="73">
        <f t="shared" si="5"/>
        <v>0</v>
      </c>
      <c r="V30" s="73">
        <v>0</v>
      </c>
      <c r="W30" s="73">
        <v>0</v>
      </c>
    </row>
    <row r="31" spans="1:23" s="69" customFormat="1" x14ac:dyDescent="0.35">
      <c r="A31" s="70">
        <f t="shared" si="7"/>
        <v>1986</v>
      </c>
      <c r="B31" s="112">
        <f t="shared" si="10"/>
        <v>33562.857142857152</v>
      </c>
      <c r="C31" s="72">
        <f>'AD Mauritius'!C31</f>
        <v>261.50842917505554</v>
      </c>
      <c r="D31" s="71">
        <f t="shared" si="0"/>
        <v>8776.9700500553663</v>
      </c>
      <c r="E31" s="71">
        <f t="shared" si="1"/>
        <v>0</v>
      </c>
      <c r="F31" s="71">
        <f t="shared" si="2"/>
        <v>8776.9700500553663</v>
      </c>
      <c r="G31" s="73">
        <v>0</v>
      </c>
      <c r="H31" s="73">
        <v>0</v>
      </c>
      <c r="J31" s="74">
        <f t="shared" si="3"/>
        <v>1986</v>
      </c>
      <c r="K31" s="73">
        <v>25</v>
      </c>
      <c r="L31" s="73">
        <v>43</v>
      </c>
      <c r="M31" s="73">
        <v>12</v>
      </c>
      <c r="N31" s="73">
        <v>0</v>
      </c>
      <c r="O31" s="73">
        <v>3</v>
      </c>
      <c r="P31" s="73">
        <v>0</v>
      </c>
      <c r="Q31" s="73">
        <v>17</v>
      </c>
      <c r="R31" s="73">
        <f t="shared" si="4"/>
        <v>100</v>
      </c>
      <c r="T31" s="74">
        <f t="shared" si="6"/>
        <v>1986</v>
      </c>
      <c r="U31" s="73">
        <f t="shared" si="5"/>
        <v>0</v>
      </c>
      <c r="V31" s="73">
        <v>0</v>
      </c>
      <c r="W31" s="73">
        <v>0</v>
      </c>
    </row>
    <row r="32" spans="1:23" s="69" customFormat="1" x14ac:dyDescent="0.35">
      <c r="A32" s="70">
        <f t="shared" si="7"/>
        <v>1987</v>
      </c>
      <c r="B32" s="112">
        <f t="shared" si="10"/>
        <v>33723.14285714287</v>
      </c>
      <c r="C32" s="72">
        <f>'AD Mauritius'!C32</f>
        <v>261.50842917505554</v>
      </c>
      <c r="D32" s="71">
        <f t="shared" si="0"/>
        <v>8818.8861154174265</v>
      </c>
      <c r="E32" s="71">
        <f t="shared" si="1"/>
        <v>0</v>
      </c>
      <c r="F32" s="71">
        <f t="shared" si="2"/>
        <v>8818.8861154174265</v>
      </c>
      <c r="G32" s="73">
        <v>0</v>
      </c>
      <c r="H32" s="73">
        <v>0</v>
      </c>
      <c r="J32" s="74">
        <f t="shared" si="3"/>
        <v>1987</v>
      </c>
      <c r="K32" s="73">
        <v>25</v>
      </c>
      <c r="L32" s="73">
        <v>43</v>
      </c>
      <c r="M32" s="73">
        <v>12</v>
      </c>
      <c r="N32" s="73">
        <v>0</v>
      </c>
      <c r="O32" s="73">
        <v>3</v>
      </c>
      <c r="P32" s="73">
        <v>0</v>
      </c>
      <c r="Q32" s="73">
        <v>17</v>
      </c>
      <c r="R32" s="73">
        <f t="shared" si="4"/>
        <v>100</v>
      </c>
      <c r="T32" s="74">
        <f t="shared" si="6"/>
        <v>1987</v>
      </c>
      <c r="U32" s="73">
        <f t="shared" si="5"/>
        <v>0</v>
      </c>
      <c r="V32" s="73">
        <v>0</v>
      </c>
      <c r="W32" s="73">
        <v>0</v>
      </c>
    </row>
    <row r="33" spans="1:23" s="69" customFormat="1" x14ac:dyDescent="0.35">
      <c r="A33" s="70">
        <f t="shared" si="7"/>
        <v>1988</v>
      </c>
      <c r="B33" s="112">
        <f t="shared" si="10"/>
        <v>33883.428571428587</v>
      </c>
      <c r="C33" s="72">
        <f>'AD Mauritius'!C33</f>
        <v>261.50842917505554</v>
      </c>
      <c r="D33" s="71">
        <f t="shared" si="0"/>
        <v>8860.8021807794848</v>
      </c>
      <c r="E33" s="71">
        <f t="shared" si="1"/>
        <v>0</v>
      </c>
      <c r="F33" s="71">
        <f t="shared" si="2"/>
        <v>8860.8021807794848</v>
      </c>
      <c r="G33" s="73">
        <v>0</v>
      </c>
      <c r="H33" s="73">
        <v>0</v>
      </c>
      <c r="J33" s="74">
        <f t="shared" si="3"/>
        <v>1988</v>
      </c>
      <c r="K33" s="73">
        <v>25</v>
      </c>
      <c r="L33" s="73">
        <v>43</v>
      </c>
      <c r="M33" s="73">
        <v>12</v>
      </c>
      <c r="N33" s="73">
        <v>0</v>
      </c>
      <c r="O33" s="73">
        <v>3</v>
      </c>
      <c r="P33" s="73">
        <v>0</v>
      </c>
      <c r="Q33" s="73">
        <v>17</v>
      </c>
      <c r="R33" s="73">
        <f t="shared" si="4"/>
        <v>100</v>
      </c>
      <c r="T33" s="74">
        <f t="shared" si="6"/>
        <v>1988</v>
      </c>
      <c r="U33" s="73">
        <f t="shared" si="5"/>
        <v>0</v>
      </c>
      <c r="V33" s="73">
        <v>0</v>
      </c>
      <c r="W33" s="73">
        <v>0</v>
      </c>
    </row>
    <row r="34" spans="1:23" s="69" customFormat="1" x14ac:dyDescent="0.35">
      <c r="A34" s="70">
        <f t="shared" si="7"/>
        <v>1989</v>
      </c>
      <c r="B34" s="112">
        <f t="shared" si="10"/>
        <v>34043.714285714304</v>
      </c>
      <c r="C34" s="72">
        <f>'AD Mauritius'!C34</f>
        <v>261.50842917505554</v>
      </c>
      <c r="D34" s="71">
        <f t="shared" si="0"/>
        <v>8902.718246141545</v>
      </c>
      <c r="E34" s="71">
        <f t="shared" si="1"/>
        <v>0</v>
      </c>
      <c r="F34" s="71">
        <f t="shared" si="2"/>
        <v>8902.718246141545</v>
      </c>
      <c r="G34" s="73">
        <v>0</v>
      </c>
      <c r="H34" s="73">
        <v>0</v>
      </c>
      <c r="J34" s="74">
        <f t="shared" si="3"/>
        <v>1989</v>
      </c>
      <c r="K34" s="73">
        <v>25</v>
      </c>
      <c r="L34" s="73">
        <v>43</v>
      </c>
      <c r="M34" s="73">
        <v>12</v>
      </c>
      <c r="N34" s="73">
        <v>0</v>
      </c>
      <c r="O34" s="73">
        <v>3</v>
      </c>
      <c r="P34" s="73">
        <v>0</v>
      </c>
      <c r="Q34" s="73">
        <v>17</v>
      </c>
      <c r="R34" s="73">
        <f t="shared" si="4"/>
        <v>100</v>
      </c>
      <c r="T34" s="74">
        <f t="shared" si="6"/>
        <v>1989</v>
      </c>
      <c r="U34" s="73">
        <f t="shared" si="5"/>
        <v>0</v>
      </c>
      <c r="V34" s="73">
        <v>0</v>
      </c>
      <c r="W34" s="73">
        <v>0</v>
      </c>
    </row>
    <row r="35" spans="1:23" s="69" customFormat="1" x14ac:dyDescent="0.35">
      <c r="A35" s="70">
        <f t="shared" si="7"/>
        <v>1990</v>
      </c>
      <c r="B35" s="71">
        <v>34204</v>
      </c>
      <c r="C35" s="72">
        <f>'AD Mauritius'!C35</f>
        <v>261.50842917505554</v>
      </c>
      <c r="D35" s="71">
        <f t="shared" si="0"/>
        <v>8944.6343115035997</v>
      </c>
      <c r="E35" s="71">
        <f t="shared" si="1"/>
        <v>0</v>
      </c>
      <c r="F35" s="71">
        <f t="shared" si="2"/>
        <v>8944.6343115035997</v>
      </c>
      <c r="G35" s="73">
        <v>0</v>
      </c>
      <c r="H35" s="73">
        <v>0</v>
      </c>
      <c r="J35" s="74">
        <f t="shared" si="3"/>
        <v>1990</v>
      </c>
      <c r="K35" s="73">
        <v>25</v>
      </c>
      <c r="L35" s="73">
        <v>43</v>
      </c>
      <c r="M35" s="73">
        <v>12</v>
      </c>
      <c r="N35" s="73">
        <v>0</v>
      </c>
      <c r="O35" s="73">
        <v>3</v>
      </c>
      <c r="P35" s="73">
        <v>0</v>
      </c>
      <c r="Q35" s="73">
        <v>17</v>
      </c>
      <c r="R35" s="73">
        <f t="shared" si="4"/>
        <v>100</v>
      </c>
      <c r="T35" s="74">
        <f t="shared" si="6"/>
        <v>1990</v>
      </c>
      <c r="U35" s="73">
        <f t="shared" si="5"/>
        <v>0</v>
      </c>
      <c r="V35" s="73">
        <v>0</v>
      </c>
      <c r="W35" s="73">
        <v>0</v>
      </c>
    </row>
    <row r="36" spans="1:23" s="69" customFormat="1" x14ac:dyDescent="0.35">
      <c r="A36" s="70">
        <f t="shared" si="7"/>
        <v>1991</v>
      </c>
      <c r="B36" s="112">
        <f>B35+($B$43-$B$35)/8</f>
        <v>34354.875</v>
      </c>
      <c r="C36" s="72">
        <f>'AD Mauritius'!C36</f>
        <v>261.50842917505554</v>
      </c>
      <c r="D36" s="71">
        <f t="shared" si="0"/>
        <v>8984.0893957553853</v>
      </c>
      <c r="E36" s="71">
        <f t="shared" si="1"/>
        <v>0</v>
      </c>
      <c r="F36" s="71">
        <f t="shared" si="2"/>
        <v>8984.0893957553853</v>
      </c>
      <c r="G36" s="73">
        <v>0</v>
      </c>
      <c r="H36" s="73">
        <v>0</v>
      </c>
      <c r="J36" s="74">
        <f t="shared" si="3"/>
        <v>1991</v>
      </c>
      <c r="K36" s="73">
        <v>25</v>
      </c>
      <c r="L36" s="73">
        <v>43</v>
      </c>
      <c r="M36" s="73">
        <v>12</v>
      </c>
      <c r="N36" s="73">
        <v>0</v>
      </c>
      <c r="O36" s="73">
        <v>3</v>
      </c>
      <c r="P36" s="73">
        <v>0</v>
      </c>
      <c r="Q36" s="73">
        <v>17</v>
      </c>
      <c r="R36" s="73">
        <f t="shared" si="4"/>
        <v>100</v>
      </c>
      <c r="T36" s="74">
        <f t="shared" si="6"/>
        <v>1991</v>
      </c>
      <c r="U36" s="73">
        <f t="shared" si="5"/>
        <v>0</v>
      </c>
      <c r="V36" s="73">
        <v>0</v>
      </c>
      <c r="W36" s="73">
        <v>0</v>
      </c>
    </row>
    <row r="37" spans="1:23" s="69" customFormat="1" x14ac:dyDescent="0.35">
      <c r="A37" s="70">
        <f t="shared" si="7"/>
        <v>1992</v>
      </c>
      <c r="B37" s="112">
        <f t="shared" ref="B37:B42" si="11">B36+($B$43-$B$35)/8</f>
        <v>34505.75</v>
      </c>
      <c r="C37" s="72">
        <f>'AD Mauritius'!C37</f>
        <v>261.50842917505554</v>
      </c>
      <c r="D37" s="71">
        <f t="shared" ref="D37:D61" si="12">F37+G37+H37</f>
        <v>9023.5444800071728</v>
      </c>
      <c r="E37" s="71">
        <f t="shared" ref="E37:E61" si="13">G37+H37+I37</f>
        <v>0</v>
      </c>
      <c r="F37" s="71">
        <f t="shared" ref="F37:F61" si="14">B37*C37/1000</f>
        <v>9023.5444800071728</v>
      </c>
      <c r="G37" s="73">
        <v>0</v>
      </c>
      <c r="H37" s="73">
        <v>0</v>
      </c>
      <c r="J37" s="74">
        <f t="shared" ref="J37:J61" si="15">A37</f>
        <v>1992</v>
      </c>
      <c r="K37" s="73">
        <v>25</v>
      </c>
      <c r="L37" s="73">
        <v>43</v>
      </c>
      <c r="M37" s="73">
        <v>12</v>
      </c>
      <c r="N37" s="73">
        <v>0</v>
      </c>
      <c r="O37" s="73">
        <v>3</v>
      </c>
      <c r="P37" s="73">
        <v>0</v>
      </c>
      <c r="Q37" s="73">
        <v>17</v>
      </c>
      <c r="R37" s="73">
        <f t="shared" si="4"/>
        <v>100</v>
      </c>
      <c r="T37" s="74">
        <f t="shared" si="6"/>
        <v>1992</v>
      </c>
      <c r="U37" s="73">
        <f t="shared" si="5"/>
        <v>0</v>
      </c>
      <c r="V37" s="73">
        <v>0</v>
      </c>
      <c r="W37" s="73">
        <v>0</v>
      </c>
    </row>
    <row r="38" spans="1:23" s="69" customFormat="1" x14ac:dyDescent="0.35">
      <c r="A38" s="70">
        <f t="shared" si="7"/>
        <v>1993</v>
      </c>
      <c r="B38" s="112">
        <f t="shared" si="11"/>
        <v>34656.625</v>
      </c>
      <c r="C38" s="72">
        <f>'AD Mauritius'!C38</f>
        <v>261.50842917505554</v>
      </c>
      <c r="D38" s="71">
        <f t="shared" si="12"/>
        <v>9062.9995642589583</v>
      </c>
      <c r="E38" s="71">
        <f t="shared" si="13"/>
        <v>0</v>
      </c>
      <c r="F38" s="71">
        <f t="shared" si="14"/>
        <v>9062.9995642589583</v>
      </c>
      <c r="G38" s="73">
        <v>0</v>
      </c>
      <c r="H38" s="73">
        <v>0</v>
      </c>
      <c r="J38" s="74">
        <f t="shared" si="15"/>
        <v>1993</v>
      </c>
      <c r="K38" s="73">
        <v>25</v>
      </c>
      <c r="L38" s="73">
        <v>43</v>
      </c>
      <c r="M38" s="73">
        <v>12</v>
      </c>
      <c r="N38" s="73">
        <v>0</v>
      </c>
      <c r="O38" s="73">
        <v>3</v>
      </c>
      <c r="P38" s="73">
        <v>0</v>
      </c>
      <c r="Q38" s="73">
        <v>17</v>
      </c>
      <c r="R38" s="73">
        <f t="shared" si="4"/>
        <v>100</v>
      </c>
      <c r="T38" s="74">
        <f t="shared" si="6"/>
        <v>1993</v>
      </c>
      <c r="U38" s="73">
        <f t="shared" si="5"/>
        <v>0</v>
      </c>
      <c r="V38" s="73">
        <v>0</v>
      </c>
      <c r="W38" s="73">
        <v>0</v>
      </c>
    </row>
    <row r="39" spans="1:23" s="69" customFormat="1" x14ac:dyDescent="0.35">
      <c r="A39" s="70">
        <f t="shared" si="7"/>
        <v>1994</v>
      </c>
      <c r="B39" s="112">
        <f t="shared" si="11"/>
        <v>34807.5</v>
      </c>
      <c r="C39" s="72">
        <f>'AD Mauritius'!C39</f>
        <v>261.50842917505554</v>
      </c>
      <c r="D39" s="71">
        <f t="shared" si="12"/>
        <v>9102.4546485107439</v>
      </c>
      <c r="E39" s="71">
        <f t="shared" si="13"/>
        <v>0</v>
      </c>
      <c r="F39" s="71">
        <f t="shared" si="14"/>
        <v>9102.4546485107439</v>
      </c>
      <c r="G39" s="73">
        <v>0</v>
      </c>
      <c r="H39" s="73">
        <v>0</v>
      </c>
      <c r="J39" s="74">
        <f t="shared" si="15"/>
        <v>1994</v>
      </c>
      <c r="K39" s="73">
        <v>25</v>
      </c>
      <c r="L39" s="73">
        <v>43</v>
      </c>
      <c r="M39" s="73">
        <v>12</v>
      </c>
      <c r="N39" s="73">
        <v>0</v>
      </c>
      <c r="O39" s="73">
        <v>3</v>
      </c>
      <c r="P39" s="73">
        <v>0</v>
      </c>
      <c r="Q39" s="73">
        <v>17</v>
      </c>
      <c r="R39" s="73">
        <f t="shared" si="4"/>
        <v>100</v>
      </c>
      <c r="T39" s="74">
        <f t="shared" si="6"/>
        <v>1994</v>
      </c>
      <c r="U39" s="73">
        <f t="shared" si="5"/>
        <v>0</v>
      </c>
      <c r="V39" s="73">
        <v>0</v>
      </c>
      <c r="W39" s="73">
        <v>0</v>
      </c>
    </row>
    <row r="40" spans="1:23" s="69" customFormat="1" x14ac:dyDescent="0.35">
      <c r="A40" s="70">
        <f t="shared" si="7"/>
        <v>1995</v>
      </c>
      <c r="B40" s="112">
        <f t="shared" si="11"/>
        <v>34958.375</v>
      </c>
      <c r="C40" s="72">
        <f>'AD Mauritius'!C40</f>
        <v>261.50842917505554</v>
      </c>
      <c r="D40" s="71">
        <f t="shared" si="12"/>
        <v>9141.9097327625332</v>
      </c>
      <c r="E40" s="71">
        <f t="shared" si="13"/>
        <v>0</v>
      </c>
      <c r="F40" s="71">
        <f t="shared" si="14"/>
        <v>9141.9097327625332</v>
      </c>
      <c r="G40" s="73">
        <v>0</v>
      </c>
      <c r="H40" s="73">
        <v>0</v>
      </c>
      <c r="J40" s="74">
        <f t="shared" si="15"/>
        <v>1995</v>
      </c>
      <c r="K40" s="73">
        <v>25</v>
      </c>
      <c r="L40" s="73">
        <v>43</v>
      </c>
      <c r="M40" s="73">
        <v>12</v>
      </c>
      <c r="N40" s="73">
        <v>0</v>
      </c>
      <c r="O40" s="73">
        <v>3</v>
      </c>
      <c r="P40" s="73">
        <v>0</v>
      </c>
      <c r="Q40" s="73">
        <v>17</v>
      </c>
      <c r="R40" s="73">
        <f t="shared" si="4"/>
        <v>100</v>
      </c>
      <c r="T40" s="74">
        <f t="shared" si="6"/>
        <v>1995</v>
      </c>
      <c r="U40" s="73">
        <f t="shared" si="5"/>
        <v>0</v>
      </c>
      <c r="V40" s="73">
        <v>0</v>
      </c>
      <c r="W40" s="73">
        <v>0</v>
      </c>
    </row>
    <row r="41" spans="1:23" s="69" customFormat="1" x14ac:dyDescent="0.35">
      <c r="A41" s="70">
        <f t="shared" si="7"/>
        <v>1996</v>
      </c>
      <c r="B41" s="112">
        <f t="shared" si="11"/>
        <v>35109.25</v>
      </c>
      <c r="C41" s="72">
        <f>'AD Mauritius'!C41</f>
        <v>261.50842917505554</v>
      </c>
      <c r="D41" s="71">
        <f t="shared" si="12"/>
        <v>9181.3648170143188</v>
      </c>
      <c r="E41" s="71">
        <f t="shared" si="13"/>
        <v>0</v>
      </c>
      <c r="F41" s="71">
        <f t="shared" si="14"/>
        <v>9181.3648170143188</v>
      </c>
      <c r="G41" s="73">
        <v>0</v>
      </c>
      <c r="H41" s="73">
        <v>0</v>
      </c>
      <c r="J41" s="74">
        <f t="shared" si="15"/>
        <v>1996</v>
      </c>
      <c r="K41" s="73">
        <v>25</v>
      </c>
      <c r="L41" s="73">
        <v>43</v>
      </c>
      <c r="M41" s="73">
        <v>12</v>
      </c>
      <c r="N41" s="73">
        <v>0</v>
      </c>
      <c r="O41" s="73">
        <v>3</v>
      </c>
      <c r="P41" s="73">
        <v>0</v>
      </c>
      <c r="Q41" s="73">
        <v>17</v>
      </c>
      <c r="R41" s="73">
        <f t="shared" si="4"/>
        <v>100</v>
      </c>
      <c r="T41" s="74">
        <f t="shared" si="6"/>
        <v>1996</v>
      </c>
      <c r="U41" s="73">
        <f t="shared" si="5"/>
        <v>0</v>
      </c>
      <c r="V41" s="73">
        <v>0</v>
      </c>
      <c r="W41" s="73">
        <v>0</v>
      </c>
    </row>
    <row r="42" spans="1:23" s="69" customFormat="1" x14ac:dyDescent="0.35">
      <c r="A42" s="76">
        <f t="shared" si="7"/>
        <v>1997</v>
      </c>
      <c r="B42" s="112">
        <f t="shared" si="11"/>
        <v>35260.125</v>
      </c>
      <c r="C42" s="78">
        <f>'AD Mauritius'!C42</f>
        <v>261.50842917505554</v>
      </c>
      <c r="D42" s="79">
        <f t="shared" si="12"/>
        <v>9220.8199012661062</v>
      </c>
      <c r="E42" s="79">
        <f t="shared" si="13"/>
        <v>0</v>
      </c>
      <c r="F42" s="80">
        <f t="shared" si="14"/>
        <v>9220.8199012661062</v>
      </c>
      <c r="G42" s="79">
        <v>0</v>
      </c>
      <c r="H42" s="79">
        <v>0</v>
      </c>
      <c r="J42" s="76">
        <f t="shared" si="15"/>
        <v>1997</v>
      </c>
      <c r="K42" s="81">
        <v>25</v>
      </c>
      <c r="L42" s="81">
        <v>43</v>
      </c>
      <c r="M42" s="81">
        <v>12</v>
      </c>
      <c r="N42" s="81">
        <v>0</v>
      </c>
      <c r="O42" s="81">
        <v>3</v>
      </c>
      <c r="P42" s="81">
        <v>0</v>
      </c>
      <c r="Q42" s="81">
        <v>17</v>
      </c>
      <c r="R42" s="82">
        <f t="shared" ref="R42:R44" si="16">SUM(K42:Q42)</f>
        <v>100</v>
      </c>
      <c r="T42" s="76">
        <f t="shared" si="6"/>
        <v>1997</v>
      </c>
      <c r="U42" s="97">
        <f>V42+W42</f>
        <v>0</v>
      </c>
      <c r="V42" s="97">
        <v>0</v>
      </c>
      <c r="W42" s="97">
        <v>0</v>
      </c>
    </row>
    <row r="43" spans="1:23" s="69" customFormat="1" x14ac:dyDescent="0.35">
      <c r="A43" s="76">
        <f t="shared" si="7"/>
        <v>1998</v>
      </c>
      <c r="B43" s="80">
        <v>35411</v>
      </c>
      <c r="C43" s="78">
        <f>'AD Mauritius'!C43</f>
        <v>261.50842917505554</v>
      </c>
      <c r="D43" s="79">
        <f t="shared" si="12"/>
        <v>9260.2749855178918</v>
      </c>
      <c r="E43" s="79">
        <f t="shared" si="13"/>
        <v>0</v>
      </c>
      <c r="F43" s="80">
        <f t="shared" si="14"/>
        <v>9260.2749855178918</v>
      </c>
      <c r="G43" s="79">
        <v>0</v>
      </c>
      <c r="H43" s="79">
        <v>0</v>
      </c>
      <c r="J43" s="76">
        <f t="shared" si="15"/>
        <v>1998</v>
      </c>
      <c r="K43" s="81">
        <v>25</v>
      </c>
      <c r="L43" s="81">
        <v>43</v>
      </c>
      <c r="M43" s="81">
        <v>12</v>
      </c>
      <c r="N43" s="81">
        <v>0</v>
      </c>
      <c r="O43" s="81">
        <v>3</v>
      </c>
      <c r="P43" s="81">
        <v>0</v>
      </c>
      <c r="Q43" s="81">
        <v>17</v>
      </c>
      <c r="R43" s="82">
        <f t="shared" si="16"/>
        <v>100</v>
      </c>
      <c r="T43" s="76">
        <f t="shared" si="6"/>
        <v>1998</v>
      </c>
      <c r="U43" s="97">
        <f t="shared" ref="U43:U61" si="17">V43+W43</f>
        <v>0</v>
      </c>
      <c r="V43" s="97">
        <v>0</v>
      </c>
      <c r="W43" s="97">
        <v>0</v>
      </c>
    </row>
    <row r="44" spans="1:23" s="69" customFormat="1" x14ac:dyDescent="0.35">
      <c r="A44" s="76">
        <f t="shared" si="7"/>
        <v>1999</v>
      </c>
      <c r="B44" s="80">
        <v>35640</v>
      </c>
      <c r="C44" s="78">
        <f>'AD Mauritius'!C44</f>
        <v>261.50842917505554</v>
      </c>
      <c r="D44" s="79">
        <f t="shared" si="12"/>
        <v>9320.1604157989786</v>
      </c>
      <c r="E44" s="79">
        <f t="shared" si="13"/>
        <v>0</v>
      </c>
      <c r="F44" s="80">
        <f t="shared" si="14"/>
        <v>9320.1604157989786</v>
      </c>
      <c r="G44" s="79">
        <v>0</v>
      </c>
      <c r="H44" s="79">
        <v>0</v>
      </c>
      <c r="J44" s="76">
        <f t="shared" si="15"/>
        <v>1999</v>
      </c>
      <c r="K44" s="81">
        <v>25</v>
      </c>
      <c r="L44" s="81">
        <v>43</v>
      </c>
      <c r="M44" s="81">
        <v>12</v>
      </c>
      <c r="N44" s="81">
        <v>0</v>
      </c>
      <c r="O44" s="81">
        <v>3</v>
      </c>
      <c r="P44" s="81">
        <v>0</v>
      </c>
      <c r="Q44" s="81">
        <v>17</v>
      </c>
      <c r="R44" s="82">
        <f t="shared" si="16"/>
        <v>100</v>
      </c>
      <c r="T44" s="76">
        <f t="shared" si="6"/>
        <v>1999</v>
      </c>
      <c r="U44" s="97">
        <f t="shared" si="17"/>
        <v>0</v>
      </c>
      <c r="V44" s="97">
        <v>0</v>
      </c>
      <c r="W44" s="97">
        <v>0</v>
      </c>
    </row>
    <row r="45" spans="1:23" x14ac:dyDescent="0.35">
      <c r="A45" s="76">
        <f t="shared" si="7"/>
        <v>2000</v>
      </c>
      <c r="B45" s="80">
        <v>35992</v>
      </c>
      <c r="C45" s="78">
        <f>'AD Mauritius'!C45</f>
        <v>261.50842917505554</v>
      </c>
      <c r="D45" s="79">
        <f t="shared" si="12"/>
        <v>9412.2113828685997</v>
      </c>
      <c r="E45" s="79">
        <f t="shared" si="13"/>
        <v>0</v>
      </c>
      <c r="F45" s="80">
        <f t="shared" si="14"/>
        <v>9412.2113828685997</v>
      </c>
      <c r="G45" s="79">
        <v>0</v>
      </c>
      <c r="H45" s="79">
        <v>0</v>
      </c>
      <c r="J45" s="76">
        <f t="shared" si="15"/>
        <v>2000</v>
      </c>
      <c r="K45" s="81">
        <v>25</v>
      </c>
      <c r="L45" s="81">
        <v>43</v>
      </c>
      <c r="M45" s="81">
        <v>12</v>
      </c>
      <c r="N45" s="81">
        <v>0</v>
      </c>
      <c r="O45" s="81">
        <v>3</v>
      </c>
      <c r="P45" s="81">
        <v>0</v>
      </c>
      <c r="Q45" s="81">
        <v>17</v>
      </c>
      <c r="R45" s="82">
        <f>SUM(K45:Q45)</f>
        <v>100</v>
      </c>
      <c r="T45" s="76">
        <f t="shared" si="6"/>
        <v>2000</v>
      </c>
      <c r="U45" s="82">
        <f t="shared" si="17"/>
        <v>0</v>
      </c>
      <c r="V45" s="82">
        <v>0</v>
      </c>
      <c r="W45" s="82">
        <v>0</v>
      </c>
    </row>
    <row r="46" spans="1:23" x14ac:dyDescent="0.35">
      <c r="A46" s="76">
        <f t="shared" si="7"/>
        <v>2001</v>
      </c>
      <c r="B46" s="80">
        <v>36414</v>
      </c>
      <c r="C46" s="78">
        <f>'AD Mauritius'!C46</f>
        <v>299.05391252177645</v>
      </c>
      <c r="D46" s="79">
        <f t="shared" si="12"/>
        <v>10889.749170567968</v>
      </c>
      <c r="E46" s="79">
        <f t="shared" si="13"/>
        <v>0</v>
      </c>
      <c r="F46" s="80">
        <f t="shared" si="14"/>
        <v>10889.749170567968</v>
      </c>
      <c r="G46" s="79">
        <v>0</v>
      </c>
      <c r="H46" s="79">
        <v>0</v>
      </c>
      <c r="J46" s="76">
        <f t="shared" si="15"/>
        <v>2001</v>
      </c>
      <c r="K46" s="81">
        <v>25</v>
      </c>
      <c r="L46" s="81">
        <v>43</v>
      </c>
      <c r="M46" s="81">
        <v>12</v>
      </c>
      <c r="N46" s="81">
        <v>0</v>
      </c>
      <c r="O46" s="81">
        <v>3</v>
      </c>
      <c r="P46" s="81">
        <v>0</v>
      </c>
      <c r="Q46" s="81">
        <v>17</v>
      </c>
      <c r="R46" s="82">
        <f t="shared" ref="R46:R61" si="18">SUM(K46:Q46)</f>
        <v>100</v>
      </c>
      <c r="T46" s="76">
        <f t="shared" si="6"/>
        <v>2001</v>
      </c>
      <c r="U46" s="82">
        <f t="shared" si="17"/>
        <v>0</v>
      </c>
      <c r="V46" s="82">
        <v>0</v>
      </c>
      <c r="W46" s="82">
        <v>0</v>
      </c>
    </row>
    <row r="47" spans="1:23" x14ac:dyDescent="0.35">
      <c r="A47" s="76">
        <f t="shared" si="7"/>
        <v>2002</v>
      </c>
      <c r="B47" s="80">
        <v>36837</v>
      </c>
      <c r="C47" s="78">
        <f>'AD Mauritius'!C47</f>
        <v>320.92183613799716</v>
      </c>
      <c r="D47" s="79">
        <f t="shared" si="12"/>
        <v>11821.797677815402</v>
      </c>
      <c r="E47" s="79">
        <f t="shared" si="13"/>
        <v>0</v>
      </c>
      <c r="F47" s="80">
        <f t="shared" si="14"/>
        <v>11821.797677815402</v>
      </c>
      <c r="G47" s="79">
        <v>0</v>
      </c>
      <c r="H47" s="79">
        <v>0</v>
      </c>
      <c r="J47" s="76">
        <f t="shared" si="15"/>
        <v>2002</v>
      </c>
      <c r="K47" s="81">
        <v>25</v>
      </c>
      <c r="L47" s="81">
        <v>43</v>
      </c>
      <c r="M47" s="81">
        <v>12</v>
      </c>
      <c r="N47" s="81">
        <v>0</v>
      </c>
      <c r="O47" s="81">
        <v>3</v>
      </c>
      <c r="P47" s="81">
        <v>0</v>
      </c>
      <c r="Q47" s="81">
        <v>17</v>
      </c>
      <c r="R47" s="82">
        <f t="shared" si="18"/>
        <v>100</v>
      </c>
      <c r="T47" s="76">
        <f t="shared" si="6"/>
        <v>2002</v>
      </c>
      <c r="U47" s="82">
        <f t="shared" si="17"/>
        <v>0</v>
      </c>
      <c r="V47" s="82">
        <v>0</v>
      </c>
      <c r="W47" s="82">
        <v>0</v>
      </c>
    </row>
    <row r="48" spans="1:23" x14ac:dyDescent="0.35">
      <c r="A48" s="76">
        <f t="shared" si="7"/>
        <v>2003</v>
      </c>
      <c r="B48" s="80">
        <v>37258</v>
      </c>
      <c r="C48" s="78">
        <f>'AD Mauritius'!C48</f>
        <v>320.31130055265436</v>
      </c>
      <c r="D48" s="79">
        <f t="shared" si="12"/>
        <v>11934.158435990796</v>
      </c>
      <c r="E48" s="79">
        <f t="shared" si="13"/>
        <v>0</v>
      </c>
      <c r="F48" s="80">
        <f t="shared" si="14"/>
        <v>11934.158435990796</v>
      </c>
      <c r="G48" s="79">
        <v>0</v>
      </c>
      <c r="H48" s="79">
        <v>0</v>
      </c>
      <c r="J48" s="76">
        <f t="shared" si="15"/>
        <v>2003</v>
      </c>
      <c r="K48" s="81">
        <v>25</v>
      </c>
      <c r="L48" s="81">
        <v>43</v>
      </c>
      <c r="M48" s="81">
        <v>12</v>
      </c>
      <c r="N48" s="81">
        <v>0</v>
      </c>
      <c r="O48" s="81">
        <v>3</v>
      </c>
      <c r="P48" s="81">
        <v>0</v>
      </c>
      <c r="Q48" s="81">
        <v>17</v>
      </c>
      <c r="R48" s="82">
        <f t="shared" si="18"/>
        <v>100</v>
      </c>
      <c r="T48" s="76">
        <f t="shared" si="6"/>
        <v>2003</v>
      </c>
      <c r="U48" s="82">
        <f t="shared" si="17"/>
        <v>0</v>
      </c>
      <c r="V48" s="82">
        <v>0</v>
      </c>
      <c r="W48" s="82">
        <v>0</v>
      </c>
    </row>
    <row r="49" spans="1:23" x14ac:dyDescent="0.35">
      <c r="A49" s="76">
        <f t="shared" si="7"/>
        <v>2004</v>
      </c>
      <c r="B49" s="80">
        <v>37681</v>
      </c>
      <c r="C49" s="78">
        <f>'AD Mauritius'!C49</f>
        <v>326.64459715107228</v>
      </c>
      <c r="D49" s="79">
        <f t="shared" si="12"/>
        <v>12308.295065249555</v>
      </c>
      <c r="E49" s="79">
        <f t="shared" si="13"/>
        <v>0</v>
      </c>
      <c r="F49" s="80">
        <f t="shared" si="14"/>
        <v>12308.295065249555</v>
      </c>
      <c r="G49" s="79">
        <v>0</v>
      </c>
      <c r="H49" s="79">
        <v>0</v>
      </c>
      <c r="J49" s="76">
        <f t="shared" si="15"/>
        <v>2004</v>
      </c>
      <c r="K49" s="81">
        <v>25</v>
      </c>
      <c r="L49" s="81">
        <v>43</v>
      </c>
      <c r="M49" s="81">
        <v>12</v>
      </c>
      <c r="N49" s="81">
        <v>0</v>
      </c>
      <c r="O49" s="81">
        <v>3</v>
      </c>
      <c r="P49" s="81">
        <v>0</v>
      </c>
      <c r="Q49" s="81">
        <v>17</v>
      </c>
      <c r="R49" s="82">
        <f t="shared" si="18"/>
        <v>100</v>
      </c>
      <c r="T49" s="76">
        <f t="shared" si="6"/>
        <v>2004</v>
      </c>
      <c r="U49" s="82">
        <f t="shared" si="17"/>
        <v>0</v>
      </c>
      <c r="V49" s="82">
        <v>0</v>
      </c>
      <c r="W49" s="82">
        <v>0</v>
      </c>
    </row>
    <row r="50" spans="1:23" x14ac:dyDescent="0.35">
      <c r="A50" s="76">
        <f t="shared" si="7"/>
        <v>2005</v>
      </c>
      <c r="B50" s="80">
        <v>38106</v>
      </c>
      <c r="C50" s="78">
        <f>'AD Mauritius'!C50</f>
        <v>351.40077673915727</v>
      </c>
      <c r="D50" s="79">
        <f t="shared" si="12"/>
        <v>13390.477998422326</v>
      </c>
      <c r="E50" s="79">
        <f t="shared" si="13"/>
        <v>0</v>
      </c>
      <c r="F50" s="80">
        <f t="shared" si="14"/>
        <v>13390.477998422326</v>
      </c>
      <c r="G50" s="79">
        <v>0</v>
      </c>
      <c r="H50" s="79">
        <v>0</v>
      </c>
      <c r="J50" s="76">
        <f t="shared" si="15"/>
        <v>2005</v>
      </c>
      <c r="K50" s="81">
        <v>25</v>
      </c>
      <c r="L50" s="81">
        <v>43</v>
      </c>
      <c r="M50" s="81">
        <v>12</v>
      </c>
      <c r="N50" s="81">
        <v>0</v>
      </c>
      <c r="O50" s="81">
        <v>3</v>
      </c>
      <c r="P50" s="81">
        <v>0</v>
      </c>
      <c r="Q50" s="81">
        <v>17</v>
      </c>
      <c r="R50" s="82">
        <f t="shared" si="18"/>
        <v>100</v>
      </c>
      <c r="T50" s="76">
        <f t="shared" si="6"/>
        <v>2005</v>
      </c>
      <c r="U50" s="82">
        <f t="shared" si="17"/>
        <v>0</v>
      </c>
      <c r="V50" s="82">
        <v>0</v>
      </c>
      <c r="W50" s="82">
        <v>0</v>
      </c>
    </row>
    <row r="51" spans="1:23" x14ac:dyDescent="0.35">
      <c r="A51" s="76">
        <f t="shared" si="7"/>
        <v>2006</v>
      </c>
      <c r="B51" s="80">
        <v>38531</v>
      </c>
      <c r="C51" s="78">
        <f>'AD Mauritius'!C51</f>
        <v>340.94686185889822</v>
      </c>
      <c r="D51" s="79">
        <f t="shared" si="12"/>
        <v>13137.023534285207</v>
      </c>
      <c r="E51" s="79">
        <f t="shared" si="13"/>
        <v>0</v>
      </c>
      <c r="F51" s="80">
        <f t="shared" si="14"/>
        <v>13137.023534285207</v>
      </c>
      <c r="G51" s="79">
        <v>0</v>
      </c>
      <c r="H51" s="79">
        <v>0</v>
      </c>
      <c r="J51" s="76">
        <f t="shared" si="15"/>
        <v>2006</v>
      </c>
      <c r="K51" s="81">
        <v>25</v>
      </c>
      <c r="L51" s="81">
        <v>43</v>
      </c>
      <c r="M51" s="81">
        <v>12</v>
      </c>
      <c r="N51" s="81">
        <v>0</v>
      </c>
      <c r="O51" s="81">
        <v>3</v>
      </c>
      <c r="P51" s="81">
        <v>0</v>
      </c>
      <c r="Q51" s="81">
        <v>17</v>
      </c>
      <c r="R51" s="82">
        <f t="shared" si="18"/>
        <v>100</v>
      </c>
      <c r="T51" s="76">
        <f t="shared" si="6"/>
        <v>2006</v>
      </c>
      <c r="U51" s="82">
        <f t="shared" si="17"/>
        <v>0</v>
      </c>
      <c r="V51" s="82">
        <v>0</v>
      </c>
      <c r="W51" s="82">
        <v>0</v>
      </c>
    </row>
    <row r="52" spans="1:23" x14ac:dyDescent="0.35">
      <c r="A52" s="76">
        <f t="shared" si="7"/>
        <v>2007</v>
      </c>
      <c r="B52" s="80">
        <v>38954</v>
      </c>
      <c r="C52" s="78">
        <f>'AD Mauritius'!C52</f>
        <v>322.82524500639943</v>
      </c>
      <c r="D52" s="79">
        <f t="shared" si="12"/>
        <v>12575.334593979283</v>
      </c>
      <c r="E52" s="79">
        <f t="shared" si="13"/>
        <v>0</v>
      </c>
      <c r="F52" s="80">
        <f t="shared" si="14"/>
        <v>12575.334593979283</v>
      </c>
      <c r="G52" s="79">
        <v>0</v>
      </c>
      <c r="H52" s="79">
        <v>0</v>
      </c>
      <c r="J52" s="76">
        <f t="shared" si="15"/>
        <v>2007</v>
      </c>
      <c r="K52" s="81">
        <v>25</v>
      </c>
      <c r="L52" s="81">
        <v>43</v>
      </c>
      <c r="M52" s="81">
        <v>12</v>
      </c>
      <c r="N52" s="81">
        <v>0</v>
      </c>
      <c r="O52" s="81">
        <v>3</v>
      </c>
      <c r="P52" s="81">
        <v>0</v>
      </c>
      <c r="Q52" s="81">
        <v>17</v>
      </c>
      <c r="R52" s="82">
        <f t="shared" si="18"/>
        <v>100</v>
      </c>
      <c r="T52" s="76">
        <f t="shared" si="6"/>
        <v>2007</v>
      </c>
      <c r="U52" s="82">
        <f t="shared" si="17"/>
        <v>0</v>
      </c>
      <c r="V52" s="82">
        <v>0</v>
      </c>
      <c r="W52" s="82">
        <v>0</v>
      </c>
    </row>
    <row r="53" spans="1:23" x14ac:dyDescent="0.35">
      <c r="A53" s="76">
        <f t="shared" si="7"/>
        <v>2008</v>
      </c>
      <c r="B53" s="80">
        <v>39376</v>
      </c>
      <c r="C53" s="78">
        <f>'AD Mauritius'!C53</f>
        <v>332.04483984879101</v>
      </c>
      <c r="D53" s="79">
        <f t="shared" si="12"/>
        <v>13074.597613885995</v>
      </c>
      <c r="E53" s="79">
        <f t="shared" si="13"/>
        <v>0</v>
      </c>
      <c r="F53" s="80">
        <f t="shared" si="14"/>
        <v>13074.597613885995</v>
      </c>
      <c r="G53" s="79">
        <v>0</v>
      </c>
      <c r="H53" s="79">
        <v>0</v>
      </c>
      <c r="J53" s="76">
        <f t="shared" si="15"/>
        <v>2008</v>
      </c>
      <c r="K53" s="81">
        <v>25</v>
      </c>
      <c r="L53" s="81">
        <v>43</v>
      </c>
      <c r="M53" s="81">
        <v>12</v>
      </c>
      <c r="N53" s="81">
        <v>0</v>
      </c>
      <c r="O53" s="81">
        <v>3</v>
      </c>
      <c r="P53" s="81">
        <v>0</v>
      </c>
      <c r="Q53" s="81">
        <v>17</v>
      </c>
      <c r="R53" s="82">
        <f t="shared" si="18"/>
        <v>100</v>
      </c>
      <c r="T53" s="76">
        <f t="shared" si="6"/>
        <v>2008</v>
      </c>
      <c r="U53" s="82">
        <f t="shared" si="17"/>
        <v>0</v>
      </c>
      <c r="V53" s="82">
        <v>0</v>
      </c>
      <c r="W53" s="82">
        <v>0</v>
      </c>
    </row>
    <row r="54" spans="1:23" x14ac:dyDescent="0.35">
      <c r="A54" s="76">
        <f t="shared" si="7"/>
        <v>2009</v>
      </c>
      <c r="B54" s="80">
        <v>39798</v>
      </c>
      <c r="C54" s="78">
        <f>'AD Mauritius'!C54</f>
        <v>344.86053639466087</v>
      </c>
      <c r="D54" s="79">
        <f t="shared" si="12"/>
        <v>13724.759627434714</v>
      </c>
      <c r="E54" s="79">
        <f t="shared" si="13"/>
        <v>0</v>
      </c>
      <c r="F54" s="80">
        <f t="shared" si="14"/>
        <v>13724.759627434714</v>
      </c>
      <c r="G54" s="79">
        <v>0</v>
      </c>
      <c r="H54" s="79">
        <v>0</v>
      </c>
      <c r="J54" s="76">
        <f t="shared" si="15"/>
        <v>2009</v>
      </c>
      <c r="K54" s="81">
        <v>45</v>
      </c>
      <c r="L54" s="81">
        <v>25</v>
      </c>
      <c r="M54" s="81">
        <v>10</v>
      </c>
      <c r="N54" s="81">
        <v>0</v>
      </c>
      <c r="O54" s="81">
        <v>4</v>
      </c>
      <c r="P54" s="81">
        <v>0</v>
      </c>
      <c r="Q54" s="81">
        <v>16</v>
      </c>
      <c r="R54" s="81">
        <f t="shared" si="18"/>
        <v>100</v>
      </c>
      <c r="T54" s="76">
        <f t="shared" si="6"/>
        <v>2009</v>
      </c>
      <c r="U54" s="98">
        <f t="shared" si="17"/>
        <v>0</v>
      </c>
      <c r="V54" s="98">
        <v>0</v>
      </c>
      <c r="W54" s="98">
        <v>0</v>
      </c>
    </row>
    <row r="55" spans="1:23" x14ac:dyDescent="0.35">
      <c r="A55" s="76">
        <f t="shared" si="7"/>
        <v>2010</v>
      </c>
      <c r="B55" s="80">
        <v>40221</v>
      </c>
      <c r="C55" s="78">
        <f>'AD Mauritius'!C55</f>
        <v>353.93562080352547</v>
      </c>
      <c r="D55" s="79">
        <f t="shared" si="12"/>
        <v>14235.644604338597</v>
      </c>
      <c r="E55" s="79">
        <f t="shared" si="13"/>
        <v>0</v>
      </c>
      <c r="F55" s="80">
        <f t="shared" si="14"/>
        <v>14235.644604338597</v>
      </c>
      <c r="G55" s="79">
        <v>0</v>
      </c>
      <c r="H55" s="79">
        <v>0</v>
      </c>
      <c r="J55" s="76">
        <f t="shared" si="15"/>
        <v>2010</v>
      </c>
      <c r="K55" s="81">
        <v>45</v>
      </c>
      <c r="L55" s="81">
        <v>25</v>
      </c>
      <c r="M55" s="81">
        <v>10</v>
      </c>
      <c r="N55" s="81">
        <v>0</v>
      </c>
      <c r="O55" s="81">
        <v>4</v>
      </c>
      <c r="P55" s="81">
        <v>0</v>
      </c>
      <c r="Q55" s="81">
        <v>16</v>
      </c>
      <c r="R55" s="81">
        <f t="shared" si="18"/>
        <v>100</v>
      </c>
      <c r="T55" s="76">
        <f t="shared" si="6"/>
        <v>2010</v>
      </c>
      <c r="U55" s="98">
        <f t="shared" si="17"/>
        <v>0</v>
      </c>
      <c r="V55" s="98">
        <v>0</v>
      </c>
      <c r="W55" s="98">
        <v>0</v>
      </c>
    </row>
    <row r="56" spans="1:23" x14ac:dyDescent="0.35">
      <c r="A56" s="76">
        <f t="shared" si="7"/>
        <v>2011</v>
      </c>
      <c r="B56" s="80">
        <v>40663</v>
      </c>
      <c r="C56" s="78">
        <f>'AD Mauritius'!C56</f>
        <v>346.82602704687412</v>
      </c>
      <c r="D56" s="79">
        <f t="shared" si="12"/>
        <v>14102.986737807043</v>
      </c>
      <c r="E56" s="79">
        <f t="shared" si="13"/>
        <v>0</v>
      </c>
      <c r="F56" s="80">
        <f t="shared" si="14"/>
        <v>14102.986737807043</v>
      </c>
      <c r="G56" s="79">
        <v>0</v>
      </c>
      <c r="H56" s="79">
        <v>0</v>
      </c>
      <c r="J56" s="76">
        <f t="shared" si="15"/>
        <v>2011</v>
      </c>
      <c r="K56" s="81">
        <v>45</v>
      </c>
      <c r="L56" s="81">
        <v>25</v>
      </c>
      <c r="M56" s="81">
        <v>10</v>
      </c>
      <c r="N56" s="81">
        <v>0</v>
      </c>
      <c r="O56" s="81">
        <v>4</v>
      </c>
      <c r="P56" s="81">
        <v>0</v>
      </c>
      <c r="Q56" s="81">
        <v>16</v>
      </c>
      <c r="R56" s="81">
        <f t="shared" si="18"/>
        <v>100</v>
      </c>
      <c r="T56" s="76">
        <f t="shared" si="6"/>
        <v>2011</v>
      </c>
      <c r="U56" s="98">
        <f t="shared" si="17"/>
        <v>0</v>
      </c>
      <c r="V56" s="98">
        <v>0</v>
      </c>
      <c r="W56" s="98">
        <v>0</v>
      </c>
    </row>
    <row r="57" spans="1:23" x14ac:dyDescent="0.35">
      <c r="A57" s="76">
        <f t="shared" si="7"/>
        <v>2012</v>
      </c>
      <c r="B57" s="80">
        <v>41083</v>
      </c>
      <c r="C57" s="78">
        <f>'AD Mauritius'!C57</f>
        <v>348.4454895402173</v>
      </c>
      <c r="D57" s="79">
        <f t="shared" si="12"/>
        <v>14315.186046780746</v>
      </c>
      <c r="E57" s="79">
        <f t="shared" si="13"/>
        <v>0</v>
      </c>
      <c r="F57" s="80">
        <f t="shared" si="14"/>
        <v>14315.186046780746</v>
      </c>
      <c r="G57" s="79">
        <v>0</v>
      </c>
      <c r="H57" s="79">
        <v>0</v>
      </c>
      <c r="J57" s="76">
        <f t="shared" si="15"/>
        <v>2012</v>
      </c>
      <c r="K57" s="81">
        <v>45</v>
      </c>
      <c r="L57" s="81">
        <v>25</v>
      </c>
      <c r="M57" s="81">
        <v>10</v>
      </c>
      <c r="N57" s="81">
        <v>0</v>
      </c>
      <c r="O57" s="81">
        <v>4</v>
      </c>
      <c r="P57" s="81">
        <v>0</v>
      </c>
      <c r="Q57" s="81">
        <v>16</v>
      </c>
      <c r="R57" s="81">
        <f t="shared" si="18"/>
        <v>100</v>
      </c>
      <c r="T57" s="76">
        <f t="shared" si="6"/>
        <v>2012</v>
      </c>
      <c r="U57" s="98">
        <f t="shared" si="17"/>
        <v>0</v>
      </c>
      <c r="V57" s="98">
        <v>0</v>
      </c>
      <c r="W57" s="98">
        <v>0</v>
      </c>
    </row>
    <row r="58" spans="1:23" x14ac:dyDescent="0.35">
      <c r="A58" s="76">
        <f t="shared" si="7"/>
        <v>2013</v>
      </c>
      <c r="B58" s="80">
        <v>41504</v>
      </c>
      <c r="C58" s="78">
        <f>'AD Mauritius'!C58</f>
        <v>369.54295468566323</v>
      </c>
      <c r="D58" s="79">
        <f t="shared" si="12"/>
        <v>15337.510791273768</v>
      </c>
      <c r="E58" s="79">
        <f t="shared" si="13"/>
        <v>0</v>
      </c>
      <c r="F58" s="80">
        <f t="shared" si="14"/>
        <v>15337.510791273768</v>
      </c>
      <c r="G58" s="79">
        <v>0</v>
      </c>
      <c r="H58" s="79">
        <v>0</v>
      </c>
      <c r="J58" s="76">
        <f t="shared" si="15"/>
        <v>2013</v>
      </c>
      <c r="K58" s="81">
        <v>45</v>
      </c>
      <c r="L58" s="81">
        <v>25</v>
      </c>
      <c r="M58" s="81">
        <v>10</v>
      </c>
      <c r="N58" s="81">
        <v>0</v>
      </c>
      <c r="O58" s="81">
        <v>4</v>
      </c>
      <c r="P58" s="81">
        <v>0</v>
      </c>
      <c r="Q58" s="81">
        <v>16</v>
      </c>
      <c r="R58" s="81">
        <f t="shared" si="18"/>
        <v>100</v>
      </c>
      <c r="T58" s="76">
        <f t="shared" si="6"/>
        <v>2013</v>
      </c>
      <c r="U58" s="98">
        <f t="shared" si="17"/>
        <v>0</v>
      </c>
      <c r="V58" s="98">
        <v>0</v>
      </c>
      <c r="W58" s="98">
        <v>0</v>
      </c>
    </row>
    <row r="59" spans="1:23" x14ac:dyDescent="0.35">
      <c r="A59" s="76">
        <f t="shared" si="7"/>
        <v>2014</v>
      </c>
      <c r="B59" s="80">
        <v>41788</v>
      </c>
      <c r="C59" s="78">
        <f>'AD Mauritius'!C59</f>
        <v>376.67274546550584</v>
      </c>
      <c r="D59" s="79">
        <f t="shared" si="12"/>
        <v>15740.400687512558</v>
      </c>
      <c r="E59" s="79">
        <f t="shared" si="13"/>
        <v>0</v>
      </c>
      <c r="F59" s="80">
        <f t="shared" si="14"/>
        <v>15740.400687512558</v>
      </c>
      <c r="G59" s="79">
        <v>0</v>
      </c>
      <c r="H59" s="79">
        <v>0</v>
      </c>
      <c r="J59" s="76">
        <f t="shared" si="15"/>
        <v>2014</v>
      </c>
      <c r="K59" s="81">
        <v>27</v>
      </c>
      <c r="L59" s="81">
        <v>27</v>
      </c>
      <c r="M59" s="81">
        <v>14</v>
      </c>
      <c r="N59" s="81">
        <v>0</v>
      </c>
      <c r="O59" s="81">
        <v>6</v>
      </c>
      <c r="P59" s="81">
        <v>0</v>
      </c>
      <c r="Q59" s="81">
        <v>26</v>
      </c>
      <c r="R59" s="81">
        <f t="shared" si="18"/>
        <v>100</v>
      </c>
      <c r="T59" s="76">
        <f t="shared" si="6"/>
        <v>2014</v>
      </c>
      <c r="U59" s="98">
        <f t="shared" si="17"/>
        <v>0</v>
      </c>
      <c r="V59" s="98">
        <v>0</v>
      </c>
      <c r="W59" s="98">
        <v>0</v>
      </c>
    </row>
    <row r="60" spans="1:23" x14ac:dyDescent="0.35">
      <c r="A60" s="76">
        <f t="shared" si="7"/>
        <v>2015</v>
      </c>
      <c r="B60" s="80">
        <v>42058</v>
      </c>
      <c r="C60" s="78">
        <f>'AD Mauritius'!C60</f>
        <v>399.205186034147</v>
      </c>
      <c r="D60" s="79">
        <f t="shared" si="12"/>
        <v>16789.771714224156</v>
      </c>
      <c r="E60" s="79">
        <f t="shared" si="13"/>
        <v>0</v>
      </c>
      <c r="F60" s="80">
        <f t="shared" si="14"/>
        <v>16789.771714224156</v>
      </c>
      <c r="G60" s="79">
        <v>0</v>
      </c>
      <c r="H60" s="79">
        <v>0</v>
      </c>
      <c r="J60" s="76">
        <f t="shared" si="15"/>
        <v>2015</v>
      </c>
      <c r="K60" s="81">
        <v>27</v>
      </c>
      <c r="L60" s="81">
        <v>27</v>
      </c>
      <c r="M60" s="81">
        <v>14</v>
      </c>
      <c r="N60" s="81">
        <v>0</v>
      </c>
      <c r="O60" s="81">
        <v>6</v>
      </c>
      <c r="P60" s="81">
        <v>0</v>
      </c>
      <c r="Q60" s="81">
        <v>26</v>
      </c>
      <c r="R60" s="81">
        <f t="shared" si="18"/>
        <v>100</v>
      </c>
      <c r="T60" s="76">
        <f t="shared" si="6"/>
        <v>2015</v>
      </c>
      <c r="U60" s="98">
        <f t="shared" si="17"/>
        <v>0</v>
      </c>
      <c r="V60" s="98">
        <v>0</v>
      </c>
      <c r="W60" s="98">
        <v>0</v>
      </c>
    </row>
    <row r="61" spans="1:23" x14ac:dyDescent="0.35">
      <c r="A61" s="76">
        <f t="shared" si="7"/>
        <v>2016</v>
      </c>
      <c r="B61" s="80">
        <v>42396</v>
      </c>
      <c r="C61" s="78">
        <f>'AD Mauritius'!C61</f>
        <v>396.19900744820183</v>
      </c>
      <c r="D61" s="79">
        <f t="shared" si="12"/>
        <v>16797.253119773966</v>
      </c>
      <c r="E61" s="79">
        <f t="shared" si="13"/>
        <v>0</v>
      </c>
      <c r="F61" s="80">
        <f t="shared" si="14"/>
        <v>16797.253119773966</v>
      </c>
      <c r="G61" s="79">
        <v>0</v>
      </c>
      <c r="H61" s="79">
        <v>0</v>
      </c>
      <c r="J61" s="76">
        <f t="shared" si="15"/>
        <v>2016</v>
      </c>
      <c r="K61" s="81">
        <v>27</v>
      </c>
      <c r="L61" s="81">
        <v>27</v>
      </c>
      <c r="M61" s="81">
        <v>14</v>
      </c>
      <c r="N61" s="81">
        <v>0</v>
      </c>
      <c r="O61" s="81">
        <v>6</v>
      </c>
      <c r="P61" s="81">
        <v>0</v>
      </c>
      <c r="Q61" s="81">
        <v>26</v>
      </c>
      <c r="R61" s="81">
        <f t="shared" si="18"/>
        <v>100</v>
      </c>
      <c r="T61" s="76">
        <f t="shared" si="6"/>
        <v>2016</v>
      </c>
      <c r="U61" s="98">
        <f t="shared" si="17"/>
        <v>0</v>
      </c>
      <c r="V61" s="98">
        <v>0</v>
      </c>
      <c r="W61" s="98">
        <v>0</v>
      </c>
    </row>
    <row r="62" spans="1:23" x14ac:dyDescent="0.35">
      <c r="A62" s="86" t="s">
        <v>16</v>
      </c>
    </row>
    <row r="63" spans="1:23" x14ac:dyDescent="0.35">
      <c r="A63" s="99" t="s">
        <v>406</v>
      </c>
      <c r="B63" s="87"/>
      <c r="C63" s="87"/>
      <c r="D63" s="87"/>
      <c r="J63" s="87"/>
      <c r="K63" s="87"/>
    </row>
    <row r="64" spans="1:23" x14ac:dyDescent="0.35">
      <c r="A64" s="86" t="s">
        <v>15</v>
      </c>
    </row>
    <row r="66" spans="1:29" ht="46" x14ac:dyDescent="1">
      <c r="A66" s="220" t="s">
        <v>287</v>
      </c>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row>
    <row r="68" spans="1:29" ht="101.5" x14ac:dyDescent="0.35">
      <c r="A68" s="67" t="s">
        <v>0</v>
      </c>
      <c r="B68" s="68" t="s">
        <v>9</v>
      </c>
      <c r="C68" s="68" t="s">
        <v>336</v>
      </c>
      <c r="D68" s="68" t="s">
        <v>337</v>
      </c>
      <c r="E68" s="68" t="str">
        <f>'AD Mauritius'!C68</f>
        <v>Protein consumption
(kg/person/ year)</v>
      </c>
      <c r="F68" s="68" t="s">
        <v>395</v>
      </c>
      <c r="H68" s="67" t="s">
        <v>0</v>
      </c>
      <c r="I68" s="68" t="s">
        <v>339</v>
      </c>
      <c r="J68" s="68" t="s">
        <v>340</v>
      </c>
      <c r="K68" s="68" t="s">
        <v>347</v>
      </c>
      <c r="L68" s="68" t="s">
        <v>341</v>
      </c>
      <c r="M68" s="68" t="s">
        <v>342</v>
      </c>
      <c r="N68" s="68" t="s">
        <v>115</v>
      </c>
      <c r="O68" s="68" t="s">
        <v>118</v>
      </c>
      <c r="P68" s="68" t="s">
        <v>343</v>
      </c>
      <c r="Q68" s="68" t="s">
        <v>323</v>
      </c>
      <c r="R68" s="68" t="s">
        <v>125</v>
      </c>
      <c r="S68" s="68" t="s">
        <v>346</v>
      </c>
      <c r="T68" s="68" t="s">
        <v>348</v>
      </c>
      <c r="U68" s="68" t="s">
        <v>344</v>
      </c>
      <c r="V68" s="68" t="s">
        <v>328</v>
      </c>
      <c r="W68" s="68" t="s">
        <v>345</v>
      </c>
      <c r="Y68" s="67" t="s">
        <v>0</v>
      </c>
      <c r="Z68" s="68" t="s">
        <v>17</v>
      </c>
      <c r="AA68" s="68" t="s">
        <v>18</v>
      </c>
      <c r="AB68" s="68" t="s">
        <v>19</v>
      </c>
      <c r="AC68" s="68" t="s">
        <v>21</v>
      </c>
    </row>
    <row r="69" spans="1:29" x14ac:dyDescent="0.35">
      <c r="A69" s="88">
        <v>2000</v>
      </c>
      <c r="B69" s="80">
        <f t="shared" ref="B69:B85" si="19">B45</f>
        <v>35992</v>
      </c>
      <c r="C69" s="77">
        <v>0</v>
      </c>
      <c r="D69" s="79">
        <f>B69+C69</f>
        <v>35992</v>
      </c>
      <c r="E69" s="89">
        <f>'AD Mauritius'!C69</f>
        <v>28.674400000000002</v>
      </c>
      <c r="F69" s="79">
        <f>'AD Mauritius'!D69</f>
        <v>13.505000000000001</v>
      </c>
      <c r="H69" s="88">
        <v>2000</v>
      </c>
      <c r="I69" s="163">
        <f t="shared" ref="I69:I79" si="20">3.4</f>
        <v>3.4</v>
      </c>
      <c r="J69" s="157"/>
      <c r="K69" s="157"/>
      <c r="L69" s="157"/>
      <c r="M69" s="157"/>
      <c r="N69" s="162">
        <v>43.61</v>
      </c>
      <c r="O69" s="157"/>
      <c r="P69" s="157"/>
      <c r="Q69" s="160"/>
      <c r="R69" s="162">
        <v>6.79</v>
      </c>
      <c r="S69" s="162">
        <v>46.2</v>
      </c>
      <c r="T69" s="157"/>
      <c r="U69" s="157"/>
      <c r="V69" s="157"/>
      <c r="W69" s="81">
        <f>SUM(I69:V69)</f>
        <v>100</v>
      </c>
      <c r="Y69" s="74">
        <f t="shared" ref="Y69:Y85" si="21">A69</f>
        <v>2000</v>
      </c>
      <c r="Z69" s="179">
        <f>((B69*F69*(I69/100)*EFs!$E$28)+('AD Rodrigues'!B69*'AD Rodrigues'!F69*('AD Rodrigues'!N69/100)*EFs!$E$34)+('AD Rodrigues'!B69*'AD Rodrigues'!F69*('AD Rodrigues'!R69/100)*EFs!$E$38)+('AD Rodrigues'!B69*'AD Rodrigues'!F69*('AD Rodrigues'!S69/100)*EFs!$E$39))/1000</f>
        <v>126.11525859768</v>
      </c>
      <c r="AA69" s="73">
        <f t="shared" ref="AA69:AA85" si="22">AB69+AC69</f>
        <v>0</v>
      </c>
      <c r="AB69" s="73">
        <v>0</v>
      </c>
      <c r="AC69" s="73">
        <v>0</v>
      </c>
    </row>
    <row r="70" spans="1:29" x14ac:dyDescent="0.35">
      <c r="A70" s="88">
        <f t="shared" ref="A70:A85" si="23">A69+1</f>
        <v>2001</v>
      </c>
      <c r="B70" s="80">
        <f t="shared" si="19"/>
        <v>36414</v>
      </c>
      <c r="C70" s="77">
        <v>0</v>
      </c>
      <c r="D70" s="79">
        <f t="shared" ref="D70:D85" si="24">B70+C70</f>
        <v>36414</v>
      </c>
      <c r="E70" s="89">
        <f>'AD Mauritius'!C70</f>
        <v>29.148900000000001</v>
      </c>
      <c r="F70" s="79">
        <f>'AD Mauritius'!D70</f>
        <v>13.505000000000001</v>
      </c>
      <c r="H70" s="88">
        <f t="shared" ref="H70:H85" si="25">H69+1</f>
        <v>2001</v>
      </c>
      <c r="I70" s="163">
        <f t="shared" si="20"/>
        <v>3.4</v>
      </c>
      <c r="J70" s="157"/>
      <c r="K70" s="157"/>
      <c r="L70" s="157"/>
      <c r="M70" s="157"/>
      <c r="N70" s="162">
        <v>43.61</v>
      </c>
      <c r="O70" s="157"/>
      <c r="P70" s="157"/>
      <c r="Q70" s="160"/>
      <c r="R70" s="162">
        <v>6.79</v>
      </c>
      <c r="S70" s="162">
        <v>46.2</v>
      </c>
      <c r="T70" s="157"/>
      <c r="U70" s="157"/>
      <c r="V70" s="157"/>
      <c r="W70" s="81">
        <f t="shared" ref="W70:W85" si="26">SUM(I70:V70)</f>
        <v>100</v>
      </c>
      <c r="Y70" s="74">
        <f t="shared" si="21"/>
        <v>2001</v>
      </c>
      <c r="Z70" s="179">
        <f>((B70*F70*(I70/100)*EFs!$E$28)+('AD Rodrigues'!B70*'AD Rodrigues'!F70*('AD Rodrigues'!N70/100)*EFs!$E$34)+('AD Rodrigues'!B70*'AD Rodrigues'!F70*('AD Rodrigues'!R70/100)*EFs!$E$38)+('AD Rodrigues'!B70*'AD Rodrigues'!F70*('AD Rodrigues'!S70/100)*EFs!$E$39))/1000</f>
        <v>127.59393828005999</v>
      </c>
      <c r="AA70" s="73">
        <f t="shared" si="22"/>
        <v>0</v>
      </c>
      <c r="AB70" s="73">
        <v>0</v>
      </c>
      <c r="AC70" s="73">
        <v>0</v>
      </c>
    </row>
    <row r="71" spans="1:29" x14ac:dyDescent="0.35">
      <c r="A71" s="88">
        <f t="shared" si="23"/>
        <v>2002</v>
      </c>
      <c r="B71" s="80">
        <f t="shared" si="19"/>
        <v>36837</v>
      </c>
      <c r="C71" s="77">
        <v>0</v>
      </c>
      <c r="D71" s="79">
        <f t="shared" si="24"/>
        <v>36837</v>
      </c>
      <c r="E71" s="89">
        <f>'AD Mauritius'!C71</f>
        <v>29.915399999999998</v>
      </c>
      <c r="F71" s="79">
        <f>'AD Mauritius'!D71</f>
        <v>13.505000000000001</v>
      </c>
      <c r="H71" s="88">
        <f t="shared" si="25"/>
        <v>2002</v>
      </c>
      <c r="I71" s="163">
        <f t="shared" si="20"/>
        <v>3.4</v>
      </c>
      <c r="J71" s="157"/>
      <c r="K71" s="157"/>
      <c r="L71" s="157"/>
      <c r="M71" s="157"/>
      <c r="N71" s="162">
        <v>43.61</v>
      </c>
      <c r="O71" s="157"/>
      <c r="P71" s="157"/>
      <c r="Q71" s="160"/>
      <c r="R71" s="162">
        <v>6.79</v>
      </c>
      <c r="S71" s="162">
        <v>46.2</v>
      </c>
      <c r="T71" s="157"/>
      <c r="U71" s="157"/>
      <c r="V71" s="157"/>
      <c r="W71" s="81">
        <f t="shared" si="26"/>
        <v>100</v>
      </c>
      <c r="Y71" s="74">
        <f t="shared" si="21"/>
        <v>2002</v>
      </c>
      <c r="Z71" s="179">
        <f>((B71*F71*(I71/100)*EFs!$E$28)+('AD Rodrigues'!B71*'AD Rodrigues'!F71*('AD Rodrigues'!N71/100)*EFs!$E$34)+('AD Rodrigues'!B71*'AD Rodrigues'!F71*('AD Rodrigues'!R71/100)*EFs!$E$38)+('AD Rodrigues'!B71*'AD Rodrigues'!F71*('AD Rodrigues'!S71/100)*EFs!$E$39))/1000</f>
        <v>129.07612194273</v>
      </c>
      <c r="AA71" s="73">
        <f t="shared" si="22"/>
        <v>0</v>
      </c>
      <c r="AB71" s="73">
        <v>0</v>
      </c>
      <c r="AC71" s="73">
        <v>0</v>
      </c>
    </row>
    <row r="72" spans="1:29" x14ac:dyDescent="0.35">
      <c r="A72" s="88">
        <f t="shared" si="23"/>
        <v>2003</v>
      </c>
      <c r="B72" s="80">
        <f t="shared" si="19"/>
        <v>37258</v>
      </c>
      <c r="C72" s="77">
        <v>0</v>
      </c>
      <c r="D72" s="79">
        <f t="shared" si="24"/>
        <v>37258</v>
      </c>
      <c r="E72" s="89">
        <f>'AD Mauritius'!C72</f>
        <v>30.327850000000002</v>
      </c>
      <c r="F72" s="79">
        <f>'AD Mauritius'!D72</f>
        <v>13.505000000000001</v>
      </c>
      <c r="H72" s="88">
        <f t="shared" si="25"/>
        <v>2003</v>
      </c>
      <c r="I72" s="163">
        <f t="shared" si="20"/>
        <v>3.4</v>
      </c>
      <c r="J72" s="157"/>
      <c r="K72" s="157"/>
      <c r="L72" s="157"/>
      <c r="M72" s="157"/>
      <c r="N72" s="162">
        <v>43.61</v>
      </c>
      <c r="O72" s="157"/>
      <c r="P72" s="157"/>
      <c r="Q72" s="160"/>
      <c r="R72" s="162">
        <v>6.79</v>
      </c>
      <c r="S72" s="162">
        <v>46.2</v>
      </c>
      <c r="T72" s="157"/>
      <c r="U72" s="157"/>
      <c r="V72" s="157"/>
      <c r="W72" s="81">
        <f t="shared" si="26"/>
        <v>100</v>
      </c>
      <c r="Y72" s="74">
        <f t="shared" si="21"/>
        <v>2003</v>
      </c>
      <c r="Z72" s="179">
        <f>((B72*F72*(I72/100)*EFs!$E$28)+('AD Rodrigues'!B72*'AD Rodrigues'!F72*('AD Rodrigues'!N72/100)*EFs!$E$34)+('AD Rodrigues'!B72*'AD Rodrigues'!F72*('AD Rodrigues'!R72/100)*EFs!$E$38)+('AD Rodrigues'!B72*'AD Rodrigues'!F72*('AD Rodrigues'!S72/100)*EFs!$E$39))/1000</f>
        <v>130.55129764482001</v>
      </c>
      <c r="AA72" s="73">
        <f t="shared" si="22"/>
        <v>0</v>
      </c>
      <c r="AB72" s="73">
        <v>0</v>
      </c>
      <c r="AC72" s="73">
        <v>0</v>
      </c>
    </row>
    <row r="73" spans="1:29" x14ac:dyDescent="0.35">
      <c r="A73" s="88">
        <f t="shared" si="23"/>
        <v>2004</v>
      </c>
      <c r="B73" s="80">
        <f t="shared" si="19"/>
        <v>37681</v>
      </c>
      <c r="C73" s="77">
        <v>0</v>
      </c>
      <c r="D73" s="79">
        <f t="shared" si="24"/>
        <v>37681</v>
      </c>
      <c r="E73" s="89">
        <f>'AD Mauritius'!C73</f>
        <v>31.149100000000001</v>
      </c>
      <c r="F73" s="79">
        <f>'AD Mauritius'!D73</f>
        <v>13.505000000000001</v>
      </c>
      <c r="H73" s="88">
        <f t="shared" si="25"/>
        <v>2004</v>
      </c>
      <c r="I73" s="163">
        <f t="shared" si="20"/>
        <v>3.4</v>
      </c>
      <c r="J73" s="157"/>
      <c r="K73" s="157"/>
      <c r="L73" s="157"/>
      <c r="M73" s="157"/>
      <c r="N73" s="162">
        <v>43.61</v>
      </c>
      <c r="O73" s="157"/>
      <c r="P73" s="157"/>
      <c r="Q73" s="160"/>
      <c r="R73" s="162">
        <v>6.79</v>
      </c>
      <c r="S73" s="162">
        <v>46.2</v>
      </c>
      <c r="T73" s="157"/>
      <c r="U73" s="157"/>
      <c r="V73" s="157"/>
      <c r="W73" s="81">
        <f t="shared" si="26"/>
        <v>100</v>
      </c>
      <c r="Y73" s="74">
        <f t="shared" si="21"/>
        <v>2004</v>
      </c>
      <c r="Z73" s="179">
        <f>((B73*F73*(I73/100)*EFs!$E$28)+('AD Rodrigues'!B73*'AD Rodrigues'!F73*('AD Rodrigues'!N73/100)*EFs!$E$34)+('AD Rodrigues'!B73*'AD Rodrigues'!F73*('AD Rodrigues'!R73/100)*EFs!$E$38)+('AD Rodrigues'!B73*'AD Rodrigues'!F73*('AD Rodrigues'!S73/100)*EFs!$E$39))/1000</f>
        <v>132.03348130748998</v>
      </c>
      <c r="AA73" s="73">
        <f t="shared" si="22"/>
        <v>0</v>
      </c>
      <c r="AB73" s="73">
        <v>0</v>
      </c>
      <c r="AC73" s="73">
        <v>0</v>
      </c>
    </row>
    <row r="74" spans="1:29" x14ac:dyDescent="0.35">
      <c r="A74" s="88">
        <f t="shared" si="23"/>
        <v>2005</v>
      </c>
      <c r="B74" s="80">
        <f t="shared" si="19"/>
        <v>38106</v>
      </c>
      <c r="C74" s="77">
        <v>0</v>
      </c>
      <c r="D74" s="79">
        <f t="shared" si="24"/>
        <v>38106</v>
      </c>
      <c r="E74" s="89">
        <f>'AD Mauritius'!C74</f>
        <v>30.649049999999999</v>
      </c>
      <c r="F74" s="79">
        <f>'AD Mauritius'!D74</f>
        <v>13.505000000000001</v>
      </c>
      <c r="H74" s="88">
        <f t="shared" si="25"/>
        <v>2005</v>
      </c>
      <c r="I74" s="163">
        <f t="shared" si="20"/>
        <v>3.4</v>
      </c>
      <c r="J74" s="157"/>
      <c r="K74" s="157"/>
      <c r="L74" s="157"/>
      <c r="M74" s="157"/>
      <c r="N74" s="162">
        <v>43.61</v>
      </c>
      <c r="O74" s="157"/>
      <c r="P74" s="157"/>
      <c r="Q74" s="160"/>
      <c r="R74" s="162">
        <v>6.79</v>
      </c>
      <c r="S74" s="162">
        <v>46.2</v>
      </c>
      <c r="T74" s="157"/>
      <c r="U74" s="157"/>
      <c r="V74" s="157"/>
      <c r="W74" s="81">
        <f t="shared" si="26"/>
        <v>100</v>
      </c>
      <c r="Y74" s="74">
        <f t="shared" si="21"/>
        <v>2005</v>
      </c>
      <c r="Z74" s="179">
        <f>((B74*F74*(I74/100)*EFs!$E$28)+('AD Rodrigues'!B74*'AD Rodrigues'!F74*('AD Rodrigues'!N74/100)*EFs!$E$34)+('AD Rodrigues'!B74*'AD Rodrigues'!F74*('AD Rodrigues'!R74/100)*EFs!$E$38)+('AD Rodrigues'!B74*'AD Rodrigues'!F74*('AD Rodrigues'!S74/100)*EFs!$E$39))/1000</f>
        <v>133.52267293073999</v>
      </c>
      <c r="AA74" s="73">
        <f t="shared" si="22"/>
        <v>0</v>
      </c>
      <c r="AB74" s="73">
        <v>0</v>
      </c>
      <c r="AC74" s="73">
        <v>0</v>
      </c>
    </row>
    <row r="75" spans="1:29" x14ac:dyDescent="0.35">
      <c r="A75" s="88">
        <f t="shared" si="23"/>
        <v>2006</v>
      </c>
      <c r="B75" s="80">
        <f t="shared" si="19"/>
        <v>38531</v>
      </c>
      <c r="C75" s="77">
        <v>0</v>
      </c>
      <c r="D75" s="79">
        <f t="shared" si="24"/>
        <v>38531</v>
      </c>
      <c r="E75" s="89">
        <f>'AD Mauritius'!C75</f>
        <v>30.3461</v>
      </c>
      <c r="F75" s="79">
        <f>'AD Mauritius'!D75</f>
        <v>13.505000000000001</v>
      </c>
      <c r="H75" s="88">
        <f t="shared" si="25"/>
        <v>2006</v>
      </c>
      <c r="I75" s="163">
        <f t="shared" si="20"/>
        <v>3.4</v>
      </c>
      <c r="J75" s="157"/>
      <c r="K75" s="157"/>
      <c r="L75" s="157"/>
      <c r="M75" s="157"/>
      <c r="N75" s="162">
        <v>43.61</v>
      </c>
      <c r="O75" s="157"/>
      <c r="P75" s="157"/>
      <c r="Q75" s="160"/>
      <c r="R75" s="162">
        <v>6.79</v>
      </c>
      <c r="S75" s="162">
        <v>46.2</v>
      </c>
      <c r="T75" s="157"/>
      <c r="U75" s="157"/>
      <c r="V75" s="157"/>
      <c r="W75" s="81">
        <f t="shared" si="26"/>
        <v>100</v>
      </c>
      <c r="Y75" s="74">
        <f t="shared" si="21"/>
        <v>2006</v>
      </c>
      <c r="Z75" s="179">
        <f>((B75*F75*(I75/100)*EFs!$E$28)+('AD Rodrigues'!B75*'AD Rodrigues'!F75*('AD Rodrigues'!N75/100)*EFs!$E$34)+('AD Rodrigues'!B75*'AD Rodrigues'!F75*('AD Rodrigues'!R75/100)*EFs!$E$38)+('AD Rodrigues'!B75*'AD Rodrigues'!F75*('AD Rodrigues'!S75/100)*EFs!$E$39))/1000</f>
        <v>135.01186455399002</v>
      </c>
      <c r="AA75" s="73">
        <f t="shared" si="22"/>
        <v>0</v>
      </c>
      <c r="AB75" s="73">
        <v>0</v>
      </c>
      <c r="AC75" s="73">
        <v>0</v>
      </c>
    </row>
    <row r="76" spans="1:29" x14ac:dyDescent="0.35">
      <c r="A76" s="88">
        <f t="shared" si="23"/>
        <v>2007</v>
      </c>
      <c r="B76" s="80">
        <f t="shared" si="19"/>
        <v>38954</v>
      </c>
      <c r="C76" s="77">
        <v>0</v>
      </c>
      <c r="D76" s="79">
        <f t="shared" si="24"/>
        <v>38954</v>
      </c>
      <c r="E76" s="89">
        <f>'AD Mauritius'!C76</f>
        <v>31.649149999999999</v>
      </c>
      <c r="F76" s="79">
        <f>'AD Mauritius'!D76</f>
        <v>13.505000000000001</v>
      </c>
      <c r="H76" s="88">
        <f t="shared" si="25"/>
        <v>2007</v>
      </c>
      <c r="I76" s="163">
        <f t="shared" si="20"/>
        <v>3.4</v>
      </c>
      <c r="J76" s="157"/>
      <c r="K76" s="157"/>
      <c r="L76" s="157"/>
      <c r="M76" s="157"/>
      <c r="N76" s="162">
        <v>43.61</v>
      </c>
      <c r="O76" s="157"/>
      <c r="P76" s="157"/>
      <c r="Q76" s="160"/>
      <c r="R76" s="162">
        <v>6.79</v>
      </c>
      <c r="S76" s="162">
        <v>46.2</v>
      </c>
      <c r="T76" s="157"/>
      <c r="U76" s="157"/>
      <c r="V76" s="157"/>
      <c r="W76" s="81">
        <f t="shared" si="26"/>
        <v>100</v>
      </c>
      <c r="Y76" s="74">
        <f t="shared" si="21"/>
        <v>2007</v>
      </c>
      <c r="Z76" s="179">
        <f>((B76*F76*(I76/100)*EFs!$E$28)+('AD Rodrigues'!B76*'AD Rodrigues'!F76*('AD Rodrigues'!N76/100)*EFs!$E$34)+('AD Rodrigues'!B76*'AD Rodrigues'!F76*('AD Rodrigues'!R76/100)*EFs!$E$38)+('AD Rodrigues'!B76*'AD Rodrigues'!F76*('AD Rodrigues'!S76/100)*EFs!$E$39))/1000</f>
        <v>136.49404821665999</v>
      </c>
      <c r="AA76" s="73">
        <f t="shared" si="22"/>
        <v>0</v>
      </c>
      <c r="AB76" s="73">
        <v>0</v>
      </c>
      <c r="AC76" s="73">
        <v>0</v>
      </c>
    </row>
    <row r="77" spans="1:29" x14ac:dyDescent="0.35">
      <c r="A77" s="88">
        <f t="shared" si="23"/>
        <v>2008</v>
      </c>
      <c r="B77" s="80">
        <f t="shared" si="19"/>
        <v>39376</v>
      </c>
      <c r="C77" s="77">
        <v>0</v>
      </c>
      <c r="D77" s="79">
        <f t="shared" si="24"/>
        <v>39376</v>
      </c>
      <c r="E77" s="89">
        <f>'AD Mauritius'!C77</f>
        <v>30.857100000000003</v>
      </c>
      <c r="F77" s="79">
        <f>'AD Mauritius'!D77</f>
        <v>13.505000000000001</v>
      </c>
      <c r="H77" s="88">
        <f t="shared" si="25"/>
        <v>2008</v>
      </c>
      <c r="I77" s="163">
        <f t="shared" si="20"/>
        <v>3.4</v>
      </c>
      <c r="J77" s="157"/>
      <c r="K77" s="157"/>
      <c r="L77" s="157"/>
      <c r="M77" s="157"/>
      <c r="N77" s="162">
        <v>43.61</v>
      </c>
      <c r="O77" s="157"/>
      <c r="P77" s="157"/>
      <c r="Q77" s="160"/>
      <c r="R77" s="162">
        <v>6.79</v>
      </c>
      <c r="S77" s="162">
        <v>46.2</v>
      </c>
      <c r="T77" s="157"/>
      <c r="U77" s="157"/>
      <c r="V77" s="157"/>
      <c r="W77" s="81">
        <f t="shared" si="26"/>
        <v>100</v>
      </c>
      <c r="Y77" s="74">
        <f t="shared" si="21"/>
        <v>2008</v>
      </c>
      <c r="Z77" s="179">
        <f>((B77*F77*(I77/100)*EFs!$E$28)+('AD Rodrigues'!B77*'AD Rodrigues'!F77*('AD Rodrigues'!N77/100)*EFs!$E$34)+('AD Rodrigues'!B77*'AD Rodrigues'!F77*('AD Rodrigues'!R77/100)*EFs!$E$38)+('AD Rodrigues'!B77*'AD Rodrigues'!F77*('AD Rodrigues'!S77/100)*EFs!$E$39))/1000</f>
        <v>137.97272789904</v>
      </c>
      <c r="AA77" s="73">
        <f t="shared" si="22"/>
        <v>0</v>
      </c>
      <c r="AB77" s="73">
        <v>0</v>
      </c>
      <c r="AC77" s="73">
        <v>0</v>
      </c>
    </row>
    <row r="78" spans="1:29" x14ac:dyDescent="0.35">
      <c r="A78" s="88">
        <f t="shared" si="23"/>
        <v>2009</v>
      </c>
      <c r="B78" s="80">
        <f t="shared" si="19"/>
        <v>39798</v>
      </c>
      <c r="C78" s="77">
        <v>0</v>
      </c>
      <c r="D78" s="79">
        <f t="shared" si="24"/>
        <v>39798</v>
      </c>
      <c r="E78" s="89">
        <f>'AD Mauritius'!C78</f>
        <v>32.747799999999998</v>
      </c>
      <c r="F78" s="79">
        <f>'AD Mauritius'!D78</f>
        <v>13.505000000000001</v>
      </c>
      <c r="H78" s="88">
        <f t="shared" si="25"/>
        <v>2009</v>
      </c>
      <c r="I78" s="163">
        <f t="shared" si="20"/>
        <v>3.4</v>
      </c>
      <c r="J78" s="157"/>
      <c r="K78" s="157"/>
      <c r="L78" s="157"/>
      <c r="M78" s="157"/>
      <c r="N78" s="162">
        <v>43.61</v>
      </c>
      <c r="O78" s="157"/>
      <c r="P78" s="157"/>
      <c r="Q78" s="160"/>
      <c r="R78" s="162">
        <v>6.79</v>
      </c>
      <c r="S78" s="162">
        <v>46.2</v>
      </c>
      <c r="T78" s="157"/>
      <c r="U78" s="157"/>
      <c r="V78" s="157"/>
      <c r="W78" s="81">
        <f t="shared" si="26"/>
        <v>100</v>
      </c>
      <c r="Y78" s="74">
        <f t="shared" si="21"/>
        <v>2009</v>
      </c>
      <c r="Z78" s="179">
        <f>((B78*F78*(I78/100)*EFs!$E$28)+('AD Rodrigues'!B78*'AD Rodrigues'!F78*('AD Rodrigues'!N78/100)*EFs!$E$34)+('AD Rodrigues'!B78*'AD Rodrigues'!F78*('AD Rodrigues'!R78/100)*EFs!$E$38)+('AD Rodrigues'!B78*'AD Rodrigues'!F78*('AD Rodrigues'!S78/100)*EFs!$E$39))/1000</f>
        <v>139.45140758142</v>
      </c>
      <c r="AA78" s="73">
        <f t="shared" si="22"/>
        <v>0</v>
      </c>
      <c r="AB78" s="73">
        <v>0</v>
      </c>
      <c r="AC78" s="73">
        <v>0</v>
      </c>
    </row>
    <row r="79" spans="1:29" x14ac:dyDescent="0.35">
      <c r="A79" s="88">
        <f t="shared" si="23"/>
        <v>2010</v>
      </c>
      <c r="B79" s="80">
        <f t="shared" si="19"/>
        <v>40221</v>
      </c>
      <c r="C79" s="77">
        <v>0</v>
      </c>
      <c r="D79" s="79">
        <f t="shared" si="24"/>
        <v>40221</v>
      </c>
      <c r="E79" s="89">
        <f>'AD Mauritius'!C79</f>
        <v>32.871900000000004</v>
      </c>
      <c r="F79" s="79">
        <f>'AD Mauritius'!D79</f>
        <v>13.505000000000001</v>
      </c>
      <c r="H79" s="88">
        <f t="shared" si="25"/>
        <v>2010</v>
      </c>
      <c r="I79" s="163">
        <f t="shared" si="20"/>
        <v>3.4</v>
      </c>
      <c r="J79" s="157"/>
      <c r="K79" s="157"/>
      <c r="L79" s="157"/>
      <c r="M79" s="157"/>
      <c r="N79" s="162">
        <v>43.61</v>
      </c>
      <c r="O79" s="157"/>
      <c r="P79" s="157"/>
      <c r="Q79" s="160"/>
      <c r="R79" s="162">
        <v>6.79</v>
      </c>
      <c r="S79" s="162">
        <v>46.2</v>
      </c>
      <c r="T79" s="157"/>
      <c r="U79" s="157"/>
      <c r="V79" s="157"/>
      <c r="W79" s="81">
        <f t="shared" si="26"/>
        <v>100</v>
      </c>
      <c r="Y79" s="74">
        <f t="shared" si="21"/>
        <v>2010</v>
      </c>
      <c r="Z79" s="179">
        <f>((B79*F79*(I79/100)*EFs!$E$28)+('AD Rodrigues'!B79*'AD Rodrigues'!F79*('AD Rodrigues'!N79/100)*EFs!$E$34)+('AD Rodrigues'!B79*'AD Rodrigues'!F79*('AD Rodrigues'!R79/100)*EFs!$E$38)+('AD Rodrigues'!B79*'AD Rodrigues'!F79*('AD Rodrigues'!S79/100)*EFs!$E$39))/1000</f>
        <v>140.93359124409</v>
      </c>
      <c r="AA79" s="73">
        <f t="shared" si="22"/>
        <v>0</v>
      </c>
      <c r="AB79" s="73">
        <v>0</v>
      </c>
      <c r="AC79" s="73">
        <v>0</v>
      </c>
    </row>
    <row r="80" spans="1:29" x14ac:dyDescent="0.35">
      <c r="A80" s="88">
        <f t="shared" si="23"/>
        <v>2011</v>
      </c>
      <c r="B80" s="80">
        <f t="shared" si="19"/>
        <v>40663</v>
      </c>
      <c r="C80" s="77">
        <v>0</v>
      </c>
      <c r="D80" s="79">
        <f t="shared" si="24"/>
        <v>40663</v>
      </c>
      <c r="E80" s="89">
        <f>'AD Mauritius'!C80</f>
        <v>32.495950000000001</v>
      </c>
      <c r="F80" s="79">
        <f>'AD Mauritius'!D80</f>
        <v>13.505000000000001</v>
      </c>
      <c r="H80" s="88">
        <f t="shared" si="25"/>
        <v>2011</v>
      </c>
      <c r="I80" s="157">
        <f>3.4</f>
        <v>3.4</v>
      </c>
      <c r="J80" s="157"/>
      <c r="K80" s="157"/>
      <c r="L80" s="157"/>
      <c r="M80" s="157"/>
      <c r="N80" s="160">
        <v>43.61</v>
      </c>
      <c r="O80" s="157"/>
      <c r="P80" s="157"/>
      <c r="Q80" s="160"/>
      <c r="R80" s="160">
        <v>6.79</v>
      </c>
      <c r="S80" s="160">
        <v>46.2</v>
      </c>
      <c r="T80" s="157"/>
      <c r="U80" s="157"/>
      <c r="V80" s="157"/>
      <c r="W80" s="82">
        <f t="shared" si="26"/>
        <v>100</v>
      </c>
      <c r="Y80" s="74">
        <f t="shared" si="21"/>
        <v>2011</v>
      </c>
      <c r="Z80" s="179">
        <f>((B80*F80*(I80/100)*EFs!$E$28)+('AD Rodrigues'!B80*'AD Rodrigues'!F80*('AD Rodrigues'!N80/100)*EFs!$E$34)+('AD Rodrigues'!B80*'AD Rodrigues'!F80*('AD Rodrigues'!R80/100)*EFs!$E$38)+('AD Rodrigues'!B80*'AD Rodrigues'!F80*('AD Rodrigues'!S80/100)*EFs!$E$39))/1000</f>
        <v>142.48235053227</v>
      </c>
      <c r="AA80" s="73">
        <f t="shared" si="22"/>
        <v>0</v>
      </c>
      <c r="AB80" s="73">
        <v>0</v>
      </c>
      <c r="AC80" s="73">
        <v>0</v>
      </c>
    </row>
    <row r="81" spans="1:29" x14ac:dyDescent="0.35">
      <c r="A81" s="88">
        <f t="shared" si="23"/>
        <v>2012</v>
      </c>
      <c r="B81" s="80">
        <f t="shared" si="19"/>
        <v>41083</v>
      </c>
      <c r="C81" s="77">
        <v>0</v>
      </c>
      <c r="D81" s="79">
        <f t="shared" si="24"/>
        <v>41083</v>
      </c>
      <c r="E81" s="89">
        <f>'AD Mauritius'!C81</f>
        <v>32.07985</v>
      </c>
      <c r="F81" s="79">
        <f>'AD Mauritius'!D81</f>
        <v>13.505000000000001</v>
      </c>
      <c r="H81" s="88">
        <f t="shared" si="25"/>
        <v>2012</v>
      </c>
      <c r="I81" s="163">
        <f t="shared" ref="I81:I85" si="27">3.4</f>
        <v>3.4</v>
      </c>
      <c r="J81" s="157"/>
      <c r="K81" s="157"/>
      <c r="L81" s="157"/>
      <c r="M81" s="157"/>
      <c r="N81" s="162">
        <v>43.61</v>
      </c>
      <c r="O81" s="157"/>
      <c r="P81" s="157"/>
      <c r="Q81" s="160"/>
      <c r="R81" s="162">
        <v>6.79</v>
      </c>
      <c r="S81" s="162">
        <v>46.2</v>
      </c>
      <c r="T81" s="157"/>
      <c r="U81" s="157"/>
      <c r="V81" s="157"/>
      <c r="W81" s="81">
        <f t="shared" si="26"/>
        <v>100</v>
      </c>
      <c r="Y81" s="74">
        <f t="shared" si="21"/>
        <v>2012</v>
      </c>
      <c r="Z81" s="179">
        <f>((B81*F81*(I81/100)*EFs!$E$28)+('AD Rodrigues'!B81*'AD Rodrigues'!F81*('AD Rodrigues'!N81/100)*EFs!$E$34)+('AD Rodrigues'!B81*'AD Rodrigues'!F81*('AD Rodrigues'!R81/100)*EFs!$E$38)+('AD Rodrigues'!B81*'AD Rodrigues'!F81*('AD Rodrigues'!S81/100)*EFs!$E$39))/1000</f>
        <v>143.95402225407</v>
      </c>
      <c r="AA81" s="73">
        <f t="shared" si="22"/>
        <v>0</v>
      </c>
      <c r="AB81" s="73">
        <v>0</v>
      </c>
      <c r="AC81" s="73">
        <v>0</v>
      </c>
    </row>
    <row r="82" spans="1:29" x14ac:dyDescent="0.35">
      <c r="A82" s="88">
        <f t="shared" si="23"/>
        <v>2013</v>
      </c>
      <c r="B82" s="80">
        <f t="shared" si="19"/>
        <v>41504</v>
      </c>
      <c r="C82" s="77">
        <v>0</v>
      </c>
      <c r="D82" s="79">
        <f t="shared" si="24"/>
        <v>41504</v>
      </c>
      <c r="E82" s="89">
        <f>'AD Mauritius'!C82</f>
        <v>32.251400000000004</v>
      </c>
      <c r="F82" s="79">
        <f>'AD Mauritius'!D82</f>
        <v>13.505000000000001</v>
      </c>
      <c r="H82" s="88">
        <f t="shared" si="25"/>
        <v>2013</v>
      </c>
      <c r="I82" s="163">
        <f t="shared" si="27"/>
        <v>3.4</v>
      </c>
      <c r="J82" s="157"/>
      <c r="K82" s="157"/>
      <c r="L82" s="157"/>
      <c r="M82" s="157"/>
      <c r="N82" s="162">
        <v>43.61</v>
      </c>
      <c r="O82" s="157"/>
      <c r="P82" s="157"/>
      <c r="Q82" s="160"/>
      <c r="R82" s="162">
        <v>6.79</v>
      </c>
      <c r="S82" s="162">
        <v>46.2</v>
      </c>
      <c r="T82" s="157"/>
      <c r="U82" s="157"/>
      <c r="V82" s="157"/>
      <c r="W82" s="81">
        <f t="shared" si="26"/>
        <v>100</v>
      </c>
      <c r="Y82" s="74">
        <f t="shared" si="21"/>
        <v>2013</v>
      </c>
      <c r="Z82" s="179">
        <f>((B82*F82*(I82/100)*EFs!$E$28)+('AD Rodrigues'!B82*'AD Rodrigues'!F82*('AD Rodrigues'!N82/100)*EFs!$E$34)+('AD Rodrigues'!B82*'AD Rodrigues'!F82*('AD Rodrigues'!R82/100)*EFs!$E$38)+('AD Rodrigues'!B82*'AD Rodrigues'!F82*('AD Rodrigues'!S82/100)*EFs!$E$39))/1000</f>
        <v>145.42919795616001</v>
      </c>
      <c r="AA82" s="73">
        <f t="shared" si="22"/>
        <v>0</v>
      </c>
      <c r="AB82" s="73">
        <v>0</v>
      </c>
      <c r="AC82" s="73">
        <v>0</v>
      </c>
    </row>
    <row r="83" spans="1:29" x14ac:dyDescent="0.35">
      <c r="A83" s="88">
        <f t="shared" si="23"/>
        <v>2014</v>
      </c>
      <c r="B83" s="80">
        <f t="shared" si="19"/>
        <v>41788</v>
      </c>
      <c r="C83" s="77">
        <v>0</v>
      </c>
      <c r="D83" s="79">
        <f t="shared" si="24"/>
        <v>41788</v>
      </c>
      <c r="E83" s="89">
        <f>'AD Mauritius'!C83</f>
        <v>31.291450000000001</v>
      </c>
      <c r="F83" s="79">
        <f>'AD Mauritius'!D83</f>
        <v>13.505000000000001</v>
      </c>
      <c r="H83" s="88">
        <f t="shared" si="25"/>
        <v>2014</v>
      </c>
      <c r="I83" s="163">
        <f t="shared" si="27"/>
        <v>3.4</v>
      </c>
      <c r="J83" s="157"/>
      <c r="K83" s="157"/>
      <c r="L83" s="157"/>
      <c r="M83" s="157"/>
      <c r="N83" s="162">
        <v>43.61</v>
      </c>
      <c r="O83" s="157"/>
      <c r="P83" s="157"/>
      <c r="Q83" s="160"/>
      <c r="R83" s="162">
        <v>6.79</v>
      </c>
      <c r="S83" s="162">
        <v>46.2</v>
      </c>
      <c r="T83" s="157"/>
      <c r="U83" s="157"/>
      <c r="V83" s="157"/>
      <c r="W83" s="81">
        <f t="shared" si="26"/>
        <v>100</v>
      </c>
      <c r="Y83" s="74">
        <f t="shared" si="21"/>
        <v>2014</v>
      </c>
      <c r="Z83" s="179">
        <f>((B83*F83*(I83/100)*EFs!$E$28)+('AD Rodrigues'!B83*'AD Rodrigues'!F83*('AD Rodrigues'!N83/100)*EFs!$E$34)+('AD Rodrigues'!B83*'AD Rodrigues'!F83*('AD Rodrigues'!R83/100)*EFs!$E$38)+('AD Rodrigues'!B83*'AD Rodrigues'!F83*('AD Rodrigues'!S83/100)*EFs!$E$39))/1000</f>
        <v>146.42432835852</v>
      </c>
      <c r="AA83" s="73">
        <f t="shared" si="22"/>
        <v>0</v>
      </c>
      <c r="AB83" s="73">
        <v>0</v>
      </c>
      <c r="AC83" s="73">
        <v>0</v>
      </c>
    </row>
    <row r="84" spans="1:29" x14ac:dyDescent="0.35">
      <c r="A84" s="88">
        <f t="shared" si="23"/>
        <v>2015</v>
      </c>
      <c r="B84" s="80">
        <f t="shared" si="19"/>
        <v>42058</v>
      </c>
      <c r="C84" s="77">
        <v>0</v>
      </c>
      <c r="D84" s="79">
        <f t="shared" si="24"/>
        <v>42058</v>
      </c>
      <c r="E84" s="89">
        <f>'AD Mauritius'!C84</f>
        <v>31.6236</v>
      </c>
      <c r="F84" s="79">
        <f>'AD Mauritius'!D84</f>
        <v>13.505000000000001</v>
      </c>
      <c r="H84" s="88">
        <f t="shared" si="25"/>
        <v>2015</v>
      </c>
      <c r="I84" s="163">
        <f t="shared" si="27"/>
        <v>3.4</v>
      </c>
      <c r="J84" s="157"/>
      <c r="K84" s="157"/>
      <c r="L84" s="157"/>
      <c r="M84" s="157"/>
      <c r="N84" s="162">
        <v>43.61</v>
      </c>
      <c r="O84" s="157"/>
      <c r="P84" s="157"/>
      <c r="Q84" s="160"/>
      <c r="R84" s="162">
        <v>6.79</v>
      </c>
      <c r="S84" s="162">
        <v>46.2</v>
      </c>
      <c r="T84" s="157"/>
      <c r="U84" s="157"/>
      <c r="V84" s="157"/>
      <c r="W84" s="81">
        <f t="shared" si="26"/>
        <v>100</v>
      </c>
      <c r="Y84" s="74">
        <f t="shared" si="21"/>
        <v>2015</v>
      </c>
      <c r="Z84" s="179">
        <f>((B84*F84*(I84/100)*EFs!$E$28)+('AD Rodrigues'!B84*'AD Rodrigues'!F84*('AD Rodrigues'!N84/100)*EFs!$E$34)+('AD Rodrigues'!B84*'AD Rodrigues'!F84*('AD Rodrigues'!R84/100)*EFs!$E$38)+('AD Rodrigues'!B84*'AD Rodrigues'!F84*('AD Rodrigues'!S84/100)*EFs!$E$39))/1000</f>
        <v>147.37040303681999</v>
      </c>
      <c r="AA84" s="73">
        <f t="shared" si="22"/>
        <v>0</v>
      </c>
      <c r="AB84" s="73">
        <v>0</v>
      </c>
      <c r="AC84" s="73">
        <v>0</v>
      </c>
    </row>
    <row r="85" spans="1:29" x14ac:dyDescent="0.35">
      <c r="A85" s="88">
        <f t="shared" si="23"/>
        <v>2016</v>
      </c>
      <c r="B85" s="80">
        <f t="shared" si="19"/>
        <v>42396</v>
      </c>
      <c r="C85" s="77">
        <v>0</v>
      </c>
      <c r="D85" s="79">
        <f t="shared" si="24"/>
        <v>42396</v>
      </c>
      <c r="E85" s="89">
        <f>'AD Mauritius'!C85</f>
        <v>31.842599999999997</v>
      </c>
      <c r="F85" s="79">
        <f>'AD Mauritius'!D85</f>
        <v>13.505000000000001</v>
      </c>
      <c r="H85" s="88">
        <f t="shared" si="25"/>
        <v>2016</v>
      </c>
      <c r="I85" s="163">
        <f t="shared" si="27"/>
        <v>3.4</v>
      </c>
      <c r="J85" s="157"/>
      <c r="K85" s="157"/>
      <c r="L85" s="157"/>
      <c r="M85" s="157"/>
      <c r="N85" s="162">
        <v>43.61</v>
      </c>
      <c r="O85" s="157"/>
      <c r="P85" s="157"/>
      <c r="Q85" s="160"/>
      <c r="R85" s="162">
        <v>6.79</v>
      </c>
      <c r="S85" s="162">
        <v>46.2</v>
      </c>
      <c r="T85" s="157"/>
      <c r="U85" s="157"/>
      <c r="V85" s="157"/>
      <c r="W85" s="81">
        <f t="shared" si="26"/>
        <v>100</v>
      </c>
      <c r="Y85" s="74">
        <f t="shared" si="21"/>
        <v>2016</v>
      </c>
      <c r="Z85" s="179">
        <f>((B85*F85*(I85/100)*EFs!$E$28)+('AD Rodrigues'!B85*'AD Rodrigues'!F85*('AD Rodrigues'!N85/100)*EFs!$E$34)+('AD Rodrigues'!B85*'AD Rodrigues'!F85*('AD Rodrigues'!R85/100)*EFs!$E$38)+('AD Rodrigues'!B85*'AD Rodrigues'!F85*('AD Rodrigues'!S85/100)*EFs!$E$39))/1000</f>
        <v>148.55474837483999</v>
      </c>
      <c r="AA85" s="73">
        <f t="shared" si="22"/>
        <v>0</v>
      </c>
      <c r="AB85" s="73">
        <v>0</v>
      </c>
      <c r="AC85" s="73">
        <v>0</v>
      </c>
    </row>
    <row r="86" spans="1:29" x14ac:dyDescent="0.35">
      <c r="A86" s="86" t="s">
        <v>16</v>
      </c>
    </row>
    <row r="87" spans="1:29" x14ac:dyDescent="0.35">
      <c r="A87" s="86" t="s">
        <v>15</v>
      </c>
    </row>
    <row r="90" spans="1:29" ht="46" x14ac:dyDescent="1">
      <c r="A90" s="220" t="s">
        <v>288</v>
      </c>
      <c r="B90" s="220"/>
      <c r="C90" s="220"/>
      <c r="D90" s="220"/>
      <c r="E90" s="220"/>
      <c r="F90" s="220"/>
      <c r="G90" s="220"/>
      <c r="H90" s="220"/>
      <c r="I90" s="220"/>
      <c r="J90" s="220"/>
      <c r="K90" s="220"/>
      <c r="L90" s="220"/>
      <c r="M90" s="220"/>
      <c r="N90" s="220"/>
      <c r="O90" s="220"/>
      <c r="P90" s="220"/>
      <c r="Q90" s="220"/>
      <c r="R90" s="220"/>
      <c r="S90" s="220"/>
      <c r="T90" s="116"/>
      <c r="U90" s="116"/>
      <c r="V90" s="116"/>
      <c r="W90" s="116"/>
    </row>
    <row r="92" spans="1:29" x14ac:dyDescent="0.35">
      <c r="A92" s="126" t="s">
        <v>390</v>
      </c>
    </row>
  </sheetData>
  <mergeCells count="3">
    <mergeCell ref="A2:W2"/>
    <mergeCell ref="A90:S90"/>
    <mergeCell ref="A66:AC66"/>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09550-9A95-493F-AC80-5328638034CA}">
  <sheetPr>
    <tabColor theme="4" tint="0.39997558519241921"/>
  </sheetPr>
  <dimension ref="A2:AC176"/>
  <sheetViews>
    <sheetView showGridLines="0" topLeftCell="A145" zoomScale="60" zoomScaleNormal="60" workbookViewId="0">
      <selection activeCell="V54" sqref="V54"/>
    </sheetView>
  </sheetViews>
  <sheetFormatPr baseColWidth="10" defaultColWidth="9.1796875" defaultRowHeight="14.5" x14ac:dyDescent="0.35"/>
  <cols>
    <col min="1" max="1" width="9.1796875" style="66"/>
    <col min="2" max="2" width="13.1796875" style="66" bestFit="1" customWidth="1"/>
    <col min="3" max="3" width="16.1796875" style="66" bestFit="1" customWidth="1"/>
    <col min="4" max="6" width="11.54296875" style="66" bestFit="1" customWidth="1"/>
    <col min="7" max="7" width="13.08984375" style="66" bestFit="1" customWidth="1"/>
    <col min="8" max="8" width="10.36328125" style="66" bestFit="1" customWidth="1"/>
    <col min="9" max="9" width="14.08984375" style="66" customWidth="1"/>
    <col min="10" max="10" width="10.7265625" style="66" customWidth="1"/>
    <col min="11" max="11" width="9.1796875" style="66"/>
    <col min="12" max="12" width="10.90625" style="66" customWidth="1"/>
    <col min="13" max="15" width="9.1796875" style="66"/>
    <col min="16" max="16" width="12" style="66" customWidth="1"/>
    <col min="17" max="17" width="10.54296875" style="66" customWidth="1"/>
    <col min="18" max="22" width="9.1796875" style="66"/>
    <col min="23" max="23" width="12.08984375" style="66" bestFit="1" customWidth="1"/>
    <col min="24" max="30" width="9.1796875" style="66"/>
    <col min="31" max="31" width="12.36328125" style="66" bestFit="1" customWidth="1"/>
    <col min="32" max="16384" width="9.1796875" style="66"/>
  </cols>
  <sheetData>
    <row r="2" spans="1:24" ht="46" x14ac:dyDescent="1">
      <c r="A2" s="220" t="s">
        <v>14</v>
      </c>
      <c r="B2" s="220"/>
      <c r="C2" s="220"/>
      <c r="D2" s="220"/>
      <c r="E2" s="220"/>
      <c r="F2" s="220"/>
      <c r="G2" s="220"/>
      <c r="H2" s="220"/>
      <c r="I2" s="220"/>
      <c r="J2" s="220"/>
      <c r="K2" s="220"/>
      <c r="L2" s="220"/>
      <c r="M2" s="220"/>
      <c r="N2" s="220"/>
      <c r="O2" s="220"/>
      <c r="P2" s="220"/>
      <c r="Q2" s="220"/>
      <c r="R2" s="220"/>
      <c r="S2" s="220"/>
      <c r="T2" s="220"/>
      <c r="U2" s="220"/>
      <c r="V2" s="220"/>
      <c r="W2" s="220"/>
      <c r="X2" s="220"/>
    </row>
    <row r="4" spans="1:24" s="69" customFormat="1" ht="51" customHeight="1" x14ac:dyDescent="0.35">
      <c r="A4" s="67" t="s">
        <v>0</v>
      </c>
      <c r="B4" s="68" t="s">
        <v>9</v>
      </c>
      <c r="C4" s="68" t="s">
        <v>13</v>
      </c>
      <c r="D4" s="68" t="s">
        <v>10</v>
      </c>
      <c r="E4" s="68" t="s">
        <v>386</v>
      </c>
      <c r="F4" s="68" t="s">
        <v>385</v>
      </c>
      <c r="G4" s="68" t="s">
        <v>11</v>
      </c>
      <c r="H4" s="68" t="s">
        <v>12</v>
      </c>
      <c r="J4" s="67" t="s">
        <v>0</v>
      </c>
      <c r="K4" s="68" t="s">
        <v>1</v>
      </c>
      <c r="L4" s="68" t="s">
        <v>2</v>
      </c>
      <c r="M4" s="68" t="s">
        <v>3</v>
      </c>
      <c r="N4" s="68" t="s">
        <v>4</v>
      </c>
      <c r="O4" s="68" t="s">
        <v>5</v>
      </c>
      <c r="P4" s="68" t="s">
        <v>6</v>
      </c>
      <c r="Q4" s="68" t="s">
        <v>7</v>
      </c>
      <c r="R4" s="68" t="s">
        <v>8</v>
      </c>
      <c r="T4" s="67" t="s">
        <v>0</v>
      </c>
      <c r="U4" s="68" t="s">
        <v>17</v>
      </c>
      <c r="V4" s="68" t="s">
        <v>18</v>
      </c>
      <c r="W4" s="68" t="s">
        <v>19</v>
      </c>
      <c r="X4" s="68" t="s">
        <v>21</v>
      </c>
    </row>
    <row r="5" spans="1:24" s="69" customFormat="1" x14ac:dyDescent="0.35">
      <c r="A5" s="70">
        <v>1960</v>
      </c>
      <c r="B5" s="71">
        <f>'AD Mauritius'!B5+'AD Rodrigues'!B5</f>
        <v>669751.19999999995</v>
      </c>
      <c r="C5" s="72">
        <f t="shared" ref="C5:C41" si="0">(D5*1000)/B5</f>
        <v>261.50842917505554</v>
      </c>
      <c r="D5" s="71">
        <f t="shared" ref="D5:D36" si="1">F5+G5+H5</f>
        <v>175145.58425010846</v>
      </c>
      <c r="E5" s="71">
        <f>'AD Mauritius'!E5+'AD Rodrigues'!E5</f>
        <v>0</v>
      </c>
      <c r="F5" s="71">
        <f>'AD Mauritius'!F5+'AD Rodrigues'!F5</f>
        <v>175145.58425010846</v>
      </c>
      <c r="G5" s="73">
        <f>'AD Mauritius'!G5+'AD Rodrigues'!G5</f>
        <v>0</v>
      </c>
      <c r="H5" s="73">
        <f>'AD Mauritius'!H5+'AD Rodrigues'!H5</f>
        <v>0</v>
      </c>
      <c r="J5" s="74">
        <f t="shared" ref="J5:J36" si="2">A5</f>
        <v>1960</v>
      </c>
      <c r="K5" s="73">
        <v>25</v>
      </c>
      <c r="L5" s="73">
        <v>43</v>
      </c>
      <c r="M5" s="73">
        <v>12</v>
      </c>
      <c r="N5" s="73">
        <v>0</v>
      </c>
      <c r="O5" s="73">
        <v>3</v>
      </c>
      <c r="P5" s="73">
        <v>0</v>
      </c>
      <c r="Q5" s="73">
        <v>17</v>
      </c>
      <c r="R5" s="73">
        <f t="shared" ref="R5:R41" si="3">SUM(K5:Q5)</f>
        <v>100</v>
      </c>
      <c r="T5" s="74">
        <f>J5</f>
        <v>1960</v>
      </c>
      <c r="U5" s="75"/>
      <c r="V5" s="73">
        <f t="shared" ref="V5:V41" si="4">W5+X5</f>
        <v>0</v>
      </c>
      <c r="W5" s="73">
        <f>'AD Mauritius'!V5+'AD Rodrigues'!V5</f>
        <v>0</v>
      </c>
      <c r="X5" s="73">
        <f>'AD Mauritius'!W5+'AD Rodrigues'!W5</f>
        <v>0</v>
      </c>
    </row>
    <row r="6" spans="1:24" s="69" customFormat="1" x14ac:dyDescent="0.35">
      <c r="A6" s="70">
        <f>A5+1</f>
        <v>1961</v>
      </c>
      <c r="B6" s="71">
        <f>'AD Mauritius'!B6+'AD Rodrigues'!B6</f>
        <v>684852.6</v>
      </c>
      <c r="C6" s="72">
        <f t="shared" si="0"/>
        <v>261.50842917505554</v>
      </c>
      <c r="D6" s="71">
        <f t="shared" si="1"/>
        <v>179094.72764245264</v>
      </c>
      <c r="E6" s="71">
        <f>'AD Mauritius'!E6+'AD Rodrigues'!E6</f>
        <v>0</v>
      </c>
      <c r="F6" s="71">
        <f>'AD Mauritius'!F6+'AD Rodrigues'!F6</f>
        <v>179094.72764245264</v>
      </c>
      <c r="G6" s="73">
        <f>'AD Mauritius'!G6+'AD Rodrigues'!G6</f>
        <v>0</v>
      </c>
      <c r="H6" s="73">
        <f>'AD Mauritius'!H6+'AD Rodrigues'!H6</f>
        <v>0</v>
      </c>
      <c r="J6" s="74">
        <f t="shared" si="2"/>
        <v>1961</v>
      </c>
      <c r="K6" s="73">
        <v>25</v>
      </c>
      <c r="L6" s="73">
        <v>43</v>
      </c>
      <c r="M6" s="73">
        <v>12</v>
      </c>
      <c r="N6" s="73">
        <v>0</v>
      </c>
      <c r="O6" s="73">
        <v>3</v>
      </c>
      <c r="P6" s="73">
        <v>0</v>
      </c>
      <c r="Q6" s="73">
        <v>17</v>
      </c>
      <c r="R6" s="73">
        <f t="shared" si="3"/>
        <v>100</v>
      </c>
      <c r="T6" s="74">
        <f t="shared" ref="T6:T61" si="5">J6</f>
        <v>1961</v>
      </c>
      <c r="U6" s="75"/>
      <c r="V6" s="73">
        <f t="shared" si="4"/>
        <v>0</v>
      </c>
      <c r="W6" s="73">
        <f>'AD Mauritius'!V6+'AD Rodrigues'!V6</f>
        <v>0</v>
      </c>
      <c r="X6" s="73">
        <f>'AD Mauritius'!W6+'AD Rodrigues'!W6</f>
        <v>0</v>
      </c>
    </row>
    <row r="7" spans="1:24" s="69" customFormat="1" x14ac:dyDescent="0.35">
      <c r="A7" s="70">
        <f t="shared" ref="A7:A61" si="6">A6+1</f>
        <v>1962</v>
      </c>
      <c r="B7" s="71">
        <f>'AD Mauritius'!B7+'AD Rodrigues'!B7</f>
        <v>699954</v>
      </c>
      <c r="C7" s="72">
        <f t="shared" si="0"/>
        <v>261.50842917505554</v>
      </c>
      <c r="D7" s="71">
        <f t="shared" si="1"/>
        <v>183043.87103479684</v>
      </c>
      <c r="E7" s="71">
        <f>'AD Mauritius'!E7+'AD Rodrigues'!E7</f>
        <v>0</v>
      </c>
      <c r="F7" s="71">
        <f>'AD Mauritius'!F7+'AD Rodrigues'!F7</f>
        <v>183043.87103479684</v>
      </c>
      <c r="G7" s="73">
        <f>'AD Mauritius'!G7+'AD Rodrigues'!G7</f>
        <v>0</v>
      </c>
      <c r="H7" s="73">
        <f>'AD Mauritius'!H7+'AD Rodrigues'!H7</f>
        <v>0</v>
      </c>
      <c r="J7" s="74">
        <f t="shared" si="2"/>
        <v>1962</v>
      </c>
      <c r="K7" s="73">
        <v>25</v>
      </c>
      <c r="L7" s="73">
        <v>43</v>
      </c>
      <c r="M7" s="73">
        <v>12</v>
      </c>
      <c r="N7" s="73">
        <v>0</v>
      </c>
      <c r="O7" s="73">
        <v>3</v>
      </c>
      <c r="P7" s="73">
        <v>0</v>
      </c>
      <c r="Q7" s="73">
        <v>17</v>
      </c>
      <c r="R7" s="73">
        <f t="shared" si="3"/>
        <v>100</v>
      </c>
      <c r="T7" s="74">
        <f t="shared" si="5"/>
        <v>1962</v>
      </c>
      <c r="U7" s="75"/>
      <c r="V7" s="73">
        <f t="shared" si="4"/>
        <v>0</v>
      </c>
      <c r="W7" s="73">
        <f>'AD Mauritius'!V7+'AD Rodrigues'!V7</f>
        <v>0</v>
      </c>
      <c r="X7" s="73">
        <f>'AD Mauritius'!W7+'AD Rodrigues'!W7</f>
        <v>0</v>
      </c>
    </row>
    <row r="8" spans="1:24" s="69" customFormat="1" x14ac:dyDescent="0.35">
      <c r="A8" s="70">
        <f t="shared" si="6"/>
        <v>1963</v>
      </c>
      <c r="B8" s="71">
        <f>'AD Mauritius'!B8+'AD Rodrigues'!B8</f>
        <v>715055.4</v>
      </c>
      <c r="C8" s="72">
        <f t="shared" si="0"/>
        <v>261.50842917505548</v>
      </c>
      <c r="D8" s="71">
        <f t="shared" si="1"/>
        <v>186993.014427141</v>
      </c>
      <c r="E8" s="71">
        <f>'AD Mauritius'!E8+'AD Rodrigues'!E8</f>
        <v>0</v>
      </c>
      <c r="F8" s="71">
        <f>'AD Mauritius'!F8+'AD Rodrigues'!F8</f>
        <v>186993.014427141</v>
      </c>
      <c r="G8" s="73">
        <f>'AD Mauritius'!G8+'AD Rodrigues'!G8</f>
        <v>0</v>
      </c>
      <c r="H8" s="73">
        <f>'AD Mauritius'!H8+'AD Rodrigues'!H8</f>
        <v>0</v>
      </c>
      <c r="J8" s="74">
        <f t="shared" si="2"/>
        <v>1963</v>
      </c>
      <c r="K8" s="73">
        <v>25</v>
      </c>
      <c r="L8" s="73">
        <v>43</v>
      </c>
      <c r="M8" s="73">
        <v>12</v>
      </c>
      <c r="N8" s="73">
        <v>0</v>
      </c>
      <c r="O8" s="73">
        <v>3</v>
      </c>
      <c r="P8" s="73">
        <v>0</v>
      </c>
      <c r="Q8" s="73">
        <v>17</v>
      </c>
      <c r="R8" s="73">
        <f t="shared" si="3"/>
        <v>100</v>
      </c>
      <c r="T8" s="74">
        <f t="shared" si="5"/>
        <v>1963</v>
      </c>
      <c r="U8" s="75"/>
      <c r="V8" s="73">
        <f t="shared" si="4"/>
        <v>0</v>
      </c>
      <c r="W8" s="73">
        <f>'AD Mauritius'!V8+'AD Rodrigues'!V8</f>
        <v>0</v>
      </c>
      <c r="X8" s="73">
        <f>'AD Mauritius'!W8+'AD Rodrigues'!W8</f>
        <v>0</v>
      </c>
    </row>
    <row r="9" spans="1:24" s="69" customFormat="1" x14ac:dyDescent="0.35">
      <c r="A9" s="70">
        <f t="shared" si="6"/>
        <v>1964</v>
      </c>
      <c r="B9" s="71">
        <f>'AD Mauritius'!B9+'AD Rodrigues'!B9</f>
        <v>730156.8</v>
      </c>
      <c r="C9" s="72">
        <f t="shared" si="0"/>
        <v>261.50842917505554</v>
      </c>
      <c r="D9" s="71">
        <f t="shared" si="1"/>
        <v>190942.1578194852</v>
      </c>
      <c r="E9" s="71">
        <f>'AD Mauritius'!E9+'AD Rodrigues'!E9</f>
        <v>0</v>
      </c>
      <c r="F9" s="71">
        <f>'AD Mauritius'!F9+'AD Rodrigues'!F9</f>
        <v>190942.1578194852</v>
      </c>
      <c r="G9" s="73">
        <f>'AD Mauritius'!G9+'AD Rodrigues'!G9</f>
        <v>0</v>
      </c>
      <c r="H9" s="73">
        <f>'AD Mauritius'!H9+'AD Rodrigues'!H9</f>
        <v>0</v>
      </c>
      <c r="J9" s="74">
        <f t="shared" si="2"/>
        <v>1964</v>
      </c>
      <c r="K9" s="73">
        <v>25</v>
      </c>
      <c r="L9" s="73">
        <v>43</v>
      </c>
      <c r="M9" s="73">
        <v>12</v>
      </c>
      <c r="N9" s="73">
        <v>0</v>
      </c>
      <c r="O9" s="73">
        <v>3</v>
      </c>
      <c r="P9" s="73">
        <v>0</v>
      </c>
      <c r="Q9" s="73">
        <v>17</v>
      </c>
      <c r="R9" s="73">
        <f t="shared" si="3"/>
        <v>100</v>
      </c>
      <c r="T9" s="74">
        <f t="shared" si="5"/>
        <v>1964</v>
      </c>
      <c r="U9" s="75"/>
      <c r="V9" s="73">
        <f t="shared" si="4"/>
        <v>0</v>
      </c>
      <c r="W9" s="73">
        <f>'AD Mauritius'!V9+'AD Rodrigues'!V9</f>
        <v>0</v>
      </c>
      <c r="X9" s="73">
        <f>'AD Mauritius'!W9+'AD Rodrigues'!W9</f>
        <v>0</v>
      </c>
    </row>
    <row r="10" spans="1:24" s="69" customFormat="1" x14ac:dyDescent="0.35">
      <c r="A10" s="70">
        <f t="shared" si="6"/>
        <v>1965</v>
      </c>
      <c r="B10" s="71">
        <f>'AD Mauritius'!B10+'AD Rodrigues'!B10</f>
        <v>745258.2</v>
      </c>
      <c r="C10" s="72">
        <f t="shared" si="0"/>
        <v>261.50842917505554</v>
      </c>
      <c r="D10" s="71">
        <f t="shared" si="1"/>
        <v>194891.30121182936</v>
      </c>
      <c r="E10" s="71">
        <f>'AD Mauritius'!E10+'AD Rodrigues'!E10</f>
        <v>0</v>
      </c>
      <c r="F10" s="71">
        <f>'AD Mauritius'!F10+'AD Rodrigues'!F10</f>
        <v>194891.30121182936</v>
      </c>
      <c r="G10" s="73">
        <f>'AD Mauritius'!G10+'AD Rodrigues'!G10</f>
        <v>0</v>
      </c>
      <c r="H10" s="73">
        <f>'AD Mauritius'!H10+'AD Rodrigues'!H10</f>
        <v>0</v>
      </c>
      <c r="J10" s="74">
        <f t="shared" si="2"/>
        <v>1965</v>
      </c>
      <c r="K10" s="73">
        <v>25</v>
      </c>
      <c r="L10" s="73">
        <v>43</v>
      </c>
      <c r="M10" s="73">
        <v>12</v>
      </c>
      <c r="N10" s="73">
        <v>0</v>
      </c>
      <c r="O10" s="73">
        <v>3</v>
      </c>
      <c r="P10" s="73">
        <v>0</v>
      </c>
      <c r="Q10" s="73">
        <v>17</v>
      </c>
      <c r="R10" s="73">
        <f t="shared" si="3"/>
        <v>100</v>
      </c>
      <c r="T10" s="74">
        <f t="shared" si="5"/>
        <v>1965</v>
      </c>
      <c r="U10" s="75"/>
      <c r="V10" s="73">
        <f t="shared" si="4"/>
        <v>0</v>
      </c>
      <c r="W10" s="73">
        <f>'AD Mauritius'!V10+'AD Rodrigues'!V10</f>
        <v>0</v>
      </c>
      <c r="X10" s="73">
        <f>'AD Mauritius'!W10+'AD Rodrigues'!W10</f>
        <v>0</v>
      </c>
    </row>
    <row r="11" spans="1:24" s="69" customFormat="1" x14ac:dyDescent="0.35">
      <c r="A11" s="70">
        <f t="shared" si="6"/>
        <v>1966</v>
      </c>
      <c r="B11" s="71">
        <f>'AD Mauritius'!B11+'AD Rodrigues'!B11</f>
        <v>760359.6</v>
      </c>
      <c r="C11" s="72">
        <f t="shared" si="0"/>
        <v>261.50842917505554</v>
      </c>
      <c r="D11" s="71">
        <f t="shared" si="1"/>
        <v>198840.44460417356</v>
      </c>
      <c r="E11" s="71">
        <f>'AD Mauritius'!E11+'AD Rodrigues'!E11</f>
        <v>0</v>
      </c>
      <c r="F11" s="71">
        <f>'AD Mauritius'!F11+'AD Rodrigues'!F11</f>
        <v>198840.44460417356</v>
      </c>
      <c r="G11" s="73">
        <f>'AD Mauritius'!G11+'AD Rodrigues'!G11</f>
        <v>0</v>
      </c>
      <c r="H11" s="73">
        <f>'AD Mauritius'!H11+'AD Rodrigues'!H11</f>
        <v>0</v>
      </c>
      <c r="J11" s="74">
        <f t="shared" si="2"/>
        <v>1966</v>
      </c>
      <c r="K11" s="73">
        <v>25</v>
      </c>
      <c r="L11" s="73">
        <v>43</v>
      </c>
      <c r="M11" s="73">
        <v>12</v>
      </c>
      <c r="N11" s="73">
        <v>0</v>
      </c>
      <c r="O11" s="73">
        <v>3</v>
      </c>
      <c r="P11" s="73">
        <v>0</v>
      </c>
      <c r="Q11" s="73">
        <v>17</v>
      </c>
      <c r="R11" s="73">
        <f t="shared" si="3"/>
        <v>100</v>
      </c>
      <c r="T11" s="74">
        <f t="shared" si="5"/>
        <v>1966</v>
      </c>
      <c r="U11" s="75"/>
      <c r="V11" s="73">
        <f t="shared" si="4"/>
        <v>0</v>
      </c>
      <c r="W11" s="73">
        <f>'AD Mauritius'!V11+'AD Rodrigues'!V11</f>
        <v>0</v>
      </c>
      <c r="X11" s="73">
        <f>'AD Mauritius'!W11+'AD Rodrigues'!W11</f>
        <v>0</v>
      </c>
    </row>
    <row r="12" spans="1:24" s="69" customFormat="1" x14ac:dyDescent="0.35">
      <c r="A12" s="70">
        <f t="shared" si="6"/>
        <v>1967</v>
      </c>
      <c r="B12" s="71">
        <f>'AD Mauritius'!B12+'AD Rodrigues'!B12</f>
        <v>775461</v>
      </c>
      <c r="C12" s="72">
        <f t="shared" si="0"/>
        <v>261.50842917505554</v>
      </c>
      <c r="D12" s="71">
        <f t="shared" si="1"/>
        <v>202789.58799651774</v>
      </c>
      <c r="E12" s="71">
        <f>'AD Mauritius'!E12+'AD Rodrigues'!E12</f>
        <v>0</v>
      </c>
      <c r="F12" s="71">
        <f>'AD Mauritius'!F12+'AD Rodrigues'!F12</f>
        <v>202789.58799651774</v>
      </c>
      <c r="G12" s="73">
        <f>'AD Mauritius'!G12+'AD Rodrigues'!G12</f>
        <v>0</v>
      </c>
      <c r="H12" s="73">
        <f>'AD Mauritius'!H12+'AD Rodrigues'!H12</f>
        <v>0</v>
      </c>
      <c r="J12" s="74">
        <f t="shared" si="2"/>
        <v>1967</v>
      </c>
      <c r="K12" s="73">
        <v>25</v>
      </c>
      <c r="L12" s="73">
        <v>43</v>
      </c>
      <c r="M12" s="73">
        <v>12</v>
      </c>
      <c r="N12" s="73">
        <v>0</v>
      </c>
      <c r="O12" s="73">
        <v>3</v>
      </c>
      <c r="P12" s="73">
        <v>0</v>
      </c>
      <c r="Q12" s="73">
        <v>17</v>
      </c>
      <c r="R12" s="73">
        <f t="shared" si="3"/>
        <v>100</v>
      </c>
      <c r="T12" s="74">
        <f t="shared" si="5"/>
        <v>1967</v>
      </c>
      <c r="U12" s="75"/>
      <c r="V12" s="73">
        <f t="shared" si="4"/>
        <v>0</v>
      </c>
      <c r="W12" s="73">
        <f>'AD Mauritius'!V12+'AD Rodrigues'!V12</f>
        <v>0</v>
      </c>
      <c r="X12" s="73">
        <f>'AD Mauritius'!W12+'AD Rodrigues'!W12</f>
        <v>0</v>
      </c>
    </row>
    <row r="13" spans="1:24" s="69" customFormat="1" x14ac:dyDescent="0.35">
      <c r="A13" s="70">
        <f t="shared" si="6"/>
        <v>1968</v>
      </c>
      <c r="B13" s="71">
        <f>'AD Mauritius'!B13+'AD Rodrigues'!B13</f>
        <v>790562.4</v>
      </c>
      <c r="C13" s="72">
        <f t="shared" si="0"/>
        <v>261.50842917505548</v>
      </c>
      <c r="D13" s="71">
        <f t="shared" si="1"/>
        <v>206738.7313888619</v>
      </c>
      <c r="E13" s="71">
        <f>'AD Mauritius'!E13+'AD Rodrigues'!E13</f>
        <v>0</v>
      </c>
      <c r="F13" s="71">
        <f>'AD Mauritius'!F13+'AD Rodrigues'!F13</f>
        <v>206738.7313888619</v>
      </c>
      <c r="G13" s="73">
        <f>'AD Mauritius'!G13+'AD Rodrigues'!G13</f>
        <v>0</v>
      </c>
      <c r="H13" s="73">
        <f>'AD Mauritius'!H13+'AD Rodrigues'!H13</f>
        <v>0</v>
      </c>
      <c r="J13" s="74">
        <f t="shared" si="2"/>
        <v>1968</v>
      </c>
      <c r="K13" s="73">
        <v>25</v>
      </c>
      <c r="L13" s="73">
        <v>43</v>
      </c>
      <c r="M13" s="73">
        <v>12</v>
      </c>
      <c r="N13" s="73">
        <v>0</v>
      </c>
      <c r="O13" s="73">
        <v>3</v>
      </c>
      <c r="P13" s="73">
        <v>0</v>
      </c>
      <c r="Q13" s="73">
        <v>17</v>
      </c>
      <c r="R13" s="73">
        <f t="shared" si="3"/>
        <v>100</v>
      </c>
      <c r="T13" s="74">
        <f t="shared" si="5"/>
        <v>1968</v>
      </c>
      <c r="U13" s="75"/>
      <c r="V13" s="73">
        <f t="shared" si="4"/>
        <v>0</v>
      </c>
      <c r="W13" s="73">
        <f>'AD Mauritius'!V13+'AD Rodrigues'!V13</f>
        <v>0</v>
      </c>
      <c r="X13" s="73">
        <f>'AD Mauritius'!W13+'AD Rodrigues'!W13</f>
        <v>0</v>
      </c>
    </row>
    <row r="14" spans="1:24" s="69" customFormat="1" x14ac:dyDescent="0.35">
      <c r="A14" s="70">
        <f t="shared" si="6"/>
        <v>1969</v>
      </c>
      <c r="B14" s="71">
        <f>'AD Mauritius'!B14+'AD Rodrigues'!B14</f>
        <v>805663.8</v>
      </c>
      <c r="C14" s="72">
        <f t="shared" si="0"/>
        <v>261.50842917505554</v>
      </c>
      <c r="D14" s="71">
        <f t="shared" si="1"/>
        <v>210687.8747812061</v>
      </c>
      <c r="E14" s="71">
        <f>'AD Mauritius'!E14+'AD Rodrigues'!E14</f>
        <v>0</v>
      </c>
      <c r="F14" s="71">
        <f>'AD Mauritius'!F14+'AD Rodrigues'!F14</f>
        <v>210687.8747812061</v>
      </c>
      <c r="G14" s="73">
        <f>'AD Mauritius'!G14+'AD Rodrigues'!G14</f>
        <v>0</v>
      </c>
      <c r="H14" s="73">
        <f>'AD Mauritius'!H14+'AD Rodrigues'!H14</f>
        <v>0</v>
      </c>
      <c r="J14" s="74">
        <f t="shared" si="2"/>
        <v>1969</v>
      </c>
      <c r="K14" s="73">
        <v>25</v>
      </c>
      <c r="L14" s="73">
        <v>43</v>
      </c>
      <c r="M14" s="73">
        <v>12</v>
      </c>
      <c r="N14" s="73">
        <v>0</v>
      </c>
      <c r="O14" s="73">
        <v>3</v>
      </c>
      <c r="P14" s="73">
        <v>0</v>
      </c>
      <c r="Q14" s="73">
        <v>17</v>
      </c>
      <c r="R14" s="73">
        <f t="shared" si="3"/>
        <v>100</v>
      </c>
      <c r="T14" s="74">
        <f t="shared" si="5"/>
        <v>1969</v>
      </c>
      <c r="U14" s="75"/>
      <c r="V14" s="73">
        <f t="shared" si="4"/>
        <v>0</v>
      </c>
      <c r="W14" s="73">
        <f>'AD Mauritius'!V14+'AD Rodrigues'!V14</f>
        <v>0</v>
      </c>
      <c r="X14" s="73">
        <f>'AD Mauritius'!W14+'AD Rodrigues'!W14</f>
        <v>0</v>
      </c>
    </row>
    <row r="15" spans="1:24" s="69" customFormat="1" x14ac:dyDescent="0.35">
      <c r="A15" s="70">
        <f t="shared" si="6"/>
        <v>1970</v>
      </c>
      <c r="B15" s="71">
        <f>'AD Mauritius'!B15+'AD Rodrigues'!B15</f>
        <v>820765.2</v>
      </c>
      <c r="C15" s="72">
        <f t="shared" si="0"/>
        <v>261.50842917505554</v>
      </c>
      <c r="D15" s="71">
        <f t="shared" si="1"/>
        <v>214637.01817355028</v>
      </c>
      <c r="E15" s="71">
        <f>'AD Mauritius'!E15+'AD Rodrigues'!E15</f>
        <v>0</v>
      </c>
      <c r="F15" s="71">
        <f>'AD Mauritius'!F15+'AD Rodrigues'!F15</f>
        <v>214637.01817355028</v>
      </c>
      <c r="G15" s="73">
        <f>'AD Mauritius'!G15+'AD Rodrigues'!G15</f>
        <v>0</v>
      </c>
      <c r="H15" s="73">
        <f>'AD Mauritius'!H15+'AD Rodrigues'!H15</f>
        <v>0</v>
      </c>
      <c r="J15" s="74">
        <f t="shared" si="2"/>
        <v>1970</v>
      </c>
      <c r="K15" s="73">
        <v>25</v>
      </c>
      <c r="L15" s="73">
        <v>43</v>
      </c>
      <c r="M15" s="73">
        <v>12</v>
      </c>
      <c r="N15" s="73">
        <v>0</v>
      </c>
      <c r="O15" s="73">
        <v>3</v>
      </c>
      <c r="P15" s="73">
        <v>0</v>
      </c>
      <c r="Q15" s="73">
        <v>17</v>
      </c>
      <c r="R15" s="73">
        <f t="shared" si="3"/>
        <v>100</v>
      </c>
      <c r="T15" s="74">
        <f t="shared" si="5"/>
        <v>1970</v>
      </c>
      <c r="U15" s="75"/>
      <c r="V15" s="73">
        <f t="shared" si="4"/>
        <v>0</v>
      </c>
      <c r="W15" s="73">
        <f>'AD Mauritius'!V15+'AD Rodrigues'!V15</f>
        <v>0</v>
      </c>
      <c r="X15" s="73">
        <f>'AD Mauritius'!W15+'AD Rodrigues'!W15</f>
        <v>0</v>
      </c>
    </row>
    <row r="16" spans="1:24" s="69" customFormat="1" x14ac:dyDescent="0.35">
      <c r="A16" s="70">
        <f t="shared" si="6"/>
        <v>1971</v>
      </c>
      <c r="B16" s="71">
        <f>'AD Mauritius'!B16+'AD Rodrigues'!B16</f>
        <v>835866.6</v>
      </c>
      <c r="C16" s="72">
        <f t="shared" si="0"/>
        <v>261.50842917505554</v>
      </c>
      <c r="D16" s="71">
        <f t="shared" si="1"/>
        <v>218586.16156589446</v>
      </c>
      <c r="E16" s="71">
        <f>'AD Mauritius'!E16+'AD Rodrigues'!E16</f>
        <v>0</v>
      </c>
      <c r="F16" s="71">
        <f>'AD Mauritius'!F16+'AD Rodrigues'!F16</f>
        <v>218586.16156589446</v>
      </c>
      <c r="G16" s="73">
        <f>'AD Mauritius'!G16+'AD Rodrigues'!G16</f>
        <v>0</v>
      </c>
      <c r="H16" s="73">
        <f>'AD Mauritius'!H16+'AD Rodrigues'!H16</f>
        <v>0</v>
      </c>
      <c r="J16" s="74">
        <f t="shared" si="2"/>
        <v>1971</v>
      </c>
      <c r="K16" s="73">
        <v>25</v>
      </c>
      <c r="L16" s="73">
        <v>43</v>
      </c>
      <c r="M16" s="73">
        <v>12</v>
      </c>
      <c r="N16" s="73">
        <v>0</v>
      </c>
      <c r="O16" s="73">
        <v>3</v>
      </c>
      <c r="P16" s="73">
        <v>0</v>
      </c>
      <c r="Q16" s="73">
        <v>17</v>
      </c>
      <c r="R16" s="73">
        <f t="shared" si="3"/>
        <v>100</v>
      </c>
      <c r="T16" s="74">
        <f t="shared" si="5"/>
        <v>1971</v>
      </c>
      <c r="U16" s="75"/>
      <c r="V16" s="73">
        <f t="shared" si="4"/>
        <v>0</v>
      </c>
      <c r="W16" s="73">
        <f>'AD Mauritius'!V16+'AD Rodrigues'!V16</f>
        <v>0</v>
      </c>
      <c r="X16" s="73">
        <f>'AD Mauritius'!W16+'AD Rodrigues'!W16</f>
        <v>0</v>
      </c>
    </row>
    <row r="17" spans="1:24" s="69" customFormat="1" x14ac:dyDescent="0.35">
      <c r="A17" s="70">
        <f t="shared" si="6"/>
        <v>1972</v>
      </c>
      <c r="B17" s="71">
        <f>'AD Mauritius'!B17+'AD Rodrigues'!B17</f>
        <v>850968</v>
      </c>
      <c r="C17" s="72">
        <f t="shared" si="0"/>
        <v>261.50842917505548</v>
      </c>
      <c r="D17" s="71">
        <f t="shared" si="1"/>
        <v>222535.30495823864</v>
      </c>
      <c r="E17" s="71">
        <f>'AD Mauritius'!E17+'AD Rodrigues'!E17</f>
        <v>0</v>
      </c>
      <c r="F17" s="71">
        <f>'AD Mauritius'!F17+'AD Rodrigues'!F17</f>
        <v>222535.30495823864</v>
      </c>
      <c r="G17" s="73">
        <f>'AD Mauritius'!G17+'AD Rodrigues'!G17</f>
        <v>0</v>
      </c>
      <c r="H17" s="73">
        <f>'AD Mauritius'!H17+'AD Rodrigues'!H17</f>
        <v>0</v>
      </c>
      <c r="J17" s="74">
        <f t="shared" si="2"/>
        <v>1972</v>
      </c>
      <c r="K17" s="73">
        <v>25</v>
      </c>
      <c r="L17" s="73">
        <v>43</v>
      </c>
      <c r="M17" s="73">
        <v>12</v>
      </c>
      <c r="N17" s="73">
        <v>0</v>
      </c>
      <c r="O17" s="73">
        <v>3</v>
      </c>
      <c r="P17" s="73">
        <v>0</v>
      </c>
      <c r="Q17" s="73">
        <v>17</v>
      </c>
      <c r="R17" s="73">
        <f t="shared" si="3"/>
        <v>100</v>
      </c>
      <c r="T17" s="74">
        <f t="shared" si="5"/>
        <v>1972</v>
      </c>
      <c r="U17" s="75"/>
      <c r="V17" s="73">
        <f t="shared" si="4"/>
        <v>0</v>
      </c>
      <c r="W17" s="73">
        <f>'AD Mauritius'!V17+'AD Rodrigues'!V17</f>
        <v>0</v>
      </c>
      <c r="X17" s="73">
        <f>'AD Mauritius'!W17+'AD Rodrigues'!W17</f>
        <v>0</v>
      </c>
    </row>
    <row r="18" spans="1:24" s="69" customFormat="1" x14ac:dyDescent="0.35">
      <c r="A18" s="70">
        <f t="shared" si="6"/>
        <v>1973</v>
      </c>
      <c r="B18" s="71">
        <f>'AD Mauritius'!B18+'AD Rodrigues'!B18</f>
        <v>864511.36363636365</v>
      </c>
      <c r="C18" s="72">
        <f t="shared" si="0"/>
        <v>261.50842917505554</v>
      </c>
      <c r="D18" s="71">
        <f t="shared" si="1"/>
        <v>226077.00870853066</v>
      </c>
      <c r="E18" s="71">
        <f>'AD Mauritius'!E18+'AD Rodrigues'!E18</f>
        <v>0</v>
      </c>
      <c r="F18" s="71">
        <f>'AD Mauritius'!F18+'AD Rodrigues'!F18</f>
        <v>226077.00870853066</v>
      </c>
      <c r="G18" s="73">
        <f>'AD Mauritius'!G18+'AD Rodrigues'!G18</f>
        <v>0</v>
      </c>
      <c r="H18" s="73">
        <f>'AD Mauritius'!H18+'AD Rodrigues'!H18</f>
        <v>0</v>
      </c>
      <c r="J18" s="74">
        <f t="shared" si="2"/>
        <v>1973</v>
      </c>
      <c r="K18" s="73">
        <v>25</v>
      </c>
      <c r="L18" s="73">
        <v>43</v>
      </c>
      <c r="M18" s="73">
        <v>12</v>
      </c>
      <c r="N18" s="73">
        <v>0</v>
      </c>
      <c r="O18" s="73">
        <v>3</v>
      </c>
      <c r="P18" s="73">
        <v>0</v>
      </c>
      <c r="Q18" s="73">
        <v>17</v>
      </c>
      <c r="R18" s="73">
        <f t="shared" si="3"/>
        <v>100</v>
      </c>
      <c r="T18" s="74">
        <f t="shared" si="5"/>
        <v>1973</v>
      </c>
      <c r="U18" s="75"/>
      <c r="V18" s="73">
        <f t="shared" si="4"/>
        <v>0</v>
      </c>
      <c r="W18" s="73">
        <f>'AD Mauritius'!V18+'AD Rodrigues'!V18</f>
        <v>0</v>
      </c>
      <c r="X18" s="73">
        <f>'AD Mauritius'!W18+'AD Rodrigues'!W18</f>
        <v>0</v>
      </c>
    </row>
    <row r="19" spans="1:24" s="69" customFormat="1" x14ac:dyDescent="0.35">
      <c r="A19" s="70">
        <f t="shared" si="6"/>
        <v>1974</v>
      </c>
      <c r="B19" s="71">
        <f>'AD Mauritius'!B19+'AD Rodrigues'!B19</f>
        <v>878054.72727272729</v>
      </c>
      <c r="C19" s="72">
        <f t="shared" si="0"/>
        <v>261.50842917505554</v>
      </c>
      <c r="D19" s="71">
        <f t="shared" si="1"/>
        <v>229618.7124588227</v>
      </c>
      <c r="E19" s="71">
        <f>'AD Mauritius'!E19+'AD Rodrigues'!E19</f>
        <v>0</v>
      </c>
      <c r="F19" s="71">
        <f>'AD Mauritius'!F19+'AD Rodrigues'!F19</f>
        <v>229618.7124588227</v>
      </c>
      <c r="G19" s="73">
        <f>'AD Mauritius'!G19+'AD Rodrigues'!G19</f>
        <v>0</v>
      </c>
      <c r="H19" s="73">
        <f>'AD Mauritius'!H19+'AD Rodrigues'!H19</f>
        <v>0</v>
      </c>
      <c r="J19" s="74">
        <f t="shared" si="2"/>
        <v>1974</v>
      </c>
      <c r="K19" s="73">
        <v>25</v>
      </c>
      <c r="L19" s="73">
        <v>43</v>
      </c>
      <c r="M19" s="73">
        <v>12</v>
      </c>
      <c r="N19" s="73">
        <v>0</v>
      </c>
      <c r="O19" s="73">
        <v>3</v>
      </c>
      <c r="P19" s="73">
        <v>0</v>
      </c>
      <c r="Q19" s="73">
        <v>17</v>
      </c>
      <c r="R19" s="73">
        <f t="shared" si="3"/>
        <v>100</v>
      </c>
      <c r="T19" s="74">
        <f t="shared" si="5"/>
        <v>1974</v>
      </c>
      <c r="U19" s="75"/>
      <c r="V19" s="73">
        <f t="shared" si="4"/>
        <v>0</v>
      </c>
      <c r="W19" s="73">
        <f>'AD Mauritius'!V19+'AD Rodrigues'!V19</f>
        <v>0</v>
      </c>
      <c r="X19" s="73">
        <f>'AD Mauritius'!W19+'AD Rodrigues'!W19</f>
        <v>0</v>
      </c>
    </row>
    <row r="20" spans="1:24" s="69" customFormat="1" x14ac:dyDescent="0.35">
      <c r="A20" s="70">
        <f t="shared" si="6"/>
        <v>1975</v>
      </c>
      <c r="B20" s="71">
        <f>'AD Mauritius'!B20+'AD Rodrigues'!B20</f>
        <v>891598.09090909082</v>
      </c>
      <c r="C20" s="72">
        <f t="shared" si="0"/>
        <v>261.50842917505554</v>
      </c>
      <c r="D20" s="71">
        <f t="shared" si="1"/>
        <v>233160.41620911472</v>
      </c>
      <c r="E20" s="71">
        <f>'AD Mauritius'!E20+'AD Rodrigues'!E20</f>
        <v>0</v>
      </c>
      <c r="F20" s="71">
        <f>'AD Mauritius'!F20+'AD Rodrigues'!F20</f>
        <v>233160.41620911472</v>
      </c>
      <c r="G20" s="73">
        <f>'AD Mauritius'!G20+'AD Rodrigues'!G20</f>
        <v>0</v>
      </c>
      <c r="H20" s="73">
        <f>'AD Mauritius'!H20+'AD Rodrigues'!H20</f>
        <v>0</v>
      </c>
      <c r="J20" s="74">
        <f t="shared" si="2"/>
        <v>1975</v>
      </c>
      <c r="K20" s="73">
        <v>25</v>
      </c>
      <c r="L20" s="73">
        <v>43</v>
      </c>
      <c r="M20" s="73">
        <v>12</v>
      </c>
      <c r="N20" s="73">
        <v>0</v>
      </c>
      <c r="O20" s="73">
        <v>3</v>
      </c>
      <c r="P20" s="73">
        <v>0</v>
      </c>
      <c r="Q20" s="73">
        <v>17</v>
      </c>
      <c r="R20" s="73">
        <f t="shared" si="3"/>
        <v>100</v>
      </c>
      <c r="T20" s="74">
        <f t="shared" si="5"/>
        <v>1975</v>
      </c>
      <c r="U20" s="75"/>
      <c r="V20" s="73">
        <f t="shared" si="4"/>
        <v>0</v>
      </c>
      <c r="W20" s="73">
        <f>'AD Mauritius'!V20+'AD Rodrigues'!V20</f>
        <v>0</v>
      </c>
      <c r="X20" s="73">
        <f>'AD Mauritius'!W20+'AD Rodrigues'!W20</f>
        <v>0</v>
      </c>
    </row>
    <row r="21" spans="1:24" s="69" customFormat="1" x14ac:dyDescent="0.35">
      <c r="A21" s="70">
        <f t="shared" si="6"/>
        <v>1976</v>
      </c>
      <c r="B21" s="71">
        <f>'AD Mauritius'!B21+'AD Rodrigues'!B21</f>
        <v>905141.45454545447</v>
      </c>
      <c r="C21" s="72">
        <f t="shared" si="0"/>
        <v>261.5084291750556</v>
      </c>
      <c r="D21" s="71">
        <f t="shared" si="1"/>
        <v>236702.11995940676</v>
      </c>
      <c r="E21" s="71">
        <f>'AD Mauritius'!E21+'AD Rodrigues'!E21</f>
        <v>0</v>
      </c>
      <c r="F21" s="71">
        <f>'AD Mauritius'!F21+'AD Rodrigues'!F21</f>
        <v>236702.11995940676</v>
      </c>
      <c r="G21" s="73">
        <f>'AD Mauritius'!G21+'AD Rodrigues'!G21</f>
        <v>0</v>
      </c>
      <c r="H21" s="73">
        <f>'AD Mauritius'!H21+'AD Rodrigues'!H21</f>
        <v>0</v>
      </c>
      <c r="J21" s="74">
        <f t="shared" si="2"/>
        <v>1976</v>
      </c>
      <c r="K21" s="73">
        <v>25</v>
      </c>
      <c r="L21" s="73">
        <v>43</v>
      </c>
      <c r="M21" s="73">
        <v>12</v>
      </c>
      <c r="N21" s="73">
        <v>0</v>
      </c>
      <c r="O21" s="73">
        <v>3</v>
      </c>
      <c r="P21" s="73">
        <v>0</v>
      </c>
      <c r="Q21" s="73">
        <v>17</v>
      </c>
      <c r="R21" s="73">
        <f t="shared" si="3"/>
        <v>100</v>
      </c>
      <c r="T21" s="74">
        <f t="shared" si="5"/>
        <v>1976</v>
      </c>
      <c r="U21" s="75"/>
      <c r="V21" s="73">
        <f t="shared" si="4"/>
        <v>0</v>
      </c>
      <c r="W21" s="73">
        <f>'AD Mauritius'!V21+'AD Rodrigues'!V21</f>
        <v>0</v>
      </c>
      <c r="X21" s="73">
        <f>'AD Mauritius'!W21+'AD Rodrigues'!W21</f>
        <v>0</v>
      </c>
    </row>
    <row r="22" spans="1:24" s="69" customFormat="1" x14ac:dyDescent="0.35">
      <c r="A22" s="70">
        <f t="shared" si="6"/>
        <v>1977</v>
      </c>
      <c r="B22" s="71">
        <f>'AD Mauritius'!B22+'AD Rodrigues'!B22</f>
        <v>918684.81818181812</v>
      </c>
      <c r="C22" s="72">
        <f t="shared" si="0"/>
        <v>261.50842917505554</v>
      </c>
      <c r="D22" s="71">
        <f t="shared" si="1"/>
        <v>240243.82370969874</v>
      </c>
      <c r="E22" s="71">
        <f>'AD Mauritius'!E22+'AD Rodrigues'!E22</f>
        <v>0</v>
      </c>
      <c r="F22" s="71">
        <f>'AD Mauritius'!F22+'AD Rodrigues'!F22</f>
        <v>240243.82370969874</v>
      </c>
      <c r="G22" s="73">
        <f>'AD Mauritius'!G22+'AD Rodrigues'!G22</f>
        <v>0</v>
      </c>
      <c r="H22" s="73">
        <f>'AD Mauritius'!H22+'AD Rodrigues'!H22</f>
        <v>0</v>
      </c>
      <c r="J22" s="74">
        <f t="shared" si="2"/>
        <v>1977</v>
      </c>
      <c r="K22" s="73">
        <v>25</v>
      </c>
      <c r="L22" s="73">
        <v>43</v>
      </c>
      <c r="M22" s="73">
        <v>12</v>
      </c>
      <c r="N22" s="73">
        <v>0</v>
      </c>
      <c r="O22" s="73">
        <v>3</v>
      </c>
      <c r="P22" s="73">
        <v>0</v>
      </c>
      <c r="Q22" s="73">
        <v>17</v>
      </c>
      <c r="R22" s="73">
        <f t="shared" si="3"/>
        <v>100</v>
      </c>
      <c r="T22" s="74">
        <f t="shared" si="5"/>
        <v>1977</v>
      </c>
      <c r="U22" s="75"/>
      <c r="V22" s="73">
        <f t="shared" si="4"/>
        <v>0</v>
      </c>
      <c r="W22" s="73">
        <f>'AD Mauritius'!V22+'AD Rodrigues'!V22</f>
        <v>0</v>
      </c>
      <c r="X22" s="73">
        <f>'AD Mauritius'!W22+'AD Rodrigues'!W22</f>
        <v>0</v>
      </c>
    </row>
    <row r="23" spans="1:24" s="69" customFormat="1" x14ac:dyDescent="0.35">
      <c r="A23" s="70">
        <f t="shared" si="6"/>
        <v>1978</v>
      </c>
      <c r="B23" s="71">
        <f>'AD Mauritius'!B23+'AD Rodrigues'!B23</f>
        <v>932228.18181818177</v>
      </c>
      <c r="C23" s="72">
        <f t="shared" si="0"/>
        <v>261.50842917505554</v>
      </c>
      <c r="D23" s="71">
        <f t="shared" si="1"/>
        <v>243785.52745999079</v>
      </c>
      <c r="E23" s="71">
        <f>'AD Mauritius'!E23+'AD Rodrigues'!E23</f>
        <v>0</v>
      </c>
      <c r="F23" s="71">
        <f>'AD Mauritius'!F23+'AD Rodrigues'!F23</f>
        <v>243785.52745999079</v>
      </c>
      <c r="G23" s="73">
        <f>'AD Mauritius'!G23+'AD Rodrigues'!G23</f>
        <v>0</v>
      </c>
      <c r="H23" s="73">
        <f>'AD Mauritius'!H23+'AD Rodrigues'!H23</f>
        <v>0</v>
      </c>
      <c r="J23" s="74">
        <f t="shared" si="2"/>
        <v>1978</v>
      </c>
      <c r="K23" s="73">
        <v>25</v>
      </c>
      <c r="L23" s="73">
        <v>43</v>
      </c>
      <c r="M23" s="73">
        <v>12</v>
      </c>
      <c r="N23" s="73">
        <v>0</v>
      </c>
      <c r="O23" s="73">
        <v>3</v>
      </c>
      <c r="P23" s="73">
        <v>0</v>
      </c>
      <c r="Q23" s="73">
        <v>17</v>
      </c>
      <c r="R23" s="73">
        <f t="shared" si="3"/>
        <v>100</v>
      </c>
      <c r="T23" s="74">
        <f t="shared" si="5"/>
        <v>1978</v>
      </c>
      <c r="U23" s="75"/>
      <c r="V23" s="73">
        <f t="shared" si="4"/>
        <v>0</v>
      </c>
      <c r="W23" s="73">
        <f>'AD Mauritius'!V23+'AD Rodrigues'!V23</f>
        <v>0</v>
      </c>
      <c r="X23" s="73">
        <f>'AD Mauritius'!W23+'AD Rodrigues'!W23</f>
        <v>0</v>
      </c>
    </row>
    <row r="24" spans="1:24" s="69" customFormat="1" x14ac:dyDescent="0.35">
      <c r="A24" s="70">
        <f t="shared" si="6"/>
        <v>1979</v>
      </c>
      <c r="B24" s="71">
        <f>'AD Mauritius'!B24+'AD Rodrigues'!B24</f>
        <v>945771.54545454541</v>
      </c>
      <c r="C24" s="72">
        <f t="shared" si="0"/>
        <v>261.50842917505554</v>
      </c>
      <c r="D24" s="71">
        <f t="shared" si="1"/>
        <v>247327.2312102828</v>
      </c>
      <c r="E24" s="71">
        <f>'AD Mauritius'!E24+'AD Rodrigues'!E24</f>
        <v>0</v>
      </c>
      <c r="F24" s="71">
        <f>'AD Mauritius'!F24+'AD Rodrigues'!F24</f>
        <v>247327.2312102828</v>
      </c>
      <c r="G24" s="73">
        <f>'AD Mauritius'!G24+'AD Rodrigues'!G24</f>
        <v>0</v>
      </c>
      <c r="H24" s="73">
        <f>'AD Mauritius'!H24+'AD Rodrigues'!H24</f>
        <v>0</v>
      </c>
      <c r="J24" s="74">
        <f t="shared" si="2"/>
        <v>1979</v>
      </c>
      <c r="K24" s="73">
        <v>25</v>
      </c>
      <c r="L24" s="73">
        <v>43</v>
      </c>
      <c r="M24" s="73">
        <v>12</v>
      </c>
      <c r="N24" s="73">
        <v>0</v>
      </c>
      <c r="O24" s="73">
        <v>3</v>
      </c>
      <c r="P24" s="73">
        <v>0</v>
      </c>
      <c r="Q24" s="73">
        <v>17</v>
      </c>
      <c r="R24" s="73">
        <f t="shared" si="3"/>
        <v>100</v>
      </c>
      <c r="T24" s="74">
        <f t="shared" si="5"/>
        <v>1979</v>
      </c>
      <c r="U24" s="75"/>
      <c r="V24" s="73">
        <f t="shared" si="4"/>
        <v>0</v>
      </c>
      <c r="W24" s="73">
        <f>'AD Mauritius'!V24+'AD Rodrigues'!V24</f>
        <v>0</v>
      </c>
      <c r="X24" s="73">
        <f>'AD Mauritius'!W24+'AD Rodrigues'!W24</f>
        <v>0</v>
      </c>
    </row>
    <row r="25" spans="1:24" s="69" customFormat="1" x14ac:dyDescent="0.35">
      <c r="A25" s="70">
        <f t="shared" si="6"/>
        <v>1980</v>
      </c>
      <c r="B25" s="71">
        <f>'AD Mauritius'!B25+'AD Rodrigues'!B25</f>
        <v>959314.90909090894</v>
      </c>
      <c r="C25" s="72">
        <f t="shared" si="0"/>
        <v>261.5084291750556</v>
      </c>
      <c r="D25" s="71">
        <f t="shared" si="1"/>
        <v>250868.93496057484</v>
      </c>
      <c r="E25" s="71">
        <f>'AD Mauritius'!E25+'AD Rodrigues'!E25</f>
        <v>0</v>
      </c>
      <c r="F25" s="71">
        <f>'AD Mauritius'!F25+'AD Rodrigues'!F25</f>
        <v>250868.93496057484</v>
      </c>
      <c r="G25" s="73">
        <f>'AD Mauritius'!G25+'AD Rodrigues'!G25</f>
        <v>0</v>
      </c>
      <c r="H25" s="73">
        <f>'AD Mauritius'!H25+'AD Rodrigues'!H25</f>
        <v>0</v>
      </c>
      <c r="J25" s="74">
        <f t="shared" si="2"/>
        <v>1980</v>
      </c>
      <c r="K25" s="73">
        <v>25</v>
      </c>
      <c r="L25" s="73">
        <v>43</v>
      </c>
      <c r="M25" s="73">
        <v>12</v>
      </c>
      <c r="N25" s="73">
        <v>0</v>
      </c>
      <c r="O25" s="73">
        <v>3</v>
      </c>
      <c r="P25" s="73">
        <v>0</v>
      </c>
      <c r="Q25" s="73">
        <v>17</v>
      </c>
      <c r="R25" s="73">
        <f t="shared" si="3"/>
        <v>100</v>
      </c>
      <c r="T25" s="74">
        <f t="shared" si="5"/>
        <v>1980</v>
      </c>
      <c r="U25" s="75"/>
      <c r="V25" s="73">
        <f t="shared" si="4"/>
        <v>0</v>
      </c>
      <c r="W25" s="73">
        <f>'AD Mauritius'!V25+'AD Rodrigues'!V25</f>
        <v>0</v>
      </c>
      <c r="X25" s="73">
        <f>'AD Mauritius'!W25+'AD Rodrigues'!W25</f>
        <v>0</v>
      </c>
    </row>
    <row r="26" spans="1:24" s="69" customFormat="1" x14ac:dyDescent="0.35">
      <c r="A26" s="70">
        <f t="shared" si="6"/>
        <v>1981</v>
      </c>
      <c r="B26" s="71">
        <f>'AD Mauritius'!B26+'AD Rodrigues'!B26</f>
        <v>972858.27272727259</v>
      </c>
      <c r="C26" s="72">
        <f t="shared" si="0"/>
        <v>261.50842917505554</v>
      </c>
      <c r="D26" s="71">
        <f t="shared" si="1"/>
        <v>254410.63871086683</v>
      </c>
      <c r="E26" s="71">
        <f>'AD Mauritius'!E26+'AD Rodrigues'!E26</f>
        <v>0</v>
      </c>
      <c r="F26" s="71">
        <f>'AD Mauritius'!F26+'AD Rodrigues'!F26</f>
        <v>254410.63871086683</v>
      </c>
      <c r="G26" s="73">
        <f>'AD Mauritius'!G26+'AD Rodrigues'!G26</f>
        <v>0</v>
      </c>
      <c r="H26" s="73">
        <f>'AD Mauritius'!H26+'AD Rodrigues'!H26</f>
        <v>0</v>
      </c>
      <c r="J26" s="74">
        <f t="shared" si="2"/>
        <v>1981</v>
      </c>
      <c r="K26" s="73">
        <v>25</v>
      </c>
      <c r="L26" s="73">
        <v>43</v>
      </c>
      <c r="M26" s="73">
        <v>12</v>
      </c>
      <c r="N26" s="73">
        <v>0</v>
      </c>
      <c r="O26" s="73">
        <v>3</v>
      </c>
      <c r="P26" s="73">
        <v>0</v>
      </c>
      <c r="Q26" s="73">
        <v>17</v>
      </c>
      <c r="R26" s="73">
        <f t="shared" si="3"/>
        <v>100</v>
      </c>
      <c r="T26" s="74">
        <f t="shared" si="5"/>
        <v>1981</v>
      </c>
      <c r="U26" s="75"/>
      <c r="V26" s="73">
        <f t="shared" si="4"/>
        <v>0</v>
      </c>
      <c r="W26" s="73">
        <f>'AD Mauritius'!V26+'AD Rodrigues'!V26</f>
        <v>0</v>
      </c>
      <c r="X26" s="73">
        <f>'AD Mauritius'!W26+'AD Rodrigues'!W26</f>
        <v>0</v>
      </c>
    </row>
    <row r="27" spans="1:24" s="69" customFormat="1" x14ac:dyDescent="0.35">
      <c r="A27" s="70">
        <f t="shared" si="6"/>
        <v>1982</v>
      </c>
      <c r="B27" s="71">
        <f>'AD Mauritius'!B27+'AD Rodrigues'!B27</f>
        <v>986401.63636363624</v>
      </c>
      <c r="C27" s="72">
        <f t="shared" si="0"/>
        <v>261.50842917505554</v>
      </c>
      <c r="D27" s="71">
        <f t="shared" si="1"/>
        <v>257952.34246115887</v>
      </c>
      <c r="E27" s="71">
        <f>'AD Mauritius'!E27+'AD Rodrigues'!E27</f>
        <v>0</v>
      </c>
      <c r="F27" s="71">
        <f>'AD Mauritius'!F27+'AD Rodrigues'!F27</f>
        <v>257952.34246115887</v>
      </c>
      <c r="G27" s="73">
        <f>'AD Mauritius'!G27+'AD Rodrigues'!G27</f>
        <v>0</v>
      </c>
      <c r="H27" s="73">
        <f>'AD Mauritius'!H27+'AD Rodrigues'!H27</f>
        <v>0</v>
      </c>
      <c r="J27" s="74">
        <f t="shared" si="2"/>
        <v>1982</v>
      </c>
      <c r="K27" s="73">
        <v>25</v>
      </c>
      <c r="L27" s="73">
        <v>43</v>
      </c>
      <c r="M27" s="73">
        <v>12</v>
      </c>
      <c r="N27" s="73">
        <v>0</v>
      </c>
      <c r="O27" s="73">
        <v>3</v>
      </c>
      <c r="P27" s="73">
        <v>0</v>
      </c>
      <c r="Q27" s="73">
        <v>17</v>
      </c>
      <c r="R27" s="73">
        <f t="shared" si="3"/>
        <v>100</v>
      </c>
      <c r="T27" s="74">
        <f t="shared" si="5"/>
        <v>1982</v>
      </c>
      <c r="U27" s="75"/>
      <c r="V27" s="73">
        <f t="shared" si="4"/>
        <v>0</v>
      </c>
      <c r="W27" s="73">
        <f>'AD Mauritius'!V27+'AD Rodrigues'!V27</f>
        <v>0</v>
      </c>
      <c r="X27" s="73">
        <f>'AD Mauritius'!W27+'AD Rodrigues'!W27</f>
        <v>0</v>
      </c>
    </row>
    <row r="28" spans="1:24" s="69" customFormat="1" x14ac:dyDescent="0.35">
      <c r="A28" s="70">
        <f t="shared" si="6"/>
        <v>1983</v>
      </c>
      <c r="B28" s="71">
        <f>'AD Mauritius'!B28+'AD Rodrigues'!B28</f>
        <v>999945</v>
      </c>
      <c r="C28" s="72">
        <f t="shared" si="0"/>
        <v>261.50842917505554</v>
      </c>
      <c r="D28" s="71">
        <f t="shared" si="1"/>
        <v>261494.04621145091</v>
      </c>
      <c r="E28" s="71">
        <f>'AD Mauritius'!E28+'AD Rodrigues'!E28</f>
        <v>0</v>
      </c>
      <c r="F28" s="71">
        <f>'AD Mauritius'!F28+'AD Rodrigues'!F28</f>
        <v>261494.04621145091</v>
      </c>
      <c r="G28" s="73">
        <f>'AD Mauritius'!G28+'AD Rodrigues'!G28</f>
        <v>0</v>
      </c>
      <c r="H28" s="73">
        <f>'AD Mauritius'!H28+'AD Rodrigues'!H28</f>
        <v>0</v>
      </c>
      <c r="J28" s="74">
        <f t="shared" si="2"/>
        <v>1983</v>
      </c>
      <c r="K28" s="73">
        <v>25</v>
      </c>
      <c r="L28" s="73">
        <v>43</v>
      </c>
      <c r="M28" s="73">
        <v>12</v>
      </c>
      <c r="N28" s="73">
        <v>0</v>
      </c>
      <c r="O28" s="73">
        <v>3</v>
      </c>
      <c r="P28" s="73">
        <v>0</v>
      </c>
      <c r="Q28" s="73">
        <v>17</v>
      </c>
      <c r="R28" s="73">
        <f t="shared" si="3"/>
        <v>100</v>
      </c>
      <c r="T28" s="74">
        <f t="shared" si="5"/>
        <v>1983</v>
      </c>
      <c r="U28" s="75"/>
      <c r="V28" s="73">
        <f t="shared" si="4"/>
        <v>0</v>
      </c>
      <c r="W28" s="73">
        <f>'AD Mauritius'!V28+'AD Rodrigues'!V28</f>
        <v>0</v>
      </c>
      <c r="X28" s="73">
        <f>'AD Mauritius'!W28+'AD Rodrigues'!W28</f>
        <v>0</v>
      </c>
    </row>
    <row r="29" spans="1:24" s="69" customFormat="1" x14ac:dyDescent="0.35">
      <c r="A29" s="70">
        <f t="shared" si="6"/>
        <v>1984</v>
      </c>
      <c r="B29" s="71">
        <f>'AD Mauritius'!B29+'AD Rodrigues'!B29</f>
        <v>1008047.1428571428</v>
      </c>
      <c r="C29" s="72">
        <f t="shared" si="0"/>
        <v>261.50842917505554</v>
      </c>
      <c r="D29" s="71">
        <f t="shared" si="1"/>
        <v>263612.82486297423</v>
      </c>
      <c r="E29" s="71">
        <f>'AD Mauritius'!E29+'AD Rodrigues'!E29</f>
        <v>0</v>
      </c>
      <c r="F29" s="71">
        <f>'AD Mauritius'!F29+'AD Rodrigues'!F29</f>
        <v>263612.82486297423</v>
      </c>
      <c r="G29" s="73">
        <f>'AD Mauritius'!G29+'AD Rodrigues'!G29</f>
        <v>0</v>
      </c>
      <c r="H29" s="73">
        <f>'AD Mauritius'!H29+'AD Rodrigues'!H29</f>
        <v>0</v>
      </c>
      <c r="J29" s="74">
        <f t="shared" si="2"/>
        <v>1984</v>
      </c>
      <c r="K29" s="73">
        <v>25</v>
      </c>
      <c r="L29" s="73">
        <v>43</v>
      </c>
      <c r="M29" s="73">
        <v>12</v>
      </c>
      <c r="N29" s="73">
        <v>0</v>
      </c>
      <c r="O29" s="73">
        <v>3</v>
      </c>
      <c r="P29" s="73">
        <v>0</v>
      </c>
      <c r="Q29" s="73">
        <v>17</v>
      </c>
      <c r="R29" s="73">
        <f t="shared" si="3"/>
        <v>100</v>
      </c>
      <c r="T29" s="74">
        <f t="shared" si="5"/>
        <v>1984</v>
      </c>
      <c r="U29" s="75"/>
      <c r="V29" s="73">
        <f t="shared" si="4"/>
        <v>0</v>
      </c>
      <c r="W29" s="73">
        <f>'AD Mauritius'!V29+'AD Rodrigues'!V29</f>
        <v>0</v>
      </c>
      <c r="X29" s="73">
        <f>'AD Mauritius'!W29+'AD Rodrigues'!W29</f>
        <v>0</v>
      </c>
    </row>
    <row r="30" spans="1:24" s="69" customFormat="1" x14ac:dyDescent="0.35">
      <c r="A30" s="70">
        <f t="shared" si="6"/>
        <v>1985</v>
      </c>
      <c r="B30" s="71">
        <f>'AD Mauritius'!B30+'AD Rodrigues'!B30</f>
        <v>1016149.2857142858</v>
      </c>
      <c r="C30" s="72">
        <f t="shared" si="0"/>
        <v>261.50842917505554</v>
      </c>
      <c r="D30" s="71">
        <f t="shared" si="1"/>
        <v>265731.60351449758</v>
      </c>
      <c r="E30" s="71">
        <f>'AD Mauritius'!E30+'AD Rodrigues'!E30</f>
        <v>0</v>
      </c>
      <c r="F30" s="71">
        <f>'AD Mauritius'!F30+'AD Rodrigues'!F30</f>
        <v>265731.60351449758</v>
      </c>
      <c r="G30" s="73">
        <f>'AD Mauritius'!G30+'AD Rodrigues'!G30</f>
        <v>0</v>
      </c>
      <c r="H30" s="73">
        <f>'AD Mauritius'!H30+'AD Rodrigues'!H30</f>
        <v>0</v>
      </c>
      <c r="J30" s="74">
        <f t="shared" si="2"/>
        <v>1985</v>
      </c>
      <c r="K30" s="73">
        <v>25</v>
      </c>
      <c r="L30" s="73">
        <v>43</v>
      </c>
      <c r="M30" s="73">
        <v>12</v>
      </c>
      <c r="N30" s="73">
        <v>0</v>
      </c>
      <c r="O30" s="73">
        <v>3</v>
      </c>
      <c r="P30" s="73">
        <v>0</v>
      </c>
      <c r="Q30" s="73">
        <v>17</v>
      </c>
      <c r="R30" s="73">
        <f t="shared" si="3"/>
        <v>100</v>
      </c>
      <c r="T30" s="74">
        <f t="shared" si="5"/>
        <v>1985</v>
      </c>
      <c r="U30" s="75"/>
      <c r="V30" s="73">
        <f t="shared" si="4"/>
        <v>0</v>
      </c>
      <c r="W30" s="73">
        <f>'AD Mauritius'!V30+'AD Rodrigues'!V30</f>
        <v>0</v>
      </c>
      <c r="X30" s="73">
        <f>'AD Mauritius'!W30+'AD Rodrigues'!W30</f>
        <v>0</v>
      </c>
    </row>
    <row r="31" spans="1:24" s="69" customFormat="1" x14ac:dyDescent="0.35">
      <c r="A31" s="70">
        <f t="shared" si="6"/>
        <v>1986</v>
      </c>
      <c r="B31" s="71">
        <f>'AD Mauritius'!B31+'AD Rodrigues'!B31</f>
        <v>1024251.4285714286</v>
      </c>
      <c r="C31" s="72">
        <f t="shared" si="0"/>
        <v>261.50842917505554</v>
      </c>
      <c r="D31" s="71">
        <f t="shared" si="1"/>
        <v>267850.38216602092</v>
      </c>
      <c r="E31" s="71">
        <f>'AD Mauritius'!E31+'AD Rodrigues'!E31</f>
        <v>0</v>
      </c>
      <c r="F31" s="71">
        <f>'AD Mauritius'!F31+'AD Rodrigues'!F31</f>
        <v>267850.38216602092</v>
      </c>
      <c r="G31" s="73">
        <f>'AD Mauritius'!G31+'AD Rodrigues'!G31</f>
        <v>0</v>
      </c>
      <c r="H31" s="73">
        <f>'AD Mauritius'!H31+'AD Rodrigues'!H31</f>
        <v>0</v>
      </c>
      <c r="J31" s="74">
        <f t="shared" si="2"/>
        <v>1986</v>
      </c>
      <c r="K31" s="73">
        <v>25</v>
      </c>
      <c r="L31" s="73">
        <v>43</v>
      </c>
      <c r="M31" s="73">
        <v>12</v>
      </c>
      <c r="N31" s="73">
        <v>0</v>
      </c>
      <c r="O31" s="73">
        <v>3</v>
      </c>
      <c r="P31" s="73">
        <v>0</v>
      </c>
      <c r="Q31" s="73">
        <v>17</v>
      </c>
      <c r="R31" s="73">
        <f t="shared" si="3"/>
        <v>100</v>
      </c>
      <c r="T31" s="74">
        <f t="shared" si="5"/>
        <v>1986</v>
      </c>
      <c r="U31" s="75"/>
      <c r="V31" s="73">
        <f t="shared" si="4"/>
        <v>0</v>
      </c>
      <c r="W31" s="73">
        <f>'AD Mauritius'!V31+'AD Rodrigues'!V31</f>
        <v>0</v>
      </c>
      <c r="X31" s="73">
        <f>'AD Mauritius'!W31+'AD Rodrigues'!W31</f>
        <v>0</v>
      </c>
    </row>
    <row r="32" spans="1:24" s="69" customFormat="1" x14ac:dyDescent="0.35">
      <c r="A32" s="70">
        <f t="shared" si="6"/>
        <v>1987</v>
      </c>
      <c r="B32" s="71">
        <f>'AD Mauritius'!B32+'AD Rodrigues'!B32</f>
        <v>1032353.5714285715</v>
      </c>
      <c r="C32" s="72">
        <f t="shared" si="0"/>
        <v>261.50842917505554</v>
      </c>
      <c r="D32" s="71">
        <f t="shared" si="1"/>
        <v>269969.16081754421</v>
      </c>
      <c r="E32" s="71">
        <f>'AD Mauritius'!E32+'AD Rodrigues'!E32</f>
        <v>0</v>
      </c>
      <c r="F32" s="71">
        <f>'AD Mauritius'!F32+'AD Rodrigues'!F32</f>
        <v>269969.16081754421</v>
      </c>
      <c r="G32" s="73">
        <f>'AD Mauritius'!G32+'AD Rodrigues'!G32</f>
        <v>0</v>
      </c>
      <c r="H32" s="73">
        <f>'AD Mauritius'!H32+'AD Rodrigues'!H32</f>
        <v>0</v>
      </c>
      <c r="J32" s="74">
        <f t="shared" si="2"/>
        <v>1987</v>
      </c>
      <c r="K32" s="73">
        <v>25</v>
      </c>
      <c r="L32" s="73">
        <v>43</v>
      </c>
      <c r="M32" s="73">
        <v>12</v>
      </c>
      <c r="N32" s="73">
        <v>0</v>
      </c>
      <c r="O32" s="73">
        <v>3</v>
      </c>
      <c r="P32" s="73">
        <v>0</v>
      </c>
      <c r="Q32" s="73">
        <v>17</v>
      </c>
      <c r="R32" s="73">
        <f t="shared" si="3"/>
        <v>100</v>
      </c>
      <c r="T32" s="74">
        <f t="shared" si="5"/>
        <v>1987</v>
      </c>
      <c r="U32" s="75"/>
      <c r="V32" s="73">
        <f t="shared" si="4"/>
        <v>0</v>
      </c>
      <c r="W32" s="73">
        <f>'AD Mauritius'!V32+'AD Rodrigues'!V32</f>
        <v>0</v>
      </c>
      <c r="X32" s="73">
        <f>'AD Mauritius'!W32+'AD Rodrigues'!W32</f>
        <v>0</v>
      </c>
    </row>
    <row r="33" spans="1:24" s="69" customFormat="1" x14ac:dyDescent="0.35">
      <c r="A33" s="70">
        <f t="shared" si="6"/>
        <v>1988</v>
      </c>
      <c r="B33" s="71">
        <f>'AD Mauritius'!B33+'AD Rodrigues'!B33</f>
        <v>1040455.7142857144</v>
      </c>
      <c r="C33" s="72">
        <f t="shared" si="0"/>
        <v>261.50842917505554</v>
      </c>
      <c r="D33" s="71">
        <f t="shared" si="1"/>
        <v>272087.93946906755</v>
      </c>
      <c r="E33" s="71">
        <f>'AD Mauritius'!E33+'AD Rodrigues'!E33</f>
        <v>0</v>
      </c>
      <c r="F33" s="71">
        <f>'AD Mauritius'!F33+'AD Rodrigues'!F33</f>
        <v>272087.93946906755</v>
      </c>
      <c r="G33" s="73">
        <f>'AD Mauritius'!G33+'AD Rodrigues'!G33</f>
        <v>0</v>
      </c>
      <c r="H33" s="73">
        <f>'AD Mauritius'!H33+'AD Rodrigues'!H33</f>
        <v>0</v>
      </c>
      <c r="J33" s="74">
        <f t="shared" si="2"/>
        <v>1988</v>
      </c>
      <c r="K33" s="73">
        <v>25</v>
      </c>
      <c r="L33" s="73">
        <v>43</v>
      </c>
      <c r="M33" s="73">
        <v>12</v>
      </c>
      <c r="N33" s="73">
        <v>0</v>
      </c>
      <c r="O33" s="73">
        <v>3</v>
      </c>
      <c r="P33" s="73">
        <v>0</v>
      </c>
      <c r="Q33" s="73">
        <v>17</v>
      </c>
      <c r="R33" s="73">
        <f t="shared" si="3"/>
        <v>100</v>
      </c>
      <c r="T33" s="74">
        <f t="shared" si="5"/>
        <v>1988</v>
      </c>
      <c r="U33" s="75"/>
      <c r="V33" s="73">
        <f t="shared" si="4"/>
        <v>0</v>
      </c>
      <c r="W33" s="73">
        <f>'AD Mauritius'!V33+'AD Rodrigues'!V33</f>
        <v>0</v>
      </c>
      <c r="X33" s="73">
        <f>'AD Mauritius'!W33+'AD Rodrigues'!W33</f>
        <v>0</v>
      </c>
    </row>
    <row r="34" spans="1:24" s="69" customFormat="1" x14ac:dyDescent="0.35">
      <c r="A34" s="70">
        <f t="shared" si="6"/>
        <v>1989</v>
      </c>
      <c r="B34" s="71">
        <f>'AD Mauritius'!B34+'AD Rodrigues'!B34</f>
        <v>1048557.8571428573</v>
      </c>
      <c r="C34" s="72">
        <f t="shared" si="0"/>
        <v>261.50842917505554</v>
      </c>
      <c r="D34" s="71">
        <f t="shared" si="1"/>
        <v>274206.7181205909</v>
      </c>
      <c r="E34" s="71">
        <f>'AD Mauritius'!E34+'AD Rodrigues'!E34</f>
        <v>0</v>
      </c>
      <c r="F34" s="71">
        <f>'AD Mauritius'!F34+'AD Rodrigues'!F34</f>
        <v>274206.7181205909</v>
      </c>
      <c r="G34" s="73">
        <f>'AD Mauritius'!G34+'AD Rodrigues'!G34</f>
        <v>0</v>
      </c>
      <c r="H34" s="73">
        <f>'AD Mauritius'!H34+'AD Rodrigues'!H34</f>
        <v>0</v>
      </c>
      <c r="J34" s="74">
        <f t="shared" si="2"/>
        <v>1989</v>
      </c>
      <c r="K34" s="73">
        <v>25</v>
      </c>
      <c r="L34" s="73">
        <v>43</v>
      </c>
      <c r="M34" s="73">
        <v>12</v>
      </c>
      <c r="N34" s="73">
        <v>0</v>
      </c>
      <c r="O34" s="73">
        <v>3</v>
      </c>
      <c r="P34" s="73">
        <v>0</v>
      </c>
      <c r="Q34" s="73">
        <v>17</v>
      </c>
      <c r="R34" s="73">
        <f t="shared" si="3"/>
        <v>100</v>
      </c>
      <c r="T34" s="74">
        <f t="shared" si="5"/>
        <v>1989</v>
      </c>
      <c r="U34" s="75"/>
      <c r="V34" s="73">
        <f t="shared" si="4"/>
        <v>0</v>
      </c>
      <c r="W34" s="73">
        <f>'AD Mauritius'!V34+'AD Rodrigues'!V34</f>
        <v>0</v>
      </c>
      <c r="X34" s="73">
        <f>'AD Mauritius'!W34+'AD Rodrigues'!W34</f>
        <v>0</v>
      </c>
    </row>
    <row r="35" spans="1:24" s="69" customFormat="1" x14ac:dyDescent="0.35">
      <c r="A35" s="70">
        <f t="shared" si="6"/>
        <v>1990</v>
      </c>
      <c r="B35" s="71">
        <f>'AD Mauritius'!B35+'AD Rodrigues'!B35</f>
        <v>1056660</v>
      </c>
      <c r="C35" s="72">
        <f t="shared" si="0"/>
        <v>261.50842917505554</v>
      </c>
      <c r="D35" s="71">
        <f t="shared" si="1"/>
        <v>276325.49677211419</v>
      </c>
      <c r="E35" s="71">
        <f>'AD Mauritius'!E35+'AD Rodrigues'!E35</f>
        <v>0</v>
      </c>
      <c r="F35" s="71">
        <f>'AD Mauritius'!F35+'AD Rodrigues'!F35</f>
        <v>276325.49677211419</v>
      </c>
      <c r="G35" s="73">
        <f>'AD Mauritius'!G35+'AD Rodrigues'!G35</f>
        <v>0</v>
      </c>
      <c r="H35" s="73">
        <f>'AD Mauritius'!H35+'AD Rodrigues'!H35</f>
        <v>0</v>
      </c>
      <c r="J35" s="74">
        <f t="shared" si="2"/>
        <v>1990</v>
      </c>
      <c r="K35" s="73">
        <v>25</v>
      </c>
      <c r="L35" s="73">
        <v>43</v>
      </c>
      <c r="M35" s="73">
        <v>12</v>
      </c>
      <c r="N35" s="73">
        <v>0</v>
      </c>
      <c r="O35" s="73">
        <v>3</v>
      </c>
      <c r="P35" s="73">
        <v>0</v>
      </c>
      <c r="Q35" s="73">
        <v>17</v>
      </c>
      <c r="R35" s="73">
        <f t="shared" si="3"/>
        <v>100</v>
      </c>
      <c r="T35" s="74">
        <f t="shared" si="5"/>
        <v>1990</v>
      </c>
      <c r="U35" s="75"/>
      <c r="V35" s="73">
        <f t="shared" si="4"/>
        <v>0</v>
      </c>
      <c r="W35" s="73">
        <f>'AD Mauritius'!V35+'AD Rodrigues'!V35</f>
        <v>0</v>
      </c>
      <c r="X35" s="73">
        <f>'AD Mauritius'!W35+'AD Rodrigues'!W35</f>
        <v>0</v>
      </c>
    </row>
    <row r="36" spans="1:24" s="69" customFormat="1" x14ac:dyDescent="0.35">
      <c r="A36" s="70">
        <f t="shared" si="6"/>
        <v>1991</v>
      </c>
      <c r="B36" s="71">
        <f>'AD Mauritius'!B36+'AD Rodrigues'!B36</f>
        <v>1070395.875</v>
      </c>
      <c r="C36" s="72">
        <f t="shared" si="0"/>
        <v>261.50842917505554</v>
      </c>
      <c r="D36" s="71">
        <f t="shared" si="1"/>
        <v>279917.54386670911</v>
      </c>
      <c r="E36" s="71">
        <f>'AD Mauritius'!E36+'AD Rodrigues'!E36</f>
        <v>0</v>
      </c>
      <c r="F36" s="71">
        <f>'AD Mauritius'!F36+'AD Rodrigues'!F36</f>
        <v>279917.54386670911</v>
      </c>
      <c r="G36" s="73">
        <f>'AD Mauritius'!G36+'AD Rodrigues'!G36</f>
        <v>0</v>
      </c>
      <c r="H36" s="73">
        <f>'AD Mauritius'!H36+'AD Rodrigues'!H36</f>
        <v>0</v>
      </c>
      <c r="J36" s="74">
        <f t="shared" si="2"/>
        <v>1991</v>
      </c>
      <c r="K36" s="73">
        <v>25</v>
      </c>
      <c r="L36" s="73">
        <v>43</v>
      </c>
      <c r="M36" s="73">
        <v>12</v>
      </c>
      <c r="N36" s="73">
        <v>0</v>
      </c>
      <c r="O36" s="73">
        <v>3</v>
      </c>
      <c r="P36" s="73">
        <v>0</v>
      </c>
      <c r="Q36" s="73">
        <v>17</v>
      </c>
      <c r="R36" s="73">
        <f t="shared" si="3"/>
        <v>100</v>
      </c>
      <c r="T36" s="74">
        <f t="shared" si="5"/>
        <v>1991</v>
      </c>
      <c r="U36" s="75"/>
      <c r="V36" s="73">
        <f t="shared" si="4"/>
        <v>0</v>
      </c>
      <c r="W36" s="73">
        <f>'AD Mauritius'!V36+'AD Rodrigues'!V36</f>
        <v>0</v>
      </c>
      <c r="X36" s="73">
        <f>'AD Mauritius'!W36+'AD Rodrigues'!W36</f>
        <v>0</v>
      </c>
    </row>
    <row r="37" spans="1:24" s="69" customFormat="1" x14ac:dyDescent="0.35">
      <c r="A37" s="70">
        <f t="shared" si="6"/>
        <v>1992</v>
      </c>
      <c r="B37" s="71">
        <f>'AD Mauritius'!B37+'AD Rodrigues'!B37</f>
        <v>1084131.75</v>
      </c>
      <c r="C37" s="72">
        <f t="shared" si="0"/>
        <v>261.50842917505554</v>
      </c>
      <c r="D37" s="71">
        <f t="shared" ref="D37:D61" si="7">F37+G37+H37</f>
        <v>283509.59096130403</v>
      </c>
      <c r="E37" s="71">
        <f>'AD Mauritius'!E37+'AD Rodrigues'!E37</f>
        <v>0</v>
      </c>
      <c r="F37" s="71">
        <f>'AD Mauritius'!F37+'AD Rodrigues'!F37</f>
        <v>283509.59096130403</v>
      </c>
      <c r="G37" s="73">
        <f>'AD Mauritius'!G37+'AD Rodrigues'!G37</f>
        <v>0</v>
      </c>
      <c r="H37" s="73">
        <f>'AD Mauritius'!H37+'AD Rodrigues'!H37</f>
        <v>0</v>
      </c>
      <c r="J37" s="74">
        <f t="shared" ref="J37:J61" si="8">A37</f>
        <v>1992</v>
      </c>
      <c r="K37" s="73">
        <v>25</v>
      </c>
      <c r="L37" s="73">
        <v>43</v>
      </c>
      <c r="M37" s="73">
        <v>12</v>
      </c>
      <c r="N37" s="73">
        <v>0</v>
      </c>
      <c r="O37" s="73">
        <v>3</v>
      </c>
      <c r="P37" s="73">
        <v>0</v>
      </c>
      <c r="Q37" s="73">
        <v>17</v>
      </c>
      <c r="R37" s="73">
        <f t="shared" si="3"/>
        <v>100</v>
      </c>
      <c r="T37" s="74">
        <f t="shared" si="5"/>
        <v>1992</v>
      </c>
      <c r="U37" s="75"/>
      <c r="V37" s="73">
        <f t="shared" si="4"/>
        <v>0</v>
      </c>
      <c r="W37" s="73">
        <f>'AD Mauritius'!V37+'AD Rodrigues'!V37</f>
        <v>0</v>
      </c>
      <c r="X37" s="73">
        <f>'AD Mauritius'!W37+'AD Rodrigues'!W37</f>
        <v>0</v>
      </c>
    </row>
    <row r="38" spans="1:24" s="69" customFormat="1" x14ac:dyDescent="0.35">
      <c r="A38" s="70">
        <f t="shared" si="6"/>
        <v>1993</v>
      </c>
      <c r="B38" s="71">
        <f>'AD Mauritius'!B38+'AD Rodrigues'!B38</f>
        <v>1097867.625</v>
      </c>
      <c r="C38" s="72">
        <f t="shared" si="0"/>
        <v>261.50842917505554</v>
      </c>
      <c r="D38" s="71">
        <f t="shared" si="7"/>
        <v>287101.63805589895</v>
      </c>
      <c r="E38" s="71">
        <f>'AD Mauritius'!E38+'AD Rodrigues'!E38</f>
        <v>0</v>
      </c>
      <c r="F38" s="71">
        <f>'AD Mauritius'!F38+'AD Rodrigues'!F38</f>
        <v>287101.63805589895</v>
      </c>
      <c r="G38" s="73">
        <f>'AD Mauritius'!G38+'AD Rodrigues'!G38</f>
        <v>0</v>
      </c>
      <c r="H38" s="73">
        <f>'AD Mauritius'!H38+'AD Rodrigues'!H38</f>
        <v>0</v>
      </c>
      <c r="J38" s="74">
        <f t="shared" si="8"/>
        <v>1993</v>
      </c>
      <c r="K38" s="73">
        <v>25</v>
      </c>
      <c r="L38" s="73">
        <v>43</v>
      </c>
      <c r="M38" s="73">
        <v>12</v>
      </c>
      <c r="N38" s="73">
        <v>0</v>
      </c>
      <c r="O38" s="73">
        <v>3</v>
      </c>
      <c r="P38" s="73">
        <v>0</v>
      </c>
      <c r="Q38" s="73">
        <v>17</v>
      </c>
      <c r="R38" s="73">
        <f t="shared" si="3"/>
        <v>100</v>
      </c>
      <c r="T38" s="74">
        <f t="shared" si="5"/>
        <v>1993</v>
      </c>
      <c r="U38" s="75"/>
      <c r="V38" s="73">
        <f t="shared" si="4"/>
        <v>0</v>
      </c>
      <c r="W38" s="73">
        <f>'AD Mauritius'!V38+'AD Rodrigues'!V38</f>
        <v>0</v>
      </c>
      <c r="X38" s="73">
        <f>'AD Mauritius'!W38+'AD Rodrigues'!W38</f>
        <v>0</v>
      </c>
    </row>
    <row r="39" spans="1:24" s="69" customFormat="1" x14ac:dyDescent="0.35">
      <c r="A39" s="70">
        <f t="shared" si="6"/>
        <v>1994</v>
      </c>
      <c r="B39" s="71">
        <f>'AD Mauritius'!B39+'AD Rodrigues'!B39</f>
        <v>1111603.5</v>
      </c>
      <c r="C39" s="72">
        <f t="shared" si="0"/>
        <v>261.50842917505548</v>
      </c>
      <c r="D39" s="71">
        <f t="shared" si="7"/>
        <v>290693.68515049381</v>
      </c>
      <c r="E39" s="71">
        <f>'AD Mauritius'!E39+'AD Rodrigues'!E39</f>
        <v>0</v>
      </c>
      <c r="F39" s="71">
        <f>'AD Mauritius'!F39+'AD Rodrigues'!F39</f>
        <v>290693.68515049381</v>
      </c>
      <c r="G39" s="73">
        <f>'AD Mauritius'!G39+'AD Rodrigues'!G39</f>
        <v>0</v>
      </c>
      <c r="H39" s="73">
        <f>'AD Mauritius'!H39+'AD Rodrigues'!H39</f>
        <v>0</v>
      </c>
      <c r="J39" s="74">
        <f t="shared" si="8"/>
        <v>1994</v>
      </c>
      <c r="K39" s="73">
        <v>25</v>
      </c>
      <c r="L39" s="73">
        <v>43</v>
      </c>
      <c r="M39" s="73">
        <v>12</v>
      </c>
      <c r="N39" s="73">
        <v>0</v>
      </c>
      <c r="O39" s="73">
        <v>3</v>
      </c>
      <c r="P39" s="73">
        <v>0</v>
      </c>
      <c r="Q39" s="73">
        <v>17</v>
      </c>
      <c r="R39" s="73">
        <f t="shared" si="3"/>
        <v>100</v>
      </c>
      <c r="T39" s="74">
        <f t="shared" si="5"/>
        <v>1994</v>
      </c>
      <c r="U39" s="75"/>
      <c r="V39" s="73">
        <f t="shared" si="4"/>
        <v>0</v>
      </c>
      <c r="W39" s="73">
        <f>'AD Mauritius'!V39+'AD Rodrigues'!V39</f>
        <v>0</v>
      </c>
      <c r="X39" s="73">
        <f>'AD Mauritius'!W39+'AD Rodrigues'!W39</f>
        <v>0</v>
      </c>
    </row>
    <row r="40" spans="1:24" s="69" customFormat="1" x14ac:dyDescent="0.35">
      <c r="A40" s="70">
        <f t="shared" si="6"/>
        <v>1995</v>
      </c>
      <c r="B40" s="71">
        <f>'AD Mauritius'!B40+'AD Rodrigues'!B40</f>
        <v>1125339.375</v>
      </c>
      <c r="C40" s="72">
        <f t="shared" si="0"/>
        <v>261.5084291750556</v>
      </c>
      <c r="D40" s="71">
        <f t="shared" si="7"/>
        <v>294285.73224508879</v>
      </c>
      <c r="E40" s="71">
        <f>'AD Mauritius'!E40+'AD Rodrigues'!E40</f>
        <v>0</v>
      </c>
      <c r="F40" s="71">
        <f>'AD Mauritius'!F40+'AD Rodrigues'!F40</f>
        <v>294285.73224508879</v>
      </c>
      <c r="G40" s="73">
        <f>'AD Mauritius'!G40+'AD Rodrigues'!G40</f>
        <v>0</v>
      </c>
      <c r="H40" s="73">
        <f>'AD Mauritius'!H40+'AD Rodrigues'!H40</f>
        <v>0</v>
      </c>
      <c r="J40" s="74">
        <f t="shared" si="8"/>
        <v>1995</v>
      </c>
      <c r="K40" s="73">
        <v>25</v>
      </c>
      <c r="L40" s="73">
        <v>43</v>
      </c>
      <c r="M40" s="73">
        <v>12</v>
      </c>
      <c r="N40" s="73">
        <v>0</v>
      </c>
      <c r="O40" s="73">
        <v>3</v>
      </c>
      <c r="P40" s="73">
        <v>0</v>
      </c>
      <c r="Q40" s="73">
        <v>17</v>
      </c>
      <c r="R40" s="73">
        <f t="shared" si="3"/>
        <v>100</v>
      </c>
      <c r="T40" s="74">
        <f t="shared" si="5"/>
        <v>1995</v>
      </c>
      <c r="U40" s="75"/>
      <c r="V40" s="73">
        <f t="shared" si="4"/>
        <v>0</v>
      </c>
      <c r="W40" s="73">
        <f>'AD Mauritius'!V40+'AD Rodrigues'!V40</f>
        <v>0</v>
      </c>
      <c r="X40" s="73">
        <f>'AD Mauritius'!W40+'AD Rodrigues'!W40</f>
        <v>0</v>
      </c>
    </row>
    <row r="41" spans="1:24" s="69" customFormat="1" x14ac:dyDescent="0.35">
      <c r="A41" s="70">
        <f t="shared" si="6"/>
        <v>1996</v>
      </c>
      <c r="B41" s="71">
        <f>'AD Mauritius'!B41+'AD Rodrigues'!B41</f>
        <v>1139075.25</v>
      </c>
      <c r="C41" s="72">
        <f t="shared" si="0"/>
        <v>261.50842917505554</v>
      </c>
      <c r="D41" s="71">
        <f t="shared" si="7"/>
        <v>297877.77933968371</v>
      </c>
      <c r="E41" s="71">
        <f>'AD Mauritius'!E41+'AD Rodrigues'!E41</f>
        <v>0</v>
      </c>
      <c r="F41" s="71">
        <f>'AD Mauritius'!F41+'AD Rodrigues'!F41</f>
        <v>297877.77933968371</v>
      </c>
      <c r="G41" s="73">
        <f>'AD Mauritius'!G41+'AD Rodrigues'!G41</f>
        <v>0</v>
      </c>
      <c r="H41" s="73">
        <f>'AD Mauritius'!H41+'AD Rodrigues'!H41</f>
        <v>0</v>
      </c>
      <c r="J41" s="74">
        <f t="shared" si="8"/>
        <v>1996</v>
      </c>
      <c r="K41" s="73">
        <v>25</v>
      </c>
      <c r="L41" s="73">
        <v>43</v>
      </c>
      <c r="M41" s="73">
        <v>12</v>
      </c>
      <c r="N41" s="73">
        <v>0</v>
      </c>
      <c r="O41" s="73">
        <v>3</v>
      </c>
      <c r="P41" s="73">
        <v>0</v>
      </c>
      <c r="Q41" s="73">
        <v>17</v>
      </c>
      <c r="R41" s="73">
        <f t="shared" si="3"/>
        <v>100</v>
      </c>
      <c r="T41" s="74">
        <f t="shared" si="5"/>
        <v>1996</v>
      </c>
      <c r="U41" s="75"/>
      <c r="V41" s="73">
        <f t="shared" si="4"/>
        <v>0</v>
      </c>
      <c r="W41" s="73">
        <f>'AD Mauritius'!V41+'AD Rodrigues'!V41</f>
        <v>0</v>
      </c>
      <c r="X41" s="73">
        <f>'AD Mauritius'!W41+'AD Rodrigues'!W41</f>
        <v>0</v>
      </c>
    </row>
    <row r="42" spans="1:24" s="69" customFormat="1" x14ac:dyDescent="0.35">
      <c r="A42" s="76">
        <f t="shared" si="6"/>
        <v>1997</v>
      </c>
      <c r="B42" s="77">
        <f>'AD Mauritius'!B42+'AD Rodrigues'!B42</f>
        <v>1152811.125</v>
      </c>
      <c r="C42" s="78">
        <f t="shared" ref="C42:C44" si="9">(D42*1000)/B42</f>
        <v>261.50842917505554</v>
      </c>
      <c r="D42" s="79">
        <f t="shared" si="7"/>
        <v>301469.82643427863</v>
      </c>
      <c r="E42" s="79">
        <f>'AD Mauritius'!E42+'AD Rodrigues'!E42</f>
        <v>0</v>
      </c>
      <c r="F42" s="79">
        <f>'AD Mauritius'!F42+'AD Rodrigues'!F42</f>
        <v>301469.82643427863</v>
      </c>
      <c r="G42" s="79">
        <f>'AD Mauritius'!G42+'AD Rodrigues'!G42</f>
        <v>0</v>
      </c>
      <c r="H42" s="80">
        <f>'AD Mauritius'!H42+'AD Rodrigues'!H42</f>
        <v>0</v>
      </c>
      <c r="J42" s="76">
        <f t="shared" si="8"/>
        <v>1997</v>
      </c>
      <c r="K42" s="81">
        <v>25</v>
      </c>
      <c r="L42" s="81">
        <v>43</v>
      </c>
      <c r="M42" s="81">
        <v>12</v>
      </c>
      <c r="N42" s="81">
        <v>0</v>
      </c>
      <c r="O42" s="81">
        <v>3</v>
      </c>
      <c r="P42" s="81">
        <v>0</v>
      </c>
      <c r="Q42" s="81">
        <v>17</v>
      </c>
      <c r="R42" s="82">
        <f t="shared" ref="R42:R44" si="10">SUM(K42:Q42)</f>
        <v>100</v>
      </c>
      <c r="T42" s="76">
        <f t="shared" si="5"/>
        <v>1997</v>
      </c>
      <c r="U42" s="83"/>
      <c r="V42" s="84">
        <f>'AD Mauritius'!U42+'AD Rodrigues'!U42</f>
        <v>0</v>
      </c>
      <c r="W42" s="84">
        <f>'AD Mauritius'!V42+'AD Rodrigues'!V42</f>
        <v>0</v>
      </c>
      <c r="X42" s="84">
        <f>'AD Mauritius'!W42+'AD Rodrigues'!W42</f>
        <v>0</v>
      </c>
    </row>
    <row r="43" spans="1:24" s="69" customFormat="1" x14ac:dyDescent="0.35">
      <c r="A43" s="76">
        <f t="shared" si="6"/>
        <v>1998</v>
      </c>
      <c r="B43" s="77">
        <f>'AD Mauritius'!B43+'AD Rodrigues'!B43</f>
        <v>1166547</v>
      </c>
      <c r="C43" s="78">
        <f t="shared" si="9"/>
        <v>261.5084291750556</v>
      </c>
      <c r="D43" s="79">
        <f t="shared" si="7"/>
        <v>305061.87352887355</v>
      </c>
      <c r="E43" s="79">
        <f>'AD Mauritius'!E43+'AD Rodrigues'!E43</f>
        <v>0</v>
      </c>
      <c r="F43" s="79">
        <f>'AD Mauritius'!F43+'AD Rodrigues'!F43</f>
        <v>305061.87352887355</v>
      </c>
      <c r="G43" s="79">
        <f>'AD Mauritius'!G43+'AD Rodrigues'!G43</f>
        <v>0</v>
      </c>
      <c r="H43" s="80">
        <f>'AD Mauritius'!H43+'AD Rodrigues'!H43</f>
        <v>0</v>
      </c>
      <c r="J43" s="76">
        <f t="shared" si="8"/>
        <v>1998</v>
      </c>
      <c r="K43" s="81">
        <v>25</v>
      </c>
      <c r="L43" s="81">
        <v>43</v>
      </c>
      <c r="M43" s="81">
        <v>12</v>
      </c>
      <c r="N43" s="81">
        <v>0</v>
      </c>
      <c r="O43" s="81">
        <v>3</v>
      </c>
      <c r="P43" s="81">
        <v>0</v>
      </c>
      <c r="Q43" s="81">
        <v>17</v>
      </c>
      <c r="R43" s="82">
        <f t="shared" si="10"/>
        <v>100</v>
      </c>
      <c r="T43" s="76">
        <f t="shared" si="5"/>
        <v>1998</v>
      </c>
      <c r="U43" s="83"/>
      <c r="V43" s="84">
        <f>'AD Mauritius'!U43+'AD Rodrigues'!U43</f>
        <v>0</v>
      </c>
      <c r="W43" s="84">
        <f>'AD Mauritius'!V43+'AD Rodrigues'!V43</f>
        <v>0</v>
      </c>
      <c r="X43" s="84">
        <f>'AD Mauritius'!W43+'AD Rodrigues'!W43</f>
        <v>0</v>
      </c>
    </row>
    <row r="44" spans="1:24" s="69" customFormat="1" x14ac:dyDescent="0.35">
      <c r="A44" s="76">
        <f t="shared" si="6"/>
        <v>1999</v>
      </c>
      <c r="B44" s="77">
        <f>'AD Mauritius'!B44+'AD Rodrigues'!B44</f>
        <v>1180361</v>
      </c>
      <c r="C44" s="78">
        <f t="shared" si="9"/>
        <v>261.5084291750556</v>
      </c>
      <c r="D44" s="79">
        <f t="shared" si="7"/>
        <v>308674.35096949781</v>
      </c>
      <c r="E44" s="79">
        <f>'AD Mauritius'!E44+'AD Rodrigues'!E44</f>
        <v>0</v>
      </c>
      <c r="F44" s="79">
        <f>'AD Mauritius'!F44+'AD Rodrigues'!F44</f>
        <v>308674.35096949781</v>
      </c>
      <c r="G44" s="79">
        <f>'AD Mauritius'!G44+'AD Rodrigues'!G44</f>
        <v>0</v>
      </c>
      <c r="H44" s="80">
        <f>'AD Mauritius'!H44+'AD Rodrigues'!H44</f>
        <v>0</v>
      </c>
      <c r="J44" s="76">
        <f t="shared" si="8"/>
        <v>1999</v>
      </c>
      <c r="K44" s="81">
        <v>25</v>
      </c>
      <c r="L44" s="81">
        <v>43</v>
      </c>
      <c r="M44" s="81">
        <v>12</v>
      </c>
      <c r="N44" s="81">
        <v>0</v>
      </c>
      <c r="O44" s="81">
        <v>3</v>
      </c>
      <c r="P44" s="81">
        <v>0</v>
      </c>
      <c r="Q44" s="81">
        <v>17</v>
      </c>
      <c r="R44" s="82">
        <f t="shared" si="10"/>
        <v>100</v>
      </c>
      <c r="T44" s="76">
        <f t="shared" si="5"/>
        <v>1999</v>
      </c>
      <c r="U44" s="83"/>
      <c r="V44" s="84">
        <f>'AD Mauritius'!U44+'AD Rodrigues'!U44</f>
        <v>0</v>
      </c>
      <c r="W44" s="84">
        <f>'AD Mauritius'!V44+'AD Rodrigues'!V44</f>
        <v>0</v>
      </c>
      <c r="X44" s="84">
        <f>'AD Mauritius'!W44+'AD Rodrigues'!W44</f>
        <v>0</v>
      </c>
    </row>
    <row r="45" spans="1:24" x14ac:dyDescent="0.35">
      <c r="A45" s="76">
        <f t="shared" si="6"/>
        <v>2000</v>
      </c>
      <c r="B45" s="77">
        <f>'AD Mauritius'!B45+'AD Rodrigues'!B45</f>
        <v>1193282</v>
      </c>
      <c r="C45" s="78">
        <f>(D45*1000)/B45</f>
        <v>261.50842917505548</v>
      </c>
      <c r="D45" s="79">
        <f t="shared" si="7"/>
        <v>312053.30138286861</v>
      </c>
      <c r="E45" s="79">
        <f>'AD Mauritius'!E45+'AD Rodrigues'!E45</f>
        <v>0</v>
      </c>
      <c r="F45" s="79">
        <f>'AD Mauritius'!F45+'AD Rodrigues'!F45</f>
        <v>311412.21138286858</v>
      </c>
      <c r="G45" s="79">
        <f>'AD Mauritius'!G45+'AD Rodrigues'!G45</f>
        <v>0</v>
      </c>
      <c r="H45" s="80">
        <f>'AD Mauritius'!H45+'AD Rodrigues'!H45</f>
        <v>641.09</v>
      </c>
      <c r="J45" s="76">
        <f t="shared" si="8"/>
        <v>2000</v>
      </c>
      <c r="K45" s="81">
        <v>25</v>
      </c>
      <c r="L45" s="81">
        <v>43</v>
      </c>
      <c r="M45" s="81">
        <v>12</v>
      </c>
      <c r="N45" s="81">
        <v>0</v>
      </c>
      <c r="O45" s="81">
        <v>3</v>
      </c>
      <c r="P45" s="81">
        <v>0</v>
      </c>
      <c r="Q45" s="81">
        <v>17</v>
      </c>
      <c r="R45" s="82">
        <f>SUM(K45:Q45)</f>
        <v>100</v>
      </c>
      <c r="T45" s="76">
        <f t="shared" si="5"/>
        <v>2000</v>
      </c>
      <c r="U45" s="218">
        <f>'EE RoM'!B6</f>
        <v>16792.63</v>
      </c>
      <c r="V45" s="77">
        <f>'AD Mauritius'!U45+'AD Rodrigues'!U45</f>
        <v>0</v>
      </c>
      <c r="W45" s="77">
        <f>'AD Mauritius'!V45+'AD Rodrigues'!V45</f>
        <v>0</v>
      </c>
      <c r="X45" s="77">
        <f>'AD Mauritius'!W45+'AD Rodrigues'!W45</f>
        <v>0</v>
      </c>
    </row>
    <row r="46" spans="1:24" x14ac:dyDescent="0.35">
      <c r="A46" s="76">
        <f t="shared" si="6"/>
        <v>2001</v>
      </c>
      <c r="B46" s="77">
        <f>'AD Mauritius'!B46+'AD Rodrigues'!B46</f>
        <v>1196497</v>
      </c>
      <c r="C46" s="78">
        <f t="shared" ref="C46:C61" si="11">(D46*1000)/B46</f>
        <v>299.05391252177645</v>
      </c>
      <c r="D46" s="79">
        <f t="shared" si="7"/>
        <v>357817.10917056794</v>
      </c>
      <c r="E46" s="79">
        <f>'AD Mauritius'!E46+'AD Rodrigues'!E46</f>
        <v>0</v>
      </c>
      <c r="F46" s="79">
        <f>'AD Mauritius'!F46+'AD Rodrigues'!F46</f>
        <v>357189.74917056796</v>
      </c>
      <c r="G46" s="79">
        <f>'AD Mauritius'!G46+'AD Rodrigues'!G46</f>
        <v>0</v>
      </c>
      <c r="H46" s="80">
        <f>'AD Mauritius'!H46+'AD Rodrigues'!H46</f>
        <v>627.36</v>
      </c>
      <c r="J46" s="76">
        <f t="shared" si="8"/>
        <v>2001</v>
      </c>
      <c r="K46" s="81">
        <v>25</v>
      </c>
      <c r="L46" s="81">
        <v>43</v>
      </c>
      <c r="M46" s="81">
        <v>12</v>
      </c>
      <c r="N46" s="81">
        <v>0</v>
      </c>
      <c r="O46" s="81">
        <v>3</v>
      </c>
      <c r="P46" s="81">
        <v>0</v>
      </c>
      <c r="Q46" s="81">
        <v>17</v>
      </c>
      <c r="R46" s="82">
        <f t="shared" ref="R46:R61" si="12">SUM(K46:Q46)</f>
        <v>100</v>
      </c>
      <c r="T46" s="76">
        <f t="shared" si="5"/>
        <v>2001</v>
      </c>
      <c r="U46" s="218">
        <f>'EE RoM'!B7</f>
        <v>16997.810000000001</v>
      </c>
      <c r="V46" s="77">
        <f>'AD Mauritius'!U46+'AD Rodrigues'!U46</f>
        <v>0</v>
      </c>
      <c r="W46" s="77">
        <f>'AD Mauritius'!V46+'AD Rodrigues'!V46</f>
        <v>0</v>
      </c>
      <c r="X46" s="77">
        <f>'AD Mauritius'!W46+'AD Rodrigues'!W46</f>
        <v>0</v>
      </c>
    </row>
    <row r="47" spans="1:24" x14ac:dyDescent="0.35">
      <c r="A47" s="76">
        <f t="shared" si="6"/>
        <v>2002</v>
      </c>
      <c r="B47" s="77">
        <f>'AD Mauritius'!B47+'AD Rodrigues'!B47</f>
        <v>1204832</v>
      </c>
      <c r="C47" s="78">
        <f t="shared" si="11"/>
        <v>320.92183613799716</v>
      </c>
      <c r="D47" s="79">
        <f t="shared" si="7"/>
        <v>386656.8976778154</v>
      </c>
      <c r="E47" s="79">
        <f>'AD Mauritius'!E47+'AD Rodrigues'!E47</f>
        <v>0</v>
      </c>
      <c r="F47" s="79">
        <f>'AD Mauritius'!F47+'AD Rodrigues'!F47</f>
        <v>386021.79767781543</v>
      </c>
      <c r="G47" s="79">
        <f>'AD Mauritius'!G47+'AD Rodrigues'!G47</f>
        <v>0</v>
      </c>
      <c r="H47" s="80">
        <f>'AD Mauritius'!H47+'AD Rodrigues'!H47</f>
        <v>635.1</v>
      </c>
      <c r="J47" s="76">
        <f t="shared" si="8"/>
        <v>2002</v>
      </c>
      <c r="K47" s="81">
        <v>25</v>
      </c>
      <c r="L47" s="81">
        <v>43</v>
      </c>
      <c r="M47" s="81">
        <v>12</v>
      </c>
      <c r="N47" s="81">
        <v>0</v>
      </c>
      <c r="O47" s="81">
        <v>3</v>
      </c>
      <c r="P47" s="81">
        <v>0</v>
      </c>
      <c r="Q47" s="81">
        <v>17</v>
      </c>
      <c r="R47" s="82">
        <f t="shared" si="12"/>
        <v>100</v>
      </c>
      <c r="T47" s="76">
        <f t="shared" si="5"/>
        <v>2002</v>
      </c>
      <c r="U47" s="218">
        <f>'EE RoM'!B8</f>
        <v>17620.71</v>
      </c>
      <c r="V47" s="77">
        <f>'AD Mauritius'!U47+'AD Rodrigues'!U47</f>
        <v>0</v>
      </c>
      <c r="W47" s="77">
        <f>'AD Mauritius'!V47+'AD Rodrigues'!V47</f>
        <v>0</v>
      </c>
      <c r="X47" s="77">
        <f>'AD Mauritius'!W47+'AD Rodrigues'!W47</f>
        <v>0</v>
      </c>
    </row>
    <row r="48" spans="1:24" x14ac:dyDescent="0.35">
      <c r="A48" s="76">
        <f t="shared" si="6"/>
        <v>2003</v>
      </c>
      <c r="B48" s="77">
        <f>'AD Mauritius'!B48+'AD Rodrigues'!B48</f>
        <v>1213581</v>
      </c>
      <c r="C48" s="78">
        <f t="shared" si="11"/>
        <v>320.31130055265436</v>
      </c>
      <c r="D48" s="79">
        <f t="shared" si="7"/>
        <v>388723.70843599079</v>
      </c>
      <c r="E48" s="79">
        <f>'AD Mauritius'!E48+'AD Rodrigues'!E48</f>
        <v>0</v>
      </c>
      <c r="F48" s="79">
        <f>'AD Mauritius'!F48+'AD Rodrigues'!F48</f>
        <v>388134.1584359908</v>
      </c>
      <c r="G48" s="79">
        <f>'AD Mauritius'!G48+'AD Rodrigues'!G48</f>
        <v>0</v>
      </c>
      <c r="H48" s="80">
        <f>'AD Mauritius'!H48+'AD Rodrigues'!H48</f>
        <v>589.54999999999995</v>
      </c>
      <c r="J48" s="76">
        <f t="shared" si="8"/>
        <v>2003</v>
      </c>
      <c r="K48" s="81">
        <v>25</v>
      </c>
      <c r="L48" s="81">
        <v>43</v>
      </c>
      <c r="M48" s="81">
        <v>12</v>
      </c>
      <c r="N48" s="81">
        <v>0</v>
      </c>
      <c r="O48" s="81">
        <v>3</v>
      </c>
      <c r="P48" s="81">
        <v>0</v>
      </c>
      <c r="Q48" s="81">
        <v>17</v>
      </c>
      <c r="R48" s="82">
        <f t="shared" si="12"/>
        <v>100</v>
      </c>
      <c r="T48" s="76">
        <f t="shared" si="5"/>
        <v>2003</v>
      </c>
      <c r="U48" s="218">
        <f>'EE RoM'!B9</f>
        <v>18403.439999999999</v>
      </c>
      <c r="V48" s="77">
        <f>'AD Mauritius'!U48+'AD Rodrigues'!U48</f>
        <v>0</v>
      </c>
      <c r="W48" s="77">
        <f>'AD Mauritius'!V48+'AD Rodrigues'!V48</f>
        <v>0</v>
      </c>
      <c r="X48" s="77">
        <f>'AD Mauritius'!W48+'AD Rodrigues'!W48</f>
        <v>0</v>
      </c>
    </row>
    <row r="49" spans="1:24" x14ac:dyDescent="0.35">
      <c r="A49" s="76">
        <f t="shared" si="6"/>
        <v>2004</v>
      </c>
      <c r="B49" s="77">
        <f>'AD Mauritius'!B49+'AD Rodrigues'!B49</f>
        <v>1221214</v>
      </c>
      <c r="C49" s="78">
        <f t="shared" si="11"/>
        <v>326.64459715107222</v>
      </c>
      <c r="D49" s="79">
        <f t="shared" si="7"/>
        <v>398902.95506524952</v>
      </c>
      <c r="E49" s="79">
        <f>'AD Mauritius'!E49+'AD Rodrigues'!E49</f>
        <v>0</v>
      </c>
      <c r="F49" s="79">
        <f>'AD Mauritius'!F49+'AD Rodrigues'!F49</f>
        <v>398308.29506524955</v>
      </c>
      <c r="G49" s="79">
        <f>'AD Mauritius'!G49+'AD Rodrigues'!G49</f>
        <v>0</v>
      </c>
      <c r="H49" s="80">
        <f>'AD Mauritius'!H49+'AD Rodrigues'!H49</f>
        <v>594.66</v>
      </c>
      <c r="J49" s="76">
        <f t="shared" si="8"/>
        <v>2004</v>
      </c>
      <c r="K49" s="81">
        <v>25</v>
      </c>
      <c r="L49" s="81">
        <v>43</v>
      </c>
      <c r="M49" s="81">
        <v>12</v>
      </c>
      <c r="N49" s="81">
        <v>0</v>
      </c>
      <c r="O49" s="81">
        <v>3</v>
      </c>
      <c r="P49" s="81">
        <v>0</v>
      </c>
      <c r="Q49" s="81">
        <v>17</v>
      </c>
      <c r="R49" s="82">
        <f t="shared" si="12"/>
        <v>100</v>
      </c>
      <c r="T49" s="76">
        <f t="shared" si="5"/>
        <v>2004</v>
      </c>
      <c r="U49" s="218">
        <f>'EE RoM'!B10</f>
        <v>19052.189999999999</v>
      </c>
      <c r="V49" s="77">
        <f>'AD Mauritius'!U49+'AD Rodrigues'!U49</f>
        <v>0</v>
      </c>
      <c r="W49" s="77">
        <f>'AD Mauritius'!V49+'AD Rodrigues'!V49</f>
        <v>0</v>
      </c>
      <c r="X49" s="77">
        <f>'AD Mauritius'!W49+'AD Rodrigues'!W49</f>
        <v>0</v>
      </c>
    </row>
    <row r="50" spans="1:24" x14ac:dyDescent="0.35">
      <c r="A50" s="76">
        <f t="shared" si="6"/>
        <v>2005</v>
      </c>
      <c r="B50" s="77">
        <f>'AD Mauritius'!B50+'AD Rodrigues'!B50</f>
        <v>1228467</v>
      </c>
      <c r="C50" s="78">
        <f t="shared" si="11"/>
        <v>351.40077673915732</v>
      </c>
      <c r="D50" s="79">
        <f t="shared" si="7"/>
        <v>431684.25799842237</v>
      </c>
      <c r="E50" s="79">
        <f>'AD Mauritius'!E50+'AD Rodrigues'!E50</f>
        <v>0</v>
      </c>
      <c r="F50" s="79">
        <f>'AD Mauritius'!F50+'AD Rodrigues'!F50</f>
        <v>431090.47799842234</v>
      </c>
      <c r="G50" s="79">
        <f>'AD Mauritius'!G50+'AD Rodrigues'!G50</f>
        <v>0</v>
      </c>
      <c r="H50" s="80">
        <f>'AD Mauritius'!H50+'AD Rodrigues'!H50</f>
        <v>593.78</v>
      </c>
      <c r="J50" s="76">
        <f t="shared" si="8"/>
        <v>2005</v>
      </c>
      <c r="K50" s="81">
        <v>25</v>
      </c>
      <c r="L50" s="81">
        <v>43</v>
      </c>
      <c r="M50" s="81">
        <v>12</v>
      </c>
      <c r="N50" s="81">
        <v>0</v>
      </c>
      <c r="O50" s="81">
        <v>3</v>
      </c>
      <c r="P50" s="81">
        <v>0</v>
      </c>
      <c r="Q50" s="81">
        <v>17</v>
      </c>
      <c r="R50" s="82">
        <f t="shared" si="12"/>
        <v>100</v>
      </c>
      <c r="T50" s="76">
        <f t="shared" si="5"/>
        <v>2005</v>
      </c>
      <c r="U50" s="218">
        <f>'EE RoM'!B11</f>
        <v>19680.009999999998</v>
      </c>
      <c r="V50" s="77">
        <f>'AD Mauritius'!U50+'AD Rodrigues'!U50</f>
        <v>0</v>
      </c>
      <c r="W50" s="77">
        <f>'AD Mauritius'!V50+'AD Rodrigues'!V50</f>
        <v>0</v>
      </c>
      <c r="X50" s="77">
        <f>'AD Mauritius'!W50+'AD Rodrigues'!W50</f>
        <v>0</v>
      </c>
    </row>
    <row r="51" spans="1:24" x14ac:dyDescent="0.35">
      <c r="A51" s="76">
        <f t="shared" si="6"/>
        <v>2006</v>
      </c>
      <c r="B51" s="77">
        <f>'AD Mauritius'!B51+'AD Rodrigues'!B51</f>
        <v>1234207</v>
      </c>
      <c r="C51" s="78">
        <f t="shared" si="11"/>
        <v>340.94686185889822</v>
      </c>
      <c r="D51" s="79">
        <f t="shared" si="7"/>
        <v>420799.00353428518</v>
      </c>
      <c r="E51" s="79">
        <f>'AD Mauritius'!E51+'AD Rodrigues'!E51</f>
        <v>8056</v>
      </c>
      <c r="F51" s="79">
        <f>'AD Mauritius'!F51+'AD Rodrigues'!F51</f>
        <v>420176.0235342852</v>
      </c>
      <c r="G51" s="79">
        <f>'AD Mauritius'!G51+'AD Rodrigues'!G51</f>
        <v>0</v>
      </c>
      <c r="H51" s="80">
        <f>'AD Mauritius'!H51+'AD Rodrigues'!H51</f>
        <v>622.98</v>
      </c>
      <c r="J51" s="76">
        <f t="shared" si="8"/>
        <v>2006</v>
      </c>
      <c r="K51" s="81">
        <v>25</v>
      </c>
      <c r="L51" s="81">
        <v>43</v>
      </c>
      <c r="M51" s="81">
        <v>12</v>
      </c>
      <c r="N51" s="81">
        <v>0</v>
      </c>
      <c r="O51" s="81">
        <v>3</v>
      </c>
      <c r="P51" s="81">
        <v>0</v>
      </c>
      <c r="Q51" s="81">
        <v>17</v>
      </c>
      <c r="R51" s="82">
        <f t="shared" si="12"/>
        <v>100</v>
      </c>
      <c r="T51" s="76">
        <f t="shared" si="5"/>
        <v>2006</v>
      </c>
      <c r="U51" s="218">
        <f>'EE RoM'!B12</f>
        <v>20516.560000000001</v>
      </c>
      <c r="V51" s="77">
        <f>'AD Mauritius'!U51+'AD Rodrigues'!U51</f>
        <v>0</v>
      </c>
      <c r="W51" s="77">
        <f>'AD Mauritius'!V51+'AD Rodrigues'!V51</f>
        <v>0</v>
      </c>
      <c r="X51" s="77">
        <f>'AD Mauritius'!W51+'AD Rodrigues'!W51</f>
        <v>0</v>
      </c>
    </row>
    <row r="52" spans="1:24" x14ac:dyDescent="0.35">
      <c r="A52" s="76">
        <f t="shared" si="6"/>
        <v>2007</v>
      </c>
      <c r="B52" s="77">
        <f>'AD Mauritius'!B52+'AD Rodrigues'!B52</f>
        <v>1239841</v>
      </c>
      <c r="C52" s="78">
        <f t="shared" si="11"/>
        <v>322.82524500639943</v>
      </c>
      <c r="D52" s="79">
        <f t="shared" si="7"/>
        <v>400251.97459397931</v>
      </c>
      <c r="E52" s="79">
        <f>'AD Mauritius'!E52+'AD Rodrigues'!E52</f>
        <v>13077</v>
      </c>
      <c r="F52" s="79">
        <f>'AD Mauritius'!F52+'AD Rodrigues'!F52</f>
        <v>399650.33459397929</v>
      </c>
      <c r="G52" s="79">
        <f>'AD Mauritius'!G52+'AD Rodrigues'!G52</f>
        <v>0</v>
      </c>
      <c r="H52" s="80">
        <f>'AD Mauritius'!H52+'AD Rodrigues'!H52</f>
        <v>601.64</v>
      </c>
      <c r="J52" s="76">
        <f t="shared" si="8"/>
        <v>2007</v>
      </c>
      <c r="K52" s="81">
        <v>25</v>
      </c>
      <c r="L52" s="81">
        <v>43</v>
      </c>
      <c r="M52" s="81">
        <v>12</v>
      </c>
      <c r="N52" s="81">
        <v>0</v>
      </c>
      <c r="O52" s="81">
        <v>3</v>
      </c>
      <c r="P52" s="81">
        <v>0</v>
      </c>
      <c r="Q52" s="81">
        <v>17</v>
      </c>
      <c r="R52" s="82">
        <f t="shared" si="12"/>
        <v>100</v>
      </c>
      <c r="T52" s="76">
        <f t="shared" si="5"/>
        <v>2007</v>
      </c>
      <c r="U52" s="218">
        <f>'EE RoM'!B13</f>
        <v>21132</v>
      </c>
      <c r="V52" s="77">
        <f>'AD Mauritius'!U52+'AD Rodrigues'!U52</f>
        <v>0</v>
      </c>
      <c r="W52" s="77">
        <f>'AD Mauritius'!V52+'AD Rodrigues'!V52</f>
        <v>0</v>
      </c>
      <c r="X52" s="77">
        <f>'AD Mauritius'!W52+'AD Rodrigues'!W52</f>
        <v>0</v>
      </c>
    </row>
    <row r="53" spans="1:24" x14ac:dyDescent="0.35">
      <c r="A53" s="76">
        <f t="shared" si="6"/>
        <v>2008</v>
      </c>
      <c r="B53" s="77">
        <f>'AD Mauritius'!B53+'AD Rodrigues'!B53</f>
        <v>1244331</v>
      </c>
      <c r="C53" s="78">
        <f t="shared" si="11"/>
        <v>332.04483984879101</v>
      </c>
      <c r="D53" s="79">
        <f t="shared" si="7"/>
        <v>413173.68761388602</v>
      </c>
      <c r="E53" s="79">
        <f>'AD Mauritius'!E53+'AD Rodrigues'!E53</f>
        <v>12148</v>
      </c>
      <c r="F53" s="79">
        <f>'AD Mauritius'!F53+'AD Rodrigues'!F53</f>
        <v>412562.597613886</v>
      </c>
      <c r="G53" s="79">
        <f>'AD Mauritius'!G53+'AD Rodrigues'!G53</f>
        <v>0</v>
      </c>
      <c r="H53" s="80">
        <f>'AD Mauritius'!H53+'AD Rodrigues'!H53</f>
        <v>611.09</v>
      </c>
      <c r="J53" s="76">
        <f t="shared" si="8"/>
        <v>2008</v>
      </c>
      <c r="K53" s="81">
        <v>25</v>
      </c>
      <c r="L53" s="81">
        <v>43</v>
      </c>
      <c r="M53" s="81">
        <v>12</v>
      </c>
      <c r="N53" s="81">
        <v>0</v>
      </c>
      <c r="O53" s="81">
        <v>3</v>
      </c>
      <c r="P53" s="81">
        <v>0</v>
      </c>
      <c r="Q53" s="81">
        <v>17</v>
      </c>
      <c r="R53" s="82">
        <f t="shared" si="12"/>
        <v>100</v>
      </c>
      <c r="T53" s="76">
        <f t="shared" si="5"/>
        <v>2008</v>
      </c>
      <c r="U53" s="218">
        <f>'EE RoM'!B14</f>
        <v>21461.53</v>
      </c>
      <c r="V53" s="77">
        <f>'AD Mauritius'!U53+'AD Rodrigues'!U53</f>
        <v>0</v>
      </c>
      <c r="W53" s="77">
        <f>'AD Mauritius'!V53+'AD Rodrigues'!V53</f>
        <v>0</v>
      </c>
      <c r="X53" s="77">
        <f>'AD Mauritius'!W53+'AD Rodrigues'!W53</f>
        <v>0</v>
      </c>
    </row>
    <row r="54" spans="1:24" x14ac:dyDescent="0.35">
      <c r="A54" s="76">
        <f t="shared" si="6"/>
        <v>2009</v>
      </c>
      <c r="B54" s="77">
        <f>'AD Mauritius'!B54+'AD Rodrigues'!B54</f>
        <v>1247640</v>
      </c>
      <c r="C54" s="78">
        <f t="shared" si="11"/>
        <v>344.86053639466087</v>
      </c>
      <c r="D54" s="79">
        <f t="shared" si="7"/>
        <v>430261.7996274347</v>
      </c>
      <c r="E54" s="79">
        <f>'AD Mauritius'!E54+'AD Rodrigues'!E54</f>
        <v>9126</v>
      </c>
      <c r="F54" s="79">
        <f>'AD Mauritius'!F54+'AD Rodrigues'!F54</f>
        <v>429672.75962743472</v>
      </c>
      <c r="G54" s="79">
        <f>'AD Mauritius'!G54+'AD Rodrigues'!G54</f>
        <v>0</v>
      </c>
      <c r="H54" s="80">
        <f>'AD Mauritius'!H54+'AD Rodrigues'!H54</f>
        <v>589.04</v>
      </c>
      <c r="J54" s="76">
        <f t="shared" si="8"/>
        <v>2009</v>
      </c>
      <c r="K54" s="81">
        <v>45</v>
      </c>
      <c r="L54" s="81">
        <v>25</v>
      </c>
      <c r="M54" s="81">
        <v>10</v>
      </c>
      <c r="N54" s="81">
        <v>0</v>
      </c>
      <c r="O54" s="81">
        <v>4</v>
      </c>
      <c r="P54" s="81">
        <v>0</v>
      </c>
      <c r="Q54" s="81">
        <v>16</v>
      </c>
      <c r="R54" s="81">
        <f t="shared" si="12"/>
        <v>100</v>
      </c>
      <c r="T54" s="76">
        <f t="shared" si="5"/>
        <v>2009</v>
      </c>
      <c r="U54" s="218">
        <f>'EE RoM'!B15</f>
        <v>19546.52</v>
      </c>
      <c r="V54" s="80">
        <f>'AD Mauritius'!U54+'AD Rodrigues'!U54</f>
        <v>2315.9960000000001</v>
      </c>
      <c r="W54" s="80">
        <f>'AD Mauritius'!V54+'AD Rodrigues'!V54</f>
        <v>2315.9960000000001</v>
      </c>
      <c r="X54" s="80">
        <f>'AD Mauritius'!W54+'AD Rodrigues'!W54</f>
        <v>0</v>
      </c>
    </row>
    <row r="55" spans="1:24" x14ac:dyDescent="0.35">
      <c r="A55" s="76">
        <f t="shared" si="6"/>
        <v>2010</v>
      </c>
      <c r="B55" s="77">
        <f>'AD Mauritius'!B55+'AD Rodrigues'!B55</f>
        <v>1250612</v>
      </c>
      <c r="C55" s="78">
        <f t="shared" si="11"/>
        <v>353.93562080352547</v>
      </c>
      <c r="D55" s="79">
        <f t="shared" si="7"/>
        <v>442636.13460433861</v>
      </c>
      <c r="E55" s="79">
        <f>'AD Mauritius'!E55+'AD Rodrigues'!E55</f>
        <v>10949</v>
      </c>
      <c r="F55" s="79">
        <f>'AD Mauritius'!F55+'AD Rodrigues'!F55</f>
        <v>442037.64460433862</v>
      </c>
      <c r="G55" s="79">
        <f>'AD Mauritius'!G55+'AD Rodrigues'!G55</f>
        <v>0</v>
      </c>
      <c r="H55" s="80">
        <f>'AD Mauritius'!H55+'AD Rodrigues'!H55</f>
        <v>598.49</v>
      </c>
      <c r="J55" s="76">
        <f t="shared" si="8"/>
        <v>2010</v>
      </c>
      <c r="K55" s="81">
        <v>45</v>
      </c>
      <c r="L55" s="81">
        <v>25</v>
      </c>
      <c r="M55" s="81">
        <v>10</v>
      </c>
      <c r="N55" s="81">
        <v>0</v>
      </c>
      <c r="O55" s="81">
        <v>4</v>
      </c>
      <c r="P55" s="81">
        <v>0</v>
      </c>
      <c r="Q55" s="81">
        <v>16</v>
      </c>
      <c r="R55" s="81">
        <f t="shared" si="12"/>
        <v>100</v>
      </c>
      <c r="T55" s="76">
        <f t="shared" si="5"/>
        <v>2010</v>
      </c>
      <c r="U55" s="218">
        <f>'EE RoM'!B16</f>
        <v>20999.73</v>
      </c>
      <c r="V55" s="80">
        <f>'AD Mauritius'!U55+'AD Rodrigues'!U55</f>
        <v>1905.567</v>
      </c>
      <c r="W55" s="80">
        <f>'AD Mauritius'!V55+'AD Rodrigues'!V55</f>
        <v>1905.567</v>
      </c>
      <c r="X55" s="80">
        <f>'AD Mauritius'!W55+'AD Rodrigues'!W55</f>
        <v>0</v>
      </c>
    </row>
    <row r="56" spans="1:24" x14ac:dyDescent="0.35">
      <c r="A56" s="76">
        <f t="shared" si="6"/>
        <v>2011</v>
      </c>
      <c r="B56" s="77">
        <f>'AD Mauritius'!B56+'AD Rodrigues'!B56</f>
        <v>1252633</v>
      </c>
      <c r="C56" s="78">
        <f t="shared" si="11"/>
        <v>346.82602704687412</v>
      </c>
      <c r="D56" s="79">
        <f t="shared" si="7"/>
        <v>434445.72673780704</v>
      </c>
      <c r="E56" s="79">
        <f>'AD Mauritius'!E56+'AD Rodrigues'!E56</f>
        <v>10402</v>
      </c>
      <c r="F56" s="79">
        <f>'AD Mauritius'!F56+'AD Rodrigues'!F56</f>
        <v>428645.98673780705</v>
      </c>
      <c r="G56" s="79">
        <f>'AD Mauritius'!G56+'AD Rodrigues'!G56</f>
        <v>5154</v>
      </c>
      <c r="H56" s="80">
        <f>'AD Mauritius'!H56+'AD Rodrigues'!H56</f>
        <v>645.74</v>
      </c>
      <c r="J56" s="76">
        <f t="shared" si="8"/>
        <v>2011</v>
      </c>
      <c r="K56" s="81">
        <v>45</v>
      </c>
      <c r="L56" s="81">
        <v>25</v>
      </c>
      <c r="M56" s="81">
        <v>10</v>
      </c>
      <c r="N56" s="81">
        <v>0</v>
      </c>
      <c r="O56" s="81">
        <v>4</v>
      </c>
      <c r="P56" s="81">
        <v>0</v>
      </c>
      <c r="Q56" s="81">
        <v>16</v>
      </c>
      <c r="R56" s="81">
        <f t="shared" si="12"/>
        <v>100</v>
      </c>
      <c r="T56" s="76">
        <f t="shared" si="5"/>
        <v>2011</v>
      </c>
      <c r="U56" s="218">
        <f>'EE RoM'!B17</f>
        <v>21386.799999999999</v>
      </c>
      <c r="V56" s="80">
        <f>'AD Mauritius'!U56+'AD Rodrigues'!U56</f>
        <v>2288.7280000000001</v>
      </c>
      <c r="W56" s="80">
        <f>'AD Mauritius'!V56+'AD Rodrigues'!V56</f>
        <v>64.39797923550833</v>
      </c>
      <c r="X56" s="80">
        <f>'AD Mauritius'!W56+'AD Rodrigues'!W56</f>
        <v>2224.3300207644916</v>
      </c>
    </row>
    <row r="57" spans="1:24" x14ac:dyDescent="0.35">
      <c r="A57" s="76">
        <f t="shared" si="6"/>
        <v>2012</v>
      </c>
      <c r="B57" s="77">
        <f>'AD Mauritius'!B57+'AD Rodrigues'!B57</f>
        <v>1256070</v>
      </c>
      <c r="C57" s="78">
        <f t="shared" si="11"/>
        <v>348.4454895402173</v>
      </c>
      <c r="D57" s="79">
        <f t="shared" si="7"/>
        <v>437671.92604678072</v>
      </c>
      <c r="E57" s="79">
        <f>'AD Mauritius'!E57+'AD Rodrigues'!E57</f>
        <v>7370</v>
      </c>
      <c r="F57" s="79">
        <f>'AD Mauritius'!F57+'AD Rodrigues'!F57</f>
        <v>402241.18604678073</v>
      </c>
      <c r="G57" s="79">
        <f>'AD Mauritius'!G57+'AD Rodrigues'!G57</f>
        <v>34785</v>
      </c>
      <c r="H57" s="80">
        <f>'AD Mauritius'!H57+'AD Rodrigues'!H57</f>
        <v>645.74</v>
      </c>
      <c r="J57" s="76">
        <f t="shared" si="8"/>
        <v>2012</v>
      </c>
      <c r="K57" s="81">
        <v>45</v>
      </c>
      <c r="L57" s="81">
        <v>25</v>
      </c>
      <c r="M57" s="81">
        <v>10</v>
      </c>
      <c r="N57" s="81">
        <v>0</v>
      </c>
      <c r="O57" s="81">
        <v>4</v>
      </c>
      <c r="P57" s="81">
        <v>0</v>
      </c>
      <c r="Q57" s="81">
        <v>16</v>
      </c>
      <c r="R57" s="81">
        <f t="shared" si="12"/>
        <v>100</v>
      </c>
      <c r="T57" s="76">
        <f t="shared" si="5"/>
        <v>2012</v>
      </c>
      <c r="U57" s="218">
        <f>'EE RoM'!B18</f>
        <v>21028.03</v>
      </c>
      <c r="V57" s="80">
        <f>'AD Mauritius'!U57+'AD Rodrigues'!U57</f>
        <v>2957.9960000000001</v>
      </c>
      <c r="W57" s="80">
        <f>'AD Mauritius'!V57+'AD Rodrigues'!V57</f>
        <v>166.45836900384552</v>
      </c>
      <c r="X57" s="80">
        <f>'AD Mauritius'!W57+'AD Rodrigues'!W57</f>
        <v>2791.5376309961548</v>
      </c>
    </row>
    <row r="58" spans="1:24" x14ac:dyDescent="0.35">
      <c r="A58" s="76">
        <f t="shared" si="6"/>
        <v>2013</v>
      </c>
      <c r="B58" s="77">
        <f>'AD Mauritius'!B58+'AD Rodrigues'!B58</f>
        <v>1258845</v>
      </c>
      <c r="C58" s="78">
        <f t="shared" si="11"/>
        <v>369.54295468566329</v>
      </c>
      <c r="D58" s="79">
        <f t="shared" si="7"/>
        <v>465197.30079127377</v>
      </c>
      <c r="E58" s="79">
        <f>'AD Mauritius'!E58+'AD Rodrigues'!E58</f>
        <v>6963</v>
      </c>
      <c r="F58" s="79">
        <f>'AD Mauritius'!F58+'AD Rodrigues'!F58</f>
        <v>445272.51079127379</v>
      </c>
      <c r="G58" s="79">
        <f>'AD Mauritius'!G58+'AD Rodrigues'!G58</f>
        <v>19257</v>
      </c>
      <c r="H58" s="80">
        <f>'AD Mauritius'!H58+'AD Rodrigues'!H58</f>
        <v>667.79</v>
      </c>
      <c r="J58" s="76">
        <f t="shared" si="8"/>
        <v>2013</v>
      </c>
      <c r="K58" s="81">
        <v>45</v>
      </c>
      <c r="L58" s="81">
        <v>25</v>
      </c>
      <c r="M58" s="81">
        <v>10</v>
      </c>
      <c r="N58" s="81">
        <v>0</v>
      </c>
      <c r="O58" s="81">
        <v>4</v>
      </c>
      <c r="P58" s="81">
        <v>0</v>
      </c>
      <c r="Q58" s="81">
        <v>16</v>
      </c>
      <c r="R58" s="81">
        <f t="shared" si="12"/>
        <v>100</v>
      </c>
      <c r="T58" s="76">
        <f t="shared" si="5"/>
        <v>2013</v>
      </c>
      <c r="U58" s="218">
        <f>'EE RoM'!B19</f>
        <v>19885.599999999999</v>
      </c>
      <c r="V58" s="80">
        <f>'AD Mauritius'!U58+'AD Rodrigues'!U58</f>
        <v>3944.6819999999998</v>
      </c>
      <c r="W58" s="80">
        <f>'AD Mauritius'!V58+'AD Rodrigues'!V58</f>
        <v>104.5286757602189</v>
      </c>
      <c r="X58" s="80">
        <f>'AD Mauritius'!W58+'AD Rodrigues'!W58</f>
        <v>3840.1533242397809</v>
      </c>
    </row>
    <row r="59" spans="1:24" x14ac:dyDescent="0.35">
      <c r="A59" s="76">
        <f t="shared" si="6"/>
        <v>2014</v>
      </c>
      <c r="B59" s="77">
        <f>'AD Mauritius'!B59+'AD Rodrigues'!B59</f>
        <v>1261053</v>
      </c>
      <c r="C59" s="78">
        <f t="shared" si="11"/>
        <v>376.6727454655059</v>
      </c>
      <c r="D59" s="79">
        <f t="shared" si="7"/>
        <v>475004.29568751255</v>
      </c>
      <c r="E59" s="79">
        <f>'AD Mauritius'!E59+'AD Rodrigues'!E59</f>
        <v>5191</v>
      </c>
      <c r="F59" s="79">
        <f>'AD Mauritius'!F59+'AD Rodrigues'!F59</f>
        <v>433218.40068751253</v>
      </c>
      <c r="G59" s="79">
        <f>'AD Mauritius'!G59+'AD Rodrigues'!G59</f>
        <v>41032</v>
      </c>
      <c r="H59" s="80">
        <f>'AD Mauritius'!H59+'AD Rodrigues'!H59</f>
        <v>753.89499999999998</v>
      </c>
      <c r="J59" s="76">
        <f t="shared" si="8"/>
        <v>2014</v>
      </c>
      <c r="K59" s="81">
        <v>27</v>
      </c>
      <c r="L59" s="81">
        <v>27</v>
      </c>
      <c r="M59" s="81">
        <v>14</v>
      </c>
      <c r="N59" s="81">
        <v>0</v>
      </c>
      <c r="O59" s="81">
        <v>6</v>
      </c>
      <c r="P59" s="81">
        <v>0</v>
      </c>
      <c r="Q59" s="81">
        <v>26</v>
      </c>
      <c r="R59" s="81">
        <f t="shared" si="12"/>
        <v>100</v>
      </c>
      <c r="T59" s="76">
        <f t="shared" si="5"/>
        <v>2014</v>
      </c>
      <c r="U59" s="218">
        <f>'EE RoM'!B20</f>
        <v>19917.8</v>
      </c>
      <c r="V59" s="80">
        <f>'AD Mauritius'!U59+'AD Rodrigues'!U59</f>
        <v>4222.4859999999999</v>
      </c>
      <c r="W59" s="80">
        <f>'AD Mauritius'!V59+'AD Rodrigues'!V59</f>
        <v>8.7352959503498404</v>
      </c>
      <c r="X59" s="80">
        <f>'AD Mauritius'!W59+'AD Rodrigues'!W59</f>
        <v>4213.7507040496503</v>
      </c>
    </row>
    <row r="60" spans="1:24" x14ac:dyDescent="0.35">
      <c r="A60" s="76">
        <f t="shared" si="6"/>
        <v>2015</v>
      </c>
      <c r="B60" s="77">
        <f>'AD Mauritius'!B60+'AD Rodrigues'!B60</f>
        <v>1262721</v>
      </c>
      <c r="C60" s="78">
        <f t="shared" si="11"/>
        <v>399.205186034147</v>
      </c>
      <c r="D60" s="79">
        <f t="shared" si="7"/>
        <v>504084.77171422413</v>
      </c>
      <c r="E60" s="79">
        <f>'AD Mauritius'!E60+'AD Rodrigues'!E60</f>
        <v>4692</v>
      </c>
      <c r="F60" s="79">
        <f>'AD Mauritius'!F60+'AD Rodrigues'!F60</f>
        <v>465265.77171422413</v>
      </c>
      <c r="G60" s="79">
        <f>'AD Mauritius'!G60+'AD Rodrigues'!G60</f>
        <v>37979</v>
      </c>
      <c r="H60" s="80">
        <f>'AD Mauritius'!H60+'AD Rodrigues'!H60</f>
        <v>840</v>
      </c>
      <c r="J60" s="76">
        <f t="shared" si="8"/>
        <v>2015</v>
      </c>
      <c r="K60" s="81">
        <v>27</v>
      </c>
      <c r="L60" s="81">
        <v>27</v>
      </c>
      <c r="M60" s="81">
        <v>14</v>
      </c>
      <c r="N60" s="81">
        <v>0</v>
      </c>
      <c r="O60" s="81">
        <v>6</v>
      </c>
      <c r="P60" s="81">
        <v>0</v>
      </c>
      <c r="Q60" s="81">
        <v>26</v>
      </c>
      <c r="R60" s="81">
        <f t="shared" si="12"/>
        <v>100</v>
      </c>
      <c r="T60" s="76">
        <f t="shared" si="5"/>
        <v>2015</v>
      </c>
      <c r="U60" s="218">
        <f>'EE RoM'!B21</f>
        <v>19219.28</v>
      </c>
      <c r="V60" s="80">
        <f>'AD Mauritius'!U60+'AD Rodrigues'!U60</f>
        <v>3972.6410000000001</v>
      </c>
      <c r="W60" s="80">
        <f>'AD Mauritius'!V60+'AD Rodrigues'!V60</f>
        <v>31.927846328318104</v>
      </c>
      <c r="X60" s="80">
        <f>'AD Mauritius'!W60+'AD Rodrigues'!W60</f>
        <v>3940.713153671682</v>
      </c>
    </row>
    <row r="61" spans="1:24" x14ac:dyDescent="0.35">
      <c r="A61" s="76">
        <f t="shared" si="6"/>
        <v>2016</v>
      </c>
      <c r="B61" s="77">
        <f>'AD Mauritius'!B61+'AD Rodrigues'!B61</f>
        <v>1263609</v>
      </c>
      <c r="C61" s="78">
        <f t="shared" si="11"/>
        <v>396.19900744820183</v>
      </c>
      <c r="D61" s="79">
        <f t="shared" si="7"/>
        <v>500640.63160261489</v>
      </c>
      <c r="E61" s="79">
        <f>'AD Mauritius'!E61+'AD Rodrigues'!E61</f>
        <v>4280</v>
      </c>
      <c r="F61" s="79">
        <f>'AD Mauritius'!F61+'AD Rodrigues'!F61</f>
        <v>461492.25311977399</v>
      </c>
      <c r="G61" s="79">
        <f>'AD Mauritius'!G61+'AD Rodrigues'!G61</f>
        <v>38308</v>
      </c>
      <c r="H61" s="80">
        <f>'AD Mauritius'!H61+'AD Rodrigues'!H61</f>
        <v>840.37848284088227</v>
      </c>
      <c r="J61" s="76">
        <f t="shared" si="8"/>
        <v>2016</v>
      </c>
      <c r="K61" s="81">
        <v>27</v>
      </c>
      <c r="L61" s="81">
        <v>27</v>
      </c>
      <c r="M61" s="81">
        <v>14</v>
      </c>
      <c r="N61" s="81">
        <v>0</v>
      </c>
      <c r="O61" s="81">
        <v>6</v>
      </c>
      <c r="P61" s="81">
        <v>0</v>
      </c>
      <c r="Q61" s="81">
        <v>26</v>
      </c>
      <c r="R61" s="81">
        <f t="shared" si="12"/>
        <v>100</v>
      </c>
      <c r="T61" s="76">
        <f t="shared" si="5"/>
        <v>2016</v>
      </c>
      <c r="U61" s="218">
        <f>'EE RoM'!B22</f>
        <v>19255.939999999999</v>
      </c>
      <c r="V61" s="80">
        <f>'AD Mauritius'!U61+'AD Rodrigues'!U61</f>
        <v>3625.8810000000003</v>
      </c>
      <c r="W61" s="80">
        <f>'AD Mauritius'!V61+'AD Rodrigues'!V61</f>
        <v>16.506270871017779</v>
      </c>
      <c r="X61" s="80">
        <f>'AD Mauritius'!W61+'AD Rodrigues'!W61</f>
        <v>3609.3747291289824</v>
      </c>
    </row>
    <row r="62" spans="1:24" x14ac:dyDescent="0.35">
      <c r="A62" s="86" t="s">
        <v>16</v>
      </c>
    </row>
    <row r="63" spans="1:24" x14ac:dyDescent="0.35">
      <c r="A63" s="86" t="s">
        <v>15</v>
      </c>
      <c r="B63" s="87"/>
      <c r="C63" s="87"/>
      <c r="D63" s="87"/>
      <c r="J63" s="87"/>
      <c r="K63" s="87"/>
    </row>
    <row r="66" spans="1:29" ht="46" x14ac:dyDescent="1">
      <c r="A66" s="220" t="s">
        <v>287</v>
      </c>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row>
    <row r="68" spans="1:29" ht="101.5" x14ac:dyDescent="0.35">
      <c r="A68" s="67" t="s">
        <v>0</v>
      </c>
      <c r="B68" s="68" t="s">
        <v>9</v>
      </c>
      <c r="C68" s="68" t="str">
        <f>'AD Mauritius'!C68</f>
        <v>Protein consumption
(kg/person/ year)</v>
      </c>
      <c r="D68" s="68" t="s">
        <v>395</v>
      </c>
      <c r="F68" s="67" t="s">
        <v>0</v>
      </c>
      <c r="G68" s="68" t="s">
        <v>339</v>
      </c>
      <c r="H68" s="68" t="s">
        <v>340</v>
      </c>
      <c r="I68" s="68" t="s">
        <v>347</v>
      </c>
      <c r="J68" s="68" t="s">
        <v>341</v>
      </c>
      <c r="K68" s="68" t="s">
        <v>342</v>
      </c>
      <c r="L68" s="68" t="s">
        <v>115</v>
      </c>
      <c r="M68" s="68" t="s">
        <v>118</v>
      </c>
      <c r="N68" s="68" t="s">
        <v>343</v>
      </c>
      <c r="O68" s="68" t="s">
        <v>323</v>
      </c>
      <c r="P68" s="68" t="s">
        <v>125</v>
      </c>
      <c r="Q68" s="68" t="s">
        <v>346</v>
      </c>
      <c r="R68" s="68" t="s">
        <v>348</v>
      </c>
      <c r="S68" s="68" t="s">
        <v>344</v>
      </c>
      <c r="T68" s="68" t="s">
        <v>328</v>
      </c>
      <c r="U68" s="68" t="s">
        <v>345</v>
      </c>
      <c r="W68" s="67" t="s">
        <v>0</v>
      </c>
      <c r="X68" s="68" t="s">
        <v>17</v>
      </c>
      <c r="Y68" s="68" t="s">
        <v>18</v>
      </c>
      <c r="Z68" s="68" t="s">
        <v>19</v>
      </c>
      <c r="AA68" s="68" t="s">
        <v>21</v>
      </c>
    </row>
    <row r="69" spans="1:29" x14ac:dyDescent="0.35">
      <c r="A69" s="88">
        <v>2000</v>
      </c>
      <c r="B69" s="80">
        <f>'AD Mauritius'!B45+'AD Rodrigues'!B45</f>
        <v>1193282</v>
      </c>
      <c r="C69" s="89">
        <f>'AD Mauritius'!C69</f>
        <v>28.674400000000002</v>
      </c>
      <c r="D69" s="79">
        <f>'AD Mauritius'!D69</f>
        <v>13.505000000000001</v>
      </c>
      <c r="F69" s="88">
        <v>2000</v>
      </c>
      <c r="G69" s="178">
        <f>((('AD Mauritius'!$B69)*('AD Mauritius'!G69))+(('AD Rodrigues'!$B69)*('AD Rodrigues'!I69)))/('AD Total'!$B69)</f>
        <v>0.10255145053725775</v>
      </c>
      <c r="H69" s="178"/>
      <c r="I69" s="178"/>
      <c r="J69" s="178">
        <f>((('AD Mauritius'!$B69)*('AD Mauritius'!J69))+(('AD Rodrigues'!$B69)*('AD Rodrigues'!L69)))/('AD Total'!$B69)</f>
        <v>19.867442778095686</v>
      </c>
      <c r="K69" s="178"/>
      <c r="L69" s="178">
        <f>((('AD Mauritius'!$B69)*('AD Mauritius'!L69))+(('AD Rodrigues'!$B69)*('AD Rodrigues'!N69)))/('AD Total'!$B69)</f>
        <v>64.534437308895093</v>
      </c>
      <c r="M69" s="178"/>
      <c r="N69" s="178"/>
      <c r="O69" s="178"/>
      <c r="P69" s="178">
        <f>((('AD Mauritius'!$B69)*('AD Mauritius'!P69))+(('AD Rodrigues'!$B69)*('AD Rodrigues'!R69)))/('AD Total'!$B69)</f>
        <v>3.5832774452110345</v>
      </c>
      <c r="Q69" s="178">
        <f>((('AD Mauritius'!$B69)*('AD Mauritius'!Q69))+(('AD Rodrigues'!$B69)*('AD Rodrigues'!S69)))/('AD Total'!$B69)</f>
        <v>11.912291017260912</v>
      </c>
      <c r="R69" s="178"/>
      <c r="S69" s="178"/>
      <c r="T69" s="178"/>
      <c r="U69" s="81">
        <f>SUM(G69:T69)</f>
        <v>99.999999999999986</v>
      </c>
      <c r="V69" s="189"/>
      <c r="W69" s="74">
        <f t="shared" ref="W69:W85" si="13">A69</f>
        <v>2000</v>
      </c>
      <c r="X69" s="179">
        <f>'AD Mauritius'!X69+'AD Rodrigues'!Z69</f>
        <v>5281.3624576564507</v>
      </c>
      <c r="Y69" s="179">
        <f>'AD Mauritius'!Y69+'AD Rodrigues'!AA69</f>
        <v>0</v>
      </c>
      <c r="Z69" s="179">
        <f>'AD Mauritius'!Z69+'AD Rodrigues'!AB69</f>
        <v>0</v>
      </c>
      <c r="AA69" s="179">
        <f>'AD Mauritius'!AA69+'AD Rodrigues'!AC69</f>
        <v>0</v>
      </c>
    </row>
    <row r="70" spans="1:29" x14ac:dyDescent="0.35">
      <c r="A70" s="88">
        <f t="shared" ref="A70:A85" si="14">A69+1</f>
        <v>2001</v>
      </c>
      <c r="B70" s="80">
        <f>'AD Mauritius'!B46+'AD Rodrigues'!B46</f>
        <v>1196497</v>
      </c>
      <c r="C70" s="89">
        <f>'AD Mauritius'!C70</f>
        <v>29.148900000000001</v>
      </c>
      <c r="D70" s="79">
        <f>'AD Mauritius'!D70</f>
        <v>13.505000000000001</v>
      </c>
      <c r="E70" s="177"/>
      <c r="F70" s="88">
        <f t="shared" ref="F70:F85" si="15">F69+1</f>
        <v>2001</v>
      </c>
      <c r="G70" s="178">
        <f>((('AD Mauritius'!$B70)*('AD Mauritius'!G70))+(('AD Rodrigues'!$B70)*('AD Rodrigues'!I70)))/('AD Total'!$B70)</f>
        <v>0.10347506094875289</v>
      </c>
      <c r="H70" s="178"/>
      <c r="I70" s="178"/>
      <c r="J70" s="178">
        <f>((('AD Mauritius'!$B70)*('AD Mauritius'!J70))+(('AD Rodrigues'!$B70)*('AD Rodrigues'!L70)))/('AD Total'!$B70)</f>
        <v>19.861877937060449</v>
      </c>
      <c r="K70" s="178"/>
      <c r="L70" s="178">
        <f>((('AD Mauritius'!$B70)*('AD Mauritius'!L70))+(('AD Rodrigues'!$B70)*('AD Rodrigues'!N70)))/('AD Total'!$B70)</f>
        <v>64.528576405271195</v>
      </c>
      <c r="M70" s="178"/>
      <c r="N70" s="178"/>
      <c r="O70" s="178"/>
      <c r="P70" s="178">
        <f>((('AD Mauritius'!$B70)*('AD Mauritius'!P70))+(('AD Rodrigues'!$B70)*('AD Rodrigues'!R70)))/('AD Total'!$B70)</f>
        <v>3.5841756434069887</v>
      </c>
      <c r="Q70" s="178">
        <f>((('AD Mauritius'!$B70)*('AD Mauritius'!Q70))+(('AD Rodrigues'!$B70)*('AD Rodrigues'!S70)))/('AD Total'!$B70)</f>
        <v>11.9218949533126</v>
      </c>
      <c r="R70" s="178"/>
      <c r="S70" s="178"/>
      <c r="T70" s="178"/>
      <c r="U70" s="81">
        <f t="shared" ref="U70:U85" si="16">SUM(G70:T70)</f>
        <v>99.999999999999986</v>
      </c>
      <c r="V70" s="189"/>
      <c r="W70" s="74">
        <f t="shared" si="13"/>
        <v>2001</v>
      </c>
      <c r="X70" s="179">
        <f>'AD Mauritius'!X70+'AD Rodrigues'!Z70</f>
        <v>5295.2827945094377</v>
      </c>
      <c r="Y70" s="179">
        <f>'AD Mauritius'!Y70+'AD Rodrigues'!AA70</f>
        <v>0</v>
      </c>
      <c r="Z70" s="179">
        <f>'AD Mauritius'!Z70+'AD Rodrigues'!AB70</f>
        <v>0</v>
      </c>
      <c r="AA70" s="179">
        <f>'AD Mauritius'!AA70+'AD Rodrigues'!AC70</f>
        <v>0</v>
      </c>
    </row>
    <row r="71" spans="1:29" x14ac:dyDescent="0.35">
      <c r="A71" s="88">
        <f t="shared" si="14"/>
        <v>2002</v>
      </c>
      <c r="B71" s="80">
        <f>'AD Mauritius'!B47+'AD Rodrigues'!B47</f>
        <v>1204832</v>
      </c>
      <c r="C71" s="89">
        <f>'AD Mauritius'!C71</f>
        <v>29.915399999999998</v>
      </c>
      <c r="D71" s="79">
        <f>'AD Mauritius'!D71</f>
        <v>13.505000000000001</v>
      </c>
      <c r="E71" s="177"/>
      <c r="F71" s="88">
        <f t="shared" si="15"/>
        <v>2002</v>
      </c>
      <c r="G71" s="178">
        <f>((('AD Mauritius'!$B71)*('AD Mauritius'!G71))+(('AD Rodrigues'!$B71)*('AD Rodrigues'!I71)))/('AD Total'!$B71)</f>
        <v>0.10395291625720432</v>
      </c>
      <c r="H71" s="178"/>
      <c r="I71" s="178"/>
      <c r="J71" s="178">
        <f>((('AD Mauritius'!$B71)*('AD Mauritius'!J71))+(('AD Rodrigues'!$B71)*('AD Rodrigues'!L71)))/('AD Total'!$B71)</f>
        <v>19.858998813139497</v>
      </c>
      <c r="K71" s="178"/>
      <c r="L71" s="178">
        <f>((('AD Mauritius'!$B71)*('AD Mauritius'!L71))+(('AD Rodrigues'!$B71)*('AD Rodrigues'!N71)))/('AD Total'!$B71)</f>
        <v>64.525544105208141</v>
      </c>
      <c r="M71" s="178"/>
      <c r="N71" s="178"/>
      <c r="O71" s="178"/>
      <c r="P71" s="178">
        <f>((('AD Mauritius'!$B71)*('AD Mauritius'!P71))+(('AD Rodrigues'!$B71)*('AD Rodrigues'!R71)))/('AD Total'!$B71)</f>
        <v>3.584640351005167</v>
      </c>
      <c r="Q71" s="178">
        <f>((('AD Mauritius'!$B71)*('AD Mauritius'!Q71))+(('AD Rodrigues'!$B71)*('AD Rodrigues'!S71)))/('AD Total'!$B71)</f>
        <v>11.926863814389964</v>
      </c>
      <c r="R71" s="178"/>
      <c r="S71" s="178"/>
      <c r="T71" s="178"/>
      <c r="U71" s="81">
        <f t="shared" si="16"/>
        <v>99.999999999999957</v>
      </c>
      <c r="V71" s="189"/>
      <c r="W71" s="74">
        <f t="shared" si="13"/>
        <v>2002</v>
      </c>
      <c r="X71" s="179">
        <f>'AD Mauritius'!X71+'AD Rodrigues'!Z71</f>
        <v>5332.009658277314</v>
      </c>
      <c r="Y71" s="179">
        <f>'AD Mauritius'!Y71+'AD Rodrigues'!AA71</f>
        <v>0</v>
      </c>
      <c r="Z71" s="179">
        <f>'AD Mauritius'!Z71+'AD Rodrigues'!AB71</f>
        <v>0</v>
      </c>
      <c r="AA71" s="179">
        <f>'AD Mauritius'!AA71+'AD Rodrigues'!AC71</f>
        <v>0</v>
      </c>
    </row>
    <row r="72" spans="1:29" x14ac:dyDescent="0.35">
      <c r="A72" s="88">
        <f t="shared" si="14"/>
        <v>2003</v>
      </c>
      <c r="B72" s="80">
        <f>'AD Mauritius'!B48+'AD Rodrigues'!B48</f>
        <v>1213581</v>
      </c>
      <c r="C72" s="89">
        <f>'AD Mauritius'!C72</f>
        <v>30.327850000000002</v>
      </c>
      <c r="D72" s="79">
        <f>'AD Mauritius'!D72</f>
        <v>13.505000000000001</v>
      </c>
      <c r="E72" s="177"/>
      <c r="F72" s="88">
        <f t="shared" si="15"/>
        <v>2003</v>
      </c>
      <c r="G72" s="178">
        <f>((('AD Mauritius'!$B72)*('AD Mauritius'!G72))+(('AD Rodrigues'!$B72)*('AD Rodrigues'!I72)))/('AD Total'!$B72)</f>
        <v>0.10438297896885333</v>
      </c>
      <c r="H72" s="178"/>
      <c r="I72" s="178"/>
      <c r="J72" s="178">
        <f>((('AD Mauritius'!$B72)*('AD Mauritius'!J72))+(('AD Rodrigues'!$B72)*('AD Rodrigues'!L72)))/('AD Total'!$B72)</f>
        <v>19.856407644183708</v>
      </c>
      <c r="K72" s="178"/>
      <c r="L72" s="178">
        <f>((('AD Mauritius'!$B72)*('AD Mauritius'!L72))+(('AD Rodrigues'!$B72)*('AD Rodrigues'!N72)))/('AD Total'!$B72)</f>
        <v>64.522815079989471</v>
      </c>
      <c r="M72" s="178"/>
      <c r="N72" s="178"/>
      <c r="O72" s="178"/>
      <c r="P72" s="178">
        <f>((('AD Mauritius'!$B72)*('AD Mauritius'!P72))+(('AD Rodrigues'!$B72)*('AD Rodrigues'!R72)))/('AD Total'!$B72)</f>
        <v>3.5850585809719826</v>
      </c>
      <c r="Q72" s="178">
        <f>((('AD Mauritius'!$B72)*('AD Mauritius'!Q72))+(('AD Rodrigues'!$B72)*('AD Rodrigues'!S72)))/('AD Total'!$B72)</f>
        <v>11.931335715885972</v>
      </c>
      <c r="R72" s="178"/>
      <c r="S72" s="178"/>
      <c r="T72" s="178"/>
      <c r="U72" s="81">
        <f t="shared" si="16"/>
        <v>100</v>
      </c>
      <c r="V72" s="189"/>
      <c r="W72" s="74">
        <f t="shared" si="13"/>
        <v>2003</v>
      </c>
      <c r="X72" s="179">
        <f>'AD Mauritius'!X72+'AD Rodrigues'!Z72</f>
        <v>5370.5826216331125</v>
      </c>
      <c r="Y72" s="179">
        <f>'AD Mauritius'!Y72+'AD Rodrigues'!AA72</f>
        <v>0</v>
      </c>
      <c r="Z72" s="179">
        <f>'AD Mauritius'!Z72+'AD Rodrigues'!AB72</f>
        <v>0</v>
      </c>
      <c r="AA72" s="179">
        <f>'AD Mauritius'!AA72+'AD Rodrigues'!AC72</f>
        <v>0</v>
      </c>
    </row>
    <row r="73" spans="1:29" x14ac:dyDescent="0.35">
      <c r="A73" s="88">
        <f t="shared" si="14"/>
        <v>2004</v>
      </c>
      <c r="B73" s="80">
        <f>'AD Mauritius'!B49+'AD Rodrigues'!B49</f>
        <v>1221214</v>
      </c>
      <c r="C73" s="89">
        <f>'AD Mauritius'!C73</f>
        <v>31.149100000000001</v>
      </c>
      <c r="D73" s="79">
        <f>'AD Mauritius'!D73</f>
        <v>13.505000000000001</v>
      </c>
      <c r="E73" s="177"/>
      <c r="F73" s="88">
        <f t="shared" si="15"/>
        <v>2004</v>
      </c>
      <c r="G73" s="178">
        <f>((('AD Mauritius'!$B73)*('AD Mauritius'!G73))+(('AD Rodrigues'!$B73)*('AD Rodrigues'!I73)))/('AD Total'!$B73)</f>
        <v>0.10490823066227541</v>
      </c>
      <c r="H73" s="178"/>
      <c r="I73" s="178"/>
      <c r="J73" s="178">
        <f>((('AD Mauritius'!$B73)*('AD Mauritius'!J73))+(('AD Rodrigues'!$B73)*('AD Rodrigues'!L73)))/('AD Total'!$B73)</f>
        <v>19.853242952511764</v>
      </c>
      <c r="K73" s="178"/>
      <c r="L73" s="178">
        <f>((('AD Mauritius'!$B73)*('AD Mauritius'!L73))+(('AD Rodrigues'!$B73)*('AD Rodrigues'!N73)))/('AD Total'!$B73)</f>
        <v>64.51948201930162</v>
      </c>
      <c r="M73" s="178"/>
      <c r="N73" s="178"/>
      <c r="O73" s="178"/>
      <c r="P73" s="178">
        <f>((('AD Mauritius'!$B73)*('AD Mauritius'!P73))+(('AD Rodrigues'!$B73)*('AD Rodrigues'!R73)))/('AD Total'!$B73)</f>
        <v>3.5855693808910631</v>
      </c>
      <c r="Q73" s="178">
        <f>((('AD Mauritius'!$B73)*('AD Mauritius'!Q73))+(('AD Rodrigues'!$B73)*('AD Rodrigues'!S73)))/('AD Total'!$B73)</f>
        <v>11.93679741663326</v>
      </c>
      <c r="R73" s="178"/>
      <c r="S73" s="178"/>
      <c r="T73" s="178"/>
      <c r="U73" s="81">
        <f t="shared" si="16"/>
        <v>99.999999999999972</v>
      </c>
      <c r="V73" s="189"/>
      <c r="W73" s="74">
        <f t="shared" si="13"/>
        <v>2004</v>
      </c>
      <c r="X73" s="179">
        <f>'AD Mauritius'!X73+'AD Rodrigues'!Z73</f>
        <v>5404.182366412886</v>
      </c>
      <c r="Y73" s="179">
        <f>'AD Mauritius'!Y73+'AD Rodrigues'!AA73</f>
        <v>0</v>
      </c>
      <c r="Z73" s="179">
        <f>'AD Mauritius'!Z73+'AD Rodrigues'!AB73</f>
        <v>0</v>
      </c>
      <c r="AA73" s="179">
        <f>'AD Mauritius'!AA73+'AD Rodrigues'!AC73</f>
        <v>0</v>
      </c>
    </row>
    <row r="74" spans="1:29" x14ac:dyDescent="0.35">
      <c r="A74" s="88">
        <f t="shared" si="14"/>
        <v>2005</v>
      </c>
      <c r="B74" s="80">
        <f>'AD Mauritius'!B50+'AD Rodrigues'!B50</f>
        <v>1228467</v>
      </c>
      <c r="C74" s="89">
        <f>'AD Mauritius'!C74</f>
        <v>30.649049999999999</v>
      </c>
      <c r="D74" s="79">
        <f>'AD Mauritius'!D74</f>
        <v>13.505000000000001</v>
      </c>
      <c r="E74" s="177"/>
      <c r="F74" s="88">
        <f t="shared" si="15"/>
        <v>2005</v>
      </c>
      <c r="G74" s="178">
        <f>((('AD Mauritius'!$B74)*('AD Mauritius'!G74))+(('AD Rodrigues'!$B74)*('AD Rodrigues'!I74)))/('AD Total'!$B74)</f>
        <v>0.10546510406872955</v>
      </c>
      <c r="H74" s="178"/>
      <c r="I74" s="178"/>
      <c r="J74" s="178">
        <f>((('AD Mauritius'!$B74)*('AD Mauritius'!J74))+(('AD Rodrigues'!$B74)*('AD Rodrigues'!L74)))/('AD Total'!$B74)</f>
        <v>19.849887736995459</v>
      </c>
      <c r="K74" s="178"/>
      <c r="L74" s="178">
        <f>((('AD Mauritius'!$B74)*('AD Mauritius'!L74))+(('AD Rodrigues'!$B74)*('AD Rodrigues'!N74)))/('AD Total'!$B74)</f>
        <v>64.515948298454262</v>
      </c>
      <c r="M74" s="178"/>
      <c r="N74" s="178"/>
      <c r="O74" s="178"/>
      <c r="P74" s="178">
        <f>((('AD Mauritius'!$B74)*('AD Mauritius'!P74))+(('AD Rodrigues'!$B74)*('AD Rodrigues'!R74)))/('AD Total'!$B74)</f>
        <v>3.5861109324834084</v>
      </c>
      <c r="Q74" s="178">
        <f>((('AD Mauritius'!$B74)*('AD Mauritius'!Q74))+(('AD Rodrigues'!$B74)*('AD Rodrigues'!S74)))/('AD Total'!$B74)</f>
        <v>11.942587927998128</v>
      </c>
      <c r="R74" s="178"/>
      <c r="S74" s="178"/>
      <c r="T74" s="178"/>
      <c r="U74" s="81">
        <f t="shared" si="16"/>
        <v>100</v>
      </c>
      <c r="V74" s="189"/>
      <c r="W74" s="74">
        <f t="shared" si="13"/>
        <v>2005</v>
      </c>
      <c r="X74" s="179">
        <f>'AD Mauritius'!X74+'AD Rodrigues'!Z74</f>
        <v>5436.0874675101431</v>
      </c>
      <c r="Y74" s="179">
        <f>'AD Mauritius'!Y74+'AD Rodrigues'!AA74</f>
        <v>0</v>
      </c>
      <c r="Z74" s="179">
        <f>'AD Mauritius'!Z74+'AD Rodrigues'!AB74</f>
        <v>0</v>
      </c>
      <c r="AA74" s="179">
        <f>'AD Mauritius'!AA74+'AD Rodrigues'!AC74</f>
        <v>0</v>
      </c>
    </row>
    <row r="75" spans="1:29" x14ac:dyDescent="0.35">
      <c r="A75" s="88">
        <f t="shared" si="14"/>
        <v>2006</v>
      </c>
      <c r="B75" s="80">
        <f>'AD Mauritius'!B51+'AD Rodrigues'!B51</f>
        <v>1234207</v>
      </c>
      <c r="C75" s="89">
        <f>'AD Mauritius'!C75</f>
        <v>30.3461</v>
      </c>
      <c r="D75" s="79">
        <f>'AD Mauritius'!D75</f>
        <v>13.505000000000001</v>
      </c>
      <c r="E75" s="177"/>
      <c r="F75" s="88">
        <f t="shared" si="15"/>
        <v>2006</v>
      </c>
      <c r="G75" s="178">
        <f>((('AD Mauritius'!$B75)*('AD Mauritius'!G75))+(('AD Rodrigues'!$B75)*('AD Rodrigues'!I75)))/('AD Total'!$B75)</f>
        <v>0.106145403485801</v>
      </c>
      <c r="H75" s="178"/>
      <c r="I75" s="178"/>
      <c r="J75" s="178">
        <f>((('AD Mauritius'!$B75)*('AD Mauritius'!J75))+(('AD Rodrigues'!$B75)*('AD Rodrigues'!L75)))/('AD Total'!$B75)</f>
        <v>19.84578886796448</v>
      </c>
      <c r="K75" s="178"/>
      <c r="L75" s="178">
        <f>((('AD Mauritius'!$B75)*('AD Mauritius'!L75))+(('AD Rodrigues'!$B75)*('AD Rodrigues'!N75)))/('AD Total'!$B75)</f>
        <v>64.511631359981905</v>
      </c>
      <c r="M75" s="178"/>
      <c r="N75" s="178"/>
      <c r="O75" s="178"/>
      <c r="P75" s="178">
        <f>((('AD Mauritius'!$B75)*('AD Mauritius'!P75))+(('AD Rodrigues'!$B75)*('AD Rodrigues'!R75)))/('AD Total'!$B75)</f>
        <v>3.5867725141432913</v>
      </c>
      <c r="Q75" s="178">
        <f>((('AD Mauritius'!$B75)*('AD Mauritius'!Q75))+(('AD Rodrigues'!$B75)*('AD Rodrigues'!S75)))/('AD Total'!$B75)</f>
        <v>11.949661854424509</v>
      </c>
      <c r="R75" s="178"/>
      <c r="S75" s="178"/>
      <c r="T75" s="178"/>
      <c r="U75" s="81">
        <f t="shared" si="16"/>
        <v>99.999999999999986</v>
      </c>
      <c r="V75" s="189"/>
      <c r="W75" s="74">
        <f t="shared" si="13"/>
        <v>2006</v>
      </c>
      <c r="X75" s="179">
        <f>'AD Mauritius'!X75+'AD Rodrigues'!Z75</f>
        <v>5461.2527808168061</v>
      </c>
      <c r="Y75" s="179">
        <f>'AD Mauritius'!Y75+'AD Rodrigues'!AA75</f>
        <v>354.37200000000001</v>
      </c>
      <c r="Z75" s="179">
        <f>'AD Mauritius'!Z75+'AD Rodrigues'!AB75</f>
        <v>354.37200000000001</v>
      </c>
      <c r="AA75" s="179">
        <f>'AD Mauritius'!AA75+'AD Rodrigues'!AC75</f>
        <v>0</v>
      </c>
      <c r="AB75" s="181"/>
      <c r="AC75" s="182"/>
    </row>
    <row r="76" spans="1:29" x14ac:dyDescent="0.35">
      <c r="A76" s="88">
        <f t="shared" si="14"/>
        <v>2007</v>
      </c>
      <c r="B76" s="80">
        <f>'AD Mauritius'!B52+'AD Rodrigues'!B52</f>
        <v>1239841</v>
      </c>
      <c r="C76" s="89">
        <f>'AD Mauritius'!C76</f>
        <v>31.649149999999999</v>
      </c>
      <c r="D76" s="79">
        <f>'AD Mauritius'!D76</f>
        <v>13.505000000000001</v>
      </c>
      <c r="E76" s="177"/>
      <c r="F76" s="88">
        <f t="shared" si="15"/>
        <v>2007</v>
      </c>
      <c r="G76" s="178">
        <f>((('AD Mauritius'!$B76)*('AD Mauritius'!G76))+(('AD Rodrigues'!$B76)*('AD Rodrigues'!I76)))/('AD Total'!$B76)</f>
        <v>0.10682305231073985</v>
      </c>
      <c r="H76" s="178"/>
      <c r="I76" s="178"/>
      <c r="J76" s="178">
        <f>((('AD Mauritius'!$B76)*('AD Mauritius'!J76))+(('AD Rodrigues'!$B76)*('AD Rodrigues'!L76)))/('AD Total'!$B76)</f>
        <v>20.093340411681595</v>
      </c>
      <c r="K76" s="178"/>
      <c r="L76" s="178">
        <f>((('AD Mauritius'!$B76)*('AD Mauritius'!L76))+(('AD Rodrigues'!$B76)*('AD Rodrigues'!N76)))/('AD Total'!$B76)</f>
        <v>64.304329501194445</v>
      </c>
      <c r="M76" s="178"/>
      <c r="N76" s="178"/>
      <c r="O76" s="178"/>
      <c r="P76" s="178">
        <f>((('AD Mauritius'!$B76)*('AD Mauritius'!P76))+(('AD Rodrigues'!$B76)*('AD Rodrigues'!R76)))/('AD Total'!$B76)</f>
        <v>3.5756090053732952</v>
      </c>
      <c r="Q76" s="178">
        <f>((('AD Mauritius'!$B76)*('AD Mauritius'!Q76))+(('AD Rodrigues'!$B76)*('AD Rodrigues'!S76)))/('AD Total'!$B76)</f>
        <v>11.919898029439929</v>
      </c>
      <c r="R76" s="178"/>
      <c r="S76" s="178"/>
      <c r="T76" s="178"/>
      <c r="U76" s="81">
        <f t="shared" si="16"/>
        <v>100.00000000000001</v>
      </c>
      <c r="V76" s="189"/>
      <c r="W76" s="74">
        <f t="shared" si="13"/>
        <v>2007</v>
      </c>
      <c r="X76" s="179">
        <f>'AD Mauritius'!X76+'AD Rodrigues'!Z76</f>
        <v>5468.6685830849237</v>
      </c>
      <c r="Y76" s="179">
        <f>'AD Mauritius'!Y76+'AD Rodrigues'!AA76</f>
        <v>354.37200000000001</v>
      </c>
      <c r="Z76" s="179">
        <f>'AD Mauritius'!Z76+'AD Rodrigues'!AB76</f>
        <v>354.37200000000001</v>
      </c>
      <c r="AA76" s="179">
        <f>'AD Mauritius'!AA76+'AD Rodrigues'!AC76</f>
        <v>0</v>
      </c>
      <c r="AB76" s="181"/>
      <c r="AC76" s="182"/>
    </row>
    <row r="77" spans="1:29" x14ac:dyDescent="0.35">
      <c r="A77" s="88">
        <f t="shared" si="14"/>
        <v>2008</v>
      </c>
      <c r="B77" s="80">
        <f>'AD Mauritius'!B53+'AD Rodrigues'!B53</f>
        <v>1244331</v>
      </c>
      <c r="C77" s="89">
        <f>'AD Mauritius'!C77</f>
        <v>30.857100000000003</v>
      </c>
      <c r="D77" s="79">
        <f>'AD Mauritius'!D77</f>
        <v>13.505000000000001</v>
      </c>
      <c r="E77" s="177"/>
      <c r="F77" s="88">
        <f t="shared" si="15"/>
        <v>2008</v>
      </c>
      <c r="G77" s="178">
        <f>((('AD Mauritius'!$B77)*('AD Mauritius'!G77))+(('AD Rodrigues'!$B77)*('AD Rodrigues'!I77)))/('AD Total'!$B77)</f>
        <v>0.10759066518474586</v>
      </c>
      <c r="H77" s="178"/>
      <c r="I77" s="178"/>
      <c r="J77" s="178">
        <f>((('AD Mauritius'!$B77)*('AD Mauritius'!J77))+(('AD Rodrigues'!$B77)*('AD Rodrigues'!L77)))/('AD Total'!$B77)</f>
        <v>20.34753985686487</v>
      </c>
      <c r="K77" s="178"/>
      <c r="L77" s="178">
        <f>((('AD Mauritius'!$B77)*('AD Mauritius'!L77))+(('AD Rodrigues'!$B77)*('AD Rodrigues'!N77)))/('AD Total'!$B77)</f>
        <v>64.084074341994253</v>
      </c>
      <c r="M77" s="178"/>
      <c r="N77" s="178"/>
      <c r="O77" s="178"/>
      <c r="P77" s="178">
        <f>((('AD Mauritius'!$B77)*('AD Mauritius'!P77))+(('AD Rodrigues'!$B77)*('AD Rodrigues'!R77)))/('AD Total'!$B77)</f>
        <v>3.565782945333229</v>
      </c>
      <c r="Q77" s="178">
        <f>((('AD Mauritius'!$B77)*('AD Mauritius'!Q77))+(('AD Rodrigues'!$B77)*('AD Rodrigues'!S77)))/('AD Total'!$B77)</f>
        <v>11.89501219062292</v>
      </c>
      <c r="R77" s="178"/>
      <c r="S77" s="178"/>
      <c r="T77" s="178"/>
      <c r="U77" s="81">
        <f t="shared" si="16"/>
        <v>100.00000000000001</v>
      </c>
      <c r="V77" s="189"/>
      <c r="W77" s="74">
        <f t="shared" si="13"/>
        <v>2008</v>
      </c>
      <c r="X77" s="179">
        <f>'AD Mauritius'!X77+'AD Rodrigues'!Z77</f>
        <v>5469.9681091946986</v>
      </c>
      <c r="Y77" s="179">
        <f>'AD Mauritius'!Y77+'AD Rodrigues'!AA77</f>
        <v>354.37200000000001</v>
      </c>
      <c r="Z77" s="179">
        <f>'AD Mauritius'!Z77+'AD Rodrigues'!AB77</f>
        <v>354.37200000000001</v>
      </c>
      <c r="AA77" s="179">
        <f>'AD Mauritius'!AA77+'AD Rodrigues'!AC77</f>
        <v>0</v>
      </c>
      <c r="AB77" s="181"/>
      <c r="AC77" s="182"/>
    </row>
    <row r="78" spans="1:29" x14ac:dyDescent="0.35">
      <c r="A78" s="88">
        <f t="shared" si="14"/>
        <v>2009</v>
      </c>
      <c r="B78" s="80">
        <f>'AD Mauritius'!B54+'AD Rodrigues'!B54</f>
        <v>1247640</v>
      </c>
      <c r="C78" s="89">
        <f>'AD Mauritius'!C78</f>
        <v>32.747799999999998</v>
      </c>
      <c r="D78" s="79">
        <f>'AD Mauritius'!D78</f>
        <v>13.505000000000001</v>
      </c>
      <c r="E78" s="177"/>
      <c r="F78" s="88">
        <f t="shared" si="15"/>
        <v>2009</v>
      </c>
      <c r="G78" s="178">
        <f>((('AD Mauritius'!$B78)*('AD Mauritius'!G78))+(('AD Rodrigues'!$B78)*('AD Rodrigues'!I78)))/('AD Total'!$B78)</f>
        <v>0.10845532365105318</v>
      </c>
      <c r="H78" s="178"/>
      <c r="I78" s="178"/>
      <c r="J78" s="178">
        <f>((('AD Mauritius'!$B78)*('AD Mauritius'!J78))+(('AD Rodrigues'!$B78)*('AD Rodrigues'!L78)))/('AD Total'!$B78)</f>
        <v>20.597625799300349</v>
      </c>
      <c r="K78" s="178"/>
      <c r="L78" s="178">
        <f>((('AD Mauritius'!$B78)*('AD Mauritius'!L78))+(('AD Rodrigues'!$B78)*('AD Rodrigues'!N78)))/('AD Total'!$B78)</f>
        <v>63.86922108748832</v>
      </c>
      <c r="M78" s="178"/>
      <c r="N78" s="178"/>
      <c r="O78" s="178"/>
      <c r="P78" s="178">
        <f>((('AD Mauritius'!$B78)*('AD Mauritius'!P78))+(('AD Rodrigues'!$B78)*('AD Rodrigues'!R78)))/('AD Total'!$B78)</f>
        <v>3.5554905631355385</v>
      </c>
      <c r="Q78" s="178">
        <f>((('AD Mauritius'!$B78)*('AD Mauritius'!Q78))+(('AD Rodrigues'!$B78)*('AD Rodrigues'!S78)))/('AD Total'!$B78)</f>
        <v>11.869207226424749</v>
      </c>
      <c r="R78" s="178"/>
      <c r="S78" s="178"/>
      <c r="T78" s="178"/>
      <c r="U78" s="81">
        <f t="shared" si="16"/>
        <v>100.00000000000001</v>
      </c>
      <c r="V78" s="189"/>
      <c r="W78" s="74">
        <f t="shared" si="13"/>
        <v>2009</v>
      </c>
      <c r="X78" s="179">
        <f>'AD Mauritius'!X78+'AD Rodrigues'!Z78</f>
        <v>5466.3650902333566</v>
      </c>
      <c r="Y78" s="179">
        <f>'AD Mauritius'!Y78+'AD Rodrigues'!AA78</f>
        <v>354.37200000000001</v>
      </c>
      <c r="Z78" s="179">
        <f>'AD Mauritius'!Z78+'AD Rodrigues'!AB78</f>
        <v>354.37200000000001</v>
      </c>
      <c r="AA78" s="179">
        <f>'AD Mauritius'!AA78+'AD Rodrigues'!AC78</f>
        <v>0</v>
      </c>
      <c r="AB78" s="181"/>
      <c r="AC78" s="182"/>
    </row>
    <row r="79" spans="1:29" x14ac:dyDescent="0.35">
      <c r="A79" s="88">
        <f t="shared" si="14"/>
        <v>2010</v>
      </c>
      <c r="B79" s="80">
        <f>'AD Mauritius'!B55+'AD Rodrigues'!B55</f>
        <v>1250612</v>
      </c>
      <c r="C79" s="89">
        <f>'AD Mauritius'!C79</f>
        <v>32.871900000000004</v>
      </c>
      <c r="D79" s="79">
        <f>'AD Mauritius'!D79</f>
        <v>13.505000000000001</v>
      </c>
      <c r="E79" s="177"/>
      <c r="F79" s="88">
        <f t="shared" si="15"/>
        <v>2010</v>
      </c>
      <c r="G79" s="178">
        <f>((('AD Mauritius'!$B79)*('AD Mauritius'!G79))+(('AD Rodrigues'!$B79)*('AD Rodrigues'!I79)))/('AD Total'!$B79)</f>
        <v>0.10934758342315602</v>
      </c>
      <c r="H79" s="178"/>
      <c r="I79" s="178"/>
      <c r="J79" s="178">
        <f>((('AD Mauritius'!$B79)*('AD Mauritius'!J79))+(('AD Rodrigues'!$B79)*('AD Rodrigues'!L79)))/('AD Total'!$B79)</f>
        <v>20.683207852050995</v>
      </c>
      <c r="K79" s="178"/>
      <c r="L79" s="178">
        <f>((('AD Mauritius'!$B79)*('AD Mauritius'!L79))+(('AD Rodrigues'!$B79)*('AD Rodrigues'!N79)))/('AD Total'!$B79)</f>
        <v>63.789034510292623</v>
      </c>
      <c r="M79" s="178"/>
      <c r="N79" s="178"/>
      <c r="O79" s="178"/>
      <c r="P79" s="178">
        <f>((('AD Mauritius'!$B79)*('AD Mauritius'!P79))+(('AD Rodrigues'!$B79)*('AD Rodrigues'!R79)))/('AD Total'!$B79)</f>
        <v>3.5523676635271548</v>
      </c>
      <c r="Q79" s="178">
        <f>((('AD Mauritius'!$B79)*('AD Mauritius'!Q79))+(('AD Rodrigues'!$B79)*('AD Rodrigues'!S79)))/('AD Total'!$B79)</f>
        <v>11.866042390706076</v>
      </c>
      <c r="R79" s="178"/>
      <c r="S79" s="178"/>
      <c r="T79" s="178"/>
      <c r="U79" s="81">
        <f t="shared" si="16"/>
        <v>100</v>
      </c>
      <c r="V79" s="189"/>
      <c r="W79" s="74">
        <f t="shared" si="13"/>
        <v>2010</v>
      </c>
      <c r="X79" s="179">
        <f>'AD Mauritius'!X79+'AD Rodrigues'!Z79</f>
        <v>5472.7045423631989</v>
      </c>
      <c r="Y79" s="179">
        <f>'AD Mauritius'!Y79+'AD Rodrigues'!AA79</f>
        <v>397.26100000000002</v>
      </c>
      <c r="Z79" s="179">
        <f>'AD Mauritius'!Z79+'AD Rodrigues'!AB79</f>
        <v>397.26100000000002</v>
      </c>
      <c r="AA79" s="179">
        <f>'AD Mauritius'!AA79+'AD Rodrigues'!AC79</f>
        <v>0</v>
      </c>
      <c r="AB79" s="181"/>
      <c r="AC79" s="182"/>
    </row>
    <row r="80" spans="1:29" x14ac:dyDescent="0.35">
      <c r="A80" s="88">
        <f t="shared" si="14"/>
        <v>2011</v>
      </c>
      <c r="B80" s="80">
        <f>'AD Mauritius'!B56+'AD Rodrigues'!B56</f>
        <v>1252633</v>
      </c>
      <c r="C80" s="89">
        <f>'AD Mauritius'!C80</f>
        <v>32.495950000000001</v>
      </c>
      <c r="D80" s="79">
        <f>'AD Mauritius'!D80</f>
        <v>13.505000000000001</v>
      </c>
      <c r="E80" s="177"/>
      <c r="F80" s="88">
        <f t="shared" si="15"/>
        <v>2011</v>
      </c>
      <c r="G80" s="178">
        <f>((('AD Mauritius'!$B80)*('AD Mauritius'!G80))+(('AD Rodrigues'!$B80)*('AD Rodrigues'!I80)))/('AD Total'!$B80)</f>
        <v>0.11037087478934371</v>
      </c>
      <c r="H80" s="178"/>
      <c r="I80" s="178"/>
      <c r="J80" s="178">
        <f>((('AD Mauritius'!$B80)*('AD Mauritius'!J80))+(('AD Rodrigues'!$B80)*('AD Rodrigues'!L80)))/('AD Total'!$B80)</f>
        <v>20.950699826812262</v>
      </c>
      <c r="K80" s="178"/>
      <c r="L80" s="178">
        <f>((('AD Mauritius'!$B80)*('AD Mauritius'!L80))+(('AD Rodrigues'!$B80)*('AD Rodrigues'!N80)))/('AD Total'!$B80)</f>
        <v>67.375796107401527</v>
      </c>
      <c r="M80" s="178"/>
      <c r="N80" s="178"/>
      <c r="O80" s="178"/>
      <c r="P80" s="178">
        <f>((('AD Mauritius'!$B80)*('AD Mauritius'!P80))+(('AD Rodrigues'!$B80)*('AD Rodrigues'!R80)))/('AD Total'!$B80)</f>
        <v>6.6670637360684752</v>
      </c>
      <c r="Q80" s="178">
        <f>((('AD Mauritius'!$B80)*('AD Mauritius'!Q80))+(('AD Rodrigues'!$B80)*('AD Rodrigues'!S80)))/('AD Total'!$B80)</f>
        <v>4.8960694549283952</v>
      </c>
      <c r="R80" s="178"/>
      <c r="S80" s="178"/>
      <c r="T80" s="178"/>
      <c r="U80" s="81">
        <f t="shared" si="16"/>
        <v>100</v>
      </c>
      <c r="V80" s="189"/>
      <c r="W80" s="74">
        <f t="shared" si="13"/>
        <v>2011</v>
      </c>
      <c r="X80" s="179">
        <f>'AD Mauritius'!X80+'AD Rodrigues'!Z80</f>
        <v>5860.1326873562612</v>
      </c>
      <c r="Y80" s="179">
        <f>'AD Mauritius'!Y80+'AD Rodrigues'!AA80</f>
        <v>395.26299999999998</v>
      </c>
      <c r="Z80" s="179">
        <f>'AD Mauritius'!Z80+'AD Rodrigues'!AB80</f>
        <v>395.26299999999998</v>
      </c>
      <c r="AA80" s="179">
        <f>'AD Mauritius'!AA80+'AD Rodrigues'!AC80</f>
        <v>0</v>
      </c>
      <c r="AB80" s="181"/>
      <c r="AC80" s="182"/>
    </row>
    <row r="81" spans="1:29" x14ac:dyDescent="0.35">
      <c r="A81" s="88">
        <f t="shared" si="14"/>
        <v>2012</v>
      </c>
      <c r="B81" s="80">
        <f>'AD Mauritius'!B57+'AD Rodrigues'!B57</f>
        <v>1256070</v>
      </c>
      <c r="C81" s="89">
        <f>'AD Mauritius'!C81</f>
        <v>32.07985</v>
      </c>
      <c r="D81" s="79">
        <f>'AD Mauritius'!D81</f>
        <v>13.505000000000001</v>
      </c>
      <c r="E81" s="177"/>
      <c r="F81" s="88">
        <f t="shared" si="15"/>
        <v>2012</v>
      </c>
      <c r="G81" s="178">
        <f>((('AD Mauritius'!$B81)*('AD Mauritius'!G81))+(('AD Rodrigues'!$B81)*('AD Rodrigues'!I81)))/('AD Total'!$B81)</f>
        <v>0.11120574490275222</v>
      </c>
      <c r="H81" s="178"/>
      <c r="I81" s="178"/>
      <c r="J81" s="178">
        <f>((('AD Mauritius'!$B81)*('AD Mauritius'!J81))+(('AD Rodrigues'!$B81)*('AD Rodrigues'!L81)))/('AD Total'!$B81)</f>
        <v>22.005600500468638</v>
      </c>
      <c r="K81" s="178"/>
      <c r="L81" s="178">
        <f>((('AD Mauritius'!$B81)*('AD Mauritius'!L81))+(('AD Rodrigues'!$B81)*('AD Rodrigues'!N81)))/('AD Total'!$B81)</f>
        <v>66.446642102456281</v>
      </c>
      <c r="M81" s="178"/>
      <c r="N81" s="178"/>
      <c r="O81" s="178"/>
      <c r="P81" s="178">
        <f>((('AD Mauritius'!$B81)*('AD Mauritius'!P81))+(('AD Rodrigues'!$B81)*('AD Rodrigues'!R81)))/('AD Total'!$B81)</f>
        <v>6.5773773134145586</v>
      </c>
      <c r="Q81" s="178">
        <f>((('AD Mauritius'!$B81)*('AD Mauritius'!Q81))+(('AD Rodrigues'!$B81)*('AD Rodrigues'!S81)))/('AD Total'!$B81)</f>
        <v>4.8591743387577635</v>
      </c>
      <c r="R81" s="178"/>
      <c r="S81" s="178"/>
      <c r="T81" s="178"/>
      <c r="U81" s="81">
        <f t="shared" si="16"/>
        <v>100</v>
      </c>
      <c r="V81" s="189"/>
      <c r="W81" s="74">
        <f t="shared" si="13"/>
        <v>2012</v>
      </c>
      <c r="X81" s="179">
        <f>'AD Mauritius'!X81+'AD Rodrigues'!Z81</f>
        <v>5795.6257531257233</v>
      </c>
      <c r="Y81" s="179">
        <f>'AD Mauritius'!Y81+'AD Rodrigues'!AA81</f>
        <v>460.97300000000001</v>
      </c>
      <c r="Z81" s="179">
        <f>'AD Mauritius'!Z81+'AD Rodrigues'!AB81</f>
        <v>460.97300000000001</v>
      </c>
      <c r="AA81" s="179">
        <f>'AD Mauritius'!AA81+'AD Rodrigues'!AC81</f>
        <v>0</v>
      </c>
      <c r="AB81" s="181"/>
      <c r="AC81" s="182"/>
    </row>
    <row r="82" spans="1:29" x14ac:dyDescent="0.35">
      <c r="A82" s="88">
        <f t="shared" si="14"/>
        <v>2013</v>
      </c>
      <c r="B82" s="80">
        <f>'AD Mauritius'!B58+'AD Rodrigues'!B58</f>
        <v>1258845</v>
      </c>
      <c r="C82" s="89">
        <f>'AD Mauritius'!C82</f>
        <v>32.251400000000004</v>
      </c>
      <c r="D82" s="79">
        <f>'AD Mauritius'!D82</f>
        <v>13.505000000000001</v>
      </c>
      <c r="E82" s="177"/>
      <c r="F82" s="88">
        <f t="shared" si="15"/>
        <v>2013</v>
      </c>
      <c r="G82" s="178">
        <f>((('AD Mauritius'!$B82)*('AD Mauritius'!G82))+(('AD Rodrigues'!$B82)*('AD Rodrigues'!I82)))/('AD Total'!$B82)</f>
        <v>0.11209767683868944</v>
      </c>
      <c r="H82" s="178"/>
      <c r="I82" s="178"/>
      <c r="J82" s="178">
        <f>((('AD Mauritius'!$B82)*('AD Mauritius'!J82))+(('AD Rodrigues'!$B82)*('AD Rodrigues'!L82)))/('AD Total'!$B82)</f>
        <v>23.058556217080529</v>
      </c>
      <c r="K82" s="178"/>
      <c r="L82" s="178">
        <f>((('AD Mauritius'!$B82)*('AD Mauritius'!L82))+(('AD Rodrigues'!$B82)*('AD Rodrigues'!N82)))/('AD Total'!$B82)</f>
        <v>65.518996913995863</v>
      </c>
      <c r="M82" s="178"/>
      <c r="N82" s="178"/>
      <c r="O82" s="178"/>
      <c r="P82" s="178">
        <f>((('AD Mauritius'!$B82)*('AD Mauritius'!P82))+(('AD Rodrigues'!$B82)*('AD Rodrigues'!R82)))/('AD Total'!$B82)</f>
        <v>6.4874005493485454</v>
      </c>
      <c r="Q82" s="178">
        <f>((('AD Mauritius'!$B82)*('AD Mauritius'!Q82))+(('AD Rodrigues'!$B82)*('AD Rodrigues'!S82)))/('AD Total'!$B82)</f>
        <v>4.8229486427363675</v>
      </c>
      <c r="R82" s="178"/>
      <c r="S82" s="178"/>
      <c r="T82" s="178"/>
      <c r="U82" s="81">
        <f t="shared" si="16"/>
        <v>100</v>
      </c>
      <c r="V82" s="189"/>
      <c r="W82" s="74">
        <f t="shared" si="13"/>
        <v>2013</v>
      </c>
      <c r="X82" s="179">
        <f>'AD Mauritius'!X82+'AD Rodrigues'!Z82</f>
        <v>5727.781469926108</v>
      </c>
      <c r="Y82" s="179">
        <f>'AD Mauritius'!Y82+'AD Rodrigues'!AA82</f>
        <v>489.14</v>
      </c>
      <c r="Z82" s="179">
        <f>'AD Mauritius'!Z82+'AD Rodrigues'!AB82</f>
        <v>489.14</v>
      </c>
      <c r="AA82" s="179">
        <f>'AD Mauritius'!AA82+'AD Rodrigues'!AC82</f>
        <v>0</v>
      </c>
      <c r="AB82" s="181"/>
      <c r="AC82" s="182"/>
    </row>
    <row r="83" spans="1:29" x14ac:dyDescent="0.35">
      <c r="A83" s="88">
        <f t="shared" si="14"/>
        <v>2014</v>
      </c>
      <c r="B83" s="80">
        <f>'AD Mauritius'!B59+'AD Rodrigues'!B59</f>
        <v>1261053</v>
      </c>
      <c r="C83" s="89">
        <f>'AD Mauritius'!C83</f>
        <v>31.291450000000001</v>
      </c>
      <c r="D83" s="79">
        <f>'AD Mauritius'!D83</f>
        <v>13.505000000000001</v>
      </c>
      <c r="E83" s="177"/>
      <c r="F83" s="88">
        <f t="shared" si="15"/>
        <v>2014</v>
      </c>
      <c r="G83" s="178">
        <f>((('AD Mauritius'!$B83)*('AD Mauritius'!G83))+(('AD Rodrigues'!$B83)*('AD Rodrigues'!I83)))/('AD Total'!$B83)</f>
        <v>0.11266711232596884</v>
      </c>
      <c r="H83" s="178"/>
      <c r="I83" s="178"/>
      <c r="J83" s="178">
        <f>((('AD Mauritius'!$B83)*('AD Mauritius'!J83))+(('AD Rodrigues'!$B83)*('AD Rodrigues'!L83)))/('AD Total'!$B83)</f>
        <v>24.271887540700124</v>
      </c>
      <c r="K83" s="178"/>
      <c r="L83" s="178">
        <f>((('AD Mauritius'!$B83)*('AD Mauritius'!L83))+(('AD Rodrigues'!$B83)*('AD Rodrigues'!N83)))/('AD Total'!$B83)</f>
        <v>64.603087002838691</v>
      </c>
      <c r="M83" s="178"/>
      <c r="N83" s="178"/>
      <c r="O83" s="178"/>
      <c r="P83" s="178">
        <f>((('AD Mauritius'!$B83)*('AD Mauritius'!P83))+(('AD Rodrigues'!$B83)*('AD Rodrigues'!R83)))/('AD Total'!$B83)</f>
        <v>6.4031845775215119</v>
      </c>
      <c r="Q83" s="178">
        <f>((('AD Mauritius'!$B83)*('AD Mauritius'!Q83))+(('AD Rodrigues'!$B83)*('AD Rodrigues'!S83)))/('AD Total'!$B83)</f>
        <v>4.6091737666137149</v>
      </c>
      <c r="R83" s="178"/>
      <c r="S83" s="178"/>
      <c r="T83" s="178"/>
      <c r="U83" s="81">
        <f t="shared" si="16"/>
        <v>100.00000000000003</v>
      </c>
      <c r="V83" s="189"/>
      <c r="W83" s="74">
        <f t="shared" si="13"/>
        <v>2014</v>
      </c>
      <c r="X83" s="179">
        <f>'AD Mauritius'!X83+'AD Rodrigues'!Z83</f>
        <v>5656.4741796992494</v>
      </c>
      <c r="Y83" s="179">
        <f>'AD Mauritius'!Y83+'AD Rodrigues'!AA83</f>
        <v>482.80467677001411</v>
      </c>
      <c r="Z83" s="179">
        <f>'AD Mauritius'!Z83+'AD Rodrigues'!AB83</f>
        <v>482.80467677001411</v>
      </c>
      <c r="AA83" s="179">
        <f>'AD Mauritius'!AA83+'AD Rodrigues'!AC83</f>
        <v>0</v>
      </c>
      <c r="AB83" s="177"/>
    </row>
    <row r="84" spans="1:29" x14ac:dyDescent="0.35">
      <c r="A84" s="88">
        <f t="shared" si="14"/>
        <v>2015</v>
      </c>
      <c r="B84" s="80">
        <f>'AD Mauritius'!B60+'AD Rodrigues'!B60</f>
        <v>1262721</v>
      </c>
      <c r="C84" s="89">
        <f>'AD Mauritius'!C84</f>
        <v>31.6236</v>
      </c>
      <c r="D84" s="79">
        <f>'AD Mauritius'!D84</f>
        <v>13.505000000000001</v>
      </c>
      <c r="E84" s="177"/>
      <c r="F84" s="88">
        <f t="shared" si="15"/>
        <v>2015</v>
      </c>
      <c r="G84" s="178">
        <f>((('AD Mauritius'!$B84)*('AD Mauritius'!G84))+(('AD Rodrigues'!$B84)*('AD Rodrigues'!I84)))/('AD Total'!$B84)</f>
        <v>0.11324528537974737</v>
      </c>
      <c r="H84" s="178"/>
      <c r="I84" s="178"/>
      <c r="J84" s="178">
        <f>((('AD Mauritius'!$B84)*('AD Mauritius'!J84))+(('AD Rodrigues'!$B84)*('AD Rodrigues'!L84)))/('AD Total'!$B84)</f>
        <v>24.938817668317981</v>
      </c>
      <c r="K84" s="178"/>
      <c r="L84" s="178">
        <f>((('AD Mauritius'!$B84)*('AD Mauritius'!L84))+(('AD Rodrigues'!$B84)*('AD Rodrigues'!N84)))/('AD Total'!$B84)</f>
        <v>64.016742530856931</v>
      </c>
      <c r="M84" s="178"/>
      <c r="N84" s="178"/>
      <c r="O84" s="178"/>
      <c r="P84" s="178">
        <f>((('AD Mauritius'!$B84)*('AD Mauritius'!P84))+(('AD Rodrigues'!$B84)*('AD Rodrigues'!R84)))/('AD Total'!$B84)</f>
        <v>6.3441521132658574</v>
      </c>
      <c r="Q84" s="178">
        <f>((('AD Mauritius'!$B84)*('AD Mauritius'!Q84))+(('AD Rodrigues'!$B84)*('AD Rodrigues'!S84)))/('AD Total'!$B84)</f>
        <v>4.5870424021794607</v>
      </c>
      <c r="R84" s="178"/>
      <c r="S84" s="178"/>
      <c r="T84" s="178"/>
      <c r="U84" s="81">
        <f t="shared" si="16"/>
        <v>99.999999999999986</v>
      </c>
      <c r="V84" s="189"/>
      <c r="W84" s="74">
        <f t="shared" si="13"/>
        <v>2015</v>
      </c>
      <c r="X84" s="179">
        <f>'AD Mauritius'!X84+'AD Rodrigues'!Z84</f>
        <v>5612.7204351515529</v>
      </c>
      <c r="Y84" s="179">
        <f>'AD Mauritius'!Y84+'AD Rodrigues'!AA84</f>
        <v>478.88796415300686</v>
      </c>
      <c r="Z84" s="179">
        <f>'AD Mauritius'!Z84+'AD Rodrigues'!AB84</f>
        <v>478.88796415300686</v>
      </c>
      <c r="AA84" s="179">
        <f>'AD Mauritius'!AA84+'AD Rodrigues'!AC84</f>
        <v>0</v>
      </c>
      <c r="AB84" s="177"/>
    </row>
    <row r="85" spans="1:29" x14ac:dyDescent="0.35">
      <c r="A85" s="88">
        <f t="shared" si="14"/>
        <v>2016</v>
      </c>
      <c r="B85" s="80">
        <f>'AD Mauritius'!B61+'AD Rodrigues'!B61</f>
        <v>1263609</v>
      </c>
      <c r="C85" s="89">
        <f>'AD Mauritius'!C85</f>
        <v>31.842599999999997</v>
      </c>
      <c r="D85" s="79">
        <f>'AD Mauritius'!D85</f>
        <v>13.505000000000001</v>
      </c>
      <c r="E85" s="177"/>
      <c r="F85" s="88">
        <f t="shared" si="15"/>
        <v>2016</v>
      </c>
      <c r="G85" s="178">
        <f>((('AD Mauritius'!$B85)*('AD Mauritius'!G85))+(('AD Rodrigues'!$B85)*('AD Rodrigues'!I85)))/('AD Total'!$B85)</f>
        <v>0.11407516090816067</v>
      </c>
      <c r="H85" s="178"/>
      <c r="I85" s="178"/>
      <c r="J85" s="178">
        <f>((('AD Mauritius'!$B85)*('AD Mauritius'!J85))+(('AD Rodrigues'!$B85)*('AD Rodrigues'!L85)))/('AD Total'!$B85)</f>
        <v>26.188844697747662</v>
      </c>
      <c r="K85" s="178"/>
      <c r="L85" s="178">
        <f>((('AD Mauritius'!$B85)*('AD Mauritius'!L85))+(('AD Rodrigues'!$B85)*('AD Rodrigues'!N85)))/('AD Total'!$B85)</f>
        <v>62.915808296078865</v>
      </c>
      <c r="M85" s="178"/>
      <c r="N85" s="178"/>
      <c r="O85" s="178"/>
      <c r="P85" s="178">
        <f>((('AD Mauritius'!$B85)*('AD Mauritius'!P85))+(('AD Rodrigues'!$B85)*('AD Rodrigues'!R85)))/('AD Total'!$B85)</f>
        <v>6.237110976494491</v>
      </c>
      <c r="Q85" s="178">
        <f>((('AD Mauritius'!$B85)*('AD Mauritius'!Q85))+(('AD Rodrigues'!$B85)*('AD Rodrigues'!S85)))/('AD Total'!$B85)</f>
        <v>4.5441608687708284</v>
      </c>
      <c r="R85" s="178"/>
      <c r="S85" s="178"/>
      <c r="T85" s="178"/>
      <c r="U85" s="81">
        <f t="shared" si="16"/>
        <v>100.00000000000001</v>
      </c>
      <c r="V85" s="189"/>
      <c r="W85" s="74">
        <f t="shared" si="13"/>
        <v>2016</v>
      </c>
      <c r="X85" s="179">
        <f>'AD Mauritius'!X85+'AD Rodrigues'!Z85</f>
        <v>5520.5770571906241</v>
      </c>
      <c r="Y85" s="179">
        <f>'AD Mauritius'!Y85+'AD Rodrigues'!AA85</f>
        <v>470.71035006661771</v>
      </c>
      <c r="Z85" s="179">
        <f>'AD Mauritius'!Z85+'AD Rodrigues'!AB85</f>
        <v>470.71035006661771</v>
      </c>
      <c r="AA85" s="179">
        <f>'AD Mauritius'!AA85+'AD Rodrigues'!AC85</f>
        <v>0</v>
      </c>
      <c r="AB85" s="177"/>
    </row>
    <row r="86" spans="1:29" x14ac:dyDescent="0.35">
      <c r="A86" s="86"/>
      <c r="E86" s="177"/>
      <c r="F86" s="177" t="s">
        <v>391</v>
      </c>
      <c r="G86" s="177"/>
      <c r="V86" s="189"/>
      <c r="W86" s="188"/>
    </row>
    <row r="87" spans="1:29" x14ac:dyDescent="0.35">
      <c r="A87" s="86"/>
    </row>
    <row r="88" spans="1:29" s="177" customFormat="1" x14ac:dyDescent="0.35">
      <c r="A88" s="86"/>
    </row>
    <row r="89" spans="1:29" s="177" customFormat="1" x14ac:dyDescent="0.35">
      <c r="A89" s="100"/>
      <c r="I89" s="91"/>
      <c r="J89" s="95"/>
      <c r="K89" s="96"/>
      <c r="L89" s="96"/>
      <c r="M89" s="96"/>
      <c r="W89" s="108"/>
    </row>
    <row r="90" spans="1:29" s="177" customFormat="1" x14ac:dyDescent="0.35">
      <c r="A90" s="129" t="s">
        <v>401</v>
      </c>
      <c r="B90" s="130"/>
      <c r="C90" s="130"/>
      <c r="D90" s="130"/>
      <c r="E90" s="130"/>
      <c r="F90" s="130"/>
      <c r="G90" s="130"/>
      <c r="H90" s="130"/>
      <c r="I90" s="131"/>
      <c r="J90" s="132"/>
      <c r="K90" s="133"/>
      <c r="L90" s="133"/>
      <c r="M90" s="133"/>
      <c r="N90" s="130"/>
      <c r="O90" s="130"/>
      <c r="P90" s="130"/>
      <c r="Q90" s="130"/>
      <c r="R90" s="130"/>
      <c r="S90" s="130"/>
      <c r="T90" s="130"/>
      <c r="U90" s="130"/>
      <c r="V90" s="130"/>
      <c r="W90" s="187"/>
      <c r="X90" s="130"/>
      <c r="Y90" s="130"/>
      <c r="Z90" s="130"/>
      <c r="AA90" s="152"/>
    </row>
    <row r="91" spans="1:29" s="177" customFormat="1" x14ac:dyDescent="0.35">
      <c r="A91" s="100"/>
      <c r="I91" s="91"/>
      <c r="J91" s="95"/>
      <c r="K91" s="96"/>
      <c r="L91" s="96"/>
      <c r="M91" s="96"/>
      <c r="W91" s="108"/>
    </row>
    <row r="92" spans="1:29" s="177" customFormat="1" ht="101.5" x14ac:dyDescent="0.35">
      <c r="A92" s="67" t="s">
        <v>0</v>
      </c>
      <c r="B92" s="68" t="str">
        <f>'AD Mauritius'!B92</f>
        <v>Tourist (capita)</v>
      </c>
      <c r="C92" s="68" t="str">
        <f>'AD Mauritius'!C92</f>
        <v>Wastewater produced (m3)</v>
      </c>
      <c r="E92" s="67" t="s">
        <v>0</v>
      </c>
      <c r="F92" s="68" t="s">
        <v>339</v>
      </c>
      <c r="G92" s="68" t="s">
        <v>340</v>
      </c>
      <c r="H92" s="68" t="s">
        <v>347</v>
      </c>
      <c r="I92" s="68" t="s">
        <v>341</v>
      </c>
      <c r="J92" s="68" t="s">
        <v>342</v>
      </c>
      <c r="K92" s="68" t="s">
        <v>115</v>
      </c>
      <c r="L92" s="68" t="s">
        <v>118</v>
      </c>
      <c r="M92" s="68" t="s">
        <v>343</v>
      </c>
      <c r="N92" s="68" t="s">
        <v>323</v>
      </c>
      <c r="O92" s="68" t="s">
        <v>125</v>
      </c>
      <c r="P92" s="68" t="s">
        <v>346</v>
      </c>
      <c r="Q92" s="68" t="s">
        <v>348</v>
      </c>
      <c r="R92" s="68" t="s">
        <v>344</v>
      </c>
      <c r="S92" s="68" t="s">
        <v>328</v>
      </c>
      <c r="T92" s="68" t="s">
        <v>345</v>
      </c>
      <c r="U92" s="108"/>
      <c r="V92" s="67" t="s">
        <v>0</v>
      </c>
      <c r="W92" s="68" t="s">
        <v>17</v>
      </c>
      <c r="X92" s="68" t="s">
        <v>18</v>
      </c>
      <c r="Y92" s="68" t="s">
        <v>19</v>
      </c>
      <c r="Z92" s="68" t="s">
        <v>21</v>
      </c>
    </row>
    <row r="93" spans="1:29" s="177" customFormat="1" x14ac:dyDescent="0.35">
      <c r="A93" s="88">
        <v>2000</v>
      </c>
      <c r="B93" s="170">
        <f>'AD Mauritius'!B93</f>
        <v>656453</v>
      </c>
      <c r="C93" s="195">
        <f>'AD Mauritius'!C93</f>
        <v>3.6808456175248261</v>
      </c>
      <c r="E93" s="88">
        <v>2000</v>
      </c>
      <c r="F93" s="157"/>
      <c r="G93" s="157"/>
      <c r="H93" s="157"/>
      <c r="I93" s="193">
        <f>'AD Mauritius'!I93</f>
        <v>100</v>
      </c>
      <c r="J93" s="168"/>
      <c r="K93" s="161"/>
      <c r="L93" s="169"/>
      <c r="M93" s="169"/>
      <c r="N93" s="169"/>
      <c r="O93" s="169"/>
      <c r="P93" s="169"/>
      <c r="Q93" s="157"/>
      <c r="R93" s="157"/>
      <c r="S93" s="157"/>
      <c r="T93" s="105">
        <f>SUM(F93:S93)</f>
        <v>100</v>
      </c>
      <c r="U93" s="108"/>
      <c r="V93" s="74">
        <f t="shared" ref="V93:V109" si="17">A93</f>
        <v>2000</v>
      </c>
      <c r="W93" s="179">
        <f>'AD Mauritius'!W93</f>
        <v>0</v>
      </c>
      <c r="X93" s="179">
        <f>'AD Mauritius'!X93</f>
        <v>0</v>
      </c>
      <c r="Y93" s="179">
        <f>'AD Mauritius'!Y93</f>
        <v>0</v>
      </c>
      <c r="Z93" s="179">
        <f>'AD Mauritius'!Z93</f>
        <v>0</v>
      </c>
    </row>
    <row r="94" spans="1:29" s="177" customFormat="1" x14ac:dyDescent="0.35">
      <c r="A94" s="88">
        <f t="shared" ref="A94:A109" si="18">A93+1</f>
        <v>2001</v>
      </c>
      <c r="B94" s="170">
        <f>'AD Mauritius'!B94</f>
        <v>660318</v>
      </c>
      <c r="C94" s="195">
        <f>'AD Mauritius'!C94</f>
        <v>3.7025173416417601</v>
      </c>
      <c r="E94" s="88">
        <f t="shared" ref="E94:E109" si="19">E93+1</f>
        <v>2001</v>
      </c>
      <c r="F94" s="157"/>
      <c r="G94" s="157"/>
      <c r="H94" s="157"/>
      <c r="I94" s="193">
        <f>'AD Mauritius'!I94</f>
        <v>100</v>
      </c>
      <c r="J94" s="168"/>
      <c r="K94" s="161"/>
      <c r="L94" s="169"/>
      <c r="M94" s="169"/>
      <c r="N94" s="169"/>
      <c r="O94" s="169"/>
      <c r="P94" s="169"/>
      <c r="Q94" s="157"/>
      <c r="R94" s="157"/>
      <c r="S94" s="157"/>
      <c r="T94" s="105">
        <f t="shared" ref="T94:T105" si="20">SUM(F94:S94)</f>
        <v>100</v>
      </c>
      <c r="U94" s="108"/>
      <c r="V94" s="74">
        <f t="shared" si="17"/>
        <v>2001</v>
      </c>
      <c r="W94" s="179">
        <f>'AD Mauritius'!W94</f>
        <v>0</v>
      </c>
      <c r="X94" s="179">
        <f>'AD Mauritius'!X94</f>
        <v>0</v>
      </c>
      <c r="Y94" s="179">
        <f>'AD Mauritius'!Y94</f>
        <v>0</v>
      </c>
      <c r="Z94" s="179">
        <f>'AD Mauritius'!Z94</f>
        <v>0</v>
      </c>
    </row>
    <row r="95" spans="1:29" s="177" customFormat="1" x14ac:dyDescent="0.35">
      <c r="A95" s="88">
        <f t="shared" si="18"/>
        <v>2002</v>
      </c>
      <c r="B95" s="170">
        <f>'AD Mauritius'!B95</f>
        <v>681648</v>
      </c>
      <c r="C95" s="195">
        <f>'AD Mauritius'!C95</f>
        <v>3.8221183443362481</v>
      </c>
      <c r="E95" s="88">
        <f t="shared" si="19"/>
        <v>2002</v>
      </c>
      <c r="F95" s="157"/>
      <c r="G95" s="157"/>
      <c r="H95" s="157"/>
      <c r="I95" s="193">
        <f>'AD Mauritius'!I95</f>
        <v>100</v>
      </c>
      <c r="J95" s="168"/>
      <c r="K95" s="161"/>
      <c r="L95" s="169"/>
      <c r="M95" s="169"/>
      <c r="N95" s="169"/>
      <c r="O95" s="169"/>
      <c r="P95" s="169"/>
      <c r="Q95" s="157"/>
      <c r="R95" s="157"/>
      <c r="S95" s="157"/>
      <c r="T95" s="105">
        <f t="shared" si="20"/>
        <v>100</v>
      </c>
      <c r="U95" s="108"/>
      <c r="V95" s="74">
        <f t="shared" si="17"/>
        <v>2002</v>
      </c>
      <c r="W95" s="179">
        <f>'AD Mauritius'!W95</f>
        <v>0</v>
      </c>
      <c r="X95" s="179">
        <f>'AD Mauritius'!X95</f>
        <v>0</v>
      </c>
      <c r="Y95" s="179">
        <f>'AD Mauritius'!Y95</f>
        <v>0</v>
      </c>
      <c r="Z95" s="179">
        <f>'AD Mauritius'!Z95</f>
        <v>0</v>
      </c>
    </row>
    <row r="96" spans="1:29" s="177" customFormat="1" x14ac:dyDescent="0.35">
      <c r="A96" s="88">
        <f t="shared" si="18"/>
        <v>2003</v>
      </c>
      <c r="B96" s="170">
        <f>'AD Mauritius'!B96</f>
        <v>702018</v>
      </c>
      <c r="C96" s="195">
        <f>'AD Mauritius'!C96</f>
        <v>3.9363364608335152</v>
      </c>
      <c r="E96" s="88">
        <f t="shared" si="19"/>
        <v>2003</v>
      </c>
      <c r="F96" s="157"/>
      <c r="G96" s="157"/>
      <c r="H96" s="157"/>
      <c r="I96" s="193">
        <f>'AD Mauritius'!I96</f>
        <v>100</v>
      </c>
      <c r="J96" s="168"/>
      <c r="K96" s="161"/>
      <c r="L96" s="169"/>
      <c r="M96" s="169"/>
      <c r="N96" s="169"/>
      <c r="O96" s="169"/>
      <c r="P96" s="169"/>
      <c r="Q96" s="157"/>
      <c r="R96" s="157"/>
      <c r="S96" s="157"/>
      <c r="T96" s="105">
        <f t="shared" si="20"/>
        <v>100</v>
      </c>
      <c r="U96" s="108"/>
      <c r="V96" s="74">
        <f t="shared" si="17"/>
        <v>2003</v>
      </c>
      <c r="W96" s="179">
        <f>'AD Mauritius'!W96</f>
        <v>0</v>
      </c>
      <c r="X96" s="179">
        <f>'AD Mauritius'!X96</f>
        <v>0</v>
      </c>
      <c r="Y96" s="179">
        <f>'AD Mauritius'!Y96</f>
        <v>0</v>
      </c>
      <c r="Z96" s="179">
        <f>'AD Mauritius'!Z96</f>
        <v>0</v>
      </c>
    </row>
    <row r="97" spans="1:26" s="177" customFormat="1" x14ac:dyDescent="0.35">
      <c r="A97" s="88">
        <f t="shared" si="18"/>
        <v>2004</v>
      </c>
      <c r="B97" s="170">
        <f>'AD Mauritius'!B97</f>
        <v>718861</v>
      </c>
      <c r="C97" s="195">
        <f>'AD Mauritius'!C97</f>
        <v>4.0307780777291207</v>
      </c>
      <c r="E97" s="88">
        <f t="shared" si="19"/>
        <v>2004</v>
      </c>
      <c r="F97" s="157"/>
      <c r="G97" s="157"/>
      <c r="H97" s="157"/>
      <c r="I97" s="193">
        <f>'AD Mauritius'!I97</f>
        <v>100</v>
      </c>
      <c r="J97" s="168"/>
      <c r="K97" s="161"/>
      <c r="L97" s="169"/>
      <c r="M97" s="169"/>
      <c r="N97" s="169"/>
      <c r="O97" s="169"/>
      <c r="P97" s="169"/>
      <c r="Q97" s="157"/>
      <c r="R97" s="157"/>
      <c r="S97" s="157"/>
      <c r="T97" s="105">
        <f t="shared" si="20"/>
        <v>100</v>
      </c>
      <c r="U97" s="108"/>
      <c r="V97" s="74">
        <f t="shared" si="17"/>
        <v>2004</v>
      </c>
      <c r="W97" s="179">
        <f>'AD Mauritius'!W97</f>
        <v>0</v>
      </c>
      <c r="X97" s="179">
        <f>'AD Mauritius'!X97</f>
        <v>0</v>
      </c>
      <c r="Y97" s="179">
        <f>'AD Mauritius'!Y97</f>
        <v>0</v>
      </c>
      <c r="Z97" s="179">
        <f>'AD Mauritius'!Z97</f>
        <v>0</v>
      </c>
    </row>
    <row r="98" spans="1:26" s="177" customFormat="1" x14ac:dyDescent="0.35">
      <c r="A98" s="88">
        <f t="shared" si="18"/>
        <v>2005</v>
      </c>
      <c r="B98" s="170">
        <f>'AD Mauritius'!B98</f>
        <v>761063</v>
      </c>
      <c r="C98" s="195">
        <f>'AD Mauritius'!C98</f>
        <v>4.2674119978281722</v>
      </c>
      <c r="E98" s="88">
        <f t="shared" si="19"/>
        <v>2005</v>
      </c>
      <c r="F98" s="157"/>
      <c r="G98" s="157"/>
      <c r="H98" s="157"/>
      <c r="I98" s="193">
        <f>'AD Mauritius'!I98</f>
        <v>100</v>
      </c>
      <c r="J98" s="168"/>
      <c r="K98" s="161"/>
      <c r="L98" s="169"/>
      <c r="M98" s="169"/>
      <c r="N98" s="169"/>
      <c r="O98" s="169"/>
      <c r="P98" s="169"/>
      <c r="Q98" s="157"/>
      <c r="R98" s="157"/>
      <c r="S98" s="157"/>
      <c r="T98" s="105">
        <f t="shared" si="20"/>
        <v>100</v>
      </c>
      <c r="U98" s="108"/>
      <c r="V98" s="74">
        <f t="shared" si="17"/>
        <v>2005</v>
      </c>
      <c r="W98" s="179">
        <f>'AD Mauritius'!W98</f>
        <v>0</v>
      </c>
      <c r="X98" s="179">
        <f>'AD Mauritius'!X98</f>
        <v>0</v>
      </c>
      <c r="Y98" s="179">
        <f>'AD Mauritius'!Y98</f>
        <v>0</v>
      </c>
      <c r="Z98" s="179">
        <f>'AD Mauritius'!Z98</f>
        <v>0</v>
      </c>
    </row>
    <row r="99" spans="1:26" s="177" customFormat="1" x14ac:dyDescent="0.35">
      <c r="A99" s="88">
        <f t="shared" si="18"/>
        <v>2006</v>
      </c>
      <c r="B99" s="170">
        <f>'AD Mauritius'!B99</f>
        <v>788276</v>
      </c>
      <c r="C99" s="195">
        <f>'AD Mauritius'!C99</f>
        <v>4.42</v>
      </c>
      <c r="E99" s="88">
        <f t="shared" si="19"/>
        <v>2006</v>
      </c>
      <c r="F99" s="157"/>
      <c r="G99" s="157"/>
      <c r="H99" s="157"/>
      <c r="I99" s="193">
        <f>'AD Mauritius'!I99</f>
        <v>100</v>
      </c>
      <c r="J99" s="168"/>
      <c r="K99" s="161"/>
      <c r="L99" s="169"/>
      <c r="M99" s="169"/>
      <c r="N99" s="169"/>
      <c r="O99" s="169"/>
      <c r="P99" s="169"/>
      <c r="Q99" s="157"/>
      <c r="R99" s="157"/>
      <c r="S99" s="157"/>
      <c r="T99" s="105">
        <f t="shared" si="20"/>
        <v>100</v>
      </c>
      <c r="U99" s="108"/>
      <c r="V99" s="74">
        <f t="shared" si="17"/>
        <v>2006</v>
      </c>
      <c r="W99" s="179">
        <f>'AD Mauritius'!W99</f>
        <v>0</v>
      </c>
      <c r="X99" s="179">
        <f>'AD Mauritius'!X99</f>
        <v>0</v>
      </c>
      <c r="Y99" s="179">
        <f>'AD Mauritius'!Y99</f>
        <v>0</v>
      </c>
      <c r="Z99" s="179">
        <f>'AD Mauritius'!Z99</f>
        <v>0</v>
      </c>
    </row>
    <row r="100" spans="1:26" s="177" customFormat="1" x14ac:dyDescent="0.35">
      <c r="A100" s="88">
        <f t="shared" si="18"/>
        <v>2007</v>
      </c>
      <c r="B100" s="170">
        <f>'AD Mauritius'!B100</f>
        <v>906971</v>
      </c>
      <c r="C100" s="195">
        <f>'AD Mauritius'!C100</f>
        <v>4.5</v>
      </c>
      <c r="E100" s="88">
        <f t="shared" si="19"/>
        <v>2007</v>
      </c>
      <c r="F100" s="157"/>
      <c r="G100" s="157"/>
      <c r="H100" s="157"/>
      <c r="I100" s="193">
        <f>'AD Mauritius'!I100</f>
        <v>100</v>
      </c>
      <c r="J100" s="168"/>
      <c r="K100" s="161"/>
      <c r="L100" s="169"/>
      <c r="M100" s="169"/>
      <c r="N100" s="169"/>
      <c r="O100" s="169"/>
      <c r="P100" s="169"/>
      <c r="Q100" s="157"/>
      <c r="R100" s="157"/>
      <c r="S100" s="157"/>
      <c r="T100" s="105">
        <f t="shared" si="20"/>
        <v>100</v>
      </c>
      <c r="U100" s="108"/>
      <c r="V100" s="74">
        <f t="shared" si="17"/>
        <v>2007</v>
      </c>
      <c r="W100" s="179">
        <f>'AD Mauritius'!W100</f>
        <v>0</v>
      </c>
      <c r="X100" s="179">
        <f>'AD Mauritius'!X100</f>
        <v>0</v>
      </c>
      <c r="Y100" s="179">
        <f>'AD Mauritius'!Y100</f>
        <v>0</v>
      </c>
      <c r="Z100" s="179">
        <f>'AD Mauritius'!Z100</f>
        <v>0</v>
      </c>
    </row>
    <row r="101" spans="1:26" s="177" customFormat="1" x14ac:dyDescent="0.35">
      <c r="A101" s="88">
        <f t="shared" si="18"/>
        <v>2008</v>
      </c>
      <c r="B101" s="170">
        <f>'AD Mauritius'!B101</f>
        <v>930456</v>
      </c>
      <c r="C101" s="195">
        <f>'AD Mauritius'!C101</f>
        <v>4.76</v>
      </c>
      <c r="E101" s="88">
        <f t="shared" si="19"/>
        <v>2008</v>
      </c>
      <c r="F101" s="157"/>
      <c r="G101" s="157"/>
      <c r="H101" s="157"/>
      <c r="I101" s="193">
        <f>'AD Mauritius'!I101</f>
        <v>100</v>
      </c>
      <c r="J101" s="168"/>
      <c r="K101" s="161"/>
      <c r="L101" s="169"/>
      <c r="M101" s="169"/>
      <c r="N101" s="169"/>
      <c r="O101" s="169"/>
      <c r="P101" s="169"/>
      <c r="Q101" s="157"/>
      <c r="R101" s="157"/>
      <c r="S101" s="157"/>
      <c r="T101" s="105">
        <f t="shared" si="20"/>
        <v>100</v>
      </c>
      <c r="U101" s="108"/>
      <c r="V101" s="74">
        <f t="shared" si="17"/>
        <v>2008</v>
      </c>
      <c r="W101" s="179">
        <f>'AD Mauritius'!W101</f>
        <v>0</v>
      </c>
      <c r="X101" s="179">
        <f>'AD Mauritius'!X101</f>
        <v>0</v>
      </c>
      <c r="Y101" s="179">
        <f>'AD Mauritius'!Y101</f>
        <v>0</v>
      </c>
      <c r="Z101" s="179">
        <f>'AD Mauritius'!Z101</f>
        <v>0</v>
      </c>
    </row>
    <row r="102" spans="1:26" s="177" customFormat="1" x14ac:dyDescent="0.35">
      <c r="A102" s="88">
        <f t="shared" si="18"/>
        <v>2009</v>
      </c>
      <c r="B102" s="170">
        <f>'AD Mauritius'!B102</f>
        <v>871356</v>
      </c>
      <c r="C102" s="195">
        <f>'AD Mauritius'!C102</f>
        <v>4.75</v>
      </c>
      <c r="E102" s="88">
        <f t="shared" si="19"/>
        <v>2009</v>
      </c>
      <c r="F102" s="157"/>
      <c r="G102" s="157"/>
      <c r="H102" s="157"/>
      <c r="I102" s="193">
        <f>'AD Mauritius'!I102</f>
        <v>100</v>
      </c>
      <c r="J102" s="168"/>
      <c r="K102" s="161"/>
      <c r="L102" s="169"/>
      <c r="M102" s="169"/>
      <c r="N102" s="169"/>
      <c r="O102" s="169"/>
      <c r="P102" s="169"/>
      <c r="Q102" s="157"/>
      <c r="R102" s="157"/>
      <c r="S102" s="157"/>
      <c r="T102" s="105">
        <f t="shared" si="20"/>
        <v>100</v>
      </c>
      <c r="U102" s="108"/>
      <c r="V102" s="74">
        <f t="shared" si="17"/>
        <v>2009</v>
      </c>
      <c r="W102" s="179">
        <f>'AD Mauritius'!W102</f>
        <v>0</v>
      </c>
      <c r="X102" s="179">
        <f>'AD Mauritius'!X102</f>
        <v>0</v>
      </c>
      <c r="Y102" s="179">
        <f>'AD Mauritius'!Y102</f>
        <v>0</v>
      </c>
      <c r="Z102" s="179">
        <f>'AD Mauritius'!Z102</f>
        <v>0</v>
      </c>
    </row>
    <row r="103" spans="1:26" s="177" customFormat="1" x14ac:dyDescent="0.35">
      <c r="A103" s="88">
        <f t="shared" si="18"/>
        <v>2010</v>
      </c>
      <c r="B103" s="170">
        <f>'AD Mauritius'!B103</f>
        <v>934827</v>
      </c>
      <c r="C103" s="195">
        <f>'AD Mauritius'!C103</f>
        <v>5</v>
      </c>
      <c r="E103" s="88">
        <f t="shared" si="19"/>
        <v>2010</v>
      </c>
      <c r="F103" s="157"/>
      <c r="G103" s="157"/>
      <c r="H103" s="157"/>
      <c r="I103" s="193">
        <f>'AD Mauritius'!I103</f>
        <v>100</v>
      </c>
      <c r="J103" s="168"/>
      <c r="K103" s="161"/>
      <c r="L103" s="169"/>
      <c r="M103" s="169"/>
      <c r="N103" s="169"/>
      <c r="O103" s="169"/>
      <c r="P103" s="169"/>
      <c r="Q103" s="157"/>
      <c r="R103" s="157"/>
      <c r="S103" s="157"/>
      <c r="T103" s="105">
        <f t="shared" si="20"/>
        <v>100</v>
      </c>
      <c r="U103" s="108"/>
      <c r="V103" s="74">
        <f t="shared" si="17"/>
        <v>2010</v>
      </c>
      <c r="W103" s="179">
        <f>'AD Mauritius'!W103</f>
        <v>0</v>
      </c>
      <c r="X103" s="179">
        <f>'AD Mauritius'!X103</f>
        <v>0</v>
      </c>
      <c r="Y103" s="179">
        <f>'AD Mauritius'!Y103</f>
        <v>0</v>
      </c>
      <c r="Z103" s="179">
        <f>'AD Mauritius'!Z103</f>
        <v>0</v>
      </c>
    </row>
    <row r="104" spans="1:26" s="177" customFormat="1" x14ac:dyDescent="0.35">
      <c r="A104" s="88">
        <f t="shared" si="18"/>
        <v>2011</v>
      </c>
      <c r="B104" s="170">
        <f>'AD Mauritius'!B104</f>
        <v>964642</v>
      </c>
      <c r="C104" s="195">
        <f>'AD Mauritius'!C104</f>
        <v>4.9400000000000004</v>
      </c>
      <c r="E104" s="88">
        <f t="shared" si="19"/>
        <v>2011</v>
      </c>
      <c r="F104" s="157"/>
      <c r="G104" s="157"/>
      <c r="H104" s="157"/>
      <c r="I104" s="193">
        <f>'AD Mauritius'!I104</f>
        <v>100</v>
      </c>
      <c r="J104" s="168"/>
      <c r="K104" s="161"/>
      <c r="L104" s="169"/>
      <c r="M104" s="169"/>
      <c r="N104" s="169"/>
      <c r="O104" s="169"/>
      <c r="P104" s="169"/>
      <c r="Q104" s="157"/>
      <c r="R104" s="157"/>
      <c r="S104" s="157"/>
      <c r="T104" s="105">
        <f t="shared" si="20"/>
        <v>100</v>
      </c>
      <c r="U104" s="108"/>
      <c r="V104" s="74">
        <f t="shared" si="17"/>
        <v>2011</v>
      </c>
      <c r="W104" s="179">
        <f>'AD Mauritius'!W104</f>
        <v>0</v>
      </c>
      <c r="X104" s="179">
        <f>'AD Mauritius'!X104</f>
        <v>0</v>
      </c>
      <c r="Y104" s="179">
        <f>'AD Mauritius'!Y104</f>
        <v>0</v>
      </c>
      <c r="Z104" s="179">
        <f>'AD Mauritius'!Z104</f>
        <v>0</v>
      </c>
    </row>
    <row r="105" spans="1:26" s="177" customFormat="1" x14ac:dyDescent="0.35">
      <c r="A105" s="88">
        <f t="shared" si="18"/>
        <v>2012</v>
      </c>
      <c r="B105" s="170">
        <f>'AD Mauritius'!B105</f>
        <v>965441</v>
      </c>
      <c r="C105" s="195">
        <f>'AD Mauritius'!C105</f>
        <v>5.19</v>
      </c>
      <c r="E105" s="88">
        <f t="shared" si="19"/>
        <v>2012</v>
      </c>
      <c r="F105" s="157"/>
      <c r="G105" s="157"/>
      <c r="H105" s="157"/>
      <c r="I105" s="193">
        <f>'AD Mauritius'!I105</f>
        <v>100</v>
      </c>
      <c r="J105" s="169"/>
      <c r="K105" s="158"/>
      <c r="L105" s="169"/>
      <c r="M105" s="169"/>
      <c r="N105" s="191"/>
      <c r="O105" s="191"/>
      <c r="P105" s="191"/>
      <c r="Q105" s="157"/>
      <c r="R105" s="157"/>
      <c r="S105" s="157"/>
      <c r="T105" s="105">
        <f t="shared" si="20"/>
        <v>100</v>
      </c>
      <c r="U105" s="108"/>
      <c r="V105" s="74">
        <f t="shared" si="17"/>
        <v>2012</v>
      </c>
      <c r="W105" s="179">
        <f>'AD Mauritius'!W105</f>
        <v>0</v>
      </c>
      <c r="X105" s="179">
        <f>'AD Mauritius'!X105</f>
        <v>0</v>
      </c>
      <c r="Y105" s="179">
        <f>'AD Mauritius'!Y105</f>
        <v>0</v>
      </c>
      <c r="Z105" s="179">
        <f>'AD Mauritius'!Z105</f>
        <v>0</v>
      </c>
    </row>
    <row r="106" spans="1:26" s="177" customFormat="1" x14ac:dyDescent="0.35">
      <c r="A106" s="88">
        <f t="shared" si="18"/>
        <v>2013</v>
      </c>
      <c r="B106" s="170">
        <f>'AD Mauritius'!B106</f>
        <v>992503</v>
      </c>
      <c r="C106" s="195">
        <f>'AD Mauritius'!C106</f>
        <v>5.13</v>
      </c>
      <c r="E106" s="88">
        <f t="shared" si="19"/>
        <v>2013</v>
      </c>
      <c r="F106" s="157"/>
      <c r="G106" s="157"/>
      <c r="H106" s="157"/>
      <c r="I106" s="193">
        <f>'AD Mauritius'!I106</f>
        <v>100</v>
      </c>
      <c r="J106" s="169"/>
      <c r="K106" s="158"/>
      <c r="L106" s="169"/>
      <c r="M106" s="169"/>
      <c r="N106" s="191"/>
      <c r="O106" s="191"/>
      <c r="P106" s="191"/>
      <c r="Q106" s="157"/>
      <c r="R106" s="157"/>
      <c r="S106" s="157"/>
      <c r="T106" s="105">
        <v>100</v>
      </c>
      <c r="U106" s="108"/>
      <c r="V106" s="74">
        <f t="shared" si="17"/>
        <v>2013</v>
      </c>
      <c r="W106" s="179">
        <f>'AD Mauritius'!W106</f>
        <v>0</v>
      </c>
      <c r="X106" s="179">
        <f>'AD Mauritius'!X106</f>
        <v>0</v>
      </c>
      <c r="Y106" s="179">
        <f>'AD Mauritius'!Y106</f>
        <v>0</v>
      </c>
      <c r="Z106" s="179">
        <f>'AD Mauritius'!Z106</f>
        <v>0</v>
      </c>
    </row>
    <row r="107" spans="1:26" s="177" customFormat="1" x14ac:dyDescent="0.35">
      <c r="A107" s="88">
        <f t="shared" si="18"/>
        <v>2014</v>
      </c>
      <c r="B107" s="170">
        <f>'AD Mauritius'!B107</f>
        <v>1038334</v>
      </c>
      <c r="C107" s="195">
        <f>'AD Mauritius'!C107</f>
        <v>5.3668889867335414</v>
      </c>
      <c r="E107" s="88">
        <f t="shared" si="19"/>
        <v>2014</v>
      </c>
      <c r="F107" s="157"/>
      <c r="G107" s="157"/>
      <c r="H107" s="157"/>
      <c r="I107" s="193">
        <f>'AD Mauritius'!I107</f>
        <v>100</v>
      </c>
      <c r="J107" s="169"/>
      <c r="K107" s="158"/>
      <c r="L107" s="169"/>
      <c r="M107" s="169"/>
      <c r="N107" s="191"/>
      <c r="O107" s="191"/>
      <c r="P107" s="191"/>
      <c r="Q107" s="157"/>
      <c r="R107" s="157"/>
      <c r="S107" s="157"/>
      <c r="T107" s="105">
        <f t="shared" ref="T107:T109" si="21">SUM(F107:S107)</f>
        <v>100</v>
      </c>
      <c r="U107" s="108"/>
      <c r="V107" s="74">
        <f t="shared" si="17"/>
        <v>2014</v>
      </c>
      <c r="W107" s="179">
        <f>'AD Mauritius'!W107</f>
        <v>0</v>
      </c>
      <c r="X107" s="179">
        <f>'AD Mauritius'!X107</f>
        <v>0</v>
      </c>
      <c r="Y107" s="179">
        <f>'AD Mauritius'!Y107</f>
        <v>0</v>
      </c>
      <c r="Z107" s="179">
        <f>'AD Mauritius'!Z107</f>
        <v>0</v>
      </c>
    </row>
    <row r="108" spans="1:26" s="177" customFormat="1" x14ac:dyDescent="0.35">
      <c r="A108" s="88">
        <f t="shared" si="18"/>
        <v>2015</v>
      </c>
      <c r="B108" s="170">
        <f>'AD Mauritius'!B108</f>
        <v>1151252</v>
      </c>
      <c r="C108" s="195">
        <f>'AD Mauritius'!C108</f>
        <v>5.9505339127438406</v>
      </c>
      <c r="E108" s="88">
        <f t="shared" si="19"/>
        <v>2015</v>
      </c>
      <c r="F108" s="157"/>
      <c r="G108" s="157"/>
      <c r="H108" s="157"/>
      <c r="I108" s="193">
        <f>'AD Mauritius'!I108</f>
        <v>100</v>
      </c>
      <c r="J108" s="169"/>
      <c r="K108" s="158"/>
      <c r="L108" s="169"/>
      <c r="M108" s="169"/>
      <c r="N108" s="191"/>
      <c r="O108" s="191"/>
      <c r="P108" s="191"/>
      <c r="Q108" s="157"/>
      <c r="R108" s="157"/>
      <c r="S108" s="157"/>
      <c r="T108" s="105">
        <f t="shared" si="21"/>
        <v>100</v>
      </c>
      <c r="U108" s="108"/>
      <c r="V108" s="74">
        <f t="shared" si="17"/>
        <v>2015</v>
      </c>
      <c r="W108" s="179">
        <f>'AD Mauritius'!W108</f>
        <v>0</v>
      </c>
      <c r="X108" s="179">
        <f>'AD Mauritius'!X108</f>
        <v>0</v>
      </c>
      <c r="Y108" s="179">
        <f>'AD Mauritius'!Y108</f>
        <v>0</v>
      </c>
      <c r="Z108" s="179">
        <f>'AD Mauritius'!Z108</f>
        <v>0</v>
      </c>
    </row>
    <row r="109" spans="1:26" s="177" customFormat="1" x14ac:dyDescent="0.35">
      <c r="A109" s="88">
        <f t="shared" si="18"/>
        <v>2016</v>
      </c>
      <c r="B109" s="170">
        <f>'AD Mauritius'!B109</f>
        <v>1275227</v>
      </c>
      <c r="C109" s="195">
        <f>'AD Mauritius'!C109</f>
        <v>6.5913297088270761</v>
      </c>
      <c r="E109" s="88">
        <f t="shared" si="19"/>
        <v>2016</v>
      </c>
      <c r="F109" s="157"/>
      <c r="G109" s="157"/>
      <c r="H109" s="157"/>
      <c r="I109" s="193">
        <f>'AD Mauritius'!I109</f>
        <v>100</v>
      </c>
      <c r="J109" s="169"/>
      <c r="K109" s="158"/>
      <c r="L109" s="169"/>
      <c r="M109" s="169"/>
      <c r="N109" s="191"/>
      <c r="O109" s="191"/>
      <c r="P109" s="191"/>
      <c r="Q109" s="157"/>
      <c r="R109" s="157"/>
      <c r="S109" s="157"/>
      <c r="T109" s="105">
        <f t="shared" si="21"/>
        <v>100</v>
      </c>
      <c r="U109" s="108"/>
      <c r="V109" s="74">
        <f t="shared" si="17"/>
        <v>2016</v>
      </c>
      <c r="W109" s="179">
        <f>'AD Mauritius'!W109</f>
        <v>0</v>
      </c>
      <c r="X109" s="179">
        <f>'AD Mauritius'!X109</f>
        <v>0</v>
      </c>
      <c r="Y109" s="179">
        <f>'AD Mauritius'!Y109</f>
        <v>0</v>
      </c>
      <c r="Z109" s="179">
        <f>'AD Mauritius'!Z109</f>
        <v>0</v>
      </c>
    </row>
    <row r="110" spans="1:26" s="177" customFormat="1" x14ac:dyDescent="0.35">
      <c r="A110" s="100"/>
      <c r="E110" s="177" t="s">
        <v>403</v>
      </c>
      <c r="I110" s="91"/>
      <c r="J110" s="95"/>
      <c r="K110" s="96"/>
      <c r="L110" s="96"/>
      <c r="M110" s="96"/>
      <c r="W110" s="108"/>
    </row>
    <row r="111" spans="1:26" s="177" customFormat="1" x14ac:dyDescent="0.35">
      <c r="A111" s="100"/>
      <c r="I111" s="91"/>
      <c r="J111" s="95"/>
      <c r="K111" s="96"/>
      <c r="L111" s="96"/>
      <c r="M111" s="96"/>
      <c r="W111" s="108"/>
    </row>
    <row r="112" spans="1:26" ht="46" x14ac:dyDescent="1">
      <c r="A112" s="220" t="s">
        <v>288</v>
      </c>
      <c r="B112" s="220"/>
      <c r="C112" s="220"/>
      <c r="D112" s="220"/>
      <c r="E112" s="220"/>
      <c r="F112" s="220"/>
      <c r="G112" s="220"/>
      <c r="H112" s="220"/>
      <c r="I112" s="220"/>
      <c r="J112" s="220"/>
      <c r="K112" s="220"/>
      <c r="L112" s="220"/>
      <c r="M112" s="220"/>
      <c r="N112" s="220"/>
      <c r="O112" s="220"/>
      <c r="P112" s="220"/>
      <c r="Q112" s="220"/>
      <c r="R112" s="220"/>
      <c r="S112" s="220"/>
      <c r="T112" s="220"/>
      <c r="U112" s="116"/>
      <c r="V112" s="116"/>
      <c r="W112" s="116"/>
    </row>
    <row r="114" spans="1:20" x14ac:dyDescent="0.35">
      <c r="A114" s="129" t="str">
        <f>'AD Mauritius'!A114</f>
        <v>SUGAR INDUSTRY</v>
      </c>
      <c r="B114" s="130"/>
      <c r="C114" s="130"/>
      <c r="D114" s="130"/>
      <c r="E114" s="130"/>
      <c r="F114" s="130"/>
      <c r="G114" s="130"/>
      <c r="H114" s="130"/>
      <c r="I114" s="130"/>
      <c r="J114" s="130"/>
      <c r="K114" s="130"/>
      <c r="L114" s="130"/>
      <c r="M114" s="130"/>
      <c r="N114" s="130"/>
      <c r="O114" s="130"/>
      <c r="P114" s="130"/>
      <c r="Q114" s="130"/>
      <c r="R114" s="130"/>
      <c r="S114" s="130"/>
      <c r="T114" s="130"/>
    </row>
    <row r="116" spans="1:20" ht="72.5" x14ac:dyDescent="0.35">
      <c r="A116" s="67" t="s">
        <v>0</v>
      </c>
      <c r="B116" s="68" t="str">
        <f>'AD Mauritius'!B116</f>
        <v>P (t)</v>
      </c>
      <c r="C116" s="68" t="str">
        <f>'AD Mauritius'!C116</f>
        <v>W (m3/t produced)</v>
      </c>
      <c r="D116" s="68" t="str">
        <f>'AD Mauritius'!D116</f>
        <v>Wastewater produced (m3)</v>
      </c>
      <c r="E116" s="68" t="str">
        <f>'AD Mauritius'!E116</f>
        <v>COD (kg/m3)</v>
      </c>
      <c r="G116" s="67" t="s">
        <v>0</v>
      </c>
      <c r="H116" s="68" t="s">
        <v>339</v>
      </c>
      <c r="I116" s="68" t="s">
        <v>304</v>
      </c>
      <c r="J116" s="68" t="s">
        <v>305</v>
      </c>
      <c r="K116" s="68" t="s">
        <v>115</v>
      </c>
      <c r="L116" s="68" t="s">
        <v>330</v>
      </c>
      <c r="M116" s="68" t="s">
        <v>119</v>
      </c>
      <c r="N116" s="68" t="s">
        <v>123</v>
      </c>
      <c r="O116" s="68" t="s">
        <v>345</v>
      </c>
      <c r="Q116" s="67" t="s">
        <v>0</v>
      </c>
      <c r="R116" s="68" t="s">
        <v>18</v>
      </c>
      <c r="S116" s="68" t="s">
        <v>19</v>
      </c>
      <c r="T116" s="68" t="s">
        <v>21</v>
      </c>
    </row>
    <row r="117" spans="1:20" x14ac:dyDescent="0.35">
      <c r="A117" s="88">
        <v>2000</v>
      </c>
      <c r="B117" s="79">
        <f>'AD Mauritius'!B117</f>
        <v>569289</v>
      </c>
      <c r="C117" s="79">
        <f>'AD Mauritius'!C117</f>
        <v>8</v>
      </c>
      <c r="D117" s="127">
        <f>'AD Mauritius'!D117</f>
        <v>4554312</v>
      </c>
      <c r="E117" s="127">
        <f>'AD Mauritius'!E117</f>
        <v>5</v>
      </c>
      <c r="G117" s="88">
        <v>2000</v>
      </c>
      <c r="H117" s="124">
        <f>'AD Mauritius'!I117</f>
        <v>0</v>
      </c>
      <c r="I117" s="124">
        <f>'AD Mauritius'!J117</f>
        <v>25</v>
      </c>
      <c r="J117" s="124">
        <f>'AD Mauritius'!K117</f>
        <v>0</v>
      </c>
      <c r="K117" s="124">
        <f>'AD Mauritius'!L117</f>
        <v>75</v>
      </c>
      <c r="L117" s="124">
        <f>'AD Mauritius'!M117</f>
        <v>0</v>
      </c>
      <c r="M117" s="128">
        <f>'AD Mauritius'!N117</f>
        <v>0</v>
      </c>
      <c r="N117" s="124">
        <f>'AD Mauritius'!O117</f>
        <v>0</v>
      </c>
      <c r="O117" s="81">
        <f t="shared" ref="O117:O133" si="22">SUM(H117:N117)</f>
        <v>100</v>
      </c>
      <c r="Q117" s="74">
        <f t="shared" ref="Q117:Q133" si="23">A117</f>
        <v>2000</v>
      </c>
      <c r="R117" s="73">
        <f t="shared" ref="R117:R133" si="24">S117+T117</f>
        <v>0</v>
      </c>
      <c r="S117" s="125">
        <f>'AD Mauritius'!T117</f>
        <v>0</v>
      </c>
      <c r="T117" s="125">
        <f>'AD Mauritius'!U117</f>
        <v>0</v>
      </c>
    </row>
    <row r="118" spans="1:20" x14ac:dyDescent="0.35">
      <c r="A118" s="88">
        <f t="shared" ref="A118:A133" si="25">A117+1</f>
        <v>2001</v>
      </c>
      <c r="B118" s="79">
        <f>'AD Mauritius'!B118</f>
        <v>645597</v>
      </c>
      <c r="C118" s="79">
        <f>'AD Mauritius'!C118</f>
        <v>8</v>
      </c>
      <c r="D118" s="127">
        <f>'AD Mauritius'!D118</f>
        <v>5164776</v>
      </c>
      <c r="E118" s="127">
        <f>'AD Mauritius'!E118</f>
        <v>5</v>
      </c>
      <c r="G118" s="88">
        <f t="shared" ref="G118:G133" si="26">G117+1</f>
        <v>2001</v>
      </c>
      <c r="H118" s="124">
        <f>'AD Mauritius'!I118</f>
        <v>0</v>
      </c>
      <c r="I118" s="124">
        <f>'AD Mauritius'!J118</f>
        <v>25</v>
      </c>
      <c r="J118" s="124">
        <f>'AD Mauritius'!K118</f>
        <v>0</v>
      </c>
      <c r="K118" s="124">
        <f>'AD Mauritius'!L118</f>
        <v>75</v>
      </c>
      <c r="L118" s="124">
        <f>'AD Mauritius'!M118</f>
        <v>0</v>
      </c>
      <c r="M118" s="128">
        <f>'AD Mauritius'!N118</f>
        <v>0</v>
      </c>
      <c r="N118" s="124">
        <f>'AD Mauritius'!O118</f>
        <v>0</v>
      </c>
      <c r="O118" s="81">
        <f t="shared" si="22"/>
        <v>100</v>
      </c>
      <c r="Q118" s="74">
        <f t="shared" si="23"/>
        <v>2001</v>
      </c>
      <c r="R118" s="73">
        <f t="shared" si="24"/>
        <v>0</v>
      </c>
      <c r="S118" s="125">
        <f>'AD Mauritius'!T118</f>
        <v>0</v>
      </c>
      <c r="T118" s="125">
        <f>'AD Mauritius'!U118</f>
        <v>0</v>
      </c>
    </row>
    <row r="119" spans="1:20" x14ac:dyDescent="0.35">
      <c r="A119" s="88">
        <f t="shared" si="25"/>
        <v>2002</v>
      </c>
      <c r="B119" s="79">
        <f>'AD Mauritius'!B119</f>
        <v>520887</v>
      </c>
      <c r="C119" s="79">
        <f>'AD Mauritius'!C119</f>
        <v>8</v>
      </c>
      <c r="D119" s="127">
        <f>'AD Mauritius'!D119</f>
        <v>4167096</v>
      </c>
      <c r="E119" s="127">
        <f>'AD Mauritius'!E119</f>
        <v>5</v>
      </c>
      <c r="G119" s="88">
        <f t="shared" si="26"/>
        <v>2002</v>
      </c>
      <c r="H119" s="124">
        <f>'AD Mauritius'!I119</f>
        <v>0</v>
      </c>
      <c r="I119" s="124">
        <f>'AD Mauritius'!J119</f>
        <v>25</v>
      </c>
      <c r="J119" s="124">
        <f>'AD Mauritius'!K119</f>
        <v>0</v>
      </c>
      <c r="K119" s="124">
        <f>'AD Mauritius'!L119</f>
        <v>75</v>
      </c>
      <c r="L119" s="124">
        <f>'AD Mauritius'!M119</f>
        <v>0</v>
      </c>
      <c r="M119" s="128">
        <f>'AD Mauritius'!N119</f>
        <v>0</v>
      </c>
      <c r="N119" s="124">
        <f>'AD Mauritius'!O119</f>
        <v>0</v>
      </c>
      <c r="O119" s="81">
        <f t="shared" si="22"/>
        <v>100</v>
      </c>
      <c r="Q119" s="74">
        <f t="shared" si="23"/>
        <v>2002</v>
      </c>
      <c r="R119" s="73">
        <f t="shared" si="24"/>
        <v>0</v>
      </c>
      <c r="S119" s="125">
        <f>'AD Mauritius'!T119</f>
        <v>0</v>
      </c>
      <c r="T119" s="125">
        <f>'AD Mauritius'!U119</f>
        <v>0</v>
      </c>
    </row>
    <row r="120" spans="1:20" x14ac:dyDescent="0.35">
      <c r="A120" s="88">
        <f t="shared" si="25"/>
        <v>2003</v>
      </c>
      <c r="B120" s="79">
        <f>'AD Mauritius'!B120</f>
        <v>537155</v>
      </c>
      <c r="C120" s="79">
        <f>'AD Mauritius'!C120</f>
        <v>8</v>
      </c>
      <c r="D120" s="127">
        <f>'AD Mauritius'!D120</f>
        <v>4297240</v>
      </c>
      <c r="E120" s="127">
        <f>'AD Mauritius'!E120</f>
        <v>5</v>
      </c>
      <c r="G120" s="88">
        <f t="shared" si="26"/>
        <v>2003</v>
      </c>
      <c r="H120" s="124">
        <f>'AD Mauritius'!I120</f>
        <v>0</v>
      </c>
      <c r="I120" s="124">
        <f>'AD Mauritius'!J120</f>
        <v>25</v>
      </c>
      <c r="J120" s="124">
        <f>'AD Mauritius'!K120</f>
        <v>0</v>
      </c>
      <c r="K120" s="124">
        <f>'AD Mauritius'!L120</f>
        <v>75</v>
      </c>
      <c r="L120" s="124">
        <f>'AD Mauritius'!M120</f>
        <v>0</v>
      </c>
      <c r="M120" s="128">
        <f>'AD Mauritius'!N120</f>
        <v>0</v>
      </c>
      <c r="N120" s="124">
        <f>'AD Mauritius'!O120</f>
        <v>0</v>
      </c>
      <c r="O120" s="81">
        <f t="shared" si="22"/>
        <v>100</v>
      </c>
      <c r="Q120" s="74">
        <f t="shared" si="23"/>
        <v>2003</v>
      </c>
      <c r="R120" s="73">
        <f t="shared" si="24"/>
        <v>0</v>
      </c>
      <c r="S120" s="125">
        <f>'AD Mauritius'!T120</f>
        <v>0</v>
      </c>
      <c r="T120" s="125">
        <f>'AD Mauritius'!U120</f>
        <v>0</v>
      </c>
    </row>
    <row r="121" spans="1:20" x14ac:dyDescent="0.35">
      <c r="A121" s="88">
        <f t="shared" si="25"/>
        <v>2004</v>
      </c>
      <c r="B121" s="79">
        <f>'AD Mauritius'!B121</f>
        <v>572316</v>
      </c>
      <c r="C121" s="79">
        <f>'AD Mauritius'!C121</f>
        <v>8</v>
      </c>
      <c r="D121" s="127">
        <f>'AD Mauritius'!D121</f>
        <v>4578528</v>
      </c>
      <c r="E121" s="127">
        <f>'AD Mauritius'!E121</f>
        <v>5</v>
      </c>
      <c r="G121" s="88">
        <f t="shared" si="26"/>
        <v>2004</v>
      </c>
      <c r="H121" s="124">
        <f>'AD Mauritius'!I121</f>
        <v>0</v>
      </c>
      <c r="I121" s="124">
        <f>'AD Mauritius'!J121</f>
        <v>25</v>
      </c>
      <c r="J121" s="124">
        <f>'AD Mauritius'!K121</f>
        <v>0</v>
      </c>
      <c r="K121" s="124">
        <f>'AD Mauritius'!L121</f>
        <v>75</v>
      </c>
      <c r="L121" s="124">
        <f>'AD Mauritius'!M121</f>
        <v>0</v>
      </c>
      <c r="M121" s="128">
        <f>'AD Mauritius'!N121</f>
        <v>0</v>
      </c>
      <c r="N121" s="124">
        <f>'AD Mauritius'!O121</f>
        <v>0</v>
      </c>
      <c r="O121" s="81">
        <f t="shared" si="22"/>
        <v>100</v>
      </c>
      <c r="Q121" s="74">
        <f t="shared" si="23"/>
        <v>2004</v>
      </c>
      <c r="R121" s="73">
        <f t="shared" si="24"/>
        <v>0</v>
      </c>
      <c r="S121" s="125">
        <f>'AD Mauritius'!T121</f>
        <v>0</v>
      </c>
      <c r="T121" s="125">
        <f>'AD Mauritius'!U121</f>
        <v>0</v>
      </c>
    </row>
    <row r="122" spans="1:20" x14ac:dyDescent="0.35">
      <c r="A122" s="88">
        <f t="shared" si="25"/>
        <v>2005</v>
      </c>
      <c r="B122" s="79">
        <f>'AD Mauritius'!B122</f>
        <v>519816</v>
      </c>
      <c r="C122" s="79">
        <f>'AD Mauritius'!C122</f>
        <v>8</v>
      </c>
      <c r="D122" s="127">
        <f>'AD Mauritius'!D122</f>
        <v>4158528</v>
      </c>
      <c r="E122" s="127">
        <f>'AD Mauritius'!E122</f>
        <v>5</v>
      </c>
      <c r="G122" s="88">
        <f t="shared" si="26"/>
        <v>2005</v>
      </c>
      <c r="H122" s="124">
        <f>'AD Mauritius'!I122</f>
        <v>0</v>
      </c>
      <c r="I122" s="124">
        <f>'AD Mauritius'!J122</f>
        <v>25</v>
      </c>
      <c r="J122" s="124">
        <f>'AD Mauritius'!K122</f>
        <v>0</v>
      </c>
      <c r="K122" s="124">
        <f>'AD Mauritius'!L122</f>
        <v>75</v>
      </c>
      <c r="L122" s="124">
        <f>'AD Mauritius'!M122</f>
        <v>0</v>
      </c>
      <c r="M122" s="128">
        <f>'AD Mauritius'!N122</f>
        <v>0</v>
      </c>
      <c r="N122" s="124">
        <f>'AD Mauritius'!O122</f>
        <v>0</v>
      </c>
      <c r="O122" s="81">
        <f t="shared" si="22"/>
        <v>100</v>
      </c>
      <c r="Q122" s="74">
        <f t="shared" si="23"/>
        <v>2005</v>
      </c>
      <c r="R122" s="73">
        <f t="shared" si="24"/>
        <v>0</v>
      </c>
      <c r="S122" s="125">
        <f>'AD Mauritius'!T122</f>
        <v>0</v>
      </c>
      <c r="T122" s="125">
        <f>'AD Mauritius'!U122</f>
        <v>0</v>
      </c>
    </row>
    <row r="123" spans="1:20" x14ac:dyDescent="0.35">
      <c r="A123" s="88">
        <f t="shared" si="25"/>
        <v>2006</v>
      </c>
      <c r="B123" s="79">
        <f>'AD Mauritius'!B123</f>
        <v>504857</v>
      </c>
      <c r="C123" s="79">
        <f>'AD Mauritius'!C123</f>
        <v>8</v>
      </c>
      <c r="D123" s="127">
        <f>'AD Mauritius'!D123</f>
        <v>4038856</v>
      </c>
      <c r="E123" s="127">
        <f>'AD Mauritius'!E123</f>
        <v>5</v>
      </c>
      <c r="G123" s="88">
        <f t="shared" si="26"/>
        <v>2006</v>
      </c>
      <c r="H123" s="124">
        <f>'AD Mauritius'!I123</f>
        <v>0</v>
      </c>
      <c r="I123" s="124">
        <f>'AD Mauritius'!J123</f>
        <v>25</v>
      </c>
      <c r="J123" s="124">
        <f>'AD Mauritius'!K123</f>
        <v>0</v>
      </c>
      <c r="K123" s="124">
        <f>'AD Mauritius'!L123</f>
        <v>75</v>
      </c>
      <c r="L123" s="124">
        <f>'AD Mauritius'!M123</f>
        <v>0</v>
      </c>
      <c r="M123" s="128">
        <f>'AD Mauritius'!N123</f>
        <v>0</v>
      </c>
      <c r="N123" s="124">
        <f>'AD Mauritius'!O123</f>
        <v>0</v>
      </c>
      <c r="O123" s="81">
        <f t="shared" si="22"/>
        <v>100</v>
      </c>
      <c r="Q123" s="74">
        <f t="shared" si="23"/>
        <v>2006</v>
      </c>
      <c r="R123" s="73">
        <f t="shared" si="24"/>
        <v>0</v>
      </c>
      <c r="S123" s="125">
        <f>'AD Mauritius'!T123</f>
        <v>0</v>
      </c>
      <c r="T123" s="125">
        <f>'AD Mauritius'!U123</f>
        <v>0</v>
      </c>
    </row>
    <row r="124" spans="1:20" x14ac:dyDescent="0.35">
      <c r="A124" s="88">
        <f t="shared" si="25"/>
        <v>2007</v>
      </c>
      <c r="B124" s="79">
        <f>'AD Mauritius'!B124</f>
        <v>435972</v>
      </c>
      <c r="C124" s="79">
        <f>'AD Mauritius'!C124</f>
        <v>8</v>
      </c>
      <c r="D124" s="127">
        <f>'AD Mauritius'!D124</f>
        <v>3487776</v>
      </c>
      <c r="E124" s="127">
        <f>'AD Mauritius'!E124</f>
        <v>5</v>
      </c>
      <c r="G124" s="88">
        <f t="shared" si="26"/>
        <v>2007</v>
      </c>
      <c r="H124" s="124">
        <f>'AD Mauritius'!I124</f>
        <v>0</v>
      </c>
      <c r="I124" s="124">
        <f>'AD Mauritius'!J124</f>
        <v>25</v>
      </c>
      <c r="J124" s="124">
        <f>'AD Mauritius'!K124</f>
        <v>0</v>
      </c>
      <c r="K124" s="124">
        <f>'AD Mauritius'!L124</f>
        <v>75</v>
      </c>
      <c r="L124" s="124">
        <f>'AD Mauritius'!M124</f>
        <v>0</v>
      </c>
      <c r="M124" s="128">
        <f>'AD Mauritius'!N124</f>
        <v>0</v>
      </c>
      <c r="N124" s="124">
        <f>'AD Mauritius'!O124</f>
        <v>0</v>
      </c>
      <c r="O124" s="81">
        <f t="shared" si="22"/>
        <v>100</v>
      </c>
      <c r="Q124" s="74">
        <f t="shared" si="23"/>
        <v>2007</v>
      </c>
      <c r="R124" s="73">
        <f t="shared" si="24"/>
        <v>0</v>
      </c>
      <c r="S124" s="125">
        <f>'AD Mauritius'!T124</f>
        <v>0</v>
      </c>
      <c r="T124" s="125">
        <f>'AD Mauritius'!U124</f>
        <v>0</v>
      </c>
    </row>
    <row r="125" spans="1:20" x14ac:dyDescent="0.35">
      <c r="A125" s="88">
        <f t="shared" si="25"/>
        <v>2008</v>
      </c>
      <c r="B125" s="79">
        <f>'AD Mauritius'!B125</f>
        <v>452062</v>
      </c>
      <c r="C125" s="79">
        <f>'AD Mauritius'!C125</f>
        <v>8</v>
      </c>
      <c r="D125" s="127">
        <f>'AD Mauritius'!D125</f>
        <v>3616496</v>
      </c>
      <c r="E125" s="127">
        <f>'AD Mauritius'!E125</f>
        <v>5</v>
      </c>
      <c r="G125" s="88">
        <f t="shared" si="26"/>
        <v>2008</v>
      </c>
      <c r="H125" s="124">
        <f>'AD Mauritius'!I125</f>
        <v>0</v>
      </c>
      <c r="I125" s="124">
        <f>'AD Mauritius'!J125</f>
        <v>25</v>
      </c>
      <c r="J125" s="124">
        <f>'AD Mauritius'!K125</f>
        <v>0</v>
      </c>
      <c r="K125" s="124">
        <f>'AD Mauritius'!L125</f>
        <v>75</v>
      </c>
      <c r="L125" s="124">
        <f>'AD Mauritius'!M125</f>
        <v>0</v>
      </c>
      <c r="M125" s="128">
        <f>'AD Mauritius'!N125</f>
        <v>0</v>
      </c>
      <c r="N125" s="124">
        <f>'AD Mauritius'!O125</f>
        <v>0</v>
      </c>
      <c r="O125" s="81">
        <f t="shared" si="22"/>
        <v>100</v>
      </c>
      <c r="Q125" s="74">
        <f t="shared" si="23"/>
        <v>2008</v>
      </c>
      <c r="R125" s="73">
        <f t="shared" si="24"/>
        <v>0</v>
      </c>
      <c r="S125" s="125">
        <f>'AD Mauritius'!T125</f>
        <v>0</v>
      </c>
      <c r="T125" s="125">
        <f>'AD Mauritius'!U125</f>
        <v>0</v>
      </c>
    </row>
    <row r="126" spans="1:20" x14ac:dyDescent="0.35">
      <c r="A126" s="88">
        <f t="shared" si="25"/>
        <v>2009</v>
      </c>
      <c r="B126" s="79">
        <f>'AD Mauritius'!B126</f>
        <v>467234</v>
      </c>
      <c r="C126" s="79">
        <f>'AD Mauritius'!C126</f>
        <v>8</v>
      </c>
      <c r="D126" s="127">
        <f>'AD Mauritius'!D126</f>
        <v>3737872</v>
      </c>
      <c r="E126" s="127">
        <f>'AD Mauritius'!E126</f>
        <v>5</v>
      </c>
      <c r="G126" s="88">
        <f t="shared" si="26"/>
        <v>2009</v>
      </c>
      <c r="H126" s="124">
        <f>'AD Mauritius'!I126</f>
        <v>0</v>
      </c>
      <c r="I126" s="124">
        <f>'AD Mauritius'!J126</f>
        <v>25</v>
      </c>
      <c r="J126" s="124">
        <f>'AD Mauritius'!K126</f>
        <v>0</v>
      </c>
      <c r="K126" s="124">
        <f>'AD Mauritius'!L126</f>
        <v>75</v>
      </c>
      <c r="L126" s="124">
        <f>'AD Mauritius'!M126</f>
        <v>0</v>
      </c>
      <c r="M126" s="128">
        <f>'AD Mauritius'!N126</f>
        <v>0</v>
      </c>
      <c r="N126" s="124">
        <f>'AD Mauritius'!O126</f>
        <v>0</v>
      </c>
      <c r="O126" s="81">
        <f t="shared" si="22"/>
        <v>100</v>
      </c>
      <c r="Q126" s="74">
        <f t="shared" si="23"/>
        <v>2009</v>
      </c>
      <c r="R126" s="73">
        <f t="shared" si="24"/>
        <v>0</v>
      </c>
      <c r="S126" s="125">
        <f>'AD Mauritius'!T126</f>
        <v>0</v>
      </c>
      <c r="T126" s="125">
        <f>'AD Mauritius'!U126</f>
        <v>0</v>
      </c>
    </row>
    <row r="127" spans="1:20" x14ac:dyDescent="0.35">
      <c r="A127" s="88">
        <f t="shared" si="25"/>
        <v>2010</v>
      </c>
      <c r="B127" s="79">
        <f>'AD Mauritius'!B127</f>
        <v>452473</v>
      </c>
      <c r="C127" s="79">
        <f>'AD Mauritius'!C127</f>
        <v>8</v>
      </c>
      <c r="D127" s="127">
        <f>'AD Mauritius'!D127</f>
        <v>3619784</v>
      </c>
      <c r="E127" s="127">
        <f>'AD Mauritius'!E127</f>
        <v>5</v>
      </c>
      <c r="G127" s="88">
        <f t="shared" si="26"/>
        <v>2010</v>
      </c>
      <c r="H127" s="124">
        <f>'AD Mauritius'!I127</f>
        <v>0</v>
      </c>
      <c r="I127" s="124">
        <f>'AD Mauritius'!J127</f>
        <v>25</v>
      </c>
      <c r="J127" s="124">
        <f>'AD Mauritius'!K127</f>
        <v>0</v>
      </c>
      <c r="K127" s="124">
        <f>'AD Mauritius'!L127</f>
        <v>75</v>
      </c>
      <c r="L127" s="124">
        <f>'AD Mauritius'!M127</f>
        <v>0</v>
      </c>
      <c r="M127" s="128">
        <f>'AD Mauritius'!N127</f>
        <v>0</v>
      </c>
      <c r="N127" s="124">
        <f>'AD Mauritius'!O127</f>
        <v>0</v>
      </c>
      <c r="O127" s="81">
        <f t="shared" si="22"/>
        <v>100</v>
      </c>
      <c r="Q127" s="74">
        <f t="shared" si="23"/>
        <v>2010</v>
      </c>
      <c r="R127" s="73">
        <f t="shared" si="24"/>
        <v>0</v>
      </c>
      <c r="S127" s="125">
        <f>'AD Mauritius'!T127</f>
        <v>0</v>
      </c>
      <c r="T127" s="125">
        <f>'AD Mauritius'!U127</f>
        <v>0</v>
      </c>
    </row>
    <row r="128" spans="1:20" x14ac:dyDescent="0.35">
      <c r="A128" s="88">
        <f t="shared" si="25"/>
        <v>2011</v>
      </c>
      <c r="B128" s="79">
        <f>'AD Mauritius'!B128</f>
        <v>435310</v>
      </c>
      <c r="C128" s="79">
        <f>'AD Mauritius'!C128</f>
        <v>8</v>
      </c>
      <c r="D128" s="127">
        <f>'AD Mauritius'!D128</f>
        <v>3482480</v>
      </c>
      <c r="E128" s="127">
        <f>'AD Mauritius'!E128</f>
        <v>5</v>
      </c>
      <c r="G128" s="88">
        <f t="shared" si="26"/>
        <v>2011</v>
      </c>
      <c r="H128" s="124">
        <f>'AD Mauritius'!I128</f>
        <v>0</v>
      </c>
      <c r="I128" s="124">
        <f>'AD Mauritius'!J128</f>
        <v>25</v>
      </c>
      <c r="J128" s="124">
        <f>'AD Mauritius'!K128</f>
        <v>0</v>
      </c>
      <c r="K128" s="124">
        <f>'AD Mauritius'!L128</f>
        <v>75</v>
      </c>
      <c r="L128" s="124">
        <f>'AD Mauritius'!M128</f>
        <v>0</v>
      </c>
      <c r="M128" s="128">
        <f>'AD Mauritius'!N128</f>
        <v>0</v>
      </c>
      <c r="N128" s="124">
        <f>'AD Mauritius'!O128</f>
        <v>0</v>
      </c>
      <c r="O128" s="81">
        <f t="shared" si="22"/>
        <v>100</v>
      </c>
      <c r="Q128" s="74">
        <f t="shared" si="23"/>
        <v>2011</v>
      </c>
      <c r="R128" s="73">
        <f t="shared" si="24"/>
        <v>0</v>
      </c>
      <c r="S128" s="125">
        <f>'AD Mauritius'!T128</f>
        <v>0</v>
      </c>
      <c r="T128" s="125">
        <f>'AD Mauritius'!U128</f>
        <v>0</v>
      </c>
    </row>
    <row r="129" spans="1:20" x14ac:dyDescent="0.35">
      <c r="A129" s="88">
        <f t="shared" si="25"/>
        <v>2012</v>
      </c>
      <c r="B129" s="79">
        <f>'AD Mauritius'!B129</f>
        <v>409200</v>
      </c>
      <c r="C129" s="79">
        <f>'AD Mauritius'!C129</f>
        <v>8</v>
      </c>
      <c r="D129" s="127">
        <f>'AD Mauritius'!D129</f>
        <v>3273600</v>
      </c>
      <c r="E129" s="127">
        <f>'AD Mauritius'!E129</f>
        <v>5</v>
      </c>
      <c r="G129" s="88">
        <f t="shared" si="26"/>
        <v>2012</v>
      </c>
      <c r="H129" s="124">
        <f>'AD Mauritius'!I129</f>
        <v>0</v>
      </c>
      <c r="I129" s="124">
        <f>'AD Mauritius'!J129</f>
        <v>25</v>
      </c>
      <c r="J129" s="124">
        <f>'AD Mauritius'!K129</f>
        <v>0</v>
      </c>
      <c r="K129" s="124">
        <f>'AD Mauritius'!L129</f>
        <v>75</v>
      </c>
      <c r="L129" s="124">
        <f>'AD Mauritius'!M129</f>
        <v>0</v>
      </c>
      <c r="M129" s="128">
        <f>'AD Mauritius'!N129</f>
        <v>0</v>
      </c>
      <c r="N129" s="124">
        <f>'AD Mauritius'!O129</f>
        <v>0</v>
      </c>
      <c r="O129" s="81">
        <f t="shared" si="22"/>
        <v>100</v>
      </c>
      <c r="Q129" s="74">
        <f t="shared" si="23"/>
        <v>2012</v>
      </c>
      <c r="R129" s="73">
        <f t="shared" si="24"/>
        <v>0</v>
      </c>
      <c r="S129" s="125">
        <f>'AD Mauritius'!T129</f>
        <v>0</v>
      </c>
      <c r="T129" s="125">
        <f>'AD Mauritius'!U129</f>
        <v>0</v>
      </c>
    </row>
    <row r="130" spans="1:20" x14ac:dyDescent="0.35">
      <c r="A130" s="88">
        <f t="shared" si="25"/>
        <v>2013</v>
      </c>
      <c r="B130" s="79">
        <f>'AD Mauritius'!B130</f>
        <v>404713</v>
      </c>
      <c r="C130" s="79">
        <f>'AD Mauritius'!C130</f>
        <v>8</v>
      </c>
      <c r="D130" s="127">
        <f>'AD Mauritius'!D130</f>
        <v>3237704</v>
      </c>
      <c r="E130" s="127">
        <f>'AD Mauritius'!E130</f>
        <v>5</v>
      </c>
      <c r="G130" s="88">
        <f t="shared" si="26"/>
        <v>2013</v>
      </c>
      <c r="H130" s="124">
        <f>'AD Mauritius'!I130</f>
        <v>0</v>
      </c>
      <c r="I130" s="124">
        <f>'AD Mauritius'!J130</f>
        <v>25</v>
      </c>
      <c r="J130" s="124">
        <f>'AD Mauritius'!K130</f>
        <v>0</v>
      </c>
      <c r="K130" s="124">
        <f>'AD Mauritius'!L130</f>
        <v>75</v>
      </c>
      <c r="L130" s="124">
        <f>'AD Mauritius'!M130</f>
        <v>0</v>
      </c>
      <c r="M130" s="128">
        <f>'AD Mauritius'!N130</f>
        <v>0</v>
      </c>
      <c r="N130" s="124">
        <f>'AD Mauritius'!O130</f>
        <v>0</v>
      </c>
      <c r="O130" s="81">
        <f t="shared" si="22"/>
        <v>100</v>
      </c>
      <c r="Q130" s="74">
        <f t="shared" si="23"/>
        <v>2013</v>
      </c>
      <c r="R130" s="73">
        <f t="shared" si="24"/>
        <v>0</v>
      </c>
      <c r="S130" s="125">
        <f>'AD Mauritius'!T130</f>
        <v>0</v>
      </c>
      <c r="T130" s="125">
        <f>'AD Mauritius'!U130</f>
        <v>0</v>
      </c>
    </row>
    <row r="131" spans="1:20" x14ac:dyDescent="0.35">
      <c r="A131" s="88">
        <f t="shared" si="25"/>
        <v>2014</v>
      </c>
      <c r="B131" s="79">
        <f>'AD Mauritius'!B131</f>
        <v>400173</v>
      </c>
      <c r="C131" s="79">
        <f>'AD Mauritius'!C131</f>
        <v>8</v>
      </c>
      <c r="D131" s="127">
        <f>'AD Mauritius'!D131</f>
        <v>3201384</v>
      </c>
      <c r="E131" s="127">
        <f>'AD Mauritius'!E131</f>
        <v>5</v>
      </c>
      <c r="G131" s="88">
        <f t="shared" si="26"/>
        <v>2014</v>
      </c>
      <c r="H131" s="124">
        <f>'AD Mauritius'!I131</f>
        <v>0</v>
      </c>
      <c r="I131" s="124">
        <f>'AD Mauritius'!J131</f>
        <v>25</v>
      </c>
      <c r="J131" s="124">
        <f>'AD Mauritius'!K131</f>
        <v>0</v>
      </c>
      <c r="K131" s="124">
        <f>'AD Mauritius'!L131</f>
        <v>75</v>
      </c>
      <c r="L131" s="124">
        <f>'AD Mauritius'!M131</f>
        <v>0</v>
      </c>
      <c r="M131" s="128">
        <f>'AD Mauritius'!N131</f>
        <v>0</v>
      </c>
      <c r="N131" s="124">
        <f>'AD Mauritius'!O131</f>
        <v>0</v>
      </c>
      <c r="O131" s="81">
        <f t="shared" si="22"/>
        <v>100</v>
      </c>
      <c r="Q131" s="74">
        <f t="shared" si="23"/>
        <v>2014</v>
      </c>
      <c r="R131" s="73">
        <f t="shared" si="24"/>
        <v>0</v>
      </c>
      <c r="S131" s="125">
        <f>'AD Mauritius'!T131</f>
        <v>0</v>
      </c>
      <c r="T131" s="125">
        <f>'AD Mauritius'!U131</f>
        <v>0</v>
      </c>
    </row>
    <row r="132" spans="1:20" x14ac:dyDescent="0.35">
      <c r="A132" s="88">
        <f t="shared" si="25"/>
        <v>2015</v>
      </c>
      <c r="B132" s="79">
        <f>'AD Mauritius'!B132</f>
        <v>366069.87800000003</v>
      </c>
      <c r="C132" s="79">
        <f>'AD Mauritius'!C132</f>
        <v>8</v>
      </c>
      <c r="D132" s="127">
        <f>'AD Mauritius'!D132</f>
        <v>2928559.0240000002</v>
      </c>
      <c r="E132" s="127">
        <f>'AD Mauritius'!E132</f>
        <v>5</v>
      </c>
      <c r="G132" s="88">
        <f t="shared" si="26"/>
        <v>2015</v>
      </c>
      <c r="H132" s="124">
        <f>'AD Mauritius'!I132</f>
        <v>0</v>
      </c>
      <c r="I132" s="124">
        <f>'AD Mauritius'!J132</f>
        <v>25</v>
      </c>
      <c r="J132" s="124">
        <f>'AD Mauritius'!K132</f>
        <v>0</v>
      </c>
      <c r="K132" s="124">
        <f>'AD Mauritius'!L132</f>
        <v>75</v>
      </c>
      <c r="L132" s="124">
        <f>'AD Mauritius'!M132</f>
        <v>0</v>
      </c>
      <c r="M132" s="128">
        <f>'AD Mauritius'!N132</f>
        <v>0</v>
      </c>
      <c r="N132" s="124">
        <f>'AD Mauritius'!O132</f>
        <v>0</v>
      </c>
      <c r="O132" s="81">
        <f t="shared" si="22"/>
        <v>100</v>
      </c>
      <c r="Q132" s="74">
        <f t="shared" si="23"/>
        <v>2015</v>
      </c>
      <c r="R132" s="73">
        <f t="shared" si="24"/>
        <v>0</v>
      </c>
      <c r="S132" s="125">
        <f>'AD Mauritius'!T132</f>
        <v>0</v>
      </c>
      <c r="T132" s="125">
        <f>'AD Mauritius'!U132</f>
        <v>0</v>
      </c>
    </row>
    <row r="133" spans="1:20" x14ac:dyDescent="0.35">
      <c r="A133" s="88">
        <f t="shared" si="25"/>
        <v>2016</v>
      </c>
      <c r="B133" s="79">
        <f>'AD Mauritius'!B133</f>
        <v>386277.255</v>
      </c>
      <c r="C133" s="79">
        <f>'AD Mauritius'!C133</f>
        <v>8</v>
      </c>
      <c r="D133" s="127">
        <f>'AD Mauritius'!D133</f>
        <v>3090218.04</v>
      </c>
      <c r="E133" s="127">
        <f>'AD Mauritius'!E133</f>
        <v>5</v>
      </c>
      <c r="G133" s="88">
        <f t="shared" si="26"/>
        <v>2016</v>
      </c>
      <c r="H133" s="124">
        <f>'AD Mauritius'!I133</f>
        <v>0</v>
      </c>
      <c r="I133" s="124">
        <f>'AD Mauritius'!J133</f>
        <v>25</v>
      </c>
      <c r="J133" s="124">
        <f>'AD Mauritius'!K133</f>
        <v>0</v>
      </c>
      <c r="K133" s="124">
        <f>'AD Mauritius'!L133</f>
        <v>75</v>
      </c>
      <c r="L133" s="124">
        <f>'AD Mauritius'!M133</f>
        <v>0</v>
      </c>
      <c r="M133" s="128">
        <f>'AD Mauritius'!N133</f>
        <v>0</v>
      </c>
      <c r="N133" s="124">
        <f>'AD Mauritius'!O133</f>
        <v>0</v>
      </c>
      <c r="O133" s="81">
        <f t="shared" si="22"/>
        <v>100</v>
      </c>
      <c r="Q133" s="74">
        <f t="shared" si="23"/>
        <v>2016</v>
      </c>
      <c r="R133" s="73">
        <f t="shared" si="24"/>
        <v>0</v>
      </c>
      <c r="S133" s="125">
        <f>'AD Mauritius'!T133</f>
        <v>0</v>
      </c>
      <c r="T133" s="125">
        <f>'AD Mauritius'!U133</f>
        <v>0</v>
      </c>
    </row>
    <row r="134" spans="1:20" x14ac:dyDescent="0.35">
      <c r="A134" s="86"/>
      <c r="G134" s="177" t="s">
        <v>391</v>
      </c>
      <c r="J134" s="92"/>
      <c r="K134" s="93"/>
      <c r="L134" s="94"/>
      <c r="M134" s="94"/>
      <c r="N134" s="94"/>
    </row>
    <row r="135" spans="1:20" x14ac:dyDescent="0.35">
      <c r="A135" s="122" t="str">
        <f>'AD Mauritius'!A135</f>
        <v>POULTRY INDUSTRY</v>
      </c>
      <c r="J135" s="91"/>
      <c r="K135" s="95"/>
      <c r="L135" s="96"/>
      <c r="M135" s="96"/>
      <c r="N135" s="96"/>
    </row>
    <row r="136" spans="1:20" x14ac:dyDescent="0.35">
      <c r="J136" s="107"/>
      <c r="K136" s="108"/>
      <c r="L136" s="109"/>
      <c r="M136" s="110"/>
      <c r="N136" s="111"/>
    </row>
    <row r="137" spans="1:20" ht="72.5" x14ac:dyDescent="0.35">
      <c r="A137" s="67" t="s">
        <v>0</v>
      </c>
      <c r="B137" s="117" t="str">
        <f>'AD Mauritius'!B137</f>
        <v>P (t)</v>
      </c>
      <c r="C137" s="117" t="str">
        <f>'AD Mauritius'!C137</f>
        <v>W (m3/t produced)</v>
      </c>
      <c r="D137" s="117" t="str">
        <f>'AD Mauritius'!D137</f>
        <v>Wastewater produced (m3)</v>
      </c>
      <c r="E137" s="117" t="str">
        <f>'AD Mauritius'!E137</f>
        <v>COD (kg/m3)</v>
      </c>
      <c r="G137" s="67" t="s">
        <v>0</v>
      </c>
      <c r="H137" s="68" t="s">
        <v>339</v>
      </c>
      <c r="I137" s="68" t="s">
        <v>304</v>
      </c>
      <c r="J137" s="68" t="s">
        <v>305</v>
      </c>
      <c r="K137" s="68" t="s">
        <v>115</v>
      </c>
      <c r="L137" s="68" t="s">
        <v>330</v>
      </c>
      <c r="M137" s="68" t="s">
        <v>119</v>
      </c>
      <c r="N137" s="68" t="s">
        <v>123</v>
      </c>
      <c r="O137" s="68" t="s">
        <v>345</v>
      </c>
      <c r="Q137" s="67" t="s">
        <v>0</v>
      </c>
      <c r="R137" s="68" t="s">
        <v>18</v>
      </c>
      <c r="S137" s="68" t="s">
        <v>19</v>
      </c>
      <c r="T137" s="68" t="s">
        <v>21</v>
      </c>
    </row>
    <row r="138" spans="1:20" x14ac:dyDescent="0.35">
      <c r="A138" s="88">
        <v>2000</v>
      </c>
      <c r="B138" s="79">
        <f>'AD Mauritius'!B138</f>
        <v>41276</v>
      </c>
      <c r="C138" s="79">
        <f>'AD Mauritius'!C138</f>
        <v>8.6</v>
      </c>
      <c r="D138" s="127">
        <f>'AD Mauritius'!D138</f>
        <v>354973.6</v>
      </c>
      <c r="E138" s="127">
        <f>'AD Mauritius'!E138</f>
        <v>3.5</v>
      </c>
      <c r="G138" s="88">
        <v>2000</v>
      </c>
      <c r="H138" s="124">
        <f>'AD Mauritius'!I138</f>
        <v>0</v>
      </c>
      <c r="I138" s="124">
        <f>'AD Mauritius'!J138</f>
        <v>25</v>
      </c>
      <c r="J138" s="124">
        <f>'AD Mauritius'!K138</f>
        <v>0</v>
      </c>
      <c r="K138" s="124">
        <f>'AD Mauritius'!L138</f>
        <v>75</v>
      </c>
      <c r="L138" s="124">
        <f>'AD Mauritius'!M138</f>
        <v>0</v>
      </c>
      <c r="M138" s="128">
        <f>'AD Mauritius'!N138</f>
        <v>0</v>
      </c>
      <c r="N138" s="124">
        <f>'AD Mauritius'!O138</f>
        <v>0</v>
      </c>
      <c r="O138" s="81">
        <f t="shared" ref="O138:O154" si="27">SUM(H138:N138)</f>
        <v>100</v>
      </c>
      <c r="Q138" s="74">
        <f t="shared" ref="Q138:Q154" si="28">A138</f>
        <v>2000</v>
      </c>
      <c r="R138" s="73">
        <f t="shared" ref="R138:R154" si="29">S138+T138</f>
        <v>0</v>
      </c>
      <c r="S138" s="125">
        <f>'AD Mauritius'!T138</f>
        <v>0</v>
      </c>
      <c r="T138" s="125">
        <f>'AD Mauritius'!U138</f>
        <v>0</v>
      </c>
    </row>
    <row r="139" spans="1:20" x14ac:dyDescent="0.35">
      <c r="A139" s="88">
        <f t="shared" ref="A139:A154" si="30">A138+1</f>
        <v>2001</v>
      </c>
      <c r="B139" s="79">
        <f>'AD Mauritius'!B139</f>
        <v>41276</v>
      </c>
      <c r="C139" s="79">
        <f>'AD Mauritius'!C139</f>
        <v>8.6</v>
      </c>
      <c r="D139" s="127">
        <f>'AD Mauritius'!D139</f>
        <v>354973.6</v>
      </c>
      <c r="E139" s="127">
        <f>'AD Mauritius'!E139</f>
        <v>3.5</v>
      </c>
      <c r="G139" s="88">
        <f t="shared" ref="G139:G154" si="31">G138+1</f>
        <v>2001</v>
      </c>
      <c r="H139" s="124">
        <f>'AD Mauritius'!I139</f>
        <v>0</v>
      </c>
      <c r="I139" s="124">
        <f>'AD Mauritius'!J139</f>
        <v>25</v>
      </c>
      <c r="J139" s="124">
        <f>'AD Mauritius'!K139</f>
        <v>0</v>
      </c>
      <c r="K139" s="124">
        <f>'AD Mauritius'!L139</f>
        <v>75</v>
      </c>
      <c r="L139" s="124">
        <f>'AD Mauritius'!M139</f>
        <v>0</v>
      </c>
      <c r="M139" s="128">
        <f>'AD Mauritius'!N139</f>
        <v>0</v>
      </c>
      <c r="N139" s="124">
        <f>'AD Mauritius'!O139</f>
        <v>0</v>
      </c>
      <c r="O139" s="81">
        <f t="shared" si="27"/>
        <v>100</v>
      </c>
      <c r="Q139" s="74">
        <f t="shared" si="28"/>
        <v>2001</v>
      </c>
      <c r="R139" s="73">
        <f t="shared" si="29"/>
        <v>0</v>
      </c>
      <c r="S139" s="125">
        <f>'AD Mauritius'!T139</f>
        <v>0</v>
      </c>
      <c r="T139" s="125">
        <f>'AD Mauritius'!U139</f>
        <v>0</v>
      </c>
    </row>
    <row r="140" spans="1:20" x14ac:dyDescent="0.35">
      <c r="A140" s="88">
        <f t="shared" si="30"/>
        <v>2002</v>
      </c>
      <c r="B140" s="79">
        <f>'AD Mauritius'!B140</f>
        <v>41276</v>
      </c>
      <c r="C140" s="79">
        <f>'AD Mauritius'!C140</f>
        <v>8.6</v>
      </c>
      <c r="D140" s="127">
        <f>'AD Mauritius'!D140</f>
        <v>354973.6</v>
      </c>
      <c r="E140" s="127">
        <f>'AD Mauritius'!E140</f>
        <v>3.5</v>
      </c>
      <c r="G140" s="88">
        <f t="shared" si="31"/>
        <v>2002</v>
      </c>
      <c r="H140" s="124">
        <f>'AD Mauritius'!I140</f>
        <v>0</v>
      </c>
      <c r="I140" s="124">
        <f>'AD Mauritius'!J140</f>
        <v>25</v>
      </c>
      <c r="J140" s="124">
        <f>'AD Mauritius'!K140</f>
        <v>0</v>
      </c>
      <c r="K140" s="124">
        <f>'AD Mauritius'!L140</f>
        <v>75</v>
      </c>
      <c r="L140" s="124">
        <f>'AD Mauritius'!M140</f>
        <v>0</v>
      </c>
      <c r="M140" s="128">
        <f>'AD Mauritius'!N140</f>
        <v>0</v>
      </c>
      <c r="N140" s="124">
        <f>'AD Mauritius'!O140</f>
        <v>0</v>
      </c>
      <c r="O140" s="81">
        <f t="shared" si="27"/>
        <v>100</v>
      </c>
      <c r="Q140" s="74">
        <f t="shared" si="28"/>
        <v>2002</v>
      </c>
      <c r="R140" s="73">
        <f t="shared" si="29"/>
        <v>0</v>
      </c>
      <c r="S140" s="125">
        <f>'AD Mauritius'!T140</f>
        <v>0</v>
      </c>
      <c r="T140" s="125">
        <f>'AD Mauritius'!U140</f>
        <v>0</v>
      </c>
    </row>
    <row r="141" spans="1:20" x14ac:dyDescent="0.35">
      <c r="A141" s="88">
        <f t="shared" si="30"/>
        <v>2003</v>
      </c>
      <c r="B141" s="79">
        <f>'AD Mauritius'!B141</f>
        <v>41276</v>
      </c>
      <c r="C141" s="79">
        <f>'AD Mauritius'!C141</f>
        <v>8.6</v>
      </c>
      <c r="D141" s="127">
        <f>'AD Mauritius'!D141</f>
        <v>354973.6</v>
      </c>
      <c r="E141" s="127">
        <f>'AD Mauritius'!E141</f>
        <v>3.5</v>
      </c>
      <c r="G141" s="88">
        <f t="shared" si="31"/>
        <v>2003</v>
      </c>
      <c r="H141" s="124">
        <f>'AD Mauritius'!I141</f>
        <v>0</v>
      </c>
      <c r="I141" s="124">
        <f>'AD Mauritius'!J141</f>
        <v>25</v>
      </c>
      <c r="J141" s="124">
        <f>'AD Mauritius'!K141</f>
        <v>0</v>
      </c>
      <c r="K141" s="124">
        <f>'AD Mauritius'!L141</f>
        <v>75</v>
      </c>
      <c r="L141" s="124">
        <f>'AD Mauritius'!M141</f>
        <v>0</v>
      </c>
      <c r="M141" s="128">
        <f>'AD Mauritius'!N141</f>
        <v>0</v>
      </c>
      <c r="N141" s="124">
        <f>'AD Mauritius'!O141</f>
        <v>0</v>
      </c>
      <c r="O141" s="81">
        <f t="shared" si="27"/>
        <v>100</v>
      </c>
      <c r="Q141" s="74">
        <f t="shared" si="28"/>
        <v>2003</v>
      </c>
      <c r="R141" s="73">
        <f t="shared" si="29"/>
        <v>0</v>
      </c>
      <c r="S141" s="125">
        <f>'AD Mauritius'!T141</f>
        <v>0</v>
      </c>
      <c r="T141" s="125">
        <f>'AD Mauritius'!U141</f>
        <v>0</v>
      </c>
    </row>
    <row r="142" spans="1:20" x14ac:dyDescent="0.35">
      <c r="A142" s="88">
        <f t="shared" si="30"/>
        <v>2004</v>
      </c>
      <c r="B142" s="79">
        <f>'AD Mauritius'!B142</f>
        <v>41276</v>
      </c>
      <c r="C142" s="79">
        <f>'AD Mauritius'!C142</f>
        <v>8.6</v>
      </c>
      <c r="D142" s="127">
        <f>'AD Mauritius'!D142</f>
        <v>354973.6</v>
      </c>
      <c r="E142" s="127">
        <f>'AD Mauritius'!E142</f>
        <v>3.5</v>
      </c>
      <c r="G142" s="88">
        <f t="shared" si="31"/>
        <v>2004</v>
      </c>
      <c r="H142" s="124">
        <f>'AD Mauritius'!I142</f>
        <v>0</v>
      </c>
      <c r="I142" s="124">
        <f>'AD Mauritius'!J142</f>
        <v>25</v>
      </c>
      <c r="J142" s="124">
        <f>'AD Mauritius'!K142</f>
        <v>0</v>
      </c>
      <c r="K142" s="124">
        <f>'AD Mauritius'!L142</f>
        <v>75</v>
      </c>
      <c r="L142" s="124">
        <f>'AD Mauritius'!M142</f>
        <v>0</v>
      </c>
      <c r="M142" s="128">
        <f>'AD Mauritius'!N142</f>
        <v>0</v>
      </c>
      <c r="N142" s="124">
        <f>'AD Mauritius'!O142</f>
        <v>0</v>
      </c>
      <c r="O142" s="81">
        <f t="shared" si="27"/>
        <v>100</v>
      </c>
      <c r="Q142" s="74">
        <f t="shared" si="28"/>
        <v>2004</v>
      </c>
      <c r="R142" s="73">
        <f t="shared" si="29"/>
        <v>0</v>
      </c>
      <c r="S142" s="125">
        <f>'AD Mauritius'!T142</f>
        <v>0</v>
      </c>
      <c r="T142" s="125">
        <f>'AD Mauritius'!U142</f>
        <v>0</v>
      </c>
    </row>
    <row r="143" spans="1:20" x14ac:dyDescent="0.35">
      <c r="A143" s="88">
        <f t="shared" si="30"/>
        <v>2005</v>
      </c>
      <c r="B143" s="79">
        <f>'AD Mauritius'!B143</f>
        <v>41276</v>
      </c>
      <c r="C143" s="79">
        <f>'AD Mauritius'!C143</f>
        <v>8.6</v>
      </c>
      <c r="D143" s="127">
        <f>'AD Mauritius'!D143</f>
        <v>354973.6</v>
      </c>
      <c r="E143" s="127">
        <f>'AD Mauritius'!E143</f>
        <v>3.5</v>
      </c>
      <c r="G143" s="88">
        <f t="shared" si="31"/>
        <v>2005</v>
      </c>
      <c r="H143" s="124">
        <f>'AD Mauritius'!I143</f>
        <v>0</v>
      </c>
      <c r="I143" s="124">
        <f>'AD Mauritius'!J143</f>
        <v>25</v>
      </c>
      <c r="J143" s="124">
        <f>'AD Mauritius'!K143</f>
        <v>0</v>
      </c>
      <c r="K143" s="124">
        <f>'AD Mauritius'!L143</f>
        <v>75</v>
      </c>
      <c r="L143" s="124">
        <f>'AD Mauritius'!M143</f>
        <v>0</v>
      </c>
      <c r="M143" s="128">
        <f>'AD Mauritius'!N143</f>
        <v>0</v>
      </c>
      <c r="N143" s="124">
        <f>'AD Mauritius'!O143</f>
        <v>0</v>
      </c>
      <c r="O143" s="81">
        <f t="shared" si="27"/>
        <v>100</v>
      </c>
      <c r="Q143" s="74">
        <f t="shared" si="28"/>
        <v>2005</v>
      </c>
      <c r="R143" s="73">
        <f t="shared" si="29"/>
        <v>0</v>
      </c>
      <c r="S143" s="125">
        <f>'AD Mauritius'!T143</f>
        <v>0</v>
      </c>
      <c r="T143" s="125">
        <f>'AD Mauritius'!U143</f>
        <v>0</v>
      </c>
    </row>
    <row r="144" spans="1:20" x14ac:dyDescent="0.35">
      <c r="A144" s="88">
        <f t="shared" si="30"/>
        <v>2006</v>
      </c>
      <c r="B144" s="79">
        <f>'AD Mauritius'!B144</f>
        <v>41276</v>
      </c>
      <c r="C144" s="79">
        <f>'AD Mauritius'!C144</f>
        <v>8.6</v>
      </c>
      <c r="D144" s="127">
        <f>'AD Mauritius'!D144</f>
        <v>354973.6</v>
      </c>
      <c r="E144" s="127">
        <f>'AD Mauritius'!E144</f>
        <v>3.5</v>
      </c>
      <c r="G144" s="88">
        <f t="shared" si="31"/>
        <v>2006</v>
      </c>
      <c r="H144" s="124">
        <f>'AD Mauritius'!I144</f>
        <v>0</v>
      </c>
      <c r="I144" s="124">
        <f>'AD Mauritius'!J144</f>
        <v>25</v>
      </c>
      <c r="J144" s="124">
        <f>'AD Mauritius'!K144</f>
        <v>0</v>
      </c>
      <c r="K144" s="124">
        <f>'AD Mauritius'!L144</f>
        <v>75</v>
      </c>
      <c r="L144" s="124">
        <f>'AD Mauritius'!M144</f>
        <v>0</v>
      </c>
      <c r="M144" s="128">
        <f>'AD Mauritius'!N144</f>
        <v>0</v>
      </c>
      <c r="N144" s="124">
        <f>'AD Mauritius'!O144</f>
        <v>0</v>
      </c>
      <c r="O144" s="81">
        <f t="shared" si="27"/>
        <v>100</v>
      </c>
      <c r="Q144" s="74">
        <f t="shared" si="28"/>
        <v>2006</v>
      </c>
      <c r="R144" s="73">
        <f t="shared" si="29"/>
        <v>0</v>
      </c>
      <c r="S144" s="125">
        <f>'AD Mauritius'!T144</f>
        <v>0</v>
      </c>
      <c r="T144" s="125">
        <f>'AD Mauritius'!U144</f>
        <v>0</v>
      </c>
    </row>
    <row r="145" spans="1:21" x14ac:dyDescent="0.35">
      <c r="A145" s="88">
        <f t="shared" si="30"/>
        <v>2007</v>
      </c>
      <c r="B145" s="79">
        <f>'AD Mauritius'!B145</f>
        <v>46700</v>
      </c>
      <c r="C145" s="79">
        <f>'AD Mauritius'!C145</f>
        <v>8.6</v>
      </c>
      <c r="D145" s="127">
        <f>'AD Mauritius'!D145</f>
        <v>401620</v>
      </c>
      <c r="E145" s="127">
        <f>'AD Mauritius'!E145</f>
        <v>3.5</v>
      </c>
      <c r="G145" s="88">
        <f t="shared" si="31"/>
        <v>2007</v>
      </c>
      <c r="H145" s="124">
        <f>'AD Mauritius'!I145</f>
        <v>0</v>
      </c>
      <c r="I145" s="124">
        <f>'AD Mauritius'!J145</f>
        <v>25</v>
      </c>
      <c r="J145" s="124">
        <f>'AD Mauritius'!K145</f>
        <v>0</v>
      </c>
      <c r="K145" s="124">
        <f>'AD Mauritius'!L145</f>
        <v>75</v>
      </c>
      <c r="L145" s="124">
        <f>'AD Mauritius'!M145</f>
        <v>0</v>
      </c>
      <c r="M145" s="128">
        <f>'AD Mauritius'!N145</f>
        <v>0</v>
      </c>
      <c r="N145" s="124">
        <f>'AD Mauritius'!O145</f>
        <v>0</v>
      </c>
      <c r="O145" s="81">
        <f t="shared" si="27"/>
        <v>100</v>
      </c>
      <c r="Q145" s="74">
        <f t="shared" si="28"/>
        <v>2007</v>
      </c>
      <c r="R145" s="73">
        <f t="shared" si="29"/>
        <v>0</v>
      </c>
      <c r="S145" s="125">
        <f>'AD Mauritius'!T145</f>
        <v>0</v>
      </c>
      <c r="T145" s="125">
        <f>'AD Mauritius'!U145</f>
        <v>0</v>
      </c>
    </row>
    <row r="146" spans="1:21" x14ac:dyDescent="0.35">
      <c r="A146" s="88">
        <f t="shared" si="30"/>
        <v>2008</v>
      </c>
      <c r="B146" s="79">
        <f>'AD Mauritius'!B146</f>
        <v>42000</v>
      </c>
      <c r="C146" s="79">
        <f>'AD Mauritius'!C146</f>
        <v>8.6</v>
      </c>
      <c r="D146" s="127">
        <f>'AD Mauritius'!D146</f>
        <v>361200</v>
      </c>
      <c r="E146" s="127">
        <f>'AD Mauritius'!E146</f>
        <v>3.5</v>
      </c>
      <c r="G146" s="88">
        <f t="shared" si="31"/>
        <v>2008</v>
      </c>
      <c r="H146" s="124">
        <f>'AD Mauritius'!I146</f>
        <v>0</v>
      </c>
      <c r="I146" s="124">
        <f>'AD Mauritius'!J146</f>
        <v>25</v>
      </c>
      <c r="J146" s="124">
        <f>'AD Mauritius'!K146</f>
        <v>0</v>
      </c>
      <c r="K146" s="124">
        <f>'AD Mauritius'!L146</f>
        <v>75</v>
      </c>
      <c r="L146" s="124">
        <f>'AD Mauritius'!M146</f>
        <v>0</v>
      </c>
      <c r="M146" s="128">
        <f>'AD Mauritius'!N146</f>
        <v>0</v>
      </c>
      <c r="N146" s="124">
        <f>'AD Mauritius'!O146</f>
        <v>0</v>
      </c>
      <c r="O146" s="81">
        <f t="shared" si="27"/>
        <v>100</v>
      </c>
      <c r="Q146" s="74">
        <f t="shared" si="28"/>
        <v>2008</v>
      </c>
      <c r="R146" s="73">
        <f t="shared" si="29"/>
        <v>0</v>
      </c>
      <c r="S146" s="125">
        <f>'AD Mauritius'!T146</f>
        <v>0</v>
      </c>
      <c r="T146" s="125">
        <f>'AD Mauritius'!U146</f>
        <v>0</v>
      </c>
    </row>
    <row r="147" spans="1:21" x14ac:dyDescent="0.35">
      <c r="A147" s="88">
        <f t="shared" si="30"/>
        <v>2009</v>
      </c>
      <c r="B147" s="79">
        <f>'AD Mauritius'!B147</f>
        <v>44000</v>
      </c>
      <c r="C147" s="79">
        <f>'AD Mauritius'!C147</f>
        <v>8.6</v>
      </c>
      <c r="D147" s="127">
        <f>'AD Mauritius'!D147</f>
        <v>378400</v>
      </c>
      <c r="E147" s="127">
        <f>'AD Mauritius'!E147</f>
        <v>3.5</v>
      </c>
      <c r="G147" s="88">
        <f t="shared" si="31"/>
        <v>2009</v>
      </c>
      <c r="H147" s="124">
        <f>'AD Mauritius'!I147</f>
        <v>0</v>
      </c>
      <c r="I147" s="124">
        <f>'AD Mauritius'!J147</f>
        <v>25</v>
      </c>
      <c r="J147" s="124">
        <f>'AD Mauritius'!K147</f>
        <v>0</v>
      </c>
      <c r="K147" s="124">
        <f>'AD Mauritius'!L147</f>
        <v>75</v>
      </c>
      <c r="L147" s="124">
        <f>'AD Mauritius'!M147</f>
        <v>0</v>
      </c>
      <c r="M147" s="128">
        <f>'AD Mauritius'!N147</f>
        <v>0</v>
      </c>
      <c r="N147" s="124">
        <f>'AD Mauritius'!O147</f>
        <v>0</v>
      </c>
      <c r="O147" s="81">
        <f t="shared" si="27"/>
        <v>100</v>
      </c>
      <c r="Q147" s="74">
        <f t="shared" si="28"/>
        <v>2009</v>
      </c>
      <c r="R147" s="73">
        <f t="shared" si="29"/>
        <v>0</v>
      </c>
      <c r="S147" s="125">
        <f>'AD Mauritius'!T147</f>
        <v>0</v>
      </c>
      <c r="T147" s="125">
        <f>'AD Mauritius'!U147</f>
        <v>0</v>
      </c>
    </row>
    <row r="148" spans="1:21" x14ac:dyDescent="0.35">
      <c r="A148" s="88">
        <f t="shared" si="30"/>
        <v>2010</v>
      </c>
      <c r="B148" s="79">
        <f>'AD Mauritius'!B148</f>
        <v>46600</v>
      </c>
      <c r="C148" s="79">
        <f>'AD Mauritius'!C148</f>
        <v>8.6</v>
      </c>
      <c r="D148" s="127">
        <f>'AD Mauritius'!D148</f>
        <v>400760</v>
      </c>
      <c r="E148" s="127">
        <f>'AD Mauritius'!E148</f>
        <v>3.5</v>
      </c>
      <c r="G148" s="88">
        <f t="shared" si="31"/>
        <v>2010</v>
      </c>
      <c r="H148" s="124">
        <f>'AD Mauritius'!I148</f>
        <v>0</v>
      </c>
      <c r="I148" s="124">
        <f>'AD Mauritius'!J148</f>
        <v>25</v>
      </c>
      <c r="J148" s="124">
        <f>'AD Mauritius'!K148</f>
        <v>0</v>
      </c>
      <c r="K148" s="124">
        <f>'AD Mauritius'!L148</f>
        <v>75</v>
      </c>
      <c r="L148" s="124">
        <f>'AD Mauritius'!M148</f>
        <v>0</v>
      </c>
      <c r="M148" s="128">
        <f>'AD Mauritius'!N148</f>
        <v>0</v>
      </c>
      <c r="N148" s="124">
        <f>'AD Mauritius'!O148</f>
        <v>0</v>
      </c>
      <c r="O148" s="81">
        <f t="shared" si="27"/>
        <v>100</v>
      </c>
      <c r="Q148" s="74">
        <f t="shared" si="28"/>
        <v>2010</v>
      </c>
      <c r="R148" s="73">
        <f t="shared" si="29"/>
        <v>0</v>
      </c>
      <c r="S148" s="125">
        <f>'AD Mauritius'!T148</f>
        <v>0</v>
      </c>
      <c r="T148" s="125">
        <f>'AD Mauritius'!U148</f>
        <v>0</v>
      </c>
    </row>
    <row r="149" spans="1:21" x14ac:dyDescent="0.35">
      <c r="A149" s="88">
        <f t="shared" si="30"/>
        <v>2011</v>
      </c>
      <c r="B149" s="79">
        <f>'AD Mauritius'!B149</f>
        <v>47000</v>
      </c>
      <c r="C149" s="79">
        <f>'AD Mauritius'!C149</f>
        <v>8.6</v>
      </c>
      <c r="D149" s="127">
        <f>'AD Mauritius'!D149</f>
        <v>404200</v>
      </c>
      <c r="E149" s="127">
        <f>'AD Mauritius'!E149</f>
        <v>3.5</v>
      </c>
      <c r="G149" s="88">
        <f t="shared" si="31"/>
        <v>2011</v>
      </c>
      <c r="H149" s="124">
        <f>'AD Mauritius'!I149</f>
        <v>0</v>
      </c>
      <c r="I149" s="124">
        <f>'AD Mauritius'!J149</f>
        <v>25</v>
      </c>
      <c r="J149" s="124">
        <f>'AD Mauritius'!K149</f>
        <v>0</v>
      </c>
      <c r="K149" s="124">
        <f>'AD Mauritius'!L149</f>
        <v>75</v>
      </c>
      <c r="L149" s="124">
        <f>'AD Mauritius'!M149</f>
        <v>0</v>
      </c>
      <c r="M149" s="128">
        <f>'AD Mauritius'!N149</f>
        <v>0</v>
      </c>
      <c r="N149" s="124">
        <f>'AD Mauritius'!O149</f>
        <v>0</v>
      </c>
      <c r="O149" s="81">
        <f t="shared" si="27"/>
        <v>100</v>
      </c>
      <c r="Q149" s="74">
        <f t="shared" si="28"/>
        <v>2011</v>
      </c>
      <c r="R149" s="73">
        <f t="shared" si="29"/>
        <v>0</v>
      </c>
      <c r="S149" s="125">
        <f>'AD Mauritius'!T149</f>
        <v>0</v>
      </c>
      <c r="T149" s="125">
        <f>'AD Mauritius'!U149</f>
        <v>0</v>
      </c>
    </row>
    <row r="150" spans="1:21" x14ac:dyDescent="0.35">
      <c r="A150" s="88">
        <f t="shared" si="30"/>
        <v>2012</v>
      </c>
      <c r="B150" s="79">
        <f>'AD Mauritius'!B150</f>
        <v>47200</v>
      </c>
      <c r="C150" s="79">
        <f>'AD Mauritius'!C150</f>
        <v>8.6</v>
      </c>
      <c r="D150" s="127">
        <f>'AD Mauritius'!D150</f>
        <v>405920</v>
      </c>
      <c r="E150" s="127">
        <f>'AD Mauritius'!E150</f>
        <v>3.5</v>
      </c>
      <c r="G150" s="88">
        <f t="shared" si="31"/>
        <v>2012</v>
      </c>
      <c r="H150" s="124">
        <f>'AD Mauritius'!I150</f>
        <v>0</v>
      </c>
      <c r="I150" s="124">
        <f>'AD Mauritius'!J150</f>
        <v>25</v>
      </c>
      <c r="J150" s="124">
        <f>'AD Mauritius'!K150</f>
        <v>0</v>
      </c>
      <c r="K150" s="124">
        <f>'AD Mauritius'!L150</f>
        <v>75</v>
      </c>
      <c r="L150" s="124">
        <f>'AD Mauritius'!M150</f>
        <v>0</v>
      </c>
      <c r="M150" s="128">
        <f>'AD Mauritius'!N150</f>
        <v>0</v>
      </c>
      <c r="N150" s="124">
        <f>'AD Mauritius'!O150</f>
        <v>0</v>
      </c>
      <c r="O150" s="81">
        <f t="shared" si="27"/>
        <v>100</v>
      </c>
      <c r="Q150" s="74">
        <f t="shared" si="28"/>
        <v>2012</v>
      </c>
      <c r="R150" s="73">
        <f t="shared" si="29"/>
        <v>0</v>
      </c>
      <c r="S150" s="125">
        <f>'AD Mauritius'!T150</f>
        <v>0</v>
      </c>
      <c r="T150" s="125">
        <f>'AD Mauritius'!U150</f>
        <v>0</v>
      </c>
    </row>
    <row r="151" spans="1:21" x14ac:dyDescent="0.35">
      <c r="A151" s="88">
        <f t="shared" si="30"/>
        <v>2013</v>
      </c>
      <c r="B151" s="79">
        <f>'AD Mauritius'!B151</f>
        <v>46700</v>
      </c>
      <c r="C151" s="79">
        <f>'AD Mauritius'!C151</f>
        <v>8.6</v>
      </c>
      <c r="D151" s="127">
        <f>'AD Mauritius'!D151</f>
        <v>401620</v>
      </c>
      <c r="E151" s="127">
        <f>'AD Mauritius'!E151</f>
        <v>3.5</v>
      </c>
      <c r="G151" s="88">
        <f t="shared" si="31"/>
        <v>2013</v>
      </c>
      <c r="H151" s="124">
        <f>'AD Mauritius'!I151</f>
        <v>0</v>
      </c>
      <c r="I151" s="124">
        <f>'AD Mauritius'!J151</f>
        <v>25</v>
      </c>
      <c r="J151" s="124">
        <f>'AD Mauritius'!K151</f>
        <v>0</v>
      </c>
      <c r="K151" s="124">
        <f>'AD Mauritius'!L151</f>
        <v>75</v>
      </c>
      <c r="L151" s="124">
        <f>'AD Mauritius'!M151</f>
        <v>0</v>
      </c>
      <c r="M151" s="128">
        <f>'AD Mauritius'!N151</f>
        <v>0</v>
      </c>
      <c r="N151" s="124">
        <f>'AD Mauritius'!O151</f>
        <v>0</v>
      </c>
      <c r="O151" s="81">
        <f t="shared" si="27"/>
        <v>100</v>
      </c>
      <c r="Q151" s="74">
        <f t="shared" si="28"/>
        <v>2013</v>
      </c>
      <c r="R151" s="73">
        <f t="shared" si="29"/>
        <v>0</v>
      </c>
      <c r="S151" s="125">
        <f>'AD Mauritius'!T151</f>
        <v>0</v>
      </c>
      <c r="T151" s="125">
        <f>'AD Mauritius'!U151</f>
        <v>0</v>
      </c>
    </row>
    <row r="152" spans="1:21" x14ac:dyDescent="0.35">
      <c r="A152" s="88">
        <f t="shared" si="30"/>
        <v>2014</v>
      </c>
      <c r="B152" s="79">
        <f>'AD Mauritius'!B152</f>
        <v>46550</v>
      </c>
      <c r="C152" s="79">
        <f>'AD Mauritius'!C152</f>
        <v>8.6</v>
      </c>
      <c r="D152" s="127">
        <f>'AD Mauritius'!D152</f>
        <v>400330</v>
      </c>
      <c r="E152" s="127">
        <f>'AD Mauritius'!E152</f>
        <v>3.5</v>
      </c>
      <c r="G152" s="88">
        <f t="shared" si="31"/>
        <v>2014</v>
      </c>
      <c r="H152" s="124">
        <f>'AD Mauritius'!I152</f>
        <v>0</v>
      </c>
      <c r="I152" s="124">
        <f>'AD Mauritius'!J152</f>
        <v>25</v>
      </c>
      <c r="J152" s="124">
        <f>'AD Mauritius'!K152</f>
        <v>0</v>
      </c>
      <c r="K152" s="124">
        <f>'AD Mauritius'!L152</f>
        <v>75</v>
      </c>
      <c r="L152" s="124">
        <f>'AD Mauritius'!M152</f>
        <v>0</v>
      </c>
      <c r="M152" s="128">
        <f>'AD Mauritius'!N152</f>
        <v>0</v>
      </c>
      <c r="N152" s="124">
        <f>'AD Mauritius'!O152</f>
        <v>0</v>
      </c>
      <c r="O152" s="81">
        <f t="shared" si="27"/>
        <v>100</v>
      </c>
      <c r="Q152" s="74">
        <f t="shared" si="28"/>
        <v>2014</v>
      </c>
      <c r="R152" s="73">
        <f t="shared" si="29"/>
        <v>0</v>
      </c>
      <c r="S152" s="125">
        <f>'AD Mauritius'!T152</f>
        <v>0</v>
      </c>
      <c r="T152" s="125">
        <f>'AD Mauritius'!U152</f>
        <v>0</v>
      </c>
    </row>
    <row r="153" spans="1:21" x14ac:dyDescent="0.35">
      <c r="A153" s="88">
        <f t="shared" si="30"/>
        <v>2015</v>
      </c>
      <c r="B153" s="79">
        <f>'AD Mauritius'!B153</f>
        <v>46400</v>
      </c>
      <c r="C153" s="79">
        <f>'AD Mauritius'!C153</f>
        <v>8.6</v>
      </c>
      <c r="D153" s="127">
        <f>'AD Mauritius'!D153</f>
        <v>399040</v>
      </c>
      <c r="E153" s="127">
        <f>'AD Mauritius'!E153</f>
        <v>3.5</v>
      </c>
      <c r="G153" s="88">
        <f t="shared" si="31"/>
        <v>2015</v>
      </c>
      <c r="H153" s="124">
        <f>'AD Mauritius'!I153</f>
        <v>0</v>
      </c>
      <c r="I153" s="124">
        <f>'AD Mauritius'!J153</f>
        <v>25</v>
      </c>
      <c r="J153" s="124">
        <f>'AD Mauritius'!K153</f>
        <v>0</v>
      </c>
      <c r="K153" s="124">
        <f>'AD Mauritius'!L153</f>
        <v>75</v>
      </c>
      <c r="L153" s="124">
        <f>'AD Mauritius'!M153</f>
        <v>0</v>
      </c>
      <c r="M153" s="128">
        <f>'AD Mauritius'!N153</f>
        <v>0</v>
      </c>
      <c r="N153" s="124">
        <f>'AD Mauritius'!O153</f>
        <v>0</v>
      </c>
      <c r="O153" s="81">
        <f t="shared" si="27"/>
        <v>100</v>
      </c>
      <c r="Q153" s="74">
        <f t="shared" si="28"/>
        <v>2015</v>
      </c>
      <c r="R153" s="73">
        <f t="shared" si="29"/>
        <v>0</v>
      </c>
      <c r="S153" s="125">
        <f>'AD Mauritius'!T153</f>
        <v>0</v>
      </c>
      <c r="T153" s="125">
        <f>'AD Mauritius'!U153</f>
        <v>0</v>
      </c>
    </row>
    <row r="154" spans="1:21" x14ac:dyDescent="0.35">
      <c r="A154" s="88">
        <f t="shared" si="30"/>
        <v>2016</v>
      </c>
      <c r="B154" s="79">
        <f>'AD Mauritius'!B154</f>
        <v>45800</v>
      </c>
      <c r="C154" s="79">
        <f>'AD Mauritius'!C154</f>
        <v>8.6</v>
      </c>
      <c r="D154" s="127">
        <f>'AD Mauritius'!D154</f>
        <v>393880</v>
      </c>
      <c r="E154" s="127">
        <f>'AD Mauritius'!E154</f>
        <v>3.5</v>
      </c>
      <c r="G154" s="88">
        <f t="shared" si="31"/>
        <v>2016</v>
      </c>
      <c r="H154" s="124">
        <f>'AD Mauritius'!I154</f>
        <v>0</v>
      </c>
      <c r="I154" s="124">
        <f>'AD Mauritius'!J154</f>
        <v>25</v>
      </c>
      <c r="J154" s="124">
        <f>'AD Mauritius'!K154</f>
        <v>0</v>
      </c>
      <c r="K154" s="124">
        <f>'AD Mauritius'!L154</f>
        <v>75</v>
      </c>
      <c r="L154" s="124">
        <f>'AD Mauritius'!M154</f>
        <v>0</v>
      </c>
      <c r="M154" s="128">
        <f>'AD Mauritius'!N154</f>
        <v>0</v>
      </c>
      <c r="N154" s="124">
        <f>'AD Mauritius'!O154</f>
        <v>0</v>
      </c>
      <c r="O154" s="81">
        <f t="shared" si="27"/>
        <v>100</v>
      </c>
      <c r="Q154" s="74">
        <f t="shared" si="28"/>
        <v>2016</v>
      </c>
      <c r="R154" s="73">
        <f t="shared" si="29"/>
        <v>0</v>
      </c>
      <c r="S154" s="125">
        <f>'AD Mauritius'!T154</f>
        <v>0</v>
      </c>
      <c r="T154" s="125">
        <f>'AD Mauritius'!U154</f>
        <v>0</v>
      </c>
    </row>
    <row r="155" spans="1:21" x14ac:dyDescent="0.35">
      <c r="G155" s="177" t="s">
        <v>391</v>
      </c>
    </row>
    <row r="156" spans="1:21" x14ac:dyDescent="0.35">
      <c r="A156" s="122" t="str">
        <f>'AD Mauritius'!A156</f>
        <v>BEER AND STOUT</v>
      </c>
    </row>
    <row r="158" spans="1:21" ht="72.5" x14ac:dyDescent="0.35">
      <c r="A158" s="67" t="s">
        <v>0</v>
      </c>
      <c r="B158" s="68" t="str">
        <f>'AD Mauritius'!B158</f>
        <v>P (t)</v>
      </c>
      <c r="C158" s="68" t="str">
        <f>'AD Mauritius'!C158</f>
        <v>W (m3/t produced)</v>
      </c>
      <c r="D158" s="68" t="str">
        <f>'AD Mauritius'!D158</f>
        <v>Wastewater produced (m3)</v>
      </c>
      <c r="E158" s="68" t="str">
        <f>'AD Mauritius'!E158</f>
        <v>COD (kg/m3)</v>
      </c>
      <c r="G158" s="67" t="s">
        <v>0</v>
      </c>
      <c r="H158" s="68" t="s">
        <v>339</v>
      </c>
      <c r="I158" s="68" t="s">
        <v>304</v>
      </c>
      <c r="J158" s="68" t="s">
        <v>305</v>
      </c>
      <c r="K158" s="68" t="s">
        <v>115</v>
      </c>
      <c r="L158" s="68" t="s">
        <v>330</v>
      </c>
      <c r="M158" s="68" t="s">
        <v>119</v>
      </c>
      <c r="N158" s="68" t="s">
        <v>123</v>
      </c>
      <c r="O158" s="68" t="s">
        <v>345</v>
      </c>
      <c r="Q158" s="67" t="s">
        <v>0</v>
      </c>
      <c r="R158" s="68" t="s">
        <v>18</v>
      </c>
      <c r="S158" s="68" t="s">
        <v>19</v>
      </c>
      <c r="T158" s="68" t="s">
        <v>21</v>
      </c>
    </row>
    <row r="159" spans="1:21" x14ac:dyDescent="0.35">
      <c r="A159" s="88">
        <v>2000</v>
      </c>
      <c r="B159" s="79">
        <f>'AD Mauritius'!B159</f>
        <v>37370</v>
      </c>
      <c r="C159" s="79">
        <f>'AD Mauritius'!C159</f>
        <v>6.3</v>
      </c>
      <c r="D159" s="127">
        <f>'AD Mauritius'!D159</f>
        <v>235431</v>
      </c>
      <c r="E159" s="127">
        <f>'AD Mauritius'!E159</f>
        <v>2.9</v>
      </c>
      <c r="G159" s="88">
        <v>2000</v>
      </c>
      <c r="H159" s="124">
        <f>'AD Mauritius'!I159</f>
        <v>0</v>
      </c>
      <c r="I159" s="124">
        <f>'AD Mauritius'!J159</f>
        <v>25</v>
      </c>
      <c r="J159" s="124">
        <f>'AD Mauritius'!K159</f>
        <v>0</v>
      </c>
      <c r="K159" s="124">
        <f>'AD Mauritius'!L159</f>
        <v>75</v>
      </c>
      <c r="L159" s="124">
        <f>'AD Mauritius'!M159</f>
        <v>0</v>
      </c>
      <c r="M159" s="128">
        <f>'AD Mauritius'!N159</f>
        <v>0</v>
      </c>
      <c r="N159" s="124">
        <f>'AD Mauritius'!O159</f>
        <v>0</v>
      </c>
      <c r="O159" s="81">
        <f t="shared" ref="O159:O175" si="32">SUM(H159:N159)</f>
        <v>100</v>
      </c>
      <c r="Q159" s="74">
        <f t="shared" ref="Q159:Q175" si="33">A159</f>
        <v>2000</v>
      </c>
      <c r="R159" s="73">
        <f>'AD Mauritius'!S159</f>
        <v>0</v>
      </c>
      <c r="S159" s="125">
        <f>'AD Mauritius'!T159</f>
        <v>0</v>
      </c>
      <c r="T159" s="125">
        <f>'AD Mauritius'!U159</f>
        <v>0</v>
      </c>
      <c r="U159" s="123"/>
    </row>
    <row r="160" spans="1:21" x14ac:dyDescent="0.35">
      <c r="A160" s="88">
        <f t="shared" ref="A160:A175" si="34">A159+1</f>
        <v>2001</v>
      </c>
      <c r="B160" s="79">
        <f>'AD Mauritius'!B160</f>
        <v>37370</v>
      </c>
      <c r="C160" s="79">
        <f>'AD Mauritius'!C160</f>
        <v>6.3</v>
      </c>
      <c r="D160" s="127">
        <f>'AD Mauritius'!D160</f>
        <v>235431</v>
      </c>
      <c r="E160" s="127">
        <f>'AD Mauritius'!E160</f>
        <v>2.9</v>
      </c>
      <c r="G160" s="88">
        <f t="shared" ref="G160:G175" si="35">G159+1</f>
        <v>2001</v>
      </c>
      <c r="H160" s="124">
        <f>'AD Mauritius'!I160</f>
        <v>0</v>
      </c>
      <c r="I160" s="124">
        <f>'AD Mauritius'!J160</f>
        <v>25</v>
      </c>
      <c r="J160" s="124">
        <f>'AD Mauritius'!K160</f>
        <v>0</v>
      </c>
      <c r="K160" s="124">
        <f>'AD Mauritius'!L160</f>
        <v>75</v>
      </c>
      <c r="L160" s="124">
        <f>'AD Mauritius'!M160</f>
        <v>0</v>
      </c>
      <c r="M160" s="128">
        <f>'AD Mauritius'!N160</f>
        <v>0</v>
      </c>
      <c r="N160" s="124">
        <f>'AD Mauritius'!O160</f>
        <v>0</v>
      </c>
      <c r="O160" s="81">
        <f t="shared" si="32"/>
        <v>100</v>
      </c>
      <c r="Q160" s="74">
        <f t="shared" si="33"/>
        <v>2001</v>
      </c>
      <c r="R160" s="73">
        <f>'AD Mauritius'!S160</f>
        <v>0</v>
      </c>
      <c r="S160" s="125">
        <f>'AD Mauritius'!T160</f>
        <v>0</v>
      </c>
      <c r="T160" s="125">
        <f>'AD Mauritius'!U160</f>
        <v>0</v>
      </c>
      <c r="U160" s="123"/>
    </row>
    <row r="161" spans="1:21" x14ac:dyDescent="0.35">
      <c r="A161" s="88">
        <f t="shared" si="34"/>
        <v>2002</v>
      </c>
      <c r="B161" s="79">
        <f>'AD Mauritius'!B161</f>
        <v>37370</v>
      </c>
      <c r="C161" s="79">
        <f>'AD Mauritius'!C161</f>
        <v>6.3</v>
      </c>
      <c r="D161" s="127">
        <f>'AD Mauritius'!D161</f>
        <v>235431</v>
      </c>
      <c r="E161" s="127">
        <f>'AD Mauritius'!E161</f>
        <v>2.9</v>
      </c>
      <c r="G161" s="88">
        <f t="shared" si="35"/>
        <v>2002</v>
      </c>
      <c r="H161" s="124">
        <f>'AD Mauritius'!I161</f>
        <v>0</v>
      </c>
      <c r="I161" s="124">
        <f>'AD Mauritius'!J161</f>
        <v>25</v>
      </c>
      <c r="J161" s="124">
        <f>'AD Mauritius'!K161</f>
        <v>0</v>
      </c>
      <c r="K161" s="124">
        <f>'AD Mauritius'!L161</f>
        <v>75</v>
      </c>
      <c r="L161" s="124">
        <f>'AD Mauritius'!M161</f>
        <v>0</v>
      </c>
      <c r="M161" s="128">
        <f>'AD Mauritius'!N161</f>
        <v>0</v>
      </c>
      <c r="N161" s="124">
        <f>'AD Mauritius'!O161</f>
        <v>0</v>
      </c>
      <c r="O161" s="81">
        <f t="shared" si="32"/>
        <v>100</v>
      </c>
      <c r="Q161" s="74">
        <f t="shared" si="33"/>
        <v>2002</v>
      </c>
      <c r="R161" s="73">
        <f>'AD Mauritius'!S161</f>
        <v>0</v>
      </c>
      <c r="S161" s="125">
        <f>'AD Mauritius'!T161</f>
        <v>0</v>
      </c>
      <c r="T161" s="125">
        <f>'AD Mauritius'!U161</f>
        <v>0</v>
      </c>
      <c r="U161" s="123"/>
    </row>
    <row r="162" spans="1:21" x14ac:dyDescent="0.35">
      <c r="A162" s="88">
        <f t="shared" si="34"/>
        <v>2003</v>
      </c>
      <c r="B162" s="79">
        <f>'AD Mauritius'!B162</f>
        <v>37370</v>
      </c>
      <c r="C162" s="79">
        <f>'AD Mauritius'!C162</f>
        <v>6.3</v>
      </c>
      <c r="D162" s="127">
        <f>'AD Mauritius'!D162</f>
        <v>235431</v>
      </c>
      <c r="E162" s="127">
        <f>'AD Mauritius'!E162</f>
        <v>2.9</v>
      </c>
      <c r="G162" s="88">
        <f t="shared" si="35"/>
        <v>2003</v>
      </c>
      <c r="H162" s="124">
        <f>'AD Mauritius'!I162</f>
        <v>0</v>
      </c>
      <c r="I162" s="124">
        <f>'AD Mauritius'!J162</f>
        <v>25</v>
      </c>
      <c r="J162" s="124">
        <f>'AD Mauritius'!K162</f>
        <v>0</v>
      </c>
      <c r="K162" s="124">
        <f>'AD Mauritius'!L162</f>
        <v>75</v>
      </c>
      <c r="L162" s="124">
        <f>'AD Mauritius'!M162</f>
        <v>0</v>
      </c>
      <c r="M162" s="128">
        <f>'AD Mauritius'!N162</f>
        <v>0</v>
      </c>
      <c r="N162" s="124">
        <f>'AD Mauritius'!O162</f>
        <v>0</v>
      </c>
      <c r="O162" s="81">
        <f t="shared" si="32"/>
        <v>100</v>
      </c>
      <c r="Q162" s="74">
        <f t="shared" si="33"/>
        <v>2003</v>
      </c>
      <c r="R162" s="73">
        <f>'AD Mauritius'!S162</f>
        <v>0</v>
      </c>
      <c r="S162" s="125">
        <f>'AD Mauritius'!T162</f>
        <v>0</v>
      </c>
      <c r="T162" s="125">
        <f>'AD Mauritius'!U162</f>
        <v>0</v>
      </c>
      <c r="U162" s="123"/>
    </row>
    <row r="163" spans="1:21" x14ac:dyDescent="0.35">
      <c r="A163" s="88">
        <f t="shared" si="34"/>
        <v>2004</v>
      </c>
      <c r="B163" s="79">
        <f>'AD Mauritius'!B163</f>
        <v>37370</v>
      </c>
      <c r="C163" s="79">
        <f>'AD Mauritius'!C163</f>
        <v>6.3</v>
      </c>
      <c r="D163" s="127">
        <f>'AD Mauritius'!D163</f>
        <v>235431</v>
      </c>
      <c r="E163" s="127">
        <f>'AD Mauritius'!E163</f>
        <v>2.9</v>
      </c>
      <c r="G163" s="88">
        <f t="shared" si="35"/>
        <v>2004</v>
      </c>
      <c r="H163" s="124">
        <f>'AD Mauritius'!I163</f>
        <v>0</v>
      </c>
      <c r="I163" s="124">
        <f>'AD Mauritius'!J163</f>
        <v>25</v>
      </c>
      <c r="J163" s="124">
        <f>'AD Mauritius'!K163</f>
        <v>0</v>
      </c>
      <c r="K163" s="124">
        <f>'AD Mauritius'!L163</f>
        <v>75</v>
      </c>
      <c r="L163" s="124">
        <f>'AD Mauritius'!M163</f>
        <v>0</v>
      </c>
      <c r="M163" s="128">
        <f>'AD Mauritius'!N163</f>
        <v>0</v>
      </c>
      <c r="N163" s="124">
        <f>'AD Mauritius'!O163</f>
        <v>0</v>
      </c>
      <c r="O163" s="81">
        <f t="shared" si="32"/>
        <v>100</v>
      </c>
      <c r="Q163" s="74">
        <f t="shared" si="33"/>
        <v>2004</v>
      </c>
      <c r="R163" s="73">
        <f>'AD Mauritius'!S163</f>
        <v>0</v>
      </c>
      <c r="S163" s="125">
        <f>'AD Mauritius'!T163</f>
        <v>0</v>
      </c>
      <c r="T163" s="125">
        <f>'AD Mauritius'!U163</f>
        <v>0</v>
      </c>
      <c r="U163" s="123"/>
    </row>
    <row r="164" spans="1:21" x14ac:dyDescent="0.35">
      <c r="A164" s="88">
        <f t="shared" si="34"/>
        <v>2005</v>
      </c>
      <c r="B164" s="79">
        <f>'AD Mauritius'!B164</f>
        <v>37370</v>
      </c>
      <c r="C164" s="79">
        <f>'AD Mauritius'!C164</f>
        <v>6.3</v>
      </c>
      <c r="D164" s="127">
        <f>'AD Mauritius'!D164</f>
        <v>235431</v>
      </c>
      <c r="E164" s="127">
        <f>'AD Mauritius'!E164</f>
        <v>2.9</v>
      </c>
      <c r="G164" s="88">
        <f t="shared" si="35"/>
        <v>2005</v>
      </c>
      <c r="H164" s="124">
        <f>'AD Mauritius'!I164</f>
        <v>0</v>
      </c>
      <c r="I164" s="124">
        <f>'AD Mauritius'!J164</f>
        <v>25</v>
      </c>
      <c r="J164" s="124">
        <f>'AD Mauritius'!K164</f>
        <v>0</v>
      </c>
      <c r="K164" s="124">
        <f>'AD Mauritius'!L164</f>
        <v>75</v>
      </c>
      <c r="L164" s="124">
        <f>'AD Mauritius'!M164</f>
        <v>0</v>
      </c>
      <c r="M164" s="128">
        <f>'AD Mauritius'!N164</f>
        <v>0</v>
      </c>
      <c r="N164" s="124">
        <f>'AD Mauritius'!O164</f>
        <v>0</v>
      </c>
      <c r="O164" s="81">
        <f t="shared" si="32"/>
        <v>100</v>
      </c>
      <c r="Q164" s="74">
        <f t="shared" si="33"/>
        <v>2005</v>
      </c>
      <c r="R164" s="73">
        <f>'AD Mauritius'!S164</f>
        <v>0</v>
      </c>
      <c r="S164" s="125">
        <f>'AD Mauritius'!T164</f>
        <v>0</v>
      </c>
      <c r="T164" s="125">
        <f>'AD Mauritius'!U164</f>
        <v>0</v>
      </c>
      <c r="U164" s="123"/>
    </row>
    <row r="165" spans="1:21" x14ac:dyDescent="0.35">
      <c r="A165" s="88">
        <f t="shared" si="34"/>
        <v>2006</v>
      </c>
      <c r="B165" s="79">
        <f>'AD Mauritius'!B165</f>
        <v>37370</v>
      </c>
      <c r="C165" s="79">
        <f>'AD Mauritius'!C165</f>
        <v>6.3</v>
      </c>
      <c r="D165" s="127">
        <f>'AD Mauritius'!D165</f>
        <v>235431</v>
      </c>
      <c r="E165" s="127">
        <f>'AD Mauritius'!E165</f>
        <v>2.9</v>
      </c>
      <c r="G165" s="88">
        <f t="shared" si="35"/>
        <v>2006</v>
      </c>
      <c r="H165" s="124">
        <f>'AD Mauritius'!I165</f>
        <v>0</v>
      </c>
      <c r="I165" s="124">
        <f>'AD Mauritius'!J165</f>
        <v>25</v>
      </c>
      <c r="J165" s="124">
        <f>'AD Mauritius'!K165</f>
        <v>0</v>
      </c>
      <c r="K165" s="124">
        <f>'AD Mauritius'!L165</f>
        <v>75</v>
      </c>
      <c r="L165" s="124">
        <f>'AD Mauritius'!M165</f>
        <v>0</v>
      </c>
      <c r="M165" s="128">
        <f>'AD Mauritius'!N165</f>
        <v>0</v>
      </c>
      <c r="N165" s="124">
        <f>'AD Mauritius'!O165</f>
        <v>0</v>
      </c>
      <c r="O165" s="81">
        <f t="shared" si="32"/>
        <v>100</v>
      </c>
      <c r="Q165" s="74">
        <f t="shared" si="33"/>
        <v>2006</v>
      </c>
      <c r="R165" s="73">
        <f>'AD Mauritius'!S165</f>
        <v>0</v>
      </c>
      <c r="S165" s="125">
        <f>'AD Mauritius'!T165</f>
        <v>0</v>
      </c>
      <c r="T165" s="125">
        <f>'AD Mauritius'!U165</f>
        <v>0</v>
      </c>
      <c r="U165" s="123"/>
    </row>
    <row r="166" spans="1:21" x14ac:dyDescent="0.35">
      <c r="A166" s="88">
        <f t="shared" si="34"/>
        <v>2007</v>
      </c>
      <c r="B166" s="79">
        <f>'AD Mauritius'!B166</f>
        <v>37370</v>
      </c>
      <c r="C166" s="79">
        <f>'AD Mauritius'!C166</f>
        <v>6.3</v>
      </c>
      <c r="D166" s="127">
        <f>'AD Mauritius'!D166</f>
        <v>235431</v>
      </c>
      <c r="E166" s="127">
        <f>'AD Mauritius'!E166</f>
        <v>2.9</v>
      </c>
      <c r="G166" s="88">
        <f t="shared" si="35"/>
        <v>2007</v>
      </c>
      <c r="H166" s="124">
        <f>'AD Mauritius'!I166</f>
        <v>0</v>
      </c>
      <c r="I166" s="124">
        <f>'AD Mauritius'!J166</f>
        <v>25</v>
      </c>
      <c r="J166" s="124">
        <f>'AD Mauritius'!K166</f>
        <v>0</v>
      </c>
      <c r="K166" s="124">
        <f>'AD Mauritius'!L166</f>
        <v>75</v>
      </c>
      <c r="L166" s="124">
        <f>'AD Mauritius'!M166</f>
        <v>0</v>
      </c>
      <c r="M166" s="128">
        <f>'AD Mauritius'!N166</f>
        <v>0</v>
      </c>
      <c r="N166" s="124">
        <f>'AD Mauritius'!O166</f>
        <v>0</v>
      </c>
      <c r="O166" s="81">
        <f t="shared" si="32"/>
        <v>100</v>
      </c>
      <c r="Q166" s="74">
        <f t="shared" si="33"/>
        <v>2007</v>
      </c>
      <c r="R166" s="73">
        <f>'AD Mauritius'!S166</f>
        <v>0</v>
      </c>
      <c r="S166" s="125">
        <f>'AD Mauritius'!T166</f>
        <v>0</v>
      </c>
      <c r="T166" s="125">
        <f>'AD Mauritius'!U166</f>
        <v>0</v>
      </c>
      <c r="U166" s="123"/>
    </row>
    <row r="167" spans="1:21" x14ac:dyDescent="0.35">
      <c r="A167" s="88">
        <f t="shared" si="34"/>
        <v>2008</v>
      </c>
      <c r="B167" s="79">
        <f>'AD Mauritius'!B167</f>
        <v>37370</v>
      </c>
      <c r="C167" s="79">
        <f>'AD Mauritius'!C167</f>
        <v>6.3</v>
      </c>
      <c r="D167" s="127">
        <f>'AD Mauritius'!D167</f>
        <v>235431</v>
      </c>
      <c r="E167" s="127">
        <f>'AD Mauritius'!E167</f>
        <v>2.9</v>
      </c>
      <c r="G167" s="88">
        <f t="shared" si="35"/>
        <v>2008</v>
      </c>
      <c r="H167" s="124">
        <f>'AD Mauritius'!I167</f>
        <v>0</v>
      </c>
      <c r="I167" s="124">
        <f>'AD Mauritius'!J167</f>
        <v>25</v>
      </c>
      <c r="J167" s="124">
        <f>'AD Mauritius'!K167</f>
        <v>0</v>
      </c>
      <c r="K167" s="124">
        <f>'AD Mauritius'!L167</f>
        <v>75</v>
      </c>
      <c r="L167" s="124">
        <f>'AD Mauritius'!M167</f>
        <v>0</v>
      </c>
      <c r="M167" s="128">
        <f>'AD Mauritius'!N167</f>
        <v>0</v>
      </c>
      <c r="N167" s="124">
        <f>'AD Mauritius'!O167</f>
        <v>0</v>
      </c>
      <c r="O167" s="81">
        <f t="shared" si="32"/>
        <v>100</v>
      </c>
      <c r="Q167" s="74">
        <f t="shared" si="33"/>
        <v>2008</v>
      </c>
      <c r="R167" s="73">
        <f>'AD Mauritius'!S167</f>
        <v>0</v>
      </c>
      <c r="S167" s="125">
        <f>'AD Mauritius'!T167</f>
        <v>0</v>
      </c>
      <c r="T167" s="125">
        <f>'AD Mauritius'!U167</f>
        <v>0</v>
      </c>
      <c r="U167" s="123"/>
    </row>
    <row r="168" spans="1:21" x14ac:dyDescent="0.35">
      <c r="A168" s="88">
        <f t="shared" si="34"/>
        <v>2009</v>
      </c>
      <c r="B168" s="79">
        <f>'AD Mauritius'!B168</f>
        <v>37370</v>
      </c>
      <c r="C168" s="79">
        <f>'AD Mauritius'!C168</f>
        <v>6.3</v>
      </c>
      <c r="D168" s="127">
        <f>'AD Mauritius'!D168</f>
        <v>235431</v>
      </c>
      <c r="E168" s="127">
        <f>'AD Mauritius'!E168</f>
        <v>2.9</v>
      </c>
      <c r="G168" s="88">
        <f t="shared" si="35"/>
        <v>2009</v>
      </c>
      <c r="H168" s="124">
        <f>'AD Mauritius'!I168</f>
        <v>0</v>
      </c>
      <c r="I168" s="124">
        <f>'AD Mauritius'!J168</f>
        <v>25</v>
      </c>
      <c r="J168" s="124">
        <f>'AD Mauritius'!K168</f>
        <v>0</v>
      </c>
      <c r="K168" s="124">
        <f>'AD Mauritius'!L168</f>
        <v>75</v>
      </c>
      <c r="L168" s="124">
        <f>'AD Mauritius'!M168</f>
        <v>0</v>
      </c>
      <c r="M168" s="128">
        <f>'AD Mauritius'!N168</f>
        <v>0</v>
      </c>
      <c r="N168" s="124">
        <f>'AD Mauritius'!O168</f>
        <v>0</v>
      </c>
      <c r="O168" s="81">
        <f t="shared" si="32"/>
        <v>100</v>
      </c>
      <c r="Q168" s="74">
        <f t="shared" si="33"/>
        <v>2009</v>
      </c>
      <c r="R168" s="73">
        <f>'AD Mauritius'!S168</f>
        <v>0</v>
      </c>
      <c r="S168" s="125">
        <f>'AD Mauritius'!T168</f>
        <v>0</v>
      </c>
      <c r="T168" s="125">
        <f>'AD Mauritius'!U168</f>
        <v>0</v>
      </c>
      <c r="U168" s="123"/>
    </row>
    <row r="169" spans="1:21" x14ac:dyDescent="0.35">
      <c r="A169" s="88">
        <f t="shared" si="34"/>
        <v>2010</v>
      </c>
      <c r="B169" s="79">
        <f>'AD Mauritius'!B169</f>
        <v>37370</v>
      </c>
      <c r="C169" s="79">
        <f>'AD Mauritius'!C169</f>
        <v>6.3</v>
      </c>
      <c r="D169" s="127">
        <f>'AD Mauritius'!D169</f>
        <v>235431</v>
      </c>
      <c r="E169" s="127">
        <f>'AD Mauritius'!E169</f>
        <v>2.9</v>
      </c>
      <c r="G169" s="88">
        <f t="shared" si="35"/>
        <v>2010</v>
      </c>
      <c r="H169" s="124">
        <f>'AD Mauritius'!I169</f>
        <v>0</v>
      </c>
      <c r="I169" s="124">
        <f>'AD Mauritius'!J169</f>
        <v>25</v>
      </c>
      <c r="J169" s="124">
        <f>'AD Mauritius'!K169</f>
        <v>0</v>
      </c>
      <c r="K169" s="124">
        <f>'AD Mauritius'!L169</f>
        <v>75</v>
      </c>
      <c r="L169" s="124">
        <f>'AD Mauritius'!M169</f>
        <v>0</v>
      </c>
      <c r="M169" s="128">
        <f>'AD Mauritius'!N169</f>
        <v>0</v>
      </c>
      <c r="N169" s="124">
        <f>'AD Mauritius'!O169</f>
        <v>0</v>
      </c>
      <c r="O169" s="81">
        <f t="shared" si="32"/>
        <v>100</v>
      </c>
      <c r="Q169" s="74">
        <f t="shared" si="33"/>
        <v>2010</v>
      </c>
      <c r="R169" s="73">
        <f>'AD Mauritius'!S169</f>
        <v>0</v>
      </c>
      <c r="S169" s="125">
        <f>'AD Mauritius'!T169</f>
        <v>0</v>
      </c>
      <c r="T169" s="125">
        <f>'AD Mauritius'!U169</f>
        <v>0</v>
      </c>
      <c r="U169" s="123"/>
    </row>
    <row r="170" spans="1:21" x14ac:dyDescent="0.35">
      <c r="A170" s="88">
        <f t="shared" si="34"/>
        <v>2011</v>
      </c>
      <c r="B170" s="79">
        <f>'AD Mauritius'!B170</f>
        <v>37370</v>
      </c>
      <c r="C170" s="79">
        <f>'AD Mauritius'!C170</f>
        <v>6.3</v>
      </c>
      <c r="D170" s="127">
        <f>'AD Mauritius'!D170</f>
        <v>235431</v>
      </c>
      <c r="E170" s="127">
        <f>'AD Mauritius'!E170</f>
        <v>2.9</v>
      </c>
      <c r="G170" s="88">
        <f t="shared" si="35"/>
        <v>2011</v>
      </c>
      <c r="H170" s="124">
        <f>'AD Mauritius'!I170</f>
        <v>0</v>
      </c>
      <c r="I170" s="124">
        <f>'AD Mauritius'!J170</f>
        <v>25</v>
      </c>
      <c r="J170" s="124">
        <f>'AD Mauritius'!K170</f>
        <v>0</v>
      </c>
      <c r="K170" s="124">
        <f>'AD Mauritius'!L170</f>
        <v>75</v>
      </c>
      <c r="L170" s="124">
        <f>'AD Mauritius'!M170</f>
        <v>0</v>
      </c>
      <c r="M170" s="128">
        <f>'AD Mauritius'!N170</f>
        <v>0</v>
      </c>
      <c r="N170" s="124">
        <f>'AD Mauritius'!O170</f>
        <v>0</v>
      </c>
      <c r="O170" s="81">
        <f t="shared" si="32"/>
        <v>100</v>
      </c>
      <c r="Q170" s="74">
        <f t="shared" si="33"/>
        <v>2011</v>
      </c>
      <c r="R170" s="73">
        <f>'AD Mauritius'!S170</f>
        <v>0</v>
      </c>
      <c r="S170" s="125">
        <f>'AD Mauritius'!T170</f>
        <v>0</v>
      </c>
      <c r="T170" s="125">
        <f>'AD Mauritius'!U170</f>
        <v>0</v>
      </c>
      <c r="U170" s="123"/>
    </row>
    <row r="171" spans="1:21" x14ac:dyDescent="0.35">
      <c r="A171" s="88">
        <f t="shared" si="34"/>
        <v>2012</v>
      </c>
      <c r="B171" s="79">
        <f>'AD Mauritius'!B171</f>
        <v>36855</v>
      </c>
      <c r="C171" s="79">
        <f>'AD Mauritius'!C171</f>
        <v>6.3</v>
      </c>
      <c r="D171" s="127">
        <f>'AD Mauritius'!D171</f>
        <v>232186.5</v>
      </c>
      <c r="E171" s="127">
        <f>'AD Mauritius'!E171</f>
        <v>2.9</v>
      </c>
      <c r="G171" s="88">
        <f t="shared" si="35"/>
        <v>2012</v>
      </c>
      <c r="H171" s="124">
        <f>'AD Mauritius'!I171</f>
        <v>0</v>
      </c>
      <c r="I171" s="124">
        <f>'AD Mauritius'!J171</f>
        <v>25</v>
      </c>
      <c r="J171" s="124">
        <f>'AD Mauritius'!K171</f>
        <v>0</v>
      </c>
      <c r="K171" s="124">
        <f>'AD Mauritius'!L171</f>
        <v>75</v>
      </c>
      <c r="L171" s="124">
        <f>'AD Mauritius'!M171</f>
        <v>0</v>
      </c>
      <c r="M171" s="128">
        <f>'AD Mauritius'!N171</f>
        <v>0</v>
      </c>
      <c r="N171" s="124">
        <f>'AD Mauritius'!O171</f>
        <v>0</v>
      </c>
      <c r="O171" s="81">
        <f t="shared" si="32"/>
        <v>100</v>
      </c>
      <c r="Q171" s="74">
        <f t="shared" si="33"/>
        <v>2012</v>
      </c>
      <c r="R171" s="73">
        <f>'AD Mauritius'!S171</f>
        <v>0</v>
      </c>
      <c r="S171" s="125">
        <f>'AD Mauritius'!T171</f>
        <v>0</v>
      </c>
      <c r="T171" s="125">
        <f>'AD Mauritius'!U171</f>
        <v>0</v>
      </c>
      <c r="U171" s="123"/>
    </row>
    <row r="172" spans="1:21" x14ac:dyDescent="0.35">
      <c r="A172" s="88">
        <f t="shared" si="34"/>
        <v>2013</v>
      </c>
      <c r="B172" s="79">
        <f>'AD Mauritius'!B172</f>
        <v>36340</v>
      </c>
      <c r="C172" s="79">
        <f>'AD Mauritius'!C172</f>
        <v>6.3</v>
      </c>
      <c r="D172" s="127">
        <f>'AD Mauritius'!D172</f>
        <v>228942</v>
      </c>
      <c r="E172" s="127">
        <f>'AD Mauritius'!E172</f>
        <v>2.9</v>
      </c>
      <c r="G172" s="88">
        <f t="shared" si="35"/>
        <v>2013</v>
      </c>
      <c r="H172" s="124">
        <f>'AD Mauritius'!I172</f>
        <v>0</v>
      </c>
      <c r="I172" s="124">
        <f>'AD Mauritius'!J172</f>
        <v>25</v>
      </c>
      <c r="J172" s="124">
        <f>'AD Mauritius'!K172</f>
        <v>0</v>
      </c>
      <c r="K172" s="124">
        <f>'AD Mauritius'!L172</f>
        <v>75</v>
      </c>
      <c r="L172" s="124">
        <f>'AD Mauritius'!M172</f>
        <v>0</v>
      </c>
      <c r="M172" s="128">
        <f>'AD Mauritius'!N172</f>
        <v>0</v>
      </c>
      <c r="N172" s="124">
        <f>'AD Mauritius'!O172</f>
        <v>0</v>
      </c>
      <c r="O172" s="81">
        <f t="shared" si="32"/>
        <v>100</v>
      </c>
      <c r="Q172" s="74">
        <f t="shared" si="33"/>
        <v>2013</v>
      </c>
      <c r="R172" s="73">
        <f>'AD Mauritius'!S172</f>
        <v>0</v>
      </c>
      <c r="S172" s="125">
        <f>'AD Mauritius'!T172</f>
        <v>0</v>
      </c>
      <c r="T172" s="125">
        <f>'AD Mauritius'!U172</f>
        <v>0</v>
      </c>
      <c r="U172" s="123"/>
    </row>
    <row r="173" spans="1:21" x14ac:dyDescent="0.35">
      <c r="A173" s="88">
        <f t="shared" si="34"/>
        <v>2014</v>
      </c>
      <c r="B173" s="79">
        <f>'AD Mauritius'!B173</f>
        <v>35825</v>
      </c>
      <c r="C173" s="79">
        <f>'AD Mauritius'!C173</f>
        <v>6.3</v>
      </c>
      <c r="D173" s="127">
        <f>'AD Mauritius'!D173</f>
        <v>225697.5</v>
      </c>
      <c r="E173" s="127">
        <f>'AD Mauritius'!E173</f>
        <v>2.9</v>
      </c>
      <c r="G173" s="88">
        <f t="shared" si="35"/>
        <v>2014</v>
      </c>
      <c r="H173" s="124">
        <f>'AD Mauritius'!I173</f>
        <v>0</v>
      </c>
      <c r="I173" s="124">
        <f>'AD Mauritius'!J173</f>
        <v>25</v>
      </c>
      <c r="J173" s="124">
        <f>'AD Mauritius'!K173</f>
        <v>0</v>
      </c>
      <c r="K173" s="124">
        <f>'AD Mauritius'!L173</f>
        <v>75</v>
      </c>
      <c r="L173" s="124">
        <f>'AD Mauritius'!M173</f>
        <v>0</v>
      </c>
      <c r="M173" s="128">
        <f>'AD Mauritius'!N173</f>
        <v>0</v>
      </c>
      <c r="N173" s="124">
        <f>'AD Mauritius'!O173</f>
        <v>0</v>
      </c>
      <c r="O173" s="81">
        <f t="shared" si="32"/>
        <v>100</v>
      </c>
      <c r="Q173" s="74">
        <f t="shared" si="33"/>
        <v>2014</v>
      </c>
      <c r="R173" s="73">
        <f>'AD Mauritius'!S173</f>
        <v>0</v>
      </c>
      <c r="S173" s="125">
        <f>'AD Mauritius'!T173</f>
        <v>0</v>
      </c>
      <c r="T173" s="125">
        <f>'AD Mauritius'!U173</f>
        <v>0</v>
      </c>
      <c r="U173" s="123"/>
    </row>
    <row r="174" spans="1:21" x14ac:dyDescent="0.35">
      <c r="A174" s="88">
        <f t="shared" si="34"/>
        <v>2015</v>
      </c>
      <c r="B174" s="79">
        <f>'AD Mauritius'!B174</f>
        <v>35310</v>
      </c>
      <c r="C174" s="79">
        <f>'AD Mauritius'!C174</f>
        <v>6.3</v>
      </c>
      <c r="D174" s="127">
        <f>'AD Mauritius'!D174</f>
        <v>222453</v>
      </c>
      <c r="E174" s="127">
        <f>'AD Mauritius'!E174</f>
        <v>2.9</v>
      </c>
      <c r="G174" s="88">
        <f t="shared" si="35"/>
        <v>2015</v>
      </c>
      <c r="H174" s="124">
        <f>'AD Mauritius'!I174</f>
        <v>0</v>
      </c>
      <c r="I174" s="124">
        <f>'AD Mauritius'!J174</f>
        <v>25</v>
      </c>
      <c r="J174" s="124">
        <f>'AD Mauritius'!K174</f>
        <v>0</v>
      </c>
      <c r="K174" s="124">
        <f>'AD Mauritius'!L174</f>
        <v>75</v>
      </c>
      <c r="L174" s="124">
        <f>'AD Mauritius'!M174</f>
        <v>0</v>
      </c>
      <c r="M174" s="128">
        <f>'AD Mauritius'!N174</f>
        <v>0</v>
      </c>
      <c r="N174" s="124">
        <f>'AD Mauritius'!O174</f>
        <v>0</v>
      </c>
      <c r="O174" s="81">
        <f t="shared" si="32"/>
        <v>100</v>
      </c>
      <c r="Q174" s="74">
        <f t="shared" si="33"/>
        <v>2015</v>
      </c>
      <c r="R174" s="73">
        <f>'AD Mauritius'!S174</f>
        <v>0</v>
      </c>
      <c r="S174" s="125">
        <f>'AD Mauritius'!T174</f>
        <v>0</v>
      </c>
      <c r="T174" s="125">
        <f>'AD Mauritius'!U174</f>
        <v>0</v>
      </c>
    </row>
    <row r="175" spans="1:21" x14ac:dyDescent="0.35">
      <c r="A175" s="88">
        <f t="shared" si="34"/>
        <v>2016</v>
      </c>
      <c r="B175" s="79">
        <f>'AD Mauritius'!B175</f>
        <v>36070</v>
      </c>
      <c r="C175" s="79">
        <f>'AD Mauritius'!C175</f>
        <v>6.3</v>
      </c>
      <c r="D175" s="127">
        <f>'AD Mauritius'!D175</f>
        <v>227241</v>
      </c>
      <c r="E175" s="127">
        <f>'AD Mauritius'!E175</f>
        <v>2.9</v>
      </c>
      <c r="G175" s="88">
        <f t="shared" si="35"/>
        <v>2016</v>
      </c>
      <c r="H175" s="124">
        <f>'AD Mauritius'!I175</f>
        <v>0</v>
      </c>
      <c r="I175" s="124">
        <f>'AD Mauritius'!J175</f>
        <v>25</v>
      </c>
      <c r="J175" s="124">
        <f>'AD Mauritius'!K175</f>
        <v>0</v>
      </c>
      <c r="K175" s="124">
        <f>'AD Mauritius'!L175</f>
        <v>75</v>
      </c>
      <c r="L175" s="124">
        <f>'AD Mauritius'!M175</f>
        <v>0</v>
      </c>
      <c r="M175" s="128">
        <f>'AD Mauritius'!N175</f>
        <v>0</v>
      </c>
      <c r="N175" s="124">
        <f>'AD Mauritius'!O175</f>
        <v>0</v>
      </c>
      <c r="O175" s="81">
        <f t="shared" si="32"/>
        <v>100</v>
      </c>
      <c r="Q175" s="74">
        <f t="shared" si="33"/>
        <v>2016</v>
      </c>
      <c r="R175" s="73">
        <f>'AD Mauritius'!S175</f>
        <v>0</v>
      </c>
      <c r="S175" s="125">
        <f>'AD Mauritius'!T175</f>
        <v>0</v>
      </c>
      <c r="T175" s="125">
        <f>'AD Mauritius'!U175</f>
        <v>0</v>
      </c>
    </row>
    <row r="176" spans="1:21" x14ac:dyDescent="0.35">
      <c r="G176" s="177" t="s">
        <v>391</v>
      </c>
    </row>
  </sheetData>
  <mergeCells count="3">
    <mergeCell ref="A112:T112"/>
    <mergeCell ref="A2:X2"/>
    <mergeCell ref="A66:AC66"/>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4A459-CA20-4E65-838D-523F78165108}">
  <sheetPr>
    <tabColor theme="5" tint="0.39997558519241921"/>
  </sheetPr>
  <dimension ref="A2:W59"/>
  <sheetViews>
    <sheetView topLeftCell="A25" zoomScale="70" zoomScaleNormal="70" workbookViewId="0">
      <selection activeCell="K10" sqref="K10"/>
    </sheetView>
  </sheetViews>
  <sheetFormatPr baseColWidth="10" defaultRowHeight="14.5" x14ac:dyDescent="0.35"/>
  <cols>
    <col min="1" max="1" width="4.453125" customWidth="1"/>
    <col min="2" max="2" width="47.7265625" bestFit="1" customWidth="1"/>
    <col min="3" max="3" width="13.08984375" customWidth="1"/>
    <col min="4" max="4" width="16.7265625" customWidth="1"/>
    <col min="5" max="5" width="30.6328125" customWidth="1"/>
    <col min="6" max="6" width="12.08984375" bestFit="1" customWidth="1"/>
    <col min="8" max="8" width="26.08984375" bestFit="1" customWidth="1"/>
    <col min="9" max="9" width="17.6328125" customWidth="1"/>
  </cols>
  <sheetData>
    <row r="2" spans="1:23" ht="32.5" x14ac:dyDescent="0.65">
      <c r="A2" s="223" t="s">
        <v>289</v>
      </c>
      <c r="B2" s="223"/>
      <c r="C2" s="223"/>
      <c r="D2" s="223"/>
      <c r="E2" s="223"/>
      <c r="F2" s="223"/>
      <c r="G2" s="223"/>
      <c r="H2" s="223"/>
      <c r="I2" s="223"/>
      <c r="J2" s="223"/>
      <c r="K2" s="2"/>
      <c r="L2" s="2"/>
      <c r="M2" s="2"/>
      <c r="N2" s="2"/>
      <c r="O2" s="2"/>
      <c r="P2" s="2"/>
      <c r="Q2" s="2"/>
      <c r="R2" s="2"/>
      <c r="S2" s="2"/>
      <c r="T2" s="2"/>
      <c r="U2" s="2"/>
      <c r="V2" s="2"/>
      <c r="W2" s="2"/>
    </row>
    <row r="4" spans="1:23" x14ac:dyDescent="0.35">
      <c r="B4" s="126" t="s">
        <v>408</v>
      </c>
    </row>
    <row r="7" spans="1:23" ht="32.5" x14ac:dyDescent="0.65">
      <c r="A7" s="223" t="s">
        <v>290</v>
      </c>
      <c r="B7" s="223"/>
      <c r="C7" s="223"/>
      <c r="D7" s="223"/>
      <c r="E7" s="223"/>
      <c r="F7" s="223"/>
      <c r="G7" s="223"/>
      <c r="H7" s="223"/>
      <c r="I7" s="223"/>
      <c r="J7" s="223"/>
    </row>
    <row r="8" spans="1:23" ht="15" thickBot="1" x14ac:dyDescent="0.4"/>
    <row r="9" spans="1:23" ht="29.5" customHeight="1" thickTop="1" x14ac:dyDescent="0.35">
      <c r="C9" s="224" t="s">
        <v>335</v>
      </c>
      <c r="D9" s="225"/>
      <c r="E9" s="224" t="s">
        <v>292</v>
      </c>
      <c r="F9" s="225"/>
    </row>
    <row r="10" spans="1:23" ht="29.5" thickBot="1" x14ac:dyDescent="0.4">
      <c r="C10" s="64" t="s">
        <v>54</v>
      </c>
      <c r="D10" s="65" t="s">
        <v>69</v>
      </c>
      <c r="E10" s="64" t="s">
        <v>54</v>
      </c>
      <c r="F10" s="65" t="s">
        <v>69</v>
      </c>
    </row>
    <row r="11" spans="1:23" ht="15.5" thickTop="1" thickBot="1" x14ac:dyDescent="0.4">
      <c r="B11" s="5" t="s">
        <v>53</v>
      </c>
      <c r="C11" s="8">
        <v>10</v>
      </c>
      <c r="D11" s="7">
        <v>4</v>
      </c>
      <c r="E11" s="6">
        <v>0.6</v>
      </c>
      <c r="F11" s="7">
        <v>0.24</v>
      </c>
    </row>
    <row r="12" spans="1:23" ht="15" thickBot="1" x14ac:dyDescent="0.4">
      <c r="B12" s="12" t="s">
        <v>66</v>
      </c>
      <c r="C12" s="9">
        <v>2</v>
      </c>
      <c r="D12" s="10">
        <v>0.8</v>
      </c>
      <c r="E12" s="11" t="s">
        <v>293</v>
      </c>
      <c r="F12" s="10" t="s">
        <v>293</v>
      </c>
    </row>
    <row r="13" spans="1:23" ht="15" thickTop="1" x14ac:dyDescent="0.35">
      <c r="B13" t="s">
        <v>294</v>
      </c>
    </row>
    <row r="15" spans="1:23" ht="32.5" x14ac:dyDescent="0.65">
      <c r="A15" s="223" t="s">
        <v>250</v>
      </c>
      <c r="B15" s="223"/>
      <c r="C15" s="223"/>
      <c r="D15" s="223"/>
      <c r="E15" s="223"/>
      <c r="F15" s="223"/>
      <c r="G15" s="223"/>
      <c r="H15" s="223"/>
      <c r="I15" s="223"/>
      <c r="J15" s="223"/>
    </row>
    <row r="16" spans="1:23" ht="15" thickBot="1" x14ac:dyDescent="0.4"/>
    <row r="17" spans="1:10" ht="15" thickBot="1" x14ac:dyDescent="0.4">
      <c r="B17" s="4" t="s">
        <v>334</v>
      </c>
      <c r="C17" s="63" t="s">
        <v>315</v>
      </c>
      <c r="E17" s="198"/>
      <c r="F17" s="199"/>
      <c r="G17" s="200"/>
      <c r="H17" s="198"/>
      <c r="I17" s="199"/>
    </row>
    <row r="18" spans="1:10" x14ac:dyDescent="0.35">
      <c r="B18" s="57" t="s">
        <v>331</v>
      </c>
      <c r="C18" s="60">
        <v>60</v>
      </c>
      <c r="E18" s="201"/>
      <c r="F18" s="198"/>
      <c r="G18" s="200"/>
      <c r="H18" s="201"/>
      <c r="I18" s="198"/>
    </row>
    <row r="19" spans="1:10" x14ac:dyDescent="0.35">
      <c r="B19" s="58" t="s">
        <v>332</v>
      </c>
      <c r="C19" s="61">
        <v>40</v>
      </c>
      <c r="E19" s="201"/>
      <c r="F19" s="198"/>
      <c r="G19" s="200"/>
      <c r="H19" s="201"/>
      <c r="I19" s="198"/>
    </row>
    <row r="20" spans="1:10" ht="15" thickBot="1" x14ac:dyDescent="0.4">
      <c r="B20" s="59" t="s">
        <v>333</v>
      </c>
      <c r="C20" s="62">
        <v>100</v>
      </c>
      <c r="E20" s="201"/>
      <c r="F20" s="198"/>
      <c r="G20" s="200"/>
      <c r="H20" s="201"/>
      <c r="I20" s="198"/>
    </row>
    <row r="21" spans="1:10" x14ac:dyDescent="0.35">
      <c r="B21" t="s">
        <v>407</v>
      </c>
    </row>
    <row r="23" spans="1:10" ht="32.5" x14ac:dyDescent="0.65">
      <c r="A23" s="223" t="s">
        <v>291</v>
      </c>
      <c r="B23" s="223"/>
      <c r="C23" s="223"/>
      <c r="D23" s="223"/>
      <c r="E23" s="223"/>
      <c r="F23" s="223"/>
      <c r="G23" s="223"/>
      <c r="H23" s="223"/>
      <c r="I23" s="223"/>
      <c r="J23" s="223"/>
    </row>
    <row r="24" spans="1:10" ht="15" thickBot="1" x14ac:dyDescent="0.4"/>
    <row r="25" spans="1:10" ht="15" thickBot="1" x14ac:dyDescent="0.4">
      <c r="B25" s="221" t="s">
        <v>314</v>
      </c>
      <c r="C25" s="222"/>
      <c r="D25" s="222"/>
      <c r="E25" s="222"/>
      <c r="F25" s="44"/>
    </row>
    <row r="26" spans="1:10" ht="29.5" thickBot="1" x14ac:dyDescent="0.4">
      <c r="B26" s="13" t="s">
        <v>300</v>
      </c>
      <c r="C26" s="14" t="s">
        <v>295</v>
      </c>
      <c r="D26" s="14" t="s">
        <v>296</v>
      </c>
      <c r="E26" s="15" t="s">
        <v>297</v>
      </c>
    </row>
    <row r="27" spans="1:10" ht="15" thickBot="1" x14ac:dyDescent="0.4">
      <c r="B27" s="41" t="s">
        <v>302</v>
      </c>
      <c r="C27" s="42"/>
      <c r="D27" s="42"/>
      <c r="E27" s="43"/>
    </row>
    <row r="28" spans="1:10" ht="29" x14ac:dyDescent="0.35">
      <c r="B28" s="16" t="s">
        <v>329</v>
      </c>
      <c r="C28" s="50">
        <v>0.6</v>
      </c>
      <c r="D28" s="51">
        <v>0.1</v>
      </c>
      <c r="E28" s="32">
        <f>C28*D28</f>
        <v>0.06</v>
      </c>
    </row>
    <row r="29" spans="1:10" x14ac:dyDescent="0.35">
      <c r="B29" s="17" t="s">
        <v>316</v>
      </c>
      <c r="C29" s="48">
        <v>0.6</v>
      </c>
      <c r="D29" s="52">
        <v>0.5</v>
      </c>
      <c r="E29" s="33">
        <f t="shared" ref="E29:E42" si="0">C29*D29</f>
        <v>0.3</v>
      </c>
    </row>
    <row r="30" spans="1:10" ht="44" thickBot="1" x14ac:dyDescent="0.4">
      <c r="B30" s="17" t="s">
        <v>317</v>
      </c>
      <c r="C30" s="48">
        <v>0.6</v>
      </c>
      <c r="D30" s="52">
        <v>0</v>
      </c>
      <c r="E30" s="34">
        <f t="shared" si="0"/>
        <v>0</v>
      </c>
    </row>
    <row r="31" spans="1:10" ht="15" thickBot="1" x14ac:dyDescent="0.4">
      <c r="B31" s="41" t="s">
        <v>225</v>
      </c>
      <c r="C31" s="42"/>
      <c r="D31" s="42"/>
      <c r="E31" s="43"/>
    </row>
    <row r="32" spans="1:10" ht="49.5" customHeight="1" x14ac:dyDescent="0.35">
      <c r="B32" s="17" t="s">
        <v>318</v>
      </c>
      <c r="C32" s="48">
        <v>0.6</v>
      </c>
      <c r="D32" s="52">
        <v>0</v>
      </c>
      <c r="E32" s="33">
        <f t="shared" si="0"/>
        <v>0</v>
      </c>
    </row>
    <row r="33" spans="2:5" ht="29" x14ac:dyDescent="0.35">
      <c r="B33" s="18" t="s">
        <v>319</v>
      </c>
      <c r="C33" s="53">
        <v>0.6</v>
      </c>
      <c r="D33" s="54">
        <v>0.3</v>
      </c>
      <c r="E33" s="45">
        <f t="shared" si="0"/>
        <v>0.18</v>
      </c>
    </row>
    <row r="34" spans="2:5" ht="29" x14ac:dyDescent="0.35">
      <c r="B34" s="18" t="s">
        <v>320</v>
      </c>
      <c r="C34" s="53">
        <v>0.6</v>
      </c>
      <c r="D34" s="54">
        <v>0.8</v>
      </c>
      <c r="E34" s="45">
        <f t="shared" si="0"/>
        <v>0.48</v>
      </c>
    </row>
    <row r="35" spans="2:5" ht="29" x14ac:dyDescent="0.35">
      <c r="B35" s="18" t="s">
        <v>321</v>
      </c>
      <c r="C35" s="53">
        <v>0.6</v>
      </c>
      <c r="D35" s="54">
        <v>0.8</v>
      </c>
      <c r="E35" s="45">
        <f t="shared" si="0"/>
        <v>0.48</v>
      </c>
    </row>
    <row r="36" spans="2:5" ht="29" x14ac:dyDescent="0.35">
      <c r="B36" s="18" t="s">
        <v>322</v>
      </c>
      <c r="C36" s="53">
        <v>0.6</v>
      </c>
      <c r="D36" s="54">
        <v>0.2</v>
      </c>
      <c r="E36" s="45">
        <f t="shared" si="0"/>
        <v>0.12</v>
      </c>
    </row>
    <row r="37" spans="2:5" ht="29" x14ac:dyDescent="0.35">
      <c r="B37" s="18" t="s">
        <v>323</v>
      </c>
      <c r="C37" s="53">
        <v>0.6</v>
      </c>
      <c r="D37" s="54">
        <v>0.8</v>
      </c>
      <c r="E37" s="45">
        <f t="shared" si="0"/>
        <v>0.48</v>
      </c>
    </row>
    <row r="38" spans="2:5" ht="29" x14ac:dyDescent="0.35">
      <c r="B38" s="18" t="s">
        <v>324</v>
      </c>
      <c r="C38" s="53">
        <v>0.6</v>
      </c>
      <c r="D38" s="54">
        <v>0.5</v>
      </c>
      <c r="E38" s="45">
        <f t="shared" si="0"/>
        <v>0.3</v>
      </c>
    </row>
    <row r="39" spans="2:5" ht="43.5" x14ac:dyDescent="0.35">
      <c r="B39" s="18" t="s">
        <v>326</v>
      </c>
      <c r="C39" s="53">
        <v>0.6</v>
      </c>
      <c r="D39" s="54">
        <v>0.1</v>
      </c>
      <c r="E39" s="45">
        <f t="shared" si="0"/>
        <v>0.06</v>
      </c>
    </row>
    <row r="40" spans="2:5" ht="29" x14ac:dyDescent="0.35">
      <c r="B40" s="18" t="s">
        <v>325</v>
      </c>
      <c r="C40" s="53">
        <v>0.6</v>
      </c>
      <c r="D40" s="55">
        <v>0.5</v>
      </c>
      <c r="E40" s="35">
        <f>C40*D40</f>
        <v>0.3</v>
      </c>
    </row>
    <row r="41" spans="2:5" ht="29" x14ac:dyDescent="0.35">
      <c r="B41" s="17" t="s">
        <v>327</v>
      </c>
      <c r="C41" s="48">
        <v>0.6</v>
      </c>
      <c r="D41" s="52">
        <v>0.7</v>
      </c>
      <c r="E41" s="33">
        <f t="shared" si="0"/>
        <v>0.42</v>
      </c>
    </row>
    <row r="42" spans="2:5" ht="15" thickBot="1" x14ac:dyDescent="0.4">
      <c r="B42" s="19" t="s">
        <v>328</v>
      </c>
      <c r="C42" s="49">
        <v>0.6</v>
      </c>
      <c r="D42" s="56">
        <v>0.1</v>
      </c>
      <c r="E42" s="36">
        <f t="shared" si="0"/>
        <v>0.06</v>
      </c>
    </row>
    <row r="43" spans="2:5" ht="15" thickBot="1" x14ac:dyDescent="0.4">
      <c r="B43" s="3"/>
      <c r="C43" s="3"/>
      <c r="D43" s="20"/>
    </row>
    <row r="44" spans="2:5" ht="15" thickBot="1" x14ac:dyDescent="0.4">
      <c r="B44" s="221" t="s">
        <v>301</v>
      </c>
      <c r="C44" s="222"/>
      <c r="D44" s="222"/>
      <c r="E44" s="226"/>
    </row>
    <row r="45" spans="2:5" ht="29.5" thickBot="1" x14ac:dyDescent="0.4">
      <c r="B45" s="13" t="s">
        <v>300</v>
      </c>
      <c r="C45" s="14" t="s">
        <v>298</v>
      </c>
      <c r="D45" s="14" t="s">
        <v>296</v>
      </c>
      <c r="E45" s="15" t="s">
        <v>299</v>
      </c>
    </row>
    <row r="46" spans="2:5" ht="15" thickBot="1" x14ac:dyDescent="0.4">
      <c r="B46" s="227" t="s">
        <v>302</v>
      </c>
      <c r="C46" s="228"/>
      <c r="D46" s="228"/>
      <c r="E46" s="229"/>
    </row>
    <row r="47" spans="2:5" ht="15" thickBot="1" x14ac:dyDescent="0.4">
      <c r="B47" s="24" t="s">
        <v>303</v>
      </c>
      <c r="C47" s="46">
        <v>0.25</v>
      </c>
      <c r="D47" s="47">
        <v>0.1</v>
      </c>
      <c r="E47" s="37">
        <f>C47*D47</f>
        <v>2.5000000000000001E-2</v>
      </c>
    </row>
    <row r="48" spans="2:5" ht="15" thickBot="1" x14ac:dyDescent="0.4">
      <c r="B48" s="230" t="s">
        <v>225</v>
      </c>
      <c r="C48" s="231"/>
      <c r="D48" s="231"/>
      <c r="E48" s="232"/>
    </row>
    <row r="49" spans="2:7" x14ac:dyDescent="0.35">
      <c r="B49" s="25" t="s">
        <v>304</v>
      </c>
      <c r="C49" s="23">
        <v>0.25</v>
      </c>
      <c r="D49" s="23">
        <v>0</v>
      </c>
      <c r="E49" s="38">
        <f>C49*D49</f>
        <v>0</v>
      </c>
    </row>
    <row r="50" spans="2:7" ht="14.5" customHeight="1" x14ac:dyDescent="0.35">
      <c r="B50" s="21" t="s">
        <v>305</v>
      </c>
      <c r="C50" s="48">
        <v>0.25</v>
      </c>
      <c r="D50" s="48">
        <v>0.3</v>
      </c>
      <c r="E50" s="39">
        <f>C50*D50</f>
        <v>7.4999999999999997E-2</v>
      </c>
    </row>
    <row r="51" spans="2:7" x14ac:dyDescent="0.35">
      <c r="B51" s="21" t="s">
        <v>115</v>
      </c>
      <c r="C51" s="48">
        <v>0.25</v>
      </c>
      <c r="D51" s="48">
        <v>0.8</v>
      </c>
      <c r="E51" s="39">
        <f t="shared" ref="E51:E54" si="1">C51*D51</f>
        <v>0.2</v>
      </c>
    </row>
    <row r="52" spans="2:7" x14ac:dyDescent="0.35">
      <c r="B52" s="21" t="s">
        <v>330</v>
      </c>
      <c r="C52" s="48">
        <v>0.25</v>
      </c>
      <c r="D52" s="48">
        <v>0.8</v>
      </c>
      <c r="E52" s="39">
        <f t="shared" si="1"/>
        <v>0.2</v>
      </c>
    </row>
    <row r="53" spans="2:7" x14ac:dyDescent="0.35">
      <c r="B53" s="21" t="s">
        <v>119</v>
      </c>
      <c r="C53" s="48">
        <v>0.25</v>
      </c>
      <c r="D53" s="48">
        <v>0.2</v>
      </c>
      <c r="E53" s="39">
        <f t="shared" si="1"/>
        <v>0.05</v>
      </c>
    </row>
    <row r="54" spans="2:7" ht="15" thickBot="1" x14ac:dyDescent="0.4">
      <c r="B54" s="22" t="s">
        <v>123</v>
      </c>
      <c r="C54" s="49">
        <v>0.25</v>
      </c>
      <c r="D54" s="49">
        <v>0.8</v>
      </c>
      <c r="E54" s="40">
        <f t="shared" si="1"/>
        <v>0.2</v>
      </c>
    </row>
    <row r="55" spans="2:7" ht="15" thickBot="1" x14ac:dyDescent="0.4">
      <c r="B55" s="3"/>
      <c r="C55" s="3"/>
      <c r="D55" s="20"/>
    </row>
    <row r="56" spans="2:7" ht="15" thickBot="1" x14ac:dyDescent="0.4">
      <c r="B56" s="221" t="s">
        <v>307</v>
      </c>
      <c r="C56" s="222"/>
      <c r="D56" s="222"/>
      <c r="E56" s="222"/>
      <c r="F56" s="222"/>
      <c r="G56" s="222"/>
    </row>
    <row r="57" spans="2:7" ht="62" x14ac:dyDescent="0.35">
      <c r="B57" s="26" t="s">
        <v>282</v>
      </c>
      <c r="C57" s="27" t="s">
        <v>283</v>
      </c>
      <c r="D57" s="27" t="s">
        <v>284</v>
      </c>
      <c r="E57" s="27" t="s">
        <v>285</v>
      </c>
      <c r="F57" s="27" t="s">
        <v>52</v>
      </c>
      <c r="G57" s="27" t="s">
        <v>308</v>
      </c>
    </row>
    <row r="58" spans="2:7" ht="31.5" thickBot="1" x14ac:dyDescent="0.4">
      <c r="B58" s="28" t="s">
        <v>309</v>
      </c>
      <c r="C58" s="29" t="s">
        <v>310</v>
      </c>
      <c r="D58" s="29" t="s">
        <v>311</v>
      </c>
      <c r="E58" s="29" t="s">
        <v>312</v>
      </c>
      <c r="F58" s="29" t="s">
        <v>313</v>
      </c>
      <c r="G58" s="29" t="s">
        <v>306</v>
      </c>
    </row>
    <row r="59" spans="2:7" ht="15" thickBot="1" x14ac:dyDescent="0.4">
      <c r="B59" s="30">
        <v>0.16</v>
      </c>
      <c r="C59" s="31">
        <v>1.1000000000000001</v>
      </c>
      <c r="D59" s="31">
        <v>1.25</v>
      </c>
      <c r="E59" s="31">
        <v>0</v>
      </c>
      <c r="F59" s="31">
        <v>5.0000000000000001E-3</v>
      </c>
      <c r="G59" s="31">
        <f>44/28</f>
        <v>1.5714285714285714</v>
      </c>
    </row>
  </sheetData>
  <mergeCells count="11">
    <mergeCell ref="B56:G56"/>
    <mergeCell ref="A2:J2"/>
    <mergeCell ref="A7:J7"/>
    <mergeCell ref="A15:J15"/>
    <mergeCell ref="A23:J23"/>
    <mergeCell ref="C9:D9"/>
    <mergeCell ref="E9:F9"/>
    <mergeCell ref="B25:E25"/>
    <mergeCell ref="B44:E44"/>
    <mergeCell ref="B46:E46"/>
    <mergeCell ref="B48:E4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63CB1-6700-4A75-935E-4BA310C5DF24}">
  <sheetPr>
    <tabColor theme="5" tint="0.39997558519241921"/>
  </sheetPr>
  <dimension ref="A1:AA61"/>
  <sheetViews>
    <sheetView zoomScale="80" zoomScaleNormal="80" workbookViewId="0">
      <selection activeCell="D21" sqref="D21"/>
    </sheetView>
  </sheetViews>
  <sheetFormatPr baseColWidth="10" defaultRowHeight="14.5" x14ac:dyDescent="0.35"/>
  <cols>
    <col min="1" max="1" width="8.54296875" bestFit="1" customWidth="1"/>
    <col min="2" max="2" width="48.36328125" bestFit="1" customWidth="1"/>
    <col min="3" max="3" width="15.81640625" bestFit="1" customWidth="1"/>
  </cols>
  <sheetData>
    <row r="1" spans="1:27" x14ac:dyDescent="0.35">
      <c r="A1" s="1" t="s">
        <v>22</v>
      </c>
      <c r="B1" s="1" t="s">
        <v>23</v>
      </c>
      <c r="C1" s="1" t="s">
        <v>24</v>
      </c>
      <c r="D1" s="1" t="s">
        <v>25</v>
      </c>
      <c r="E1" s="1" t="s">
        <v>26</v>
      </c>
      <c r="F1" s="1" t="s">
        <v>27</v>
      </c>
      <c r="G1" s="1" t="s">
        <v>28</v>
      </c>
      <c r="H1" s="1" t="s">
        <v>29</v>
      </c>
      <c r="I1" s="1" t="s">
        <v>30</v>
      </c>
      <c r="J1" s="1" t="s">
        <v>31</v>
      </c>
      <c r="K1" s="1" t="s">
        <v>32</v>
      </c>
      <c r="L1" s="1" t="s">
        <v>33</v>
      </c>
      <c r="M1" s="1" t="s">
        <v>34</v>
      </c>
      <c r="N1" s="1" t="s">
        <v>35</v>
      </c>
      <c r="O1" s="1" t="s">
        <v>36</v>
      </c>
      <c r="P1" s="1" t="s">
        <v>37</v>
      </c>
      <c r="Q1" s="1" t="s">
        <v>38</v>
      </c>
      <c r="R1" s="1" t="s">
        <v>39</v>
      </c>
      <c r="S1" s="1" t="s">
        <v>40</v>
      </c>
      <c r="T1" s="1" t="s">
        <v>41</v>
      </c>
      <c r="U1" s="1" t="s">
        <v>42</v>
      </c>
      <c r="V1" s="1" t="s">
        <v>43</v>
      </c>
      <c r="W1" s="1" t="s">
        <v>44</v>
      </c>
      <c r="X1" s="1" t="s">
        <v>45</v>
      </c>
      <c r="Y1" s="1" t="s">
        <v>46</v>
      </c>
      <c r="Z1" s="1" t="s">
        <v>47</v>
      </c>
      <c r="AA1" s="1" t="s">
        <v>48</v>
      </c>
    </row>
    <row r="2" spans="1:27" x14ac:dyDescent="0.35">
      <c r="A2">
        <v>615011</v>
      </c>
      <c r="B2" t="s">
        <v>49</v>
      </c>
      <c r="C2" t="s">
        <v>50</v>
      </c>
      <c r="E2" t="s">
        <v>51</v>
      </c>
      <c r="F2" t="s">
        <v>52</v>
      </c>
      <c r="G2" t="s">
        <v>53</v>
      </c>
      <c r="H2" t="s">
        <v>54</v>
      </c>
      <c r="I2" t="s">
        <v>55</v>
      </c>
      <c r="J2" t="s">
        <v>55</v>
      </c>
      <c r="K2" t="s">
        <v>55</v>
      </c>
      <c r="L2" t="s">
        <v>56</v>
      </c>
      <c r="M2" t="s">
        <v>57</v>
      </c>
      <c r="N2" t="s">
        <v>58</v>
      </c>
      <c r="O2" t="s">
        <v>59</v>
      </c>
      <c r="P2" t="s">
        <v>60</v>
      </c>
      <c r="Q2" t="s">
        <v>61</v>
      </c>
      <c r="R2" t="s">
        <v>55</v>
      </c>
      <c r="S2" t="s">
        <v>62</v>
      </c>
      <c r="T2" t="s">
        <v>62</v>
      </c>
      <c r="U2" t="s">
        <v>63</v>
      </c>
      <c r="V2" t="s">
        <v>55</v>
      </c>
      <c r="W2" t="s">
        <v>55</v>
      </c>
      <c r="X2" t="s">
        <v>64</v>
      </c>
      <c r="Y2" t="s">
        <v>55</v>
      </c>
      <c r="Z2" t="s">
        <v>65</v>
      </c>
      <c r="AA2" t="s">
        <v>55</v>
      </c>
    </row>
    <row r="3" spans="1:27" x14ac:dyDescent="0.35">
      <c r="A3">
        <v>615012</v>
      </c>
      <c r="B3" t="s">
        <v>49</v>
      </c>
      <c r="C3" t="s">
        <v>50</v>
      </c>
      <c r="E3" t="s">
        <v>51</v>
      </c>
      <c r="F3" t="s">
        <v>52</v>
      </c>
      <c r="G3" t="s">
        <v>66</v>
      </c>
      <c r="H3" t="s">
        <v>54</v>
      </c>
      <c r="I3" t="s">
        <v>55</v>
      </c>
      <c r="J3" t="s">
        <v>55</v>
      </c>
      <c r="K3" t="s">
        <v>55</v>
      </c>
      <c r="L3" t="s">
        <v>67</v>
      </c>
      <c r="M3" t="s">
        <v>57</v>
      </c>
      <c r="N3" t="s">
        <v>58</v>
      </c>
      <c r="O3" t="s">
        <v>59</v>
      </c>
      <c r="P3" t="s">
        <v>60</v>
      </c>
      <c r="Q3" t="s">
        <v>61</v>
      </c>
      <c r="R3" t="s">
        <v>55</v>
      </c>
      <c r="S3" t="s">
        <v>62</v>
      </c>
      <c r="T3" t="s">
        <v>62</v>
      </c>
      <c r="U3" t="s">
        <v>63</v>
      </c>
      <c r="V3" t="s">
        <v>55</v>
      </c>
      <c r="W3" t="s">
        <v>55</v>
      </c>
      <c r="X3" t="s">
        <v>68</v>
      </c>
      <c r="Y3" t="s">
        <v>55</v>
      </c>
      <c r="Z3" t="s">
        <v>65</v>
      </c>
      <c r="AA3" t="s">
        <v>55</v>
      </c>
    </row>
    <row r="4" spans="1:27" x14ac:dyDescent="0.35">
      <c r="A4">
        <v>615013</v>
      </c>
      <c r="B4" t="s">
        <v>49</v>
      </c>
      <c r="C4" t="s">
        <v>50</v>
      </c>
      <c r="E4" t="s">
        <v>51</v>
      </c>
      <c r="F4" t="s">
        <v>52</v>
      </c>
      <c r="G4" t="s">
        <v>53</v>
      </c>
      <c r="H4" t="s">
        <v>69</v>
      </c>
      <c r="I4" t="s">
        <v>55</v>
      </c>
      <c r="J4" t="s">
        <v>55</v>
      </c>
      <c r="K4" t="s">
        <v>55</v>
      </c>
      <c r="L4" t="s">
        <v>70</v>
      </c>
      <c r="M4" t="s">
        <v>57</v>
      </c>
      <c r="N4" t="s">
        <v>58</v>
      </c>
      <c r="O4" t="s">
        <v>59</v>
      </c>
      <c r="P4" t="s">
        <v>60</v>
      </c>
      <c r="Q4" t="s">
        <v>61</v>
      </c>
      <c r="R4" t="s">
        <v>55</v>
      </c>
      <c r="S4" t="s">
        <v>62</v>
      </c>
      <c r="T4" t="s">
        <v>62</v>
      </c>
      <c r="U4" t="s">
        <v>63</v>
      </c>
      <c r="V4" t="s">
        <v>55</v>
      </c>
      <c r="W4" t="s">
        <v>55</v>
      </c>
      <c r="X4" t="s">
        <v>71</v>
      </c>
      <c r="Y4" t="s">
        <v>55</v>
      </c>
      <c r="Z4" t="s">
        <v>65</v>
      </c>
      <c r="AA4" t="s">
        <v>55</v>
      </c>
    </row>
    <row r="5" spans="1:27" x14ac:dyDescent="0.35">
      <c r="A5">
        <v>615014</v>
      </c>
      <c r="B5" t="s">
        <v>49</v>
      </c>
      <c r="C5" t="s">
        <v>50</v>
      </c>
      <c r="E5" t="s">
        <v>51</v>
      </c>
      <c r="F5" t="s">
        <v>52</v>
      </c>
      <c r="G5" t="s">
        <v>66</v>
      </c>
      <c r="H5" t="s">
        <v>69</v>
      </c>
      <c r="I5" t="s">
        <v>55</v>
      </c>
      <c r="J5" t="s">
        <v>55</v>
      </c>
      <c r="K5" t="s">
        <v>55</v>
      </c>
      <c r="L5" t="s">
        <v>72</v>
      </c>
      <c r="M5" t="s">
        <v>57</v>
      </c>
      <c r="N5" t="s">
        <v>58</v>
      </c>
      <c r="O5" t="s">
        <v>59</v>
      </c>
      <c r="P5" t="s">
        <v>60</v>
      </c>
      <c r="Q5" t="s">
        <v>61</v>
      </c>
      <c r="R5" t="s">
        <v>55</v>
      </c>
      <c r="S5" t="s">
        <v>62</v>
      </c>
      <c r="T5" t="s">
        <v>62</v>
      </c>
      <c r="U5" t="s">
        <v>63</v>
      </c>
      <c r="V5" t="s">
        <v>55</v>
      </c>
      <c r="W5" t="s">
        <v>55</v>
      </c>
      <c r="X5" t="s">
        <v>73</v>
      </c>
      <c r="Y5" t="s">
        <v>55</v>
      </c>
      <c r="Z5" t="s">
        <v>65</v>
      </c>
      <c r="AA5" t="s">
        <v>55</v>
      </c>
    </row>
    <row r="6" spans="1:27" x14ac:dyDescent="0.35">
      <c r="A6">
        <v>615015</v>
      </c>
      <c r="B6" t="s">
        <v>49</v>
      </c>
      <c r="C6" t="s">
        <v>74</v>
      </c>
      <c r="E6" t="s">
        <v>51</v>
      </c>
      <c r="F6" t="s">
        <v>52</v>
      </c>
      <c r="G6" t="s">
        <v>53</v>
      </c>
      <c r="H6" t="s">
        <v>54</v>
      </c>
      <c r="I6" t="s">
        <v>55</v>
      </c>
      <c r="J6" t="s">
        <v>55</v>
      </c>
      <c r="K6" t="s">
        <v>55</v>
      </c>
      <c r="L6" t="s">
        <v>75</v>
      </c>
      <c r="M6" t="s">
        <v>76</v>
      </c>
      <c r="N6" t="s">
        <v>77</v>
      </c>
      <c r="O6" t="s">
        <v>59</v>
      </c>
      <c r="P6" t="s">
        <v>60</v>
      </c>
      <c r="Q6" t="s">
        <v>61</v>
      </c>
      <c r="R6" t="s">
        <v>55</v>
      </c>
      <c r="S6" t="s">
        <v>62</v>
      </c>
      <c r="T6" t="s">
        <v>62</v>
      </c>
      <c r="U6" t="s">
        <v>63</v>
      </c>
      <c r="V6" t="s">
        <v>55</v>
      </c>
      <c r="W6" t="s">
        <v>55</v>
      </c>
      <c r="X6" t="s">
        <v>78</v>
      </c>
      <c r="Y6" t="s">
        <v>55</v>
      </c>
      <c r="Z6" t="s">
        <v>65</v>
      </c>
      <c r="AA6" t="s">
        <v>55</v>
      </c>
    </row>
    <row r="7" spans="1:27" x14ac:dyDescent="0.35">
      <c r="A7">
        <v>615016</v>
      </c>
      <c r="B7" t="s">
        <v>49</v>
      </c>
      <c r="C7" t="s">
        <v>74</v>
      </c>
      <c r="E7" t="s">
        <v>51</v>
      </c>
      <c r="F7" t="s">
        <v>52</v>
      </c>
      <c r="G7" t="s">
        <v>66</v>
      </c>
      <c r="H7" t="s">
        <v>54</v>
      </c>
      <c r="I7" t="s">
        <v>55</v>
      </c>
      <c r="J7" t="s">
        <v>55</v>
      </c>
      <c r="K7" t="s">
        <v>55</v>
      </c>
      <c r="L7" t="s">
        <v>55</v>
      </c>
      <c r="M7" t="s">
        <v>76</v>
      </c>
      <c r="N7" t="s">
        <v>77</v>
      </c>
      <c r="O7" t="s">
        <v>59</v>
      </c>
      <c r="P7" t="s">
        <v>60</v>
      </c>
      <c r="Q7" t="s">
        <v>61</v>
      </c>
      <c r="R7" t="s">
        <v>55</v>
      </c>
      <c r="S7" t="s">
        <v>62</v>
      </c>
      <c r="T7" t="s">
        <v>62</v>
      </c>
      <c r="U7" t="s">
        <v>63</v>
      </c>
      <c r="V7" t="s">
        <v>55</v>
      </c>
      <c r="W7" t="s">
        <v>55</v>
      </c>
      <c r="X7" t="s">
        <v>79</v>
      </c>
      <c r="Y7" t="s">
        <v>55</v>
      </c>
      <c r="Z7" t="s">
        <v>65</v>
      </c>
      <c r="AA7" t="s">
        <v>55</v>
      </c>
    </row>
    <row r="8" spans="1:27" x14ac:dyDescent="0.35">
      <c r="A8">
        <v>615017</v>
      </c>
      <c r="B8" t="s">
        <v>49</v>
      </c>
      <c r="C8" t="s">
        <v>74</v>
      </c>
      <c r="E8" t="s">
        <v>51</v>
      </c>
      <c r="F8" t="s">
        <v>52</v>
      </c>
      <c r="G8" t="s">
        <v>53</v>
      </c>
      <c r="H8" t="s">
        <v>69</v>
      </c>
      <c r="I8" t="s">
        <v>55</v>
      </c>
      <c r="J8" t="s">
        <v>55</v>
      </c>
      <c r="K8" t="s">
        <v>55</v>
      </c>
      <c r="L8" t="s">
        <v>80</v>
      </c>
      <c r="M8" t="s">
        <v>76</v>
      </c>
      <c r="N8" t="s">
        <v>77</v>
      </c>
      <c r="O8" t="s">
        <v>59</v>
      </c>
      <c r="P8" t="s">
        <v>60</v>
      </c>
      <c r="Q8" t="s">
        <v>61</v>
      </c>
      <c r="R8" t="s">
        <v>55</v>
      </c>
      <c r="S8" t="s">
        <v>62</v>
      </c>
      <c r="T8" t="s">
        <v>62</v>
      </c>
      <c r="U8" t="s">
        <v>63</v>
      </c>
      <c r="V8" t="s">
        <v>55</v>
      </c>
      <c r="W8" t="s">
        <v>55</v>
      </c>
      <c r="X8" t="s">
        <v>81</v>
      </c>
      <c r="Y8" t="s">
        <v>55</v>
      </c>
      <c r="Z8" t="s">
        <v>65</v>
      </c>
      <c r="AA8" t="s">
        <v>55</v>
      </c>
    </row>
    <row r="9" spans="1:27" x14ac:dyDescent="0.35">
      <c r="A9">
        <v>615018</v>
      </c>
      <c r="B9" t="s">
        <v>49</v>
      </c>
      <c r="C9" t="s">
        <v>74</v>
      </c>
      <c r="E9" t="s">
        <v>51</v>
      </c>
      <c r="F9" t="s">
        <v>52</v>
      </c>
      <c r="G9" t="s">
        <v>66</v>
      </c>
      <c r="H9" t="s">
        <v>69</v>
      </c>
      <c r="I9" t="s">
        <v>55</v>
      </c>
      <c r="J9" t="s">
        <v>55</v>
      </c>
      <c r="K9" t="s">
        <v>55</v>
      </c>
      <c r="L9" t="s">
        <v>55</v>
      </c>
      <c r="M9" t="s">
        <v>76</v>
      </c>
      <c r="N9" t="s">
        <v>77</v>
      </c>
      <c r="O9" t="s">
        <v>59</v>
      </c>
      <c r="P9" t="s">
        <v>60</v>
      </c>
      <c r="Q9" t="s">
        <v>61</v>
      </c>
      <c r="R9" t="s">
        <v>55</v>
      </c>
      <c r="S9" t="s">
        <v>62</v>
      </c>
      <c r="T9" t="s">
        <v>62</v>
      </c>
      <c r="U9" t="s">
        <v>63</v>
      </c>
      <c r="V9" t="s">
        <v>55</v>
      </c>
      <c r="W9" t="s">
        <v>55</v>
      </c>
      <c r="X9" t="s">
        <v>79</v>
      </c>
      <c r="Y9" t="s">
        <v>55</v>
      </c>
      <c r="Z9" t="s">
        <v>65</v>
      </c>
      <c r="AA9" t="s">
        <v>55</v>
      </c>
    </row>
    <row r="10" spans="1:27" x14ac:dyDescent="0.35">
      <c r="A10">
        <v>614859</v>
      </c>
      <c r="B10" t="s">
        <v>82</v>
      </c>
      <c r="C10" t="s">
        <v>50</v>
      </c>
      <c r="E10" t="s">
        <v>51</v>
      </c>
      <c r="F10" t="s">
        <v>83</v>
      </c>
      <c r="G10" t="s">
        <v>84</v>
      </c>
      <c r="H10" t="s">
        <v>85</v>
      </c>
      <c r="I10" t="s">
        <v>55</v>
      </c>
      <c r="J10" t="s">
        <v>55</v>
      </c>
      <c r="K10" t="s">
        <v>55</v>
      </c>
      <c r="L10" t="s">
        <v>86</v>
      </c>
      <c r="M10" t="s">
        <v>87</v>
      </c>
      <c r="N10" t="s">
        <v>88</v>
      </c>
      <c r="O10" t="s">
        <v>89</v>
      </c>
      <c r="P10" t="s">
        <v>90</v>
      </c>
      <c r="Q10" t="s">
        <v>90</v>
      </c>
      <c r="R10" t="s">
        <v>55</v>
      </c>
      <c r="S10" t="s">
        <v>91</v>
      </c>
      <c r="T10" t="s">
        <v>92</v>
      </c>
      <c r="U10" t="s">
        <v>55</v>
      </c>
      <c r="V10" t="s">
        <v>93</v>
      </c>
      <c r="W10" t="s">
        <v>94</v>
      </c>
      <c r="X10" t="s">
        <v>95</v>
      </c>
      <c r="Y10" t="s">
        <v>55</v>
      </c>
      <c r="Z10" t="s">
        <v>65</v>
      </c>
      <c r="AA10" t="s">
        <v>55</v>
      </c>
    </row>
    <row r="11" spans="1:27" x14ac:dyDescent="0.35">
      <c r="A11">
        <v>614860</v>
      </c>
      <c r="B11" t="s">
        <v>82</v>
      </c>
      <c r="C11" t="s">
        <v>50</v>
      </c>
      <c r="E11" t="s">
        <v>51</v>
      </c>
      <c r="F11" t="s">
        <v>83</v>
      </c>
      <c r="G11" t="s">
        <v>84</v>
      </c>
      <c r="H11" t="s">
        <v>96</v>
      </c>
      <c r="I11" t="s">
        <v>55</v>
      </c>
      <c r="J11" t="s">
        <v>55</v>
      </c>
      <c r="K11" t="s">
        <v>55</v>
      </c>
      <c r="L11" t="s">
        <v>97</v>
      </c>
      <c r="M11" t="s">
        <v>87</v>
      </c>
      <c r="N11" t="s">
        <v>88</v>
      </c>
      <c r="O11" t="s">
        <v>89</v>
      </c>
      <c r="P11" t="s">
        <v>90</v>
      </c>
      <c r="Q11" t="s">
        <v>90</v>
      </c>
      <c r="R11" t="s">
        <v>55</v>
      </c>
      <c r="S11" t="s">
        <v>91</v>
      </c>
      <c r="T11" t="s">
        <v>92</v>
      </c>
      <c r="U11" t="s">
        <v>55</v>
      </c>
      <c r="V11" t="s">
        <v>93</v>
      </c>
      <c r="W11" t="s">
        <v>98</v>
      </c>
      <c r="X11" t="s">
        <v>99</v>
      </c>
      <c r="Y11" t="s">
        <v>55</v>
      </c>
      <c r="Z11" t="s">
        <v>65</v>
      </c>
      <c r="AA11" t="s">
        <v>55</v>
      </c>
    </row>
    <row r="12" spans="1:27" x14ac:dyDescent="0.35">
      <c r="A12">
        <v>614861</v>
      </c>
      <c r="B12" t="s">
        <v>82</v>
      </c>
      <c r="C12" t="s">
        <v>50</v>
      </c>
      <c r="E12" t="s">
        <v>51</v>
      </c>
      <c r="F12" t="s">
        <v>83</v>
      </c>
      <c r="G12" t="s">
        <v>84</v>
      </c>
      <c r="H12" t="s">
        <v>100</v>
      </c>
      <c r="I12" t="s">
        <v>55</v>
      </c>
      <c r="J12" t="s">
        <v>55</v>
      </c>
      <c r="K12" t="s">
        <v>55</v>
      </c>
      <c r="L12" t="s">
        <v>101</v>
      </c>
      <c r="M12" t="s">
        <v>87</v>
      </c>
      <c r="N12" t="s">
        <v>88</v>
      </c>
      <c r="O12" t="s">
        <v>89</v>
      </c>
      <c r="P12" t="s">
        <v>90</v>
      </c>
      <c r="Q12" t="s">
        <v>90</v>
      </c>
      <c r="R12" t="s">
        <v>55</v>
      </c>
      <c r="S12" t="s">
        <v>91</v>
      </c>
      <c r="T12" t="s">
        <v>92</v>
      </c>
      <c r="U12" t="s">
        <v>55</v>
      </c>
      <c r="V12" t="s">
        <v>93</v>
      </c>
      <c r="W12" t="s">
        <v>102</v>
      </c>
      <c r="X12" t="s">
        <v>103</v>
      </c>
      <c r="Y12" t="s">
        <v>55</v>
      </c>
      <c r="Z12" t="s">
        <v>65</v>
      </c>
      <c r="AA12" t="s">
        <v>55</v>
      </c>
    </row>
    <row r="13" spans="1:27" x14ac:dyDescent="0.35">
      <c r="A13">
        <v>614862</v>
      </c>
      <c r="B13" t="s">
        <v>82</v>
      </c>
      <c r="C13" t="s">
        <v>50</v>
      </c>
      <c r="E13" t="s">
        <v>51</v>
      </c>
      <c r="F13" t="s">
        <v>83</v>
      </c>
      <c r="G13" t="s">
        <v>104</v>
      </c>
      <c r="H13" t="s">
        <v>105</v>
      </c>
      <c r="I13" t="s">
        <v>55</v>
      </c>
      <c r="J13" t="s">
        <v>55</v>
      </c>
      <c r="K13" t="s">
        <v>55</v>
      </c>
      <c r="L13" t="s">
        <v>101</v>
      </c>
      <c r="M13" t="s">
        <v>87</v>
      </c>
      <c r="N13" t="s">
        <v>88</v>
      </c>
      <c r="O13" t="s">
        <v>89</v>
      </c>
      <c r="P13" t="s">
        <v>90</v>
      </c>
      <c r="Q13" t="s">
        <v>90</v>
      </c>
      <c r="R13" t="s">
        <v>55</v>
      </c>
      <c r="S13" t="s">
        <v>106</v>
      </c>
      <c r="T13" t="s">
        <v>107</v>
      </c>
      <c r="U13" t="s">
        <v>55</v>
      </c>
      <c r="V13" t="s">
        <v>93</v>
      </c>
      <c r="W13" t="s">
        <v>108</v>
      </c>
      <c r="X13" t="s">
        <v>109</v>
      </c>
      <c r="Y13" t="s">
        <v>55</v>
      </c>
      <c r="Z13" t="s">
        <v>65</v>
      </c>
      <c r="AA13" t="s">
        <v>55</v>
      </c>
    </row>
    <row r="14" spans="1:27" x14ac:dyDescent="0.35">
      <c r="A14">
        <v>614863</v>
      </c>
      <c r="B14" t="s">
        <v>82</v>
      </c>
      <c r="C14" t="s">
        <v>50</v>
      </c>
      <c r="E14" t="s">
        <v>51</v>
      </c>
      <c r="F14" t="s">
        <v>83</v>
      </c>
      <c r="G14" t="s">
        <v>104</v>
      </c>
      <c r="H14" t="s">
        <v>105</v>
      </c>
      <c r="I14" t="s">
        <v>55</v>
      </c>
      <c r="J14" t="s">
        <v>55</v>
      </c>
      <c r="K14" t="s">
        <v>55</v>
      </c>
      <c r="L14" t="s">
        <v>110</v>
      </c>
      <c r="M14" t="s">
        <v>87</v>
      </c>
      <c r="N14" t="s">
        <v>88</v>
      </c>
      <c r="O14" t="s">
        <v>89</v>
      </c>
      <c r="P14" t="s">
        <v>90</v>
      </c>
      <c r="Q14" t="s">
        <v>90</v>
      </c>
      <c r="R14" t="s">
        <v>55</v>
      </c>
      <c r="S14" t="s">
        <v>111</v>
      </c>
      <c r="T14" t="s">
        <v>112</v>
      </c>
      <c r="U14" t="s">
        <v>55</v>
      </c>
      <c r="V14" t="s">
        <v>93</v>
      </c>
      <c r="W14" t="s">
        <v>113</v>
      </c>
      <c r="X14" t="s">
        <v>114</v>
      </c>
      <c r="Y14" t="s">
        <v>55</v>
      </c>
      <c r="Z14" t="s">
        <v>65</v>
      </c>
      <c r="AA14" t="s">
        <v>55</v>
      </c>
    </row>
    <row r="15" spans="1:27" x14ac:dyDescent="0.35">
      <c r="A15">
        <v>614864</v>
      </c>
      <c r="B15" t="s">
        <v>82</v>
      </c>
      <c r="C15" t="s">
        <v>50</v>
      </c>
      <c r="E15" t="s">
        <v>51</v>
      </c>
      <c r="F15" t="s">
        <v>83</v>
      </c>
      <c r="G15" t="s">
        <v>104</v>
      </c>
      <c r="H15" t="s">
        <v>115</v>
      </c>
      <c r="I15" t="s">
        <v>55</v>
      </c>
      <c r="J15" t="s">
        <v>55</v>
      </c>
      <c r="K15" t="s">
        <v>55</v>
      </c>
      <c r="L15" t="s">
        <v>72</v>
      </c>
      <c r="M15" t="s">
        <v>87</v>
      </c>
      <c r="N15" t="s">
        <v>88</v>
      </c>
      <c r="O15" t="s">
        <v>89</v>
      </c>
      <c r="P15" t="s">
        <v>90</v>
      </c>
      <c r="Q15" t="s">
        <v>90</v>
      </c>
      <c r="R15" t="s">
        <v>55</v>
      </c>
      <c r="S15" t="s">
        <v>106</v>
      </c>
      <c r="T15" t="s">
        <v>107</v>
      </c>
      <c r="U15" t="s">
        <v>55</v>
      </c>
      <c r="V15" t="s">
        <v>93</v>
      </c>
      <c r="W15" t="s">
        <v>116</v>
      </c>
      <c r="X15" t="s">
        <v>117</v>
      </c>
      <c r="Y15" t="s">
        <v>55</v>
      </c>
      <c r="Z15" t="s">
        <v>65</v>
      </c>
      <c r="AA15" t="s">
        <v>55</v>
      </c>
    </row>
    <row r="16" spans="1:27" x14ac:dyDescent="0.35">
      <c r="A16">
        <v>614865</v>
      </c>
      <c r="B16" t="s">
        <v>82</v>
      </c>
      <c r="C16" t="s">
        <v>50</v>
      </c>
      <c r="E16" t="s">
        <v>51</v>
      </c>
      <c r="F16" t="s">
        <v>83</v>
      </c>
      <c r="G16" t="s">
        <v>104</v>
      </c>
      <c r="H16" t="s">
        <v>118</v>
      </c>
      <c r="I16" t="s">
        <v>55</v>
      </c>
      <c r="J16" t="s">
        <v>55</v>
      </c>
      <c r="K16" t="s">
        <v>55</v>
      </c>
      <c r="L16" t="s">
        <v>72</v>
      </c>
      <c r="M16" t="s">
        <v>87</v>
      </c>
      <c r="N16" t="s">
        <v>88</v>
      </c>
      <c r="O16" t="s">
        <v>89</v>
      </c>
      <c r="P16" t="s">
        <v>90</v>
      </c>
      <c r="Q16" t="s">
        <v>90</v>
      </c>
      <c r="R16" t="s">
        <v>55</v>
      </c>
      <c r="S16" t="s">
        <v>106</v>
      </c>
      <c r="T16" t="s">
        <v>107</v>
      </c>
      <c r="U16" t="s">
        <v>55</v>
      </c>
      <c r="V16" t="s">
        <v>93</v>
      </c>
      <c r="W16" t="s">
        <v>116</v>
      </c>
      <c r="X16" t="s">
        <v>117</v>
      </c>
      <c r="Y16" t="s">
        <v>55</v>
      </c>
      <c r="Z16" t="s">
        <v>65</v>
      </c>
      <c r="AA16" t="s">
        <v>55</v>
      </c>
    </row>
    <row r="17" spans="1:27" x14ac:dyDescent="0.35">
      <c r="A17">
        <v>614866</v>
      </c>
      <c r="B17" t="s">
        <v>82</v>
      </c>
      <c r="C17" t="s">
        <v>50</v>
      </c>
      <c r="E17" t="s">
        <v>51</v>
      </c>
      <c r="F17" t="s">
        <v>83</v>
      </c>
      <c r="G17" t="s">
        <v>104</v>
      </c>
      <c r="H17" t="s">
        <v>119</v>
      </c>
      <c r="I17" t="s">
        <v>55</v>
      </c>
      <c r="J17" t="s">
        <v>55</v>
      </c>
      <c r="K17" t="s">
        <v>55</v>
      </c>
      <c r="L17" t="s">
        <v>120</v>
      </c>
      <c r="M17" t="s">
        <v>87</v>
      </c>
      <c r="N17" t="s">
        <v>88</v>
      </c>
      <c r="O17" t="s">
        <v>89</v>
      </c>
      <c r="P17" t="s">
        <v>90</v>
      </c>
      <c r="Q17" t="s">
        <v>90</v>
      </c>
      <c r="R17" t="s">
        <v>55</v>
      </c>
      <c r="S17" t="s">
        <v>111</v>
      </c>
      <c r="T17" t="s">
        <v>112</v>
      </c>
      <c r="U17" t="s">
        <v>55</v>
      </c>
      <c r="V17" t="s">
        <v>93</v>
      </c>
      <c r="W17" t="s">
        <v>121</v>
      </c>
      <c r="X17" t="s">
        <v>122</v>
      </c>
      <c r="Y17" t="s">
        <v>55</v>
      </c>
      <c r="Z17" t="s">
        <v>65</v>
      </c>
      <c r="AA17" t="s">
        <v>55</v>
      </c>
    </row>
    <row r="18" spans="1:27" x14ac:dyDescent="0.35">
      <c r="A18">
        <v>614867</v>
      </c>
      <c r="B18" t="s">
        <v>82</v>
      </c>
      <c r="C18" t="s">
        <v>50</v>
      </c>
      <c r="E18" t="s">
        <v>51</v>
      </c>
      <c r="F18" t="s">
        <v>83</v>
      </c>
      <c r="G18" t="s">
        <v>104</v>
      </c>
      <c r="H18" t="s">
        <v>123</v>
      </c>
      <c r="I18" t="s">
        <v>55</v>
      </c>
      <c r="J18" t="s">
        <v>55</v>
      </c>
      <c r="K18" t="s">
        <v>55</v>
      </c>
      <c r="L18" t="s">
        <v>72</v>
      </c>
      <c r="M18" t="s">
        <v>87</v>
      </c>
      <c r="N18" t="s">
        <v>88</v>
      </c>
      <c r="O18" t="s">
        <v>89</v>
      </c>
      <c r="P18" t="s">
        <v>90</v>
      </c>
      <c r="Q18" t="s">
        <v>90</v>
      </c>
      <c r="R18" t="s">
        <v>55</v>
      </c>
      <c r="S18" t="s">
        <v>111</v>
      </c>
      <c r="T18" t="s">
        <v>112</v>
      </c>
      <c r="U18" t="s">
        <v>55</v>
      </c>
      <c r="V18" t="s">
        <v>93</v>
      </c>
      <c r="W18" t="s">
        <v>116</v>
      </c>
      <c r="X18" t="s">
        <v>124</v>
      </c>
      <c r="Y18" t="s">
        <v>55</v>
      </c>
      <c r="Z18" t="s">
        <v>65</v>
      </c>
      <c r="AA18" t="s">
        <v>55</v>
      </c>
    </row>
    <row r="19" spans="1:27" x14ac:dyDescent="0.35">
      <c r="A19">
        <v>614868</v>
      </c>
      <c r="B19" t="s">
        <v>82</v>
      </c>
      <c r="C19" t="s">
        <v>50</v>
      </c>
      <c r="E19" t="s">
        <v>51</v>
      </c>
      <c r="F19" t="s">
        <v>83</v>
      </c>
      <c r="G19" t="s">
        <v>104</v>
      </c>
      <c r="H19" t="s">
        <v>125</v>
      </c>
      <c r="I19" t="s">
        <v>55</v>
      </c>
      <c r="J19" t="s">
        <v>55</v>
      </c>
      <c r="K19" t="s">
        <v>55</v>
      </c>
      <c r="L19" t="s">
        <v>97</v>
      </c>
      <c r="M19" t="s">
        <v>87</v>
      </c>
      <c r="N19" t="s">
        <v>88</v>
      </c>
      <c r="O19" t="s">
        <v>89</v>
      </c>
      <c r="P19" t="s">
        <v>90</v>
      </c>
      <c r="Q19" t="s">
        <v>90</v>
      </c>
      <c r="R19" t="s">
        <v>55</v>
      </c>
      <c r="S19" t="s">
        <v>111</v>
      </c>
      <c r="T19" t="s">
        <v>112</v>
      </c>
      <c r="U19" t="s">
        <v>55</v>
      </c>
      <c r="V19" t="s">
        <v>93</v>
      </c>
      <c r="W19" t="s">
        <v>102</v>
      </c>
      <c r="X19" t="s">
        <v>126</v>
      </c>
      <c r="Y19" t="s">
        <v>55</v>
      </c>
      <c r="Z19" t="s">
        <v>65</v>
      </c>
      <c r="AA19" t="s">
        <v>55</v>
      </c>
    </row>
    <row r="20" spans="1:27" x14ac:dyDescent="0.35">
      <c r="A20">
        <v>614869</v>
      </c>
      <c r="B20" t="s">
        <v>82</v>
      </c>
      <c r="C20" t="s">
        <v>50</v>
      </c>
      <c r="E20" t="s">
        <v>51</v>
      </c>
      <c r="F20" t="s">
        <v>83</v>
      </c>
      <c r="G20" t="s">
        <v>104</v>
      </c>
      <c r="H20" t="s">
        <v>127</v>
      </c>
      <c r="I20" t="s">
        <v>55</v>
      </c>
      <c r="J20" t="s">
        <v>55</v>
      </c>
      <c r="K20" t="s">
        <v>55</v>
      </c>
      <c r="L20" t="s">
        <v>86</v>
      </c>
      <c r="M20" t="s">
        <v>87</v>
      </c>
      <c r="N20" t="s">
        <v>88</v>
      </c>
      <c r="O20" t="s">
        <v>89</v>
      </c>
      <c r="P20" t="s">
        <v>90</v>
      </c>
      <c r="Q20" t="s">
        <v>90</v>
      </c>
      <c r="R20" t="s">
        <v>55</v>
      </c>
      <c r="S20" t="s">
        <v>91</v>
      </c>
      <c r="T20" t="s">
        <v>92</v>
      </c>
      <c r="U20" t="s">
        <v>55</v>
      </c>
      <c r="V20" t="s">
        <v>93</v>
      </c>
      <c r="W20" t="s">
        <v>128</v>
      </c>
      <c r="X20" t="s">
        <v>129</v>
      </c>
      <c r="Y20" t="s">
        <v>55</v>
      </c>
      <c r="Z20" t="s">
        <v>65</v>
      </c>
      <c r="AA20" t="s">
        <v>55</v>
      </c>
    </row>
    <row r="21" spans="1:27" x14ac:dyDescent="0.35">
      <c r="A21">
        <v>614870</v>
      </c>
      <c r="B21" t="s">
        <v>82</v>
      </c>
      <c r="C21" t="s">
        <v>50</v>
      </c>
      <c r="E21" t="s">
        <v>51</v>
      </c>
      <c r="F21" t="s">
        <v>83</v>
      </c>
      <c r="G21" t="s">
        <v>104</v>
      </c>
      <c r="H21" t="s">
        <v>127</v>
      </c>
      <c r="I21" t="s">
        <v>55</v>
      </c>
      <c r="J21" t="s">
        <v>55</v>
      </c>
      <c r="K21" t="s">
        <v>55</v>
      </c>
      <c r="L21" t="s">
        <v>97</v>
      </c>
      <c r="M21" t="s">
        <v>87</v>
      </c>
      <c r="N21" t="s">
        <v>88</v>
      </c>
      <c r="O21" t="s">
        <v>89</v>
      </c>
      <c r="P21" t="s">
        <v>90</v>
      </c>
      <c r="Q21" t="s">
        <v>90</v>
      </c>
      <c r="R21" t="s">
        <v>55</v>
      </c>
      <c r="S21" t="s">
        <v>91</v>
      </c>
      <c r="T21" t="s">
        <v>92</v>
      </c>
      <c r="U21" t="s">
        <v>55</v>
      </c>
      <c r="V21" t="s">
        <v>93</v>
      </c>
      <c r="W21" t="s">
        <v>130</v>
      </c>
      <c r="X21" t="s">
        <v>131</v>
      </c>
      <c r="Y21" t="s">
        <v>55</v>
      </c>
      <c r="Z21" t="s">
        <v>65</v>
      </c>
      <c r="AA21" t="s">
        <v>55</v>
      </c>
    </row>
    <row r="22" spans="1:27" x14ac:dyDescent="0.35">
      <c r="A22">
        <v>614871</v>
      </c>
      <c r="B22" t="s">
        <v>82</v>
      </c>
      <c r="C22" t="s">
        <v>50</v>
      </c>
      <c r="E22" t="s">
        <v>51</v>
      </c>
      <c r="F22" t="s">
        <v>83</v>
      </c>
      <c r="G22" t="s">
        <v>104</v>
      </c>
      <c r="H22" t="s">
        <v>127</v>
      </c>
      <c r="I22" t="s">
        <v>55</v>
      </c>
      <c r="J22" t="s">
        <v>55</v>
      </c>
      <c r="K22" t="s">
        <v>55</v>
      </c>
      <c r="L22" t="s">
        <v>132</v>
      </c>
      <c r="M22" t="s">
        <v>87</v>
      </c>
      <c r="N22" t="s">
        <v>88</v>
      </c>
      <c r="O22" t="s">
        <v>89</v>
      </c>
      <c r="P22" t="s">
        <v>90</v>
      </c>
      <c r="Q22" t="s">
        <v>90</v>
      </c>
      <c r="R22" t="s">
        <v>55</v>
      </c>
      <c r="S22" t="s">
        <v>91</v>
      </c>
      <c r="T22" t="s">
        <v>92</v>
      </c>
      <c r="U22" t="s">
        <v>55</v>
      </c>
      <c r="V22" t="s">
        <v>93</v>
      </c>
      <c r="W22" t="s">
        <v>133</v>
      </c>
      <c r="X22" t="s">
        <v>134</v>
      </c>
      <c r="Y22" t="s">
        <v>55</v>
      </c>
      <c r="Z22" t="s">
        <v>65</v>
      </c>
      <c r="AA22" t="s">
        <v>55</v>
      </c>
    </row>
    <row r="23" spans="1:27" x14ac:dyDescent="0.35">
      <c r="A23">
        <v>614872</v>
      </c>
      <c r="B23" t="s">
        <v>82</v>
      </c>
      <c r="C23" t="s">
        <v>50</v>
      </c>
      <c r="E23" t="s">
        <v>51</v>
      </c>
      <c r="F23" t="s">
        <v>83</v>
      </c>
      <c r="G23" t="s">
        <v>104</v>
      </c>
      <c r="H23" t="s">
        <v>127</v>
      </c>
      <c r="I23" t="s">
        <v>55</v>
      </c>
      <c r="J23" t="s">
        <v>55</v>
      </c>
      <c r="K23" t="s">
        <v>55</v>
      </c>
      <c r="L23" t="s">
        <v>86</v>
      </c>
      <c r="M23" t="s">
        <v>87</v>
      </c>
      <c r="N23" t="s">
        <v>88</v>
      </c>
      <c r="O23" t="s">
        <v>89</v>
      </c>
      <c r="P23" t="s">
        <v>90</v>
      </c>
      <c r="Q23" t="s">
        <v>90</v>
      </c>
      <c r="R23" t="s">
        <v>55</v>
      </c>
      <c r="S23" t="s">
        <v>91</v>
      </c>
      <c r="T23" t="s">
        <v>92</v>
      </c>
      <c r="U23" t="s">
        <v>55</v>
      </c>
      <c r="V23" t="s">
        <v>93</v>
      </c>
      <c r="W23" t="s">
        <v>102</v>
      </c>
      <c r="X23" t="s">
        <v>135</v>
      </c>
      <c r="Y23" t="s">
        <v>55</v>
      </c>
      <c r="Z23" t="s">
        <v>65</v>
      </c>
      <c r="AA23" t="s">
        <v>55</v>
      </c>
    </row>
    <row r="24" spans="1:27" x14ac:dyDescent="0.35">
      <c r="A24">
        <v>614873</v>
      </c>
      <c r="B24" t="s">
        <v>82</v>
      </c>
      <c r="C24" t="s">
        <v>50</v>
      </c>
      <c r="E24" t="s">
        <v>51</v>
      </c>
      <c r="F24" t="s">
        <v>136</v>
      </c>
      <c r="G24" t="s">
        <v>55</v>
      </c>
      <c r="H24" t="s">
        <v>55</v>
      </c>
      <c r="I24" t="s">
        <v>137</v>
      </c>
      <c r="J24" t="s">
        <v>55</v>
      </c>
      <c r="K24" t="s">
        <v>55</v>
      </c>
      <c r="L24" t="s">
        <v>138</v>
      </c>
      <c r="M24" t="s">
        <v>139</v>
      </c>
      <c r="N24" t="s">
        <v>140</v>
      </c>
      <c r="O24" t="s">
        <v>89</v>
      </c>
      <c r="P24" t="s">
        <v>141</v>
      </c>
      <c r="Q24" t="s">
        <v>141</v>
      </c>
      <c r="R24" t="s">
        <v>55</v>
      </c>
      <c r="S24" t="s">
        <v>111</v>
      </c>
      <c r="T24" t="s">
        <v>112</v>
      </c>
      <c r="U24" t="s">
        <v>55</v>
      </c>
      <c r="V24" t="s">
        <v>142</v>
      </c>
      <c r="W24" t="s">
        <v>143</v>
      </c>
      <c r="X24" t="s">
        <v>144</v>
      </c>
      <c r="Y24" t="s">
        <v>55</v>
      </c>
      <c r="Z24" t="s">
        <v>65</v>
      </c>
      <c r="AA24" t="s">
        <v>55</v>
      </c>
    </row>
    <row r="25" spans="1:27" x14ac:dyDescent="0.35">
      <c r="A25">
        <v>614874</v>
      </c>
      <c r="B25" t="s">
        <v>82</v>
      </c>
      <c r="C25" t="s">
        <v>50</v>
      </c>
      <c r="E25" t="s">
        <v>51</v>
      </c>
      <c r="F25" t="s">
        <v>136</v>
      </c>
      <c r="G25" t="s">
        <v>55</v>
      </c>
      <c r="H25" t="s">
        <v>55</v>
      </c>
      <c r="I25" t="s">
        <v>145</v>
      </c>
      <c r="J25" t="s">
        <v>55</v>
      </c>
      <c r="K25" t="s">
        <v>55</v>
      </c>
      <c r="L25" t="s">
        <v>146</v>
      </c>
      <c r="M25" t="s">
        <v>139</v>
      </c>
      <c r="N25" t="s">
        <v>140</v>
      </c>
      <c r="O25" t="s">
        <v>89</v>
      </c>
      <c r="P25" t="s">
        <v>141</v>
      </c>
      <c r="Q25" t="s">
        <v>141</v>
      </c>
      <c r="R25" t="s">
        <v>55</v>
      </c>
      <c r="S25" t="s">
        <v>111</v>
      </c>
      <c r="T25" t="s">
        <v>112</v>
      </c>
      <c r="U25" t="s">
        <v>55</v>
      </c>
      <c r="V25" t="s">
        <v>142</v>
      </c>
      <c r="W25" t="s">
        <v>147</v>
      </c>
      <c r="X25" t="s">
        <v>144</v>
      </c>
      <c r="Y25" t="s">
        <v>55</v>
      </c>
      <c r="Z25" t="s">
        <v>65</v>
      </c>
      <c r="AA25" t="s">
        <v>55</v>
      </c>
    </row>
    <row r="26" spans="1:27" x14ac:dyDescent="0.35">
      <c r="A26">
        <v>614875</v>
      </c>
      <c r="B26" t="s">
        <v>82</v>
      </c>
      <c r="C26" t="s">
        <v>50</v>
      </c>
      <c r="E26" t="s">
        <v>51</v>
      </c>
      <c r="F26" t="s">
        <v>136</v>
      </c>
      <c r="G26" t="s">
        <v>55</v>
      </c>
      <c r="H26" t="s">
        <v>55</v>
      </c>
      <c r="I26" t="s">
        <v>148</v>
      </c>
      <c r="J26" t="s">
        <v>55</v>
      </c>
      <c r="K26" t="s">
        <v>55</v>
      </c>
      <c r="L26" t="s">
        <v>149</v>
      </c>
      <c r="M26" t="s">
        <v>139</v>
      </c>
      <c r="N26" t="s">
        <v>140</v>
      </c>
      <c r="O26" t="s">
        <v>89</v>
      </c>
      <c r="P26" t="s">
        <v>141</v>
      </c>
      <c r="Q26" t="s">
        <v>141</v>
      </c>
      <c r="R26" t="s">
        <v>55</v>
      </c>
      <c r="S26" t="s">
        <v>111</v>
      </c>
      <c r="T26" t="s">
        <v>112</v>
      </c>
      <c r="U26" t="s">
        <v>55</v>
      </c>
      <c r="V26" t="s">
        <v>142</v>
      </c>
      <c r="W26" t="s">
        <v>143</v>
      </c>
      <c r="X26" t="s">
        <v>144</v>
      </c>
      <c r="Y26" t="s">
        <v>55</v>
      </c>
      <c r="Z26" t="s">
        <v>65</v>
      </c>
      <c r="AA26" t="s">
        <v>55</v>
      </c>
    </row>
    <row r="27" spans="1:27" x14ac:dyDescent="0.35">
      <c r="A27">
        <v>614876</v>
      </c>
      <c r="B27" t="s">
        <v>82</v>
      </c>
      <c r="C27" t="s">
        <v>50</v>
      </c>
      <c r="E27" t="s">
        <v>51</v>
      </c>
      <c r="F27" t="s">
        <v>136</v>
      </c>
      <c r="G27" t="s">
        <v>55</v>
      </c>
      <c r="H27" t="s">
        <v>55</v>
      </c>
      <c r="I27" t="s">
        <v>150</v>
      </c>
      <c r="J27" t="s">
        <v>55</v>
      </c>
      <c r="K27" t="s">
        <v>55</v>
      </c>
      <c r="L27" t="s">
        <v>146</v>
      </c>
      <c r="M27" t="s">
        <v>139</v>
      </c>
      <c r="N27" t="s">
        <v>140</v>
      </c>
      <c r="O27" t="s">
        <v>89</v>
      </c>
      <c r="P27" t="s">
        <v>141</v>
      </c>
      <c r="Q27" t="s">
        <v>141</v>
      </c>
      <c r="R27" t="s">
        <v>55</v>
      </c>
      <c r="S27" t="s">
        <v>111</v>
      </c>
      <c r="T27" t="s">
        <v>112</v>
      </c>
      <c r="U27" t="s">
        <v>55</v>
      </c>
      <c r="V27" t="s">
        <v>142</v>
      </c>
      <c r="W27" t="s">
        <v>147</v>
      </c>
      <c r="X27" t="s">
        <v>144</v>
      </c>
      <c r="Y27" t="s">
        <v>55</v>
      </c>
      <c r="Z27" t="s">
        <v>65</v>
      </c>
      <c r="AA27" t="s">
        <v>55</v>
      </c>
    </row>
    <row r="28" spans="1:27" x14ac:dyDescent="0.35">
      <c r="A28">
        <v>614877</v>
      </c>
      <c r="B28" t="s">
        <v>82</v>
      </c>
      <c r="C28" t="s">
        <v>50</v>
      </c>
      <c r="E28" t="s">
        <v>51</v>
      </c>
      <c r="F28" t="s">
        <v>136</v>
      </c>
      <c r="G28" t="s">
        <v>55</v>
      </c>
      <c r="H28" t="s">
        <v>55</v>
      </c>
      <c r="I28" t="s">
        <v>151</v>
      </c>
      <c r="J28" t="s">
        <v>55</v>
      </c>
      <c r="K28" t="s">
        <v>55</v>
      </c>
      <c r="L28" t="s">
        <v>152</v>
      </c>
      <c r="M28" t="s">
        <v>139</v>
      </c>
      <c r="N28" t="s">
        <v>140</v>
      </c>
      <c r="O28" t="s">
        <v>89</v>
      </c>
      <c r="P28" t="s">
        <v>141</v>
      </c>
      <c r="Q28" t="s">
        <v>141</v>
      </c>
      <c r="R28" t="s">
        <v>55</v>
      </c>
      <c r="S28" t="s">
        <v>111</v>
      </c>
      <c r="T28" t="s">
        <v>112</v>
      </c>
      <c r="U28" t="s">
        <v>55</v>
      </c>
      <c r="V28" t="s">
        <v>142</v>
      </c>
      <c r="W28" t="s">
        <v>153</v>
      </c>
      <c r="X28" t="s">
        <v>144</v>
      </c>
      <c r="Y28" t="s">
        <v>55</v>
      </c>
      <c r="Z28" t="s">
        <v>65</v>
      </c>
      <c r="AA28" t="s">
        <v>55</v>
      </c>
    </row>
    <row r="29" spans="1:27" x14ac:dyDescent="0.35">
      <c r="A29">
        <v>614878</v>
      </c>
      <c r="B29" t="s">
        <v>82</v>
      </c>
      <c r="C29" t="s">
        <v>50</v>
      </c>
      <c r="E29" t="s">
        <v>51</v>
      </c>
      <c r="F29" t="s">
        <v>136</v>
      </c>
      <c r="G29" t="s">
        <v>55</v>
      </c>
      <c r="H29" t="s">
        <v>55</v>
      </c>
      <c r="I29" t="s">
        <v>154</v>
      </c>
      <c r="J29" t="s">
        <v>55</v>
      </c>
      <c r="K29" t="s">
        <v>55</v>
      </c>
      <c r="L29" t="s">
        <v>155</v>
      </c>
      <c r="M29" t="s">
        <v>139</v>
      </c>
      <c r="N29" t="s">
        <v>140</v>
      </c>
      <c r="O29" t="s">
        <v>89</v>
      </c>
      <c r="P29" t="s">
        <v>141</v>
      </c>
      <c r="Q29" t="s">
        <v>141</v>
      </c>
      <c r="R29" t="s">
        <v>55</v>
      </c>
      <c r="S29" t="s">
        <v>111</v>
      </c>
      <c r="T29" t="s">
        <v>112</v>
      </c>
      <c r="U29" t="s">
        <v>55</v>
      </c>
      <c r="V29" t="s">
        <v>142</v>
      </c>
      <c r="W29" t="s">
        <v>156</v>
      </c>
      <c r="X29" t="s">
        <v>144</v>
      </c>
      <c r="Y29" t="s">
        <v>55</v>
      </c>
      <c r="Z29" t="s">
        <v>65</v>
      </c>
      <c r="AA29" t="s">
        <v>55</v>
      </c>
    </row>
    <row r="30" spans="1:27" x14ac:dyDescent="0.35">
      <c r="A30">
        <v>614879</v>
      </c>
      <c r="B30" t="s">
        <v>82</v>
      </c>
      <c r="C30" t="s">
        <v>50</v>
      </c>
      <c r="E30" t="s">
        <v>51</v>
      </c>
      <c r="F30" t="s">
        <v>136</v>
      </c>
      <c r="G30" t="s">
        <v>55</v>
      </c>
      <c r="H30" t="s">
        <v>55</v>
      </c>
      <c r="I30" t="s">
        <v>157</v>
      </c>
      <c r="J30" t="s">
        <v>55</v>
      </c>
      <c r="K30" t="s">
        <v>55</v>
      </c>
      <c r="L30" t="s">
        <v>152</v>
      </c>
      <c r="M30" t="s">
        <v>139</v>
      </c>
      <c r="N30" t="s">
        <v>140</v>
      </c>
      <c r="O30" t="s">
        <v>89</v>
      </c>
      <c r="P30" t="s">
        <v>141</v>
      </c>
      <c r="Q30" t="s">
        <v>141</v>
      </c>
      <c r="R30" t="s">
        <v>55</v>
      </c>
      <c r="S30" t="s">
        <v>111</v>
      </c>
      <c r="T30" t="s">
        <v>112</v>
      </c>
      <c r="U30" t="s">
        <v>55</v>
      </c>
      <c r="V30" t="s">
        <v>158</v>
      </c>
      <c r="W30" t="s">
        <v>159</v>
      </c>
      <c r="X30" t="s">
        <v>144</v>
      </c>
      <c r="Y30" t="s">
        <v>55</v>
      </c>
      <c r="Z30" t="s">
        <v>65</v>
      </c>
      <c r="AA30" t="s">
        <v>55</v>
      </c>
    </row>
    <row r="31" spans="1:27" x14ac:dyDescent="0.35">
      <c r="A31">
        <v>614880</v>
      </c>
      <c r="B31" t="s">
        <v>82</v>
      </c>
      <c r="C31" t="s">
        <v>50</v>
      </c>
      <c r="E31" t="s">
        <v>51</v>
      </c>
      <c r="F31" t="s">
        <v>136</v>
      </c>
      <c r="G31" t="s">
        <v>55</v>
      </c>
      <c r="H31" t="s">
        <v>55</v>
      </c>
      <c r="I31" t="s">
        <v>160</v>
      </c>
      <c r="J31" t="s">
        <v>55</v>
      </c>
      <c r="K31" t="s">
        <v>55</v>
      </c>
      <c r="L31" t="s">
        <v>161</v>
      </c>
      <c r="M31" t="s">
        <v>139</v>
      </c>
      <c r="N31" t="s">
        <v>140</v>
      </c>
      <c r="O31" t="s">
        <v>89</v>
      </c>
      <c r="P31" t="s">
        <v>141</v>
      </c>
      <c r="Q31" t="s">
        <v>141</v>
      </c>
      <c r="R31" t="s">
        <v>55</v>
      </c>
      <c r="S31" t="s">
        <v>111</v>
      </c>
      <c r="T31" t="s">
        <v>112</v>
      </c>
      <c r="U31" t="s">
        <v>55</v>
      </c>
      <c r="V31" t="s">
        <v>142</v>
      </c>
      <c r="W31" t="s">
        <v>162</v>
      </c>
      <c r="X31" t="s">
        <v>144</v>
      </c>
      <c r="Y31" t="s">
        <v>55</v>
      </c>
      <c r="Z31" t="s">
        <v>65</v>
      </c>
      <c r="AA31" t="s">
        <v>55</v>
      </c>
    </row>
    <row r="32" spans="1:27" x14ac:dyDescent="0.35">
      <c r="A32">
        <v>614881</v>
      </c>
      <c r="B32" t="s">
        <v>82</v>
      </c>
      <c r="C32" t="s">
        <v>50</v>
      </c>
      <c r="E32" t="s">
        <v>51</v>
      </c>
      <c r="F32" t="s">
        <v>136</v>
      </c>
      <c r="G32" t="s">
        <v>55</v>
      </c>
      <c r="H32" t="s">
        <v>55</v>
      </c>
      <c r="I32" t="s">
        <v>163</v>
      </c>
      <c r="J32" t="s">
        <v>55</v>
      </c>
      <c r="K32" t="s">
        <v>55</v>
      </c>
      <c r="L32" t="s">
        <v>164</v>
      </c>
      <c r="M32" t="s">
        <v>139</v>
      </c>
      <c r="N32" t="s">
        <v>140</v>
      </c>
      <c r="O32" t="s">
        <v>89</v>
      </c>
      <c r="P32" t="s">
        <v>141</v>
      </c>
      <c r="Q32" t="s">
        <v>141</v>
      </c>
      <c r="R32" t="s">
        <v>55</v>
      </c>
      <c r="S32" t="s">
        <v>111</v>
      </c>
      <c r="T32" t="s">
        <v>112</v>
      </c>
      <c r="U32" t="s">
        <v>55</v>
      </c>
      <c r="V32" t="s">
        <v>142</v>
      </c>
      <c r="W32" t="s">
        <v>165</v>
      </c>
      <c r="X32" t="s">
        <v>144</v>
      </c>
      <c r="Y32" t="s">
        <v>55</v>
      </c>
      <c r="Z32" t="s">
        <v>65</v>
      </c>
      <c r="AA32" t="s">
        <v>55</v>
      </c>
    </row>
    <row r="33" spans="1:27" x14ac:dyDescent="0.35">
      <c r="A33">
        <v>614882</v>
      </c>
      <c r="B33" t="s">
        <v>82</v>
      </c>
      <c r="C33" t="s">
        <v>50</v>
      </c>
      <c r="E33" t="s">
        <v>51</v>
      </c>
      <c r="F33" t="s">
        <v>136</v>
      </c>
      <c r="G33" t="s">
        <v>55</v>
      </c>
      <c r="H33" t="s">
        <v>55</v>
      </c>
      <c r="I33" t="s">
        <v>166</v>
      </c>
      <c r="J33" t="s">
        <v>55</v>
      </c>
      <c r="K33" t="s">
        <v>55</v>
      </c>
      <c r="L33" t="s">
        <v>164</v>
      </c>
      <c r="M33" t="s">
        <v>139</v>
      </c>
      <c r="N33" t="s">
        <v>140</v>
      </c>
      <c r="O33" t="s">
        <v>89</v>
      </c>
      <c r="P33" t="s">
        <v>141</v>
      </c>
      <c r="Q33" t="s">
        <v>141</v>
      </c>
      <c r="R33" t="s">
        <v>55</v>
      </c>
      <c r="S33" t="s">
        <v>111</v>
      </c>
      <c r="T33" t="s">
        <v>112</v>
      </c>
      <c r="U33" t="s">
        <v>55</v>
      </c>
      <c r="V33" t="s">
        <v>142</v>
      </c>
      <c r="W33" t="s">
        <v>165</v>
      </c>
      <c r="X33" t="s">
        <v>144</v>
      </c>
      <c r="Y33" t="s">
        <v>55</v>
      </c>
      <c r="Z33" t="s">
        <v>65</v>
      </c>
      <c r="AA33" t="s">
        <v>55</v>
      </c>
    </row>
    <row r="34" spans="1:27" x14ac:dyDescent="0.35">
      <c r="A34">
        <v>614883</v>
      </c>
      <c r="B34" t="s">
        <v>82</v>
      </c>
      <c r="C34" t="s">
        <v>50</v>
      </c>
      <c r="E34" t="s">
        <v>51</v>
      </c>
      <c r="F34" t="s">
        <v>136</v>
      </c>
      <c r="G34" t="s">
        <v>55</v>
      </c>
      <c r="H34" t="s">
        <v>55</v>
      </c>
      <c r="I34" t="s">
        <v>167</v>
      </c>
      <c r="J34" t="s">
        <v>55</v>
      </c>
      <c r="K34" t="s">
        <v>55</v>
      </c>
      <c r="L34" t="s">
        <v>168</v>
      </c>
      <c r="M34" t="s">
        <v>139</v>
      </c>
      <c r="N34" t="s">
        <v>140</v>
      </c>
      <c r="O34" t="s">
        <v>89</v>
      </c>
      <c r="P34" t="s">
        <v>141</v>
      </c>
      <c r="Q34" t="s">
        <v>141</v>
      </c>
      <c r="R34" t="s">
        <v>55</v>
      </c>
      <c r="S34" t="s">
        <v>111</v>
      </c>
      <c r="T34" t="s">
        <v>112</v>
      </c>
      <c r="U34" t="s">
        <v>55</v>
      </c>
      <c r="V34" t="s">
        <v>142</v>
      </c>
      <c r="W34" t="s">
        <v>169</v>
      </c>
      <c r="X34" t="s">
        <v>144</v>
      </c>
      <c r="Y34" t="s">
        <v>55</v>
      </c>
      <c r="Z34" t="s">
        <v>65</v>
      </c>
      <c r="AA34" t="s">
        <v>55</v>
      </c>
    </row>
    <row r="35" spans="1:27" x14ac:dyDescent="0.35">
      <c r="A35">
        <v>614884</v>
      </c>
      <c r="B35" t="s">
        <v>82</v>
      </c>
      <c r="C35" t="s">
        <v>50</v>
      </c>
      <c r="E35" t="s">
        <v>51</v>
      </c>
      <c r="F35" t="s">
        <v>136</v>
      </c>
      <c r="G35" t="s">
        <v>55</v>
      </c>
      <c r="H35" t="s">
        <v>55</v>
      </c>
      <c r="I35" t="s">
        <v>170</v>
      </c>
      <c r="J35" t="s">
        <v>55</v>
      </c>
      <c r="K35" t="s">
        <v>55</v>
      </c>
      <c r="L35" t="s">
        <v>161</v>
      </c>
      <c r="M35" t="s">
        <v>139</v>
      </c>
      <c r="N35" t="s">
        <v>140</v>
      </c>
      <c r="O35" t="s">
        <v>89</v>
      </c>
      <c r="P35" t="s">
        <v>141</v>
      </c>
      <c r="Q35" t="s">
        <v>141</v>
      </c>
      <c r="R35" t="s">
        <v>55</v>
      </c>
      <c r="S35" t="s">
        <v>111</v>
      </c>
      <c r="T35" t="s">
        <v>112</v>
      </c>
      <c r="U35" t="s">
        <v>55</v>
      </c>
      <c r="V35" t="s">
        <v>171</v>
      </c>
      <c r="W35" t="s">
        <v>172</v>
      </c>
      <c r="X35" t="s">
        <v>144</v>
      </c>
      <c r="Y35" t="s">
        <v>55</v>
      </c>
      <c r="Z35" t="s">
        <v>65</v>
      </c>
      <c r="AA35" t="s">
        <v>55</v>
      </c>
    </row>
    <row r="36" spans="1:27" x14ac:dyDescent="0.35">
      <c r="A36">
        <v>614885</v>
      </c>
      <c r="B36" t="s">
        <v>82</v>
      </c>
      <c r="C36" t="s">
        <v>50</v>
      </c>
      <c r="E36" t="s">
        <v>51</v>
      </c>
      <c r="F36" t="s">
        <v>136</v>
      </c>
      <c r="G36" t="s">
        <v>55</v>
      </c>
      <c r="H36" t="s">
        <v>55</v>
      </c>
      <c r="I36" t="s">
        <v>173</v>
      </c>
      <c r="J36" t="s">
        <v>55</v>
      </c>
      <c r="K36" t="s">
        <v>55</v>
      </c>
      <c r="L36" t="s">
        <v>174</v>
      </c>
      <c r="M36" t="s">
        <v>139</v>
      </c>
      <c r="N36" t="s">
        <v>140</v>
      </c>
      <c r="O36" t="s">
        <v>89</v>
      </c>
      <c r="P36" t="s">
        <v>141</v>
      </c>
      <c r="Q36" t="s">
        <v>141</v>
      </c>
      <c r="R36" t="s">
        <v>55</v>
      </c>
      <c r="S36" t="s">
        <v>111</v>
      </c>
      <c r="T36" t="s">
        <v>112</v>
      </c>
      <c r="U36" t="s">
        <v>55</v>
      </c>
      <c r="V36" t="s">
        <v>142</v>
      </c>
      <c r="W36" t="s">
        <v>175</v>
      </c>
      <c r="X36" t="s">
        <v>144</v>
      </c>
      <c r="Y36" t="s">
        <v>55</v>
      </c>
      <c r="Z36" t="s">
        <v>65</v>
      </c>
      <c r="AA36" t="s">
        <v>55</v>
      </c>
    </row>
    <row r="37" spans="1:27" x14ac:dyDescent="0.35">
      <c r="A37">
        <v>614886</v>
      </c>
      <c r="B37" t="s">
        <v>82</v>
      </c>
      <c r="C37" t="s">
        <v>50</v>
      </c>
      <c r="E37" t="s">
        <v>51</v>
      </c>
      <c r="F37" t="s">
        <v>136</v>
      </c>
      <c r="G37" t="s">
        <v>55</v>
      </c>
      <c r="H37" t="s">
        <v>55</v>
      </c>
      <c r="I37" t="s">
        <v>176</v>
      </c>
      <c r="J37" t="s">
        <v>55</v>
      </c>
      <c r="K37" t="s">
        <v>55</v>
      </c>
      <c r="L37" t="s">
        <v>177</v>
      </c>
      <c r="M37" t="s">
        <v>139</v>
      </c>
      <c r="N37" t="s">
        <v>140</v>
      </c>
      <c r="O37" t="s">
        <v>89</v>
      </c>
      <c r="P37" t="s">
        <v>141</v>
      </c>
      <c r="Q37" t="s">
        <v>141</v>
      </c>
      <c r="R37" t="s">
        <v>55</v>
      </c>
      <c r="S37" t="s">
        <v>111</v>
      </c>
      <c r="T37" t="s">
        <v>112</v>
      </c>
      <c r="U37" t="s">
        <v>55</v>
      </c>
      <c r="V37" t="s">
        <v>142</v>
      </c>
      <c r="W37" t="s">
        <v>178</v>
      </c>
      <c r="X37" t="s">
        <v>144</v>
      </c>
      <c r="Y37" t="s">
        <v>55</v>
      </c>
      <c r="Z37" t="s">
        <v>65</v>
      </c>
      <c r="AA37" t="s">
        <v>55</v>
      </c>
    </row>
    <row r="38" spans="1:27" x14ac:dyDescent="0.35">
      <c r="A38">
        <v>614887</v>
      </c>
      <c r="B38" t="s">
        <v>82</v>
      </c>
      <c r="C38" t="s">
        <v>50</v>
      </c>
      <c r="E38" t="s">
        <v>51</v>
      </c>
      <c r="F38" t="s">
        <v>136</v>
      </c>
      <c r="G38" t="s">
        <v>55</v>
      </c>
      <c r="H38" t="s">
        <v>55</v>
      </c>
      <c r="I38" t="s">
        <v>179</v>
      </c>
      <c r="J38" t="s">
        <v>55</v>
      </c>
      <c r="K38" t="s">
        <v>55</v>
      </c>
      <c r="L38" t="s">
        <v>180</v>
      </c>
      <c r="M38" t="s">
        <v>139</v>
      </c>
      <c r="N38" t="s">
        <v>140</v>
      </c>
      <c r="O38" t="s">
        <v>89</v>
      </c>
      <c r="P38" t="s">
        <v>141</v>
      </c>
      <c r="Q38" t="s">
        <v>141</v>
      </c>
      <c r="R38" t="s">
        <v>55</v>
      </c>
      <c r="S38" t="s">
        <v>111</v>
      </c>
      <c r="T38" t="s">
        <v>112</v>
      </c>
      <c r="U38" t="s">
        <v>55</v>
      </c>
      <c r="V38" t="s">
        <v>181</v>
      </c>
      <c r="W38" t="s">
        <v>182</v>
      </c>
      <c r="X38" t="s">
        <v>144</v>
      </c>
      <c r="Y38" t="s">
        <v>55</v>
      </c>
      <c r="Z38" t="s">
        <v>65</v>
      </c>
      <c r="AA38" t="s">
        <v>55</v>
      </c>
    </row>
    <row r="39" spans="1:27" x14ac:dyDescent="0.35">
      <c r="A39">
        <v>614961</v>
      </c>
      <c r="B39" t="s">
        <v>82</v>
      </c>
      <c r="C39" t="s">
        <v>50</v>
      </c>
      <c r="E39" t="s">
        <v>51</v>
      </c>
      <c r="F39" t="s">
        <v>183</v>
      </c>
      <c r="G39" t="s">
        <v>55</v>
      </c>
      <c r="H39" t="s">
        <v>184</v>
      </c>
      <c r="I39" t="s">
        <v>55</v>
      </c>
      <c r="J39" t="s">
        <v>55</v>
      </c>
      <c r="K39" t="s">
        <v>55</v>
      </c>
      <c r="L39" t="s">
        <v>75</v>
      </c>
      <c r="M39" t="s">
        <v>185</v>
      </c>
      <c r="N39" t="s">
        <v>88</v>
      </c>
      <c r="O39" t="s">
        <v>89</v>
      </c>
      <c r="P39" t="s">
        <v>186</v>
      </c>
      <c r="Q39" t="s">
        <v>186</v>
      </c>
      <c r="R39" t="s">
        <v>55</v>
      </c>
      <c r="S39" t="s">
        <v>111</v>
      </c>
      <c r="T39" t="s">
        <v>112</v>
      </c>
      <c r="U39" t="s">
        <v>55</v>
      </c>
      <c r="V39" t="s">
        <v>187</v>
      </c>
      <c r="W39" t="s">
        <v>55</v>
      </c>
      <c r="X39" t="s">
        <v>188</v>
      </c>
      <c r="Y39" t="s">
        <v>55</v>
      </c>
      <c r="Z39" t="s">
        <v>65</v>
      </c>
      <c r="AA39" t="s">
        <v>55</v>
      </c>
    </row>
    <row r="40" spans="1:27" x14ac:dyDescent="0.35">
      <c r="A40">
        <v>614962</v>
      </c>
      <c r="B40" t="s">
        <v>82</v>
      </c>
      <c r="C40" t="s">
        <v>50</v>
      </c>
      <c r="E40" t="s">
        <v>51</v>
      </c>
      <c r="F40" t="s">
        <v>183</v>
      </c>
      <c r="G40" t="s">
        <v>55</v>
      </c>
      <c r="H40" t="s">
        <v>189</v>
      </c>
      <c r="I40" t="s">
        <v>55</v>
      </c>
      <c r="J40" t="s">
        <v>55</v>
      </c>
      <c r="K40" t="s">
        <v>55</v>
      </c>
      <c r="L40" t="s">
        <v>190</v>
      </c>
      <c r="M40" t="s">
        <v>191</v>
      </c>
      <c r="N40" t="s">
        <v>88</v>
      </c>
      <c r="O40" t="s">
        <v>89</v>
      </c>
      <c r="P40" t="s">
        <v>186</v>
      </c>
      <c r="Q40" t="s">
        <v>186</v>
      </c>
      <c r="R40" t="s">
        <v>55</v>
      </c>
      <c r="S40" t="s">
        <v>111</v>
      </c>
      <c r="T40" t="s">
        <v>112</v>
      </c>
      <c r="U40" t="s">
        <v>55</v>
      </c>
      <c r="V40" t="s">
        <v>187</v>
      </c>
      <c r="W40" t="s">
        <v>55</v>
      </c>
      <c r="X40" t="s">
        <v>192</v>
      </c>
      <c r="Y40" t="s">
        <v>55</v>
      </c>
      <c r="Z40" t="s">
        <v>65</v>
      </c>
      <c r="AA40" t="s">
        <v>55</v>
      </c>
    </row>
    <row r="41" spans="1:27" x14ac:dyDescent="0.35">
      <c r="A41">
        <v>614963</v>
      </c>
      <c r="B41" t="s">
        <v>82</v>
      </c>
      <c r="C41" t="s">
        <v>50</v>
      </c>
      <c r="E41" t="s">
        <v>51</v>
      </c>
      <c r="F41" t="s">
        <v>193</v>
      </c>
      <c r="G41" t="s">
        <v>194</v>
      </c>
      <c r="H41" t="s">
        <v>55</v>
      </c>
      <c r="I41" t="s">
        <v>55</v>
      </c>
      <c r="J41" t="s">
        <v>55</v>
      </c>
      <c r="K41" t="s">
        <v>55</v>
      </c>
      <c r="L41" t="s">
        <v>195</v>
      </c>
      <c r="M41" t="s">
        <v>55</v>
      </c>
      <c r="N41" t="s">
        <v>140</v>
      </c>
      <c r="O41" t="s">
        <v>89</v>
      </c>
      <c r="P41" t="s">
        <v>196</v>
      </c>
      <c r="Q41" t="s">
        <v>196</v>
      </c>
      <c r="R41" t="s">
        <v>55</v>
      </c>
      <c r="S41" t="s">
        <v>197</v>
      </c>
      <c r="T41" t="s">
        <v>198</v>
      </c>
      <c r="U41" t="s">
        <v>55</v>
      </c>
      <c r="V41" t="s">
        <v>199</v>
      </c>
      <c r="W41" t="s">
        <v>55</v>
      </c>
      <c r="X41" t="s">
        <v>200</v>
      </c>
      <c r="Y41" t="s">
        <v>55</v>
      </c>
      <c r="Z41" t="s">
        <v>65</v>
      </c>
      <c r="AA41" t="s">
        <v>55</v>
      </c>
    </row>
    <row r="42" spans="1:27" x14ac:dyDescent="0.35">
      <c r="A42">
        <v>614964</v>
      </c>
      <c r="B42" t="s">
        <v>82</v>
      </c>
      <c r="C42" t="s">
        <v>50</v>
      </c>
      <c r="E42" t="s">
        <v>51</v>
      </c>
      <c r="F42" t="s">
        <v>193</v>
      </c>
      <c r="G42" t="s">
        <v>201</v>
      </c>
      <c r="H42" t="s">
        <v>55</v>
      </c>
      <c r="I42" t="s">
        <v>55</v>
      </c>
      <c r="J42" t="s">
        <v>55</v>
      </c>
      <c r="K42" t="s">
        <v>55</v>
      </c>
      <c r="L42" t="s">
        <v>202</v>
      </c>
      <c r="M42" t="s">
        <v>55</v>
      </c>
      <c r="N42" t="s">
        <v>140</v>
      </c>
      <c r="O42" t="s">
        <v>89</v>
      </c>
      <c r="P42" t="s">
        <v>196</v>
      </c>
      <c r="Q42" t="s">
        <v>196</v>
      </c>
      <c r="R42" t="s">
        <v>55</v>
      </c>
      <c r="S42" t="s">
        <v>203</v>
      </c>
      <c r="T42" t="s">
        <v>203</v>
      </c>
      <c r="U42" t="s">
        <v>55</v>
      </c>
      <c r="V42" t="s">
        <v>199</v>
      </c>
      <c r="W42" t="s">
        <v>55</v>
      </c>
      <c r="X42" t="s">
        <v>200</v>
      </c>
      <c r="Y42" t="s">
        <v>55</v>
      </c>
      <c r="Z42" t="s">
        <v>65</v>
      </c>
      <c r="AA42" t="s">
        <v>55</v>
      </c>
    </row>
    <row r="43" spans="1:27" x14ac:dyDescent="0.35">
      <c r="A43">
        <v>615006</v>
      </c>
      <c r="B43" t="s">
        <v>82</v>
      </c>
      <c r="C43" t="s">
        <v>74</v>
      </c>
      <c r="E43" t="s">
        <v>51</v>
      </c>
      <c r="F43" t="s">
        <v>204</v>
      </c>
      <c r="G43" t="s">
        <v>205</v>
      </c>
      <c r="H43" t="s">
        <v>55</v>
      </c>
      <c r="I43" t="s">
        <v>206</v>
      </c>
      <c r="J43" t="s">
        <v>55</v>
      </c>
      <c r="K43" t="s">
        <v>55</v>
      </c>
      <c r="L43" t="s">
        <v>207</v>
      </c>
      <c r="M43" t="s">
        <v>55</v>
      </c>
      <c r="N43" t="s">
        <v>208</v>
      </c>
      <c r="O43" t="s">
        <v>89</v>
      </c>
      <c r="P43" t="s">
        <v>209</v>
      </c>
      <c r="Q43" t="s">
        <v>210</v>
      </c>
      <c r="R43" t="s">
        <v>55</v>
      </c>
      <c r="S43" t="s">
        <v>62</v>
      </c>
      <c r="T43" t="s">
        <v>62</v>
      </c>
      <c r="U43" t="s">
        <v>55</v>
      </c>
      <c r="V43" t="s">
        <v>93</v>
      </c>
      <c r="W43" t="s">
        <v>211</v>
      </c>
      <c r="X43" t="s">
        <v>55</v>
      </c>
      <c r="Y43" t="s">
        <v>55</v>
      </c>
      <c r="Z43" t="s">
        <v>65</v>
      </c>
      <c r="AA43" t="s">
        <v>55</v>
      </c>
    </row>
    <row r="44" spans="1:27" x14ac:dyDescent="0.35">
      <c r="A44">
        <v>615007</v>
      </c>
      <c r="B44" t="s">
        <v>82</v>
      </c>
      <c r="C44" t="s">
        <v>74</v>
      </c>
      <c r="E44" t="s">
        <v>51</v>
      </c>
      <c r="F44" t="s">
        <v>204</v>
      </c>
      <c r="G44" t="s">
        <v>212</v>
      </c>
      <c r="H44" t="s">
        <v>55</v>
      </c>
      <c r="I44" t="s">
        <v>213</v>
      </c>
      <c r="J44" t="s">
        <v>55</v>
      </c>
      <c r="K44" t="s">
        <v>55</v>
      </c>
      <c r="L44" t="s">
        <v>214</v>
      </c>
      <c r="M44" t="s">
        <v>55</v>
      </c>
      <c r="N44" t="s">
        <v>208</v>
      </c>
      <c r="O44" t="s">
        <v>89</v>
      </c>
      <c r="P44" t="s">
        <v>209</v>
      </c>
      <c r="Q44" t="s">
        <v>210</v>
      </c>
      <c r="R44" t="s">
        <v>55</v>
      </c>
      <c r="S44" t="s">
        <v>62</v>
      </c>
      <c r="T44" t="s">
        <v>62</v>
      </c>
      <c r="U44" t="s">
        <v>55</v>
      </c>
      <c r="V44" t="s">
        <v>93</v>
      </c>
      <c r="W44" t="s">
        <v>211</v>
      </c>
      <c r="X44" t="s">
        <v>55</v>
      </c>
      <c r="Y44" t="s">
        <v>55</v>
      </c>
      <c r="Z44" t="s">
        <v>65</v>
      </c>
      <c r="AA44" t="s">
        <v>55</v>
      </c>
    </row>
    <row r="45" spans="1:27" x14ac:dyDescent="0.35">
      <c r="A45">
        <v>614965</v>
      </c>
      <c r="B45" t="s">
        <v>215</v>
      </c>
      <c r="C45" t="s">
        <v>50</v>
      </c>
      <c r="E45" t="s">
        <v>51</v>
      </c>
      <c r="F45" t="s">
        <v>183</v>
      </c>
      <c r="G45" t="s">
        <v>55</v>
      </c>
      <c r="H45" t="s">
        <v>189</v>
      </c>
      <c r="I45" t="s">
        <v>55</v>
      </c>
      <c r="J45" t="s">
        <v>55</v>
      </c>
      <c r="K45" t="s">
        <v>55</v>
      </c>
      <c r="L45" t="s">
        <v>190</v>
      </c>
      <c r="M45" t="s">
        <v>191</v>
      </c>
      <c r="N45" t="s">
        <v>216</v>
      </c>
      <c r="O45" t="s">
        <v>217</v>
      </c>
      <c r="P45" t="s">
        <v>218</v>
      </c>
      <c r="Q45" t="s">
        <v>218</v>
      </c>
      <c r="R45" t="s">
        <v>55</v>
      </c>
      <c r="S45" t="s">
        <v>111</v>
      </c>
      <c r="T45" t="s">
        <v>112</v>
      </c>
      <c r="U45" t="s">
        <v>55</v>
      </c>
      <c r="V45" t="s">
        <v>187</v>
      </c>
      <c r="W45" t="s">
        <v>55</v>
      </c>
      <c r="X45" t="s">
        <v>192</v>
      </c>
      <c r="Y45" t="s">
        <v>55</v>
      </c>
      <c r="Z45" t="s">
        <v>65</v>
      </c>
      <c r="AA45" t="s">
        <v>55</v>
      </c>
    </row>
    <row r="46" spans="1:27" x14ac:dyDescent="0.35">
      <c r="A46">
        <v>614966</v>
      </c>
      <c r="B46" t="s">
        <v>215</v>
      </c>
      <c r="C46" t="s">
        <v>50</v>
      </c>
      <c r="E46" t="s">
        <v>51</v>
      </c>
      <c r="F46" t="s">
        <v>219</v>
      </c>
      <c r="G46" t="s">
        <v>220</v>
      </c>
      <c r="H46" t="s">
        <v>221</v>
      </c>
      <c r="I46" t="s">
        <v>55</v>
      </c>
      <c r="J46" t="s">
        <v>55</v>
      </c>
      <c r="K46" t="s">
        <v>55</v>
      </c>
      <c r="L46" t="s">
        <v>86</v>
      </c>
      <c r="M46" t="s">
        <v>87</v>
      </c>
      <c r="N46" t="s">
        <v>216</v>
      </c>
      <c r="O46" t="s">
        <v>217</v>
      </c>
      <c r="P46" t="s">
        <v>218</v>
      </c>
      <c r="Q46" t="s">
        <v>218</v>
      </c>
      <c r="R46" t="s">
        <v>55</v>
      </c>
      <c r="S46" t="s">
        <v>62</v>
      </c>
      <c r="T46" t="s">
        <v>62</v>
      </c>
      <c r="U46" t="s">
        <v>55</v>
      </c>
      <c r="V46" t="s">
        <v>222</v>
      </c>
      <c r="W46" t="s">
        <v>223</v>
      </c>
      <c r="X46" t="s">
        <v>224</v>
      </c>
      <c r="Y46" t="s">
        <v>55</v>
      </c>
      <c r="Z46" t="s">
        <v>65</v>
      </c>
      <c r="AA46" t="s">
        <v>55</v>
      </c>
    </row>
    <row r="47" spans="1:27" x14ac:dyDescent="0.35">
      <c r="A47">
        <v>614967</v>
      </c>
      <c r="B47" t="s">
        <v>215</v>
      </c>
      <c r="C47" t="s">
        <v>50</v>
      </c>
      <c r="E47" t="s">
        <v>51</v>
      </c>
      <c r="F47" t="s">
        <v>219</v>
      </c>
      <c r="G47" t="s">
        <v>225</v>
      </c>
      <c r="H47" t="s">
        <v>226</v>
      </c>
      <c r="I47" t="s">
        <v>55</v>
      </c>
      <c r="J47" t="s">
        <v>55</v>
      </c>
      <c r="K47" t="s">
        <v>55</v>
      </c>
      <c r="L47" t="s">
        <v>101</v>
      </c>
      <c r="M47" t="s">
        <v>87</v>
      </c>
      <c r="N47" t="s">
        <v>216</v>
      </c>
      <c r="O47" t="s">
        <v>217</v>
      </c>
      <c r="P47" t="s">
        <v>218</v>
      </c>
      <c r="Q47" t="s">
        <v>218</v>
      </c>
      <c r="R47" t="s">
        <v>55</v>
      </c>
      <c r="S47" t="s">
        <v>62</v>
      </c>
      <c r="T47" t="s">
        <v>62</v>
      </c>
      <c r="U47" t="s">
        <v>55</v>
      </c>
      <c r="V47" t="s">
        <v>222</v>
      </c>
      <c r="W47" t="s">
        <v>227</v>
      </c>
      <c r="X47" t="s">
        <v>224</v>
      </c>
      <c r="Y47" t="s">
        <v>55</v>
      </c>
      <c r="Z47" t="s">
        <v>65</v>
      </c>
      <c r="AA47" t="s">
        <v>55</v>
      </c>
    </row>
    <row r="48" spans="1:27" x14ac:dyDescent="0.35">
      <c r="A48">
        <v>614968</v>
      </c>
      <c r="B48" t="s">
        <v>215</v>
      </c>
      <c r="C48" t="s">
        <v>50</v>
      </c>
      <c r="E48" t="s">
        <v>51</v>
      </c>
      <c r="F48" t="s">
        <v>219</v>
      </c>
      <c r="G48" t="s">
        <v>225</v>
      </c>
      <c r="H48" t="s">
        <v>228</v>
      </c>
      <c r="I48" t="s">
        <v>55</v>
      </c>
      <c r="J48" t="s">
        <v>55</v>
      </c>
      <c r="K48" t="s">
        <v>55</v>
      </c>
      <c r="L48" t="s">
        <v>110</v>
      </c>
      <c r="M48" t="s">
        <v>87</v>
      </c>
      <c r="N48" t="s">
        <v>216</v>
      </c>
      <c r="O48" t="s">
        <v>217</v>
      </c>
      <c r="P48" t="s">
        <v>218</v>
      </c>
      <c r="Q48" t="s">
        <v>218</v>
      </c>
      <c r="R48" t="s">
        <v>55</v>
      </c>
      <c r="S48" t="s">
        <v>62</v>
      </c>
      <c r="T48" t="s">
        <v>62</v>
      </c>
      <c r="U48" t="s">
        <v>55</v>
      </c>
      <c r="V48" t="s">
        <v>222</v>
      </c>
      <c r="W48" t="s">
        <v>229</v>
      </c>
      <c r="X48" t="s">
        <v>224</v>
      </c>
      <c r="Y48" t="s">
        <v>55</v>
      </c>
      <c r="Z48" t="s">
        <v>65</v>
      </c>
      <c r="AA48" t="s">
        <v>55</v>
      </c>
    </row>
    <row r="49" spans="1:27" x14ac:dyDescent="0.35">
      <c r="A49">
        <v>614969</v>
      </c>
      <c r="B49" t="s">
        <v>215</v>
      </c>
      <c r="C49" t="s">
        <v>50</v>
      </c>
      <c r="E49" t="s">
        <v>51</v>
      </c>
      <c r="F49" t="s">
        <v>219</v>
      </c>
      <c r="G49" t="s">
        <v>225</v>
      </c>
      <c r="H49" t="s">
        <v>115</v>
      </c>
      <c r="I49" t="s">
        <v>55</v>
      </c>
      <c r="J49" t="s">
        <v>55</v>
      </c>
      <c r="K49" t="s">
        <v>55</v>
      </c>
      <c r="L49" t="s">
        <v>72</v>
      </c>
      <c r="M49" t="s">
        <v>87</v>
      </c>
      <c r="N49" t="s">
        <v>216</v>
      </c>
      <c r="O49" t="s">
        <v>217</v>
      </c>
      <c r="P49" t="s">
        <v>218</v>
      </c>
      <c r="Q49" t="s">
        <v>218</v>
      </c>
      <c r="R49" t="s">
        <v>55</v>
      </c>
      <c r="S49" t="s">
        <v>62</v>
      </c>
      <c r="T49" t="s">
        <v>62</v>
      </c>
      <c r="U49" t="s">
        <v>55</v>
      </c>
      <c r="V49" t="s">
        <v>222</v>
      </c>
      <c r="W49" t="s">
        <v>230</v>
      </c>
      <c r="X49" t="s">
        <v>224</v>
      </c>
      <c r="Y49" t="s">
        <v>55</v>
      </c>
      <c r="Z49" t="s">
        <v>65</v>
      </c>
      <c r="AA49" t="s">
        <v>55</v>
      </c>
    </row>
    <row r="50" spans="1:27" x14ac:dyDescent="0.35">
      <c r="A50">
        <v>614970</v>
      </c>
      <c r="B50" t="s">
        <v>215</v>
      </c>
      <c r="C50" t="s">
        <v>50</v>
      </c>
      <c r="E50" t="s">
        <v>51</v>
      </c>
      <c r="F50" t="s">
        <v>219</v>
      </c>
      <c r="G50" t="s">
        <v>225</v>
      </c>
      <c r="H50" t="s">
        <v>118</v>
      </c>
      <c r="I50" t="s">
        <v>55</v>
      </c>
      <c r="J50" t="s">
        <v>231</v>
      </c>
      <c r="K50" t="s">
        <v>55</v>
      </c>
      <c r="L50" t="s">
        <v>72</v>
      </c>
      <c r="M50" t="s">
        <v>87</v>
      </c>
      <c r="N50" t="s">
        <v>216</v>
      </c>
      <c r="O50" t="s">
        <v>217</v>
      </c>
      <c r="P50" t="s">
        <v>218</v>
      </c>
      <c r="Q50" t="s">
        <v>218</v>
      </c>
      <c r="R50" t="s">
        <v>55</v>
      </c>
      <c r="S50" t="s">
        <v>62</v>
      </c>
      <c r="T50" t="s">
        <v>62</v>
      </c>
      <c r="U50" t="s">
        <v>55</v>
      </c>
      <c r="V50" t="s">
        <v>222</v>
      </c>
      <c r="W50" t="s">
        <v>230</v>
      </c>
      <c r="X50" t="s">
        <v>224</v>
      </c>
      <c r="Y50" t="s">
        <v>55</v>
      </c>
      <c r="Z50" t="s">
        <v>65</v>
      </c>
      <c r="AA50" t="s">
        <v>55</v>
      </c>
    </row>
    <row r="51" spans="1:27" x14ac:dyDescent="0.35">
      <c r="A51">
        <v>614971</v>
      </c>
      <c r="B51" t="s">
        <v>215</v>
      </c>
      <c r="C51" t="s">
        <v>50</v>
      </c>
      <c r="E51" t="s">
        <v>51</v>
      </c>
      <c r="F51" t="s">
        <v>219</v>
      </c>
      <c r="G51" t="s">
        <v>225</v>
      </c>
      <c r="H51" t="s">
        <v>119</v>
      </c>
      <c r="I51" t="s">
        <v>55</v>
      </c>
      <c r="J51" t="s">
        <v>55</v>
      </c>
      <c r="K51" t="s">
        <v>55</v>
      </c>
      <c r="L51" t="s">
        <v>120</v>
      </c>
      <c r="M51" t="s">
        <v>87</v>
      </c>
      <c r="N51" t="s">
        <v>216</v>
      </c>
      <c r="O51" t="s">
        <v>217</v>
      </c>
      <c r="P51" t="s">
        <v>218</v>
      </c>
      <c r="Q51" t="s">
        <v>218</v>
      </c>
      <c r="R51" t="s">
        <v>55</v>
      </c>
      <c r="S51" t="s">
        <v>62</v>
      </c>
      <c r="T51" t="s">
        <v>62</v>
      </c>
      <c r="U51" t="s">
        <v>55</v>
      </c>
      <c r="V51" t="s">
        <v>222</v>
      </c>
      <c r="W51" t="s">
        <v>232</v>
      </c>
      <c r="X51" t="s">
        <v>233</v>
      </c>
      <c r="Y51" t="s">
        <v>55</v>
      </c>
      <c r="Z51" t="s">
        <v>65</v>
      </c>
      <c r="AA51" t="s">
        <v>55</v>
      </c>
    </row>
    <row r="52" spans="1:27" x14ac:dyDescent="0.35">
      <c r="A52">
        <v>614972</v>
      </c>
      <c r="B52" t="s">
        <v>215</v>
      </c>
      <c r="C52" t="s">
        <v>50</v>
      </c>
      <c r="E52" t="s">
        <v>51</v>
      </c>
      <c r="F52" t="s">
        <v>219</v>
      </c>
      <c r="G52" t="s">
        <v>225</v>
      </c>
      <c r="H52" t="s">
        <v>123</v>
      </c>
      <c r="I52" t="s">
        <v>55</v>
      </c>
      <c r="J52" t="s">
        <v>55</v>
      </c>
      <c r="K52" t="s">
        <v>55</v>
      </c>
      <c r="L52" t="s">
        <v>72</v>
      </c>
      <c r="M52" t="s">
        <v>87</v>
      </c>
      <c r="N52" t="s">
        <v>216</v>
      </c>
      <c r="O52" t="s">
        <v>217</v>
      </c>
      <c r="P52" t="s">
        <v>218</v>
      </c>
      <c r="Q52" t="s">
        <v>218</v>
      </c>
      <c r="R52" t="s">
        <v>55</v>
      </c>
      <c r="S52" t="s">
        <v>62</v>
      </c>
      <c r="T52" t="s">
        <v>62</v>
      </c>
      <c r="U52" t="s">
        <v>55</v>
      </c>
      <c r="V52" t="s">
        <v>222</v>
      </c>
      <c r="W52" t="s">
        <v>234</v>
      </c>
      <c r="X52" t="s">
        <v>224</v>
      </c>
      <c r="Y52" t="s">
        <v>55</v>
      </c>
      <c r="Z52" t="s">
        <v>65</v>
      </c>
      <c r="AA52" t="s">
        <v>55</v>
      </c>
    </row>
    <row r="53" spans="1:27" x14ac:dyDescent="0.35">
      <c r="A53">
        <v>615004</v>
      </c>
      <c r="B53" t="s">
        <v>215</v>
      </c>
      <c r="C53" t="s">
        <v>74</v>
      </c>
      <c r="E53" t="s">
        <v>51</v>
      </c>
      <c r="F53" t="s">
        <v>235</v>
      </c>
      <c r="G53" t="s">
        <v>236</v>
      </c>
      <c r="H53" t="s">
        <v>55</v>
      </c>
      <c r="I53" t="s">
        <v>55</v>
      </c>
      <c r="J53" t="s">
        <v>55</v>
      </c>
      <c r="K53" t="s">
        <v>55</v>
      </c>
      <c r="L53" t="s">
        <v>237</v>
      </c>
      <c r="M53" t="s">
        <v>238</v>
      </c>
      <c r="N53" t="s">
        <v>239</v>
      </c>
      <c r="O53" t="s">
        <v>89</v>
      </c>
      <c r="P53" t="s">
        <v>209</v>
      </c>
      <c r="Q53" t="s">
        <v>210</v>
      </c>
      <c r="R53" t="s">
        <v>55</v>
      </c>
      <c r="S53" t="s">
        <v>62</v>
      </c>
      <c r="T53" t="s">
        <v>62</v>
      </c>
      <c r="U53" t="s">
        <v>55</v>
      </c>
      <c r="V53" t="s">
        <v>240</v>
      </c>
      <c r="W53" t="s">
        <v>241</v>
      </c>
      <c r="X53" t="s">
        <v>242</v>
      </c>
      <c r="Y53" t="s">
        <v>55</v>
      </c>
      <c r="Z53" t="s">
        <v>65</v>
      </c>
      <c r="AA53" t="s">
        <v>55</v>
      </c>
    </row>
    <row r="54" spans="1:27" x14ac:dyDescent="0.35">
      <c r="A54">
        <v>615008</v>
      </c>
      <c r="B54" t="s">
        <v>215</v>
      </c>
      <c r="C54" t="s">
        <v>74</v>
      </c>
      <c r="E54" t="s">
        <v>51</v>
      </c>
      <c r="F54" t="s">
        <v>243</v>
      </c>
      <c r="G54" t="s">
        <v>244</v>
      </c>
      <c r="H54" t="s">
        <v>55</v>
      </c>
      <c r="I54" t="s">
        <v>55</v>
      </c>
      <c r="J54" t="s">
        <v>55</v>
      </c>
      <c r="K54" t="s">
        <v>55</v>
      </c>
      <c r="L54" t="s">
        <v>195</v>
      </c>
      <c r="M54" t="s">
        <v>55</v>
      </c>
      <c r="N54" t="s">
        <v>245</v>
      </c>
      <c r="O54" t="s">
        <v>217</v>
      </c>
      <c r="P54" t="s">
        <v>209</v>
      </c>
      <c r="Q54" t="s">
        <v>210</v>
      </c>
      <c r="R54" t="s">
        <v>55</v>
      </c>
      <c r="S54" t="s">
        <v>62</v>
      </c>
      <c r="T54" t="s">
        <v>62</v>
      </c>
      <c r="U54" t="s">
        <v>55</v>
      </c>
      <c r="V54" t="s">
        <v>93</v>
      </c>
      <c r="W54" t="s">
        <v>246</v>
      </c>
      <c r="X54" t="s">
        <v>55</v>
      </c>
      <c r="Y54" t="s">
        <v>55</v>
      </c>
      <c r="Z54" t="s">
        <v>65</v>
      </c>
      <c r="AA54" t="s">
        <v>55</v>
      </c>
    </row>
    <row r="55" spans="1:27" x14ac:dyDescent="0.35">
      <c r="A55">
        <v>615020</v>
      </c>
      <c r="B55" t="s">
        <v>247</v>
      </c>
      <c r="C55" t="s">
        <v>248</v>
      </c>
      <c r="E55" t="s">
        <v>51</v>
      </c>
      <c r="F55" t="s">
        <v>249</v>
      </c>
      <c r="G55" t="s">
        <v>250</v>
      </c>
      <c r="H55" t="s">
        <v>251</v>
      </c>
      <c r="I55" t="s">
        <v>55</v>
      </c>
      <c r="J55" t="s">
        <v>55</v>
      </c>
      <c r="K55" t="s">
        <v>55</v>
      </c>
      <c r="L55" t="s">
        <v>252</v>
      </c>
      <c r="M55" t="s">
        <v>253</v>
      </c>
      <c r="N55" t="s">
        <v>254</v>
      </c>
      <c r="O55" t="s">
        <v>255</v>
      </c>
      <c r="P55" t="s">
        <v>256</v>
      </c>
      <c r="Q55" t="s">
        <v>257</v>
      </c>
      <c r="R55" t="s">
        <v>55</v>
      </c>
      <c r="S55" t="s">
        <v>62</v>
      </c>
      <c r="T55" t="s">
        <v>62</v>
      </c>
      <c r="U55" t="s">
        <v>258</v>
      </c>
      <c r="V55" t="s">
        <v>60</v>
      </c>
      <c r="W55" t="s">
        <v>55</v>
      </c>
      <c r="X55" t="s">
        <v>259</v>
      </c>
      <c r="Y55" t="s">
        <v>55</v>
      </c>
      <c r="Z55" t="s">
        <v>65</v>
      </c>
      <c r="AA55" t="s">
        <v>55</v>
      </c>
    </row>
    <row r="56" spans="1:27" x14ac:dyDescent="0.35">
      <c r="A56">
        <v>615059</v>
      </c>
      <c r="B56" t="s">
        <v>247</v>
      </c>
      <c r="C56" t="s">
        <v>74</v>
      </c>
      <c r="E56" t="s">
        <v>51</v>
      </c>
      <c r="F56" t="s">
        <v>260</v>
      </c>
      <c r="G56" t="s">
        <v>261</v>
      </c>
      <c r="H56" t="s">
        <v>262</v>
      </c>
      <c r="I56" t="s">
        <v>55</v>
      </c>
      <c r="J56" t="s">
        <v>55</v>
      </c>
      <c r="K56" t="s">
        <v>263</v>
      </c>
      <c r="L56" t="s">
        <v>152</v>
      </c>
      <c r="M56" t="s">
        <v>264</v>
      </c>
      <c r="N56" t="s">
        <v>265</v>
      </c>
      <c r="O56" t="s">
        <v>266</v>
      </c>
      <c r="P56" t="s">
        <v>267</v>
      </c>
      <c r="Q56" t="s">
        <v>268</v>
      </c>
      <c r="R56" t="s">
        <v>55</v>
      </c>
      <c r="S56" t="s">
        <v>269</v>
      </c>
      <c r="T56" t="s">
        <v>270</v>
      </c>
      <c r="U56" t="s">
        <v>271</v>
      </c>
      <c r="V56" t="s">
        <v>60</v>
      </c>
      <c r="W56" t="s">
        <v>55</v>
      </c>
      <c r="X56" t="s">
        <v>55</v>
      </c>
      <c r="Y56" t="s">
        <v>55</v>
      </c>
      <c r="Z56" t="s">
        <v>65</v>
      </c>
      <c r="AA56" t="s">
        <v>55</v>
      </c>
    </row>
    <row r="57" spans="1:27" x14ac:dyDescent="0.35">
      <c r="A57">
        <v>615060</v>
      </c>
      <c r="B57" t="s">
        <v>247</v>
      </c>
      <c r="C57" t="s">
        <v>74</v>
      </c>
      <c r="E57" t="s">
        <v>51</v>
      </c>
      <c r="F57" t="s">
        <v>260</v>
      </c>
      <c r="G57" t="s">
        <v>261</v>
      </c>
      <c r="H57" t="s">
        <v>272</v>
      </c>
      <c r="I57" t="s">
        <v>55</v>
      </c>
      <c r="J57" t="s">
        <v>55</v>
      </c>
      <c r="K57" t="s">
        <v>263</v>
      </c>
      <c r="L57" t="s">
        <v>161</v>
      </c>
      <c r="M57" t="s">
        <v>264</v>
      </c>
      <c r="N57" t="s">
        <v>265</v>
      </c>
      <c r="O57" t="s">
        <v>266</v>
      </c>
      <c r="P57" t="s">
        <v>267</v>
      </c>
      <c r="Q57" t="s">
        <v>268</v>
      </c>
      <c r="R57" t="s">
        <v>55</v>
      </c>
      <c r="S57" t="s">
        <v>269</v>
      </c>
      <c r="T57" t="s">
        <v>270</v>
      </c>
      <c r="U57" t="s">
        <v>271</v>
      </c>
      <c r="V57" t="s">
        <v>60</v>
      </c>
      <c r="W57" t="s">
        <v>55</v>
      </c>
      <c r="X57" t="s">
        <v>55</v>
      </c>
      <c r="Y57" t="s">
        <v>55</v>
      </c>
      <c r="Z57" t="s">
        <v>65</v>
      </c>
      <c r="AA57" t="s">
        <v>55</v>
      </c>
    </row>
    <row r="58" spans="1:27" x14ac:dyDescent="0.35">
      <c r="A58">
        <v>615062</v>
      </c>
      <c r="B58" t="s">
        <v>247</v>
      </c>
      <c r="C58" t="s">
        <v>74</v>
      </c>
      <c r="E58" t="s">
        <v>51</v>
      </c>
      <c r="F58" t="s">
        <v>260</v>
      </c>
      <c r="G58" t="s">
        <v>273</v>
      </c>
      <c r="H58" t="s">
        <v>274</v>
      </c>
      <c r="I58" t="s">
        <v>55</v>
      </c>
      <c r="J58" t="s">
        <v>55</v>
      </c>
      <c r="K58" t="s">
        <v>263</v>
      </c>
      <c r="L58" t="s">
        <v>252</v>
      </c>
      <c r="M58" t="s">
        <v>264</v>
      </c>
      <c r="N58" t="s">
        <v>265</v>
      </c>
      <c r="O58" t="s">
        <v>266</v>
      </c>
      <c r="P58" t="s">
        <v>267</v>
      </c>
      <c r="Q58" t="s">
        <v>268</v>
      </c>
      <c r="R58" t="s">
        <v>55</v>
      </c>
      <c r="S58" t="s">
        <v>269</v>
      </c>
      <c r="T58" t="s">
        <v>270</v>
      </c>
      <c r="U58" t="s">
        <v>271</v>
      </c>
      <c r="V58" t="s">
        <v>60</v>
      </c>
      <c r="W58" t="s">
        <v>55</v>
      </c>
      <c r="X58" t="s">
        <v>55</v>
      </c>
      <c r="Y58" t="s">
        <v>55</v>
      </c>
      <c r="Z58" t="s">
        <v>65</v>
      </c>
      <c r="AA58" t="s">
        <v>55</v>
      </c>
    </row>
    <row r="59" spans="1:27" x14ac:dyDescent="0.35">
      <c r="A59">
        <v>615063</v>
      </c>
      <c r="B59" t="s">
        <v>247</v>
      </c>
      <c r="C59" t="s">
        <v>74</v>
      </c>
      <c r="E59" t="s">
        <v>51</v>
      </c>
      <c r="F59" t="s">
        <v>260</v>
      </c>
      <c r="G59" t="s">
        <v>275</v>
      </c>
      <c r="H59" t="s">
        <v>274</v>
      </c>
      <c r="I59" t="s">
        <v>55</v>
      </c>
      <c r="J59" t="s">
        <v>55</v>
      </c>
      <c r="K59" t="s">
        <v>263</v>
      </c>
      <c r="L59" t="s">
        <v>276</v>
      </c>
      <c r="M59" t="s">
        <v>264</v>
      </c>
      <c r="N59" t="s">
        <v>265</v>
      </c>
      <c r="O59" t="s">
        <v>266</v>
      </c>
      <c r="P59" t="s">
        <v>267</v>
      </c>
      <c r="Q59" t="s">
        <v>268</v>
      </c>
      <c r="R59" t="s">
        <v>55</v>
      </c>
      <c r="S59" t="s">
        <v>269</v>
      </c>
      <c r="T59" t="s">
        <v>270</v>
      </c>
      <c r="U59" t="s">
        <v>271</v>
      </c>
      <c r="V59" t="s">
        <v>60</v>
      </c>
      <c r="W59" t="s">
        <v>55</v>
      </c>
      <c r="X59" t="s">
        <v>55</v>
      </c>
      <c r="Y59" t="s">
        <v>55</v>
      </c>
      <c r="Z59" t="s">
        <v>65</v>
      </c>
      <c r="AA59" t="s">
        <v>55</v>
      </c>
    </row>
    <row r="60" spans="1:27" x14ac:dyDescent="0.35">
      <c r="A60">
        <v>615064</v>
      </c>
      <c r="B60" t="s">
        <v>247</v>
      </c>
      <c r="C60" t="s">
        <v>74</v>
      </c>
      <c r="E60" t="s">
        <v>51</v>
      </c>
      <c r="F60" t="s">
        <v>260</v>
      </c>
      <c r="G60" t="s">
        <v>277</v>
      </c>
      <c r="H60" t="s">
        <v>278</v>
      </c>
      <c r="I60" t="s">
        <v>55</v>
      </c>
      <c r="J60" t="s">
        <v>55</v>
      </c>
      <c r="K60" t="s">
        <v>279</v>
      </c>
      <c r="L60" t="s">
        <v>280</v>
      </c>
      <c r="M60" t="s">
        <v>264</v>
      </c>
      <c r="N60" t="s">
        <v>265</v>
      </c>
      <c r="O60" t="s">
        <v>266</v>
      </c>
      <c r="P60" t="s">
        <v>267</v>
      </c>
      <c r="Q60" t="s">
        <v>268</v>
      </c>
      <c r="R60" t="s">
        <v>55</v>
      </c>
      <c r="S60" t="s">
        <v>269</v>
      </c>
      <c r="T60" t="s">
        <v>270</v>
      </c>
      <c r="U60" t="s">
        <v>271</v>
      </c>
      <c r="V60" t="s">
        <v>60</v>
      </c>
      <c r="W60" t="s">
        <v>55</v>
      </c>
      <c r="X60" t="s">
        <v>55</v>
      </c>
      <c r="Y60" t="s">
        <v>55</v>
      </c>
      <c r="Z60" t="s">
        <v>65</v>
      </c>
      <c r="AA60" t="s">
        <v>55</v>
      </c>
    </row>
    <row r="61" spans="1:27" x14ac:dyDescent="0.35">
      <c r="A61">
        <v>615065</v>
      </c>
      <c r="B61" t="s">
        <v>247</v>
      </c>
      <c r="C61" t="s">
        <v>74</v>
      </c>
      <c r="E61" t="s">
        <v>51</v>
      </c>
      <c r="F61" t="s">
        <v>260</v>
      </c>
      <c r="G61" t="s">
        <v>277</v>
      </c>
      <c r="H61" t="s">
        <v>278</v>
      </c>
      <c r="I61" t="s">
        <v>55</v>
      </c>
      <c r="J61" t="s">
        <v>55</v>
      </c>
      <c r="K61" t="s">
        <v>263</v>
      </c>
      <c r="L61" t="s">
        <v>281</v>
      </c>
      <c r="M61" t="s">
        <v>264</v>
      </c>
      <c r="N61" t="s">
        <v>265</v>
      </c>
      <c r="O61" t="s">
        <v>266</v>
      </c>
      <c r="P61" t="s">
        <v>267</v>
      </c>
      <c r="Q61" t="s">
        <v>268</v>
      </c>
      <c r="R61" t="s">
        <v>55</v>
      </c>
      <c r="S61" t="s">
        <v>269</v>
      </c>
      <c r="T61" t="s">
        <v>270</v>
      </c>
      <c r="U61" t="s">
        <v>271</v>
      </c>
      <c r="V61" t="s">
        <v>60</v>
      </c>
      <c r="W61" t="s">
        <v>55</v>
      </c>
      <c r="X61" t="s">
        <v>55</v>
      </c>
      <c r="Y61" t="s">
        <v>55</v>
      </c>
      <c r="Z61" t="s">
        <v>65</v>
      </c>
      <c r="AA61" t="s">
        <v>55</v>
      </c>
    </row>
  </sheetData>
  <autoFilter ref="A1:AA61" xr:uid="{C0248850-F99C-40C4-97EF-89D7203AF319}"/>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25520-58C2-4D14-B43A-BC95C2902044}">
  <sheetPr>
    <tabColor theme="5" tint="0.39997558519241921"/>
  </sheetPr>
  <dimension ref="B1:D13"/>
  <sheetViews>
    <sheetView showGridLines="0" workbookViewId="0">
      <selection activeCell="G12" sqref="G12"/>
    </sheetView>
  </sheetViews>
  <sheetFormatPr baseColWidth="10" defaultRowHeight="14.5" x14ac:dyDescent="0.35"/>
  <cols>
    <col min="2" max="2" width="13.6328125" bestFit="1" customWidth="1"/>
    <col min="4" max="4" width="16.26953125" customWidth="1"/>
  </cols>
  <sheetData>
    <row r="1" spans="2:4" ht="15" thickBot="1" x14ac:dyDescent="0.4"/>
    <row r="2" spans="2:4" ht="39.5" thickBot="1" x14ac:dyDescent="0.4">
      <c r="B2" s="145" t="s">
        <v>360</v>
      </c>
      <c r="C2" s="146" t="s">
        <v>361</v>
      </c>
      <c r="D2" s="146" t="s">
        <v>362</v>
      </c>
    </row>
    <row r="3" spans="2:4" ht="16" thickBot="1" x14ac:dyDescent="0.4">
      <c r="B3" s="147" t="s">
        <v>363</v>
      </c>
      <c r="C3" s="148" t="s">
        <v>364</v>
      </c>
      <c r="D3" s="148">
        <v>1</v>
      </c>
    </row>
    <row r="4" spans="2:4" ht="16" thickBot="1" x14ac:dyDescent="0.4">
      <c r="B4" s="147" t="s">
        <v>365</v>
      </c>
      <c r="C4" s="148" t="s">
        <v>366</v>
      </c>
      <c r="D4" s="148">
        <v>21</v>
      </c>
    </row>
    <row r="5" spans="2:4" ht="16" thickBot="1" x14ac:dyDescent="0.4">
      <c r="B5" s="147" t="s">
        <v>367</v>
      </c>
      <c r="C5" s="148" t="s">
        <v>368</v>
      </c>
      <c r="D5" s="148">
        <v>310</v>
      </c>
    </row>
    <row r="6" spans="2:4" ht="16" thickBot="1" x14ac:dyDescent="0.4">
      <c r="B6" s="147" t="s">
        <v>369</v>
      </c>
      <c r="C6" s="148" t="s">
        <v>370</v>
      </c>
      <c r="D6" s="149">
        <v>11700</v>
      </c>
    </row>
    <row r="7" spans="2:4" ht="16" thickBot="1" x14ac:dyDescent="0.4">
      <c r="B7" s="147" t="s">
        <v>371</v>
      </c>
      <c r="C7" s="148" t="s">
        <v>372</v>
      </c>
      <c r="D7" s="148">
        <v>650</v>
      </c>
    </row>
    <row r="8" spans="2:4" ht="16" thickBot="1" x14ac:dyDescent="0.4">
      <c r="B8" s="147" t="s">
        <v>373</v>
      </c>
      <c r="C8" s="148" t="s">
        <v>374</v>
      </c>
      <c r="D8" s="149">
        <v>2800</v>
      </c>
    </row>
    <row r="9" spans="2:4" ht="16" thickBot="1" x14ac:dyDescent="0.4">
      <c r="B9" s="147" t="s">
        <v>375</v>
      </c>
      <c r="C9" s="148" t="s">
        <v>376</v>
      </c>
      <c r="D9" s="149">
        <v>1300</v>
      </c>
    </row>
    <row r="10" spans="2:4" ht="16" thickBot="1" x14ac:dyDescent="0.4">
      <c r="B10" s="147" t="s">
        <v>377</v>
      </c>
      <c r="C10" s="148" t="s">
        <v>378</v>
      </c>
      <c r="D10" s="148">
        <v>140</v>
      </c>
    </row>
    <row r="11" spans="2:4" ht="16" thickBot="1" x14ac:dyDescent="0.4">
      <c r="B11" s="147" t="s">
        <v>379</v>
      </c>
      <c r="C11" s="148" t="s">
        <v>380</v>
      </c>
      <c r="D11" s="149">
        <v>3800</v>
      </c>
    </row>
    <row r="12" spans="2:4" ht="16" thickBot="1" x14ac:dyDescent="0.4">
      <c r="B12" s="147" t="s">
        <v>381</v>
      </c>
      <c r="C12" s="148" t="s">
        <v>382</v>
      </c>
      <c r="D12" s="149">
        <v>2900</v>
      </c>
    </row>
    <row r="13" spans="2:4" ht="16" thickBot="1" x14ac:dyDescent="0.4">
      <c r="B13" s="147" t="s">
        <v>383</v>
      </c>
      <c r="C13" s="148" t="s">
        <v>384</v>
      </c>
      <c r="D13" s="149">
        <v>6300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F8481-6886-4416-80B8-5B7E71534284}">
  <sheetPr>
    <tabColor theme="9" tint="0.39997558519241921"/>
  </sheetPr>
  <dimension ref="A2:R119"/>
  <sheetViews>
    <sheetView showGridLines="0" tabSelected="1" topLeftCell="A34" zoomScale="60" zoomScaleNormal="60" workbookViewId="0">
      <selection activeCell="O72" sqref="O72"/>
    </sheetView>
  </sheetViews>
  <sheetFormatPr baseColWidth="10" defaultColWidth="9.1796875" defaultRowHeight="14.5" x14ac:dyDescent="0.35"/>
  <cols>
    <col min="1" max="1" width="6.26953125" style="66" customWidth="1"/>
    <col min="2" max="2" width="10.81640625" style="66" customWidth="1"/>
    <col min="3" max="3" width="15.08984375" style="66" customWidth="1"/>
    <col min="4" max="4" width="11.54296875" style="66" bestFit="1" customWidth="1"/>
    <col min="5" max="5" width="10.26953125" style="66" bestFit="1" customWidth="1"/>
    <col min="6" max="6" width="8.90625" style="66" customWidth="1"/>
    <col min="7" max="7" width="13.81640625" style="66" customWidth="1"/>
    <col min="8" max="8" width="16.453125" style="66" customWidth="1"/>
    <col min="9" max="9" width="13.81640625" style="66" customWidth="1"/>
    <col min="10" max="10" width="14.08984375" style="66" customWidth="1"/>
    <col min="11" max="11" width="19.7265625" style="66" customWidth="1"/>
    <col min="12" max="12" width="23.26953125" style="66" customWidth="1"/>
    <col min="13" max="13" width="9.6328125" style="66" bestFit="1" customWidth="1"/>
    <col min="14" max="14" width="11.81640625" style="66" customWidth="1"/>
    <col min="15" max="15" width="9.6328125" style="66" bestFit="1" customWidth="1"/>
    <col min="16" max="16" width="6.54296875" style="66" bestFit="1" customWidth="1"/>
    <col min="17" max="17" width="9.1796875" style="66"/>
    <col min="18" max="18" width="9.6328125" style="66" bestFit="1" customWidth="1"/>
    <col min="19" max="16384" width="9.1796875" style="66"/>
  </cols>
  <sheetData>
    <row r="2" spans="1:18" ht="46" x14ac:dyDescent="1">
      <c r="A2" s="220" t="s">
        <v>14</v>
      </c>
      <c r="B2" s="220"/>
      <c r="C2" s="220"/>
      <c r="D2" s="220"/>
      <c r="E2" s="220"/>
      <c r="F2" s="220"/>
      <c r="G2" s="220"/>
      <c r="H2" s="220"/>
      <c r="I2" s="220"/>
      <c r="J2" s="220"/>
      <c r="K2" s="220"/>
      <c r="L2" s="220"/>
      <c r="M2" s="220"/>
      <c r="N2" s="220"/>
      <c r="O2" s="220"/>
      <c r="P2" s="220"/>
      <c r="Q2" s="220"/>
      <c r="R2" s="220"/>
    </row>
    <row r="4" spans="1:18" s="69" customFormat="1" ht="14.5" customHeight="1" x14ac:dyDescent="0.35">
      <c r="A4" s="143"/>
      <c r="B4" s="237" t="s">
        <v>398</v>
      </c>
      <c r="C4" s="238"/>
      <c r="F4" s="239" t="s">
        <v>413</v>
      </c>
      <c r="G4" s="240"/>
      <c r="H4" s="241"/>
      <c r="K4" s="239" t="s">
        <v>414</v>
      </c>
      <c r="L4" s="241"/>
      <c r="O4" s="234" t="s">
        <v>387</v>
      </c>
      <c r="P4" s="235"/>
      <c r="Q4" s="235"/>
      <c r="R4" s="235"/>
    </row>
    <row r="5" spans="1:18" s="69" customFormat="1" ht="29" x14ac:dyDescent="0.35">
      <c r="A5" s="144"/>
      <c r="B5" s="68" t="s">
        <v>388</v>
      </c>
      <c r="C5" s="68" t="s">
        <v>415</v>
      </c>
      <c r="F5" s="68" t="s">
        <v>388</v>
      </c>
      <c r="G5" s="68" t="s">
        <v>389</v>
      </c>
      <c r="H5" s="68" t="s">
        <v>412</v>
      </c>
      <c r="K5" s="68" t="s">
        <v>359</v>
      </c>
      <c r="L5" s="68" t="s">
        <v>412</v>
      </c>
      <c r="O5" s="68" t="s">
        <v>416</v>
      </c>
      <c r="P5" s="68" t="s">
        <v>388</v>
      </c>
      <c r="Q5" s="68" t="s">
        <v>389</v>
      </c>
      <c r="R5" s="68" t="s">
        <v>412</v>
      </c>
    </row>
    <row r="6" spans="1:18" x14ac:dyDescent="0.35">
      <c r="A6" s="70">
        <v>2000</v>
      </c>
      <c r="B6" s="80">
        <v>16792.63</v>
      </c>
      <c r="C6" s="90">
        <f>(B6*'GWP (SAR)'!$D$4)/1000</f>
        <v>352.64523000000003</v>
      </c>
      <c r="E6" s="70">
        <v>2000</v>
      </c>
      <c r="F6" s="134">
        <f>'AD Mauritius'!G45*EFs!$D$11/1000</f>
        <v>0</v>
      </c>
      <c r="G6" s="134">
        <f>'AD Mauritius'!G45*EFs!$F$11/1000</f>
        <v>0</v>
      </c>
      <c r="H6" s="134">
        <f>((F6*'GWP (SAR)'!$D$4)+('EE RoM'!G6*'GWP (SAR)'!$D$5))/1000</f>
        <v>0</v>
      </c>
      <c r="J6" s="70">
        <v>2000</v>
      </c>
      <c r="K6" s="134">
        <f>'AD Mauritius'!H45*(EFs!$C$18/100)*(EFs!$C$19/100)*(EFs!$C$20/100)*(44/12)</f>
        <v>564.15920000000006</v>
      </c>
      <c r="L6" s="90">
        <f>K6/1000</f>
        <v>0.56415920000000008</v>
      </c>
      <c r="M6" s="214"/>
      <c r="N6" s="70">
        <v>2000</v>
      </c>
      <c r="O6" s="80">
        <f>K6</f>
        <v>564.15920000000006</v>
      </c>
      <c r="P6" s="80">
        <f>B6+F6</f>
        <v>16792.63</v>
      </c>
      <c r="Q6" s="80">
        <f>G6</f>
        <v>0</v>
      </c>
      <c r="R6" s="80">
        <f>C6+H6+L6</f>
        <v>353.20938920000003</v>
      </c>
    </row>
    <row r="7" spans="1:18" x14ac:dyDescent="0.35">
      <c r="A7" s="70">
        <f t="shared" ref="A7:A22" si="0">A6+1</f>
        <v>2001</v>
      </c>
      <c r="B7" s="80">
        <v>16997.810000000001</v>
      </c>
      <c r="C7" s="90">
        <f>(B7*'GWP (SAR)'!$D$4)/1000</f>
        <v>356.95400999999998</v>
      </c>
      <c r="E7" s="70">
        <f t="shared" ref="E7:E22" si="1">E6+1</f>
        <v>2001</v>
      </c>
      <c r="F7" s="134">
        <f>'AD Mauritius'!G46*EFs!$D$11/1000</f>
        <v>0</v>
      </c>
      <c r="G7" s="134">
        <f>'AD Mauritius'!G46*EFs!$F$11/1000</f>
        <v>0</v>
      </c>
      <c r="H7" s="134">
        <f>((F7*'GWP (SAR)'!$D$4)+('EE RoM'!G7*'GWP (SAR)'!$D$5))/1000</f>
        <v>0</v>
      </c>
      <c r="J7" s="70">
        <f t="shared" ref="J7:J22" si="2">J6+1</f>
        <v>2001</v>
      </c>
      <c r="K7" s="134">
        <f>'AD Mauritius'!H46*(EFs!$C$18/100)*(EFs!$C$19/100)*(EFs!$C$20/100)*(44/12)</f>
        <v>552.07680000000005</v>
      </c>
      <c r="L7" s="90">
        <f t="shared" ref="L7:L22" si="3">K7/1000</f>
        <v>0.55207680000000003</v>
      </c>
      <c r="M7" s="214"/>
      <c r="N7" s="70">
        <f t="shared" ref="N7:N22" si="4">N6+1</f>
        <v>2001</v>
      </c>
      <c r="O7" s="80">
        <f t="shared" ref="O7:O22" si="5">K7</f>
        <v>552.07680000000005</v>
      </c>
      <c r="P7" s="80">
        <f t="shared" ref="P7:P22" si="6">B7+F7</f>
        <v>16997.810000000001</v>
      </c>
      <c r="Q7" s="80">
        <f t="shared" ref="Q7:Q22" si="7">G7</f>
        <v>0</v>
      </c>
      <c r="R7" s="80">
        <f t="shared" ref="R7:R22" si="8">C7+H7+L7</f>
        <v>357.50608679999999</v>
      </c>
    </row>
    <row r="8" spans="1:18" x14ac:dyDescent="0.35">
      <c r="A8" s="70">
        <f t="shared" si="0"/>
        <v>2002</v>
      </c>
      <c r="B8" s="80">
        <v>17620.71</v>
      </c>
      <c r="C8" s="90">
        <f>(B8*'GWP (SAR)'!$D$4)/1000</f>
        <v>370.03490999999997</v>
      </c>
      <c r="E8" s="70">
        <f t="shared" si="1"/>
        <v>2002</v>
      </c>
      <c r="F8" s="134">
        <f>'AD Mauritius'!G47*EFs!$D$11/1000</f>
        <v>0</v>
      </c>
      <c r="G8" s="134">
        <f>'AD Mauritius'!G47*EFs!$F$11/1000</f>
        <v>0</v>
      </c>
      <c r="H8" s="134">
        <f>((F8*'GWP (SAR)'!$D$4)+('EE RoM'!G8*'GWP (SAR)'!$D$5))/1000</f>
        <v>0</v>
      </c>
      <c r="J8" s="70">
        <f t="shared" si="2"/>
        <v>2002</v>
      </c>
      <c r="K8" s="134">
        <f>'AD Mauritius'!H47*(EFs!$C$18/100)*(EFs!$C$19/100)*(EFs!$C$20/100)*(44/12)</f>
        <v>558.88800000000003</v>
      </c>
      <c r="L8" s="90">
        <f t="shared" si="3"/>
        <v>0.55888800000000005</v>
      </c>
      <c r="M8" s="214"/>
      <c r="N8" s="70">
        <f t="shared" si="4"/>
        <v>2002</v>
      </c>
      <c r="O8" s="80">
        <f t="shared" si="5"/>
        <v>558.88800000000003</v>
      </c>
      <c r="P8" s="80">
        <f t="shared" si="6"/>
        <v>17620.71</v>
      </c>
      <c r="Q8" s="80">
        <f t="shared" si="7"/>
        <v>0</v>
      </c>
      <c r="R8" s="80">
        <f t="shared" si="8"/>
        <v>370.59379799999999</v>
      </c>
    </row>
    <row r="9" spans="1:18" x14ac:dyDescent="0.35">
      <c r="A9" s="70">
        <f t="shared" si="0"/>
        <v>2003</v>
      </c>
      <c r="B9" s="80">
        <v>18403.439999999999</v>
      </c>
      <c r="C9" s="90">
        <f>(B9*'GWP (SAR)'!$D$4)/1000</f>
        <v>386.47224</v>
      </c>
      <c r="E9" s="70">
        <f t="shared" si="1"/>
        <v>2003</v>
      </c>
      <c r="F9" s="134">
        <f>'AD Mauritius'!G48*EFs!$D$11/1000</f>
        <v>0</v>
      </c>
      <c r="G9" s="134">
        <f>'AD Mauritius'!G48*EFs!$F$11/1000</f>
        <v>0</v>
      </c>
      <c r="H9" s="134">
        <f>((F9*'GWP (SAR)'!$D$4)+('EE RoM'!G9*'GWP (SAR)'!$D$5))/1000</f>
        <v>0</v>
      </c>
      <c r="J9" s="70">
        <f t="shared" si="2"/>
        <v>2003</v>
      </c>
      <c r="K9" s="134">
        <f>'AD Mauritius'!H48*(EFs!$C$18/100)*(EFs!$C$19/100)*(EFs!$C$20/100)*(44/12)</f>
        <v>518.80399999999997</v>
      </c>
      <c r="L9" s="90">
        <f t="shared" si="3"/>
        <v>0.51880399999999993</v>
      </c>
      <c r="M9" s="214"/>
      <c r="N9" s="70">
        <f t="shared" si="4"/>
        <v>2003</v>
      </c>
      <c r="O9" s="80">
        <f t="shared" si="5"/>
        <v>518.80399999999997</v>
      </c>
      <c r="P9" s="80">
        <f t="shared" si="6"/>
        <v>18403.439999999999</v>
      </c>
      <c r="Q9" s="80">
        <f t="shared" si="7"/>
        <v>0</v>
      </c>
      <c r="R9" s="80">
        <f t="shared" si="8"/>
        <v>386.99104399999999</v>
      </c>
    </row>
    <row r="10" spans="1:18" x14ac:dyDescent="0.35">
      <c r="A10" s="70">
        <f t="shared" si="0"/>
        <v>2004</v>
      </c>
      <c r="B10" s="80">
        <v>19052.189999999999</v>
      </c>
      <c r="C10" s="90">
        <f>(B10*'GWP (SAR)'!$D$4)/1000</f>
        <v>400.09598999999997</v>
      </c>
      <c r="E10" s="70">
        <f t="shared" si="1"/>
        <v>2004</v>
      </c>
      <c r="F10" s="134">
        <f>'AD Mauritius'!G49*EFs!$D$11/1000</f>
        <v>0</v>
      </c>
      <c r="G10" s="134">
        <f>'AD Mauritius'!G49*EFs!$F$11/1000</f>
        <v>0</v>
      </c>
      <c r="H10" s="134">
        <f>((F10*'GWP (SAR)'!$D$4)+('EE RoM'!G10*'GWP (SAR)'!$D$5))/1000</f>
        <v>0</v>
      </c>
      <c r="J10" s="70">
        <f t="shared" si="2"/>
        <v>2004</v>
      </c>
      <c r="K10" s="134">
        <f>'AD Mauritius'!H49*(EFs!$C$18/100)*(EFs!$C$19/100)*(EFs!$C$20/100)*(44/12)</f>
        <v>523.30079999999998</v>
      </c>
      <c r="L10" s="90">
        <f t="shared" si="3"/>
        <v>0.52330080000000001</v>
      </c>
      <c r="M10" s="214"/>
      <c r="N10" s="70">
        <f t="shared" si="4"/>
        <v>2004</v>
      </c>
      <c r="O10" s="80">
        <f t="shared" si="5"/>
        <v>523.30079999999998</v>
      </c>
      <c r="P10" s="80">
        <f t="shared" si="6"/>
        <v>19052.189999999999</v>
      </c>
      <c r="Q10" s="80">
        <f t="shared" si="7"/>
        <v>0</v>
      </c>
      <c r="R10" s="80">
        <f t="shared" si="8"/>
        <v>400.61929079999999</v>
      </c>
    </row>
    <row r="11" spans="1:18" x14ac:dyDescent="0.35">
      <c r="A11" s="70">
        <f t="shared" si="0"/>
        <v>2005</v>
      </c>
      <c r="B11" s="80">
        <v>19680.009999999998</v>
      </c>
      <c r="C11" s="90">
        <f>(B11*'GWP (SAR)'!$D$4)/1000</f>
        <v>413.28020999999995</v>
      </c>
      <c r="E11" s="70">
        <f t="shared" si="1"/>
        <v>2005</v>
      </c>
      <c r="F11" s="134">
        <f>'AD Mauritius'!G50*EFs!$D$11/1000</f>
        <v>0</v>
      </c>
      <c r="G11" s="134">
        <f>'AD Mauritius'!G50*EFs!$F$11/1000</f>
        <v>0</v>
      </c>
      <c r="H11" s="134">
        <f>((F11*'GWP (SAR)'!$D$4)+('EE RoM'!G11*'GWP (SAR)'!$D$5))/1000</f>
        <v>0</v>
      </c>
      <c r="J11" s="70">
        <f t="shared" si="2"/>
        <v>2005</v>
      </c>
      <c r="K11" s="134">
        <f>'AD Mauritius'!H50*(EFs!$C$18/100)*(EFs!$C$19/100)*(EFs!$C$20/100)*(44/12)</f>
        <v>522.52639999999997</v>
      </c>
      <c r="L11" s="90">
        <f t="shared" si="3"/>
        <v>0.52252639999999995</v>
      </c>
      <c r="M11" s="214"/>
      <c r="N11" s="70">
        <f t="shared" si="4"/>
        <v>2005</v>
      </c>
      <c r="O11" s="80">
        <f t="shared" si="5"/>
        <v>522.52639999999997</v>
      </c>
      <c r="P11" s="80">
        <f t="shared" si="6"/>
        <v>19680.009999999998</v>
      </c>
      <c r="Q11" s="80">
        <f t="shared" si="7"/>
        <v>0</v>
      </c>
      <c r="R11" s="80">
        <f t="shared" si="8"/>
        <v>413.80273639999996</v>
      </c>
    </row>
    <row r="12" spans="1:18" x14ac:dyDescent="0.35">
      <c r="A12" s="70">
        <f t="shared" si="0"/>
        <v>2006</v>
      </c>
      <c r="B12" s="80">
        <v>20516.560000000001</v>
      </c>
      <c r="C12" s="90">
        <f>(B12*'GWP (SAR)'!$D$4)/1000</f>
        <v>430.84775999999999</v>
      </c>
      <c r="E12" s="70">
        <f t="shared" si="1"/>
        <v>2006</v>
      </c>
      <c r="F12" s="134">
        <f>'AD Mauritius'!G51*EFs!$D$11/1000</f>
        <v>0</v>
      </c>
      <c r="G12" s="134">
        <f>'AD Mauritius'!G51*EFs!$F$11/1000</f>
        <v>0</v>
      </c>
      <c r="H12" s="134">
        <f>((F12*'GWP (SAR)'!$D$4)+('EE RoM'!G12*'GWP (SAR)'!$D$5))/1000</f>
        <v>0</v>
      </c>
      <c r="J12" s="70">
        <f t="shared" si="2"/>
        <v>2006</v>
      </c>
      <c r="K12" s="134">
        <f>'AD Mauritius'!H51*(EFs!$C$18/100)*(EFs!$C$19/100)*(EFs!$C$20/100)*(44/12)</f>
        <v>548.22240000000011</v>
      </c>
      <c r="L12" s="90">
        <f t="shared" si="3"/>
        <v>0.54822240000000011</v>
      </c>
      <c r="M12" s="214"/>
      <c r="N12" s="70">
        <f t="shared" si="4"/>
        <v>2006</v>
      </c>
      <c r="O12" s="80">
        <f t="shared" si="5"/>
        <v>548.22240000000011</v>
      </c>
      <c r="P12" s="80">
        <f t="shared" si="6"/>
        <v>20516.560000000001</v>
      </c>
      <c r="Q12" s="80">
        <f t="shared" si="7"/>
        <v>0</v>
      </c>
      <c r="R12" s="80">
        <f t="shared" si="8"/>
        <v>431.39598239999998</v>
      </c>
    </row>
    <row r="13" spans="1:18" x14ac:dyDescent="0.35">
      <c r="A13" s="70">
        <f t="shared" si="0"/>
        <v>2007</v>
      </c>
      <c r="B13" s="80">
        <v>21132</v>
      </c>
      <c r="C13" s="90">
        <f>(B13*'GWP (SAR)'!$D$4)/1000</f>
        <v>443.77199999999999</v>
      </c>
      <c r="E13" s="70">
        <f t="shared" si="1"/>
        <v>2007</v>
      </c>
      <c r="F13" s="134">
        <f>'AD Mauritius'!G52*EFs!$D$11/1000</f>
        <v>0</v>
      </c>
      <c r="G13" s="134">
        <f>'AD Mauritius'!G52*EFs!$F$11/1000</f>
        <v>0</v>
      </c>
      <c r="H13" s="134">
        <f>((F13*'GWP (SAR)'!$D$4)+('EE RoM'!G13*'GWP (SAR)'!$D$5))/1000</f>
        <v>0</v>
      </c>
      <c r="J13" s="70">
        <f t="shared" si="2"/>
        <v>2007</v>
      </c>
      <c r="K13" s="134">
        <f>'AD Mauritius'!H52*(EFs!$C$18/100)*(EFs!$C$19/100)*(EFs!$C$20/100)*(44/12)</f>
        <v>529.44319999999993</v>
      </c>
      <c r="L13" s="90">
        <f t="shared" si="3"/>
        <v>0.52944319999999989</v>
      </c>
      <c r="M13" s="214"/>
      <c r="N13" s="70">
        <f t="shared" si="4"/>
        <v>2007</v>
      </c>
      <c r="O13" s="80">
        <f t="shared" si="5"/>
        <v>529.44319999999993</v>
      </c>
      <c r="P13" s="80">
        <f t="shared" si="6"/>
        <v>21132</v>
      </c>
      <c r="Q13" s="80">
        <f t="shared" si="7"/>
        <v>0</v>
      </c>
      <c r="R13" s="80">
        <f t="shared" si="8"/>
        <v>444.30144319999999</v>
      </c>
    </row>
    <row r="14" spans="1:18" x14ac:dyDescent="0.35">
      <c r="A14" s="70">
        <f t="shared" si="0"/>
        <v>2008</v>
      </c>
      <c r="B14" s="80">
        <v>21461.53</v>
      </c>
      <c r="C14" s="90">
        <f>(B14*'GWP (SAR)'!$D$4)/1000</f>
        <v>450.69213000000002</v>
      </c>
      <c r="E14" s="70">
        <f t="shared" si="1"/>
        <v>2008</v>
      </c>
      <c r="F14" s="134">
        <f>'AD Mauritius'!G53*EFs!$D$11/1000</f>
        <v>0</v>
      </c>
      <c r="G14" s="134">
        <f>'AD Mauritius'!G53*EFs!$F$11/1000</f>
        <v>0</v>
      </c>
      <c r="H14" s="134">
        <f>((F14*'GWP (SAR)'!$D$4)+('EE RoM'!G14*'GWP (SAR)'!$D$5))/1000</f>
        <v>0</v>
      </c>
      <c r="J14" s="70">
        <f t="shared" si="2"/>
        <v>2008</v>
      </c>
      <c r="K14" s="134">
        <f>'AD Mauritius'!H53*(EFs!$C$18/100)*(EFs!$C$19/100)*(EFs!$C$20/100)*(44/12)</f>
        <v>537.75919999999996</v>
      </c>
      <c r="L14" s="90">
        <f t="shared" si="3"/>
        <v>0.53775919999999999</v>
      </c>
      <c r="M14" s="214"/>
      <c r="N14" s="70">
        <f t="shared" si="4"/>
        <v>2008</v>
      </c>
      <c r="O14" s="80">
        <f t="shared" si="5"/>
        <v>537.75919999999996</v>
      </c>
      <c r="P14" s="80">
        <f t="shared" si="6"/>
        <v>21461.53</v>
      </c>
      <c r="Q14" s="80">
        <f t="shared" si="7"/>
        <v>0</v>
      </c>
      <c r="R14" s="80">
        <f t="shared" si="8"/>
        <v>451.2298892</v>
      </c>
    </row>
    <row r="15" spans="1:18" x14ac:dyDescent="0.35">
      <c r="A15" s="70">
        <f t="shared" si="0"/>
        <v>2009</v>
      </c>
      <c r="B15" s="80">
        <v>19546.52</v>
      </c>
      <c r="C15" s="90">
        <f>(B15*'GWP (SAR)'!$D$4)/1000</f>
        <v>410.47692000000001</v>
      </c>
      <c r="E15" s="70">
        <f t="shared" si="1"/>
        <v>2009</v>
      </c>
      <c r="F15" s="134">
        <f>'AD Mauritius'!G54*EFs!$D$11/1000</f>
        <v>0</v>
      </c>
      <c r="G15" s="134">
        <f>'AD Mauritius'!G54*EFs!$F$11/1000</f>
        <v>0</v>
      </c>
      <c r="H15" s="134">
        <f>((F15*'GWP (SAR)'!$D$4)+('EE RoM'!G15*'GWP (SAR)'!$D$5))/1000</f>
        <v>0</v>
      </c>
      <c r="J15" s="70">
        <f t="shared" si="2"/>
        <v>2009</v>
      </c>
      <c r="K15" s="134">
        <f>'AD Mauritius'!H54*(EFs!$C$18/100)*(EFs!$C$19/100)*(EFs!$C$20/100)*(44/12)</f>
        <v>518.35519999999997</v>
      </c>
      <c r="L15" s="90">
        <f t="shared" si="3"/>
        <v>0.51835520000000002</v>
      </c>
      <c r="M15" s="214"/>
      <c r="N15" s="70">
        <f t="shared" si="4"/>
        <v>2009</v>
      </c>
      <c r="O15" s="80">
        <f t="shared" si="5"/>
        <v>518.35519999999997</v>
      </c>
      <c r="P15" s="80">
        <f t="shared" si="6"/>
        <v>19546.52</v>
      </c>
      <c r="Q15" s="80">
        <f t="shared" si="7"/>
        <v>0</v>
      </c>
      <c r="R15" s="80">
        <f t="shared" si="8"/>
        <v>410.99527519999998</v>
      </c>
    </row>
    <row r="16" spans="1:18" x14ac:dyDescent="0.35">
      <c r="A16" s="70">
        <f t="shared" si="0"/>
        <v>2010</v>
      </c>
      <c r="B16" s="80">
        <v>20999.73</v>
      </c>
      <c r="C16" s="90">
        <f>(B16*'GWP (SAR)'!$D$4)/1000</f>
        <v>440.99432999999999</v>
      </c>
      <c r="E16" s="70">
        <f t="shared" si="1"/>
        <v>2010</v>
      </c>
      <c r="F16" s="134">
        <f>'AD Mauritius'!G55*EFs!$D$11/1000</f>
        <v>0</v>
      </c>
      <c r="G16" s="134">
        <f>'AD Mauritius'!G55*EFs!$F$11/1000</f>
        <v>0</v>
      </c>
      <c r="H16" s="134">
        <f>((F16*'GWP (SAR)'!$D$4)+('EE RoM'!G16*'GWP (SAR)'!$D$5))/1000</f>
        <v>0</v>
      </c>
      <c r="J16" s="70">
        <f t="shared" si="2"/>
        <v>2010</v>
      </c>
      <c r="K16" s="134">
        <f>'AD Mauritius'!H55*(EFs!$C$18/100)*(EFs!$C$19/100)*(EFs!$C$20/100)*(44/12)</f>
        <v>526.6712</v>
      </c>
      <c r="L16" s="90">
        <f t="shared" si="3"/>
        <v>0.52667120000000001</v>
      </c>
      <c r="M16" s="214"/>
      <c r="N16" s="70">
        <f t="shared" si="4"/>
        <v>2010</v>
      </c>
      <c r="O16" s="80">
        <f t="shared" si="5"/>
        <v>526.6712</v>
      </c>
      <c r="P16" s="80">
        <f t="shared" si="6"/>
        <v>20999.73</v>
      </c>
      <c r="Q16" s="80">
        <f t="shared" si="7"/>
        <v>0</v>
      </c>
      <c r="R16" s="80">
        <f t="shared" si="8"/>
        <v>441.5210012</v>
      </c>
    </row>
    <row r="17" spans="1:18" x14ac:dyDescent="0.35">
      <c r="A17" s="70">
        <f t="shared" si="0"/>
        <v>2011</v>
      </c>
      <c r="B17" s="80">
        <v>21386.799999999999</v>
      </c>
      <c r="C17" s="90">
        <f>(B17*'GWP (SAR)'!$D$4)/1000</f>
        <v>449.12279999999998</v>
      </c>
      <c r="E17" s="70">
        <f t="shared" si="1"/>
        <v>2011</v>
      </c>
      <c r="F17" s="134">
        <f>'AD Mauritius'!G56*EFs!$D$11/1000</f>
        <v>20.616</v>
      </c>
      <c r="G17" s="134">
        <f>'AD Mauritius'!G56*EFs!$F$11/1000</f>
        <v>1.2369600000000001</v>
      </c>
      <c r="H17" s="90">
        <f>((F17*'GWP (SAR)'!$D$4)+('EE RoM'!G17*'GWP (SAR)'!$D$5))/1000</f>
        <v>0.81639359999999994</v>
      </c>
      <c r="I17" s="215"/>
      <c r="J17" s="70">
        <f t="shared" si="2"/>
        <v>2011</v>
      </c>
      <c r="K17" s="134">
        <f>'AD Mauritius'!H56*(EFs!$C$18/100)*(EFs!$C$19/100)*(EFs!$C$20/100)*(44/12)</f>
        <v>568.25120000000004</v>
      </c>
      <c r="L17" s="90">
        <f t="shared" si="3"/>
        <v>0.56825120000000007</v>
      </c>
      <c r="M17" s="214"/>
      <c r="N17" s="70">
        <f t="shared" si="4"/>
        <v>2011</v>
      </c>
      <c r="O17" s="80">
        <f t="shared" si="5"/>
        <v>568.25120000000004</v>
      </c>
      <c r="P17" s="80">
        <f t="shared" si="6"/>
        <v>21407.416000000001</v>
      </c>
      <c r="Q17" s="80">
        <f t="shared" si="7"/>
        <v>1.2369600000000001</v>
      </c>
      <c r="R17" s="80">
        <f t="shared" si="8"/>
        <v>450.50744480000003</v>
      </c>
    </row>
    <row r="18" spans="1:18" x14ac:dyDescent="0.35">
      <c r="A18" s="70">
        <f t="shared" si="0"/>
        <v>2012</v>
      </c>
      <c r="B18" s="80">
        <v>21028.03</v>
      </c>
      <c r="C18" s="90">
        <f>(B18*'GWP (SAR)'!$D$4)/1000</f>
        <v>441.58863000000002</v>
      </c>
      <c r="E18" s="70">
        <f t="shared" si="1"/>
        <v>2012</v>
      </c>
      <c r="F18" s="134">
        <f>'AD Mauritius'!G57*EFs!$D$11/1000</f>
        <v>139.13999999999999</v>
      </c>
      <c r="G18" s="134">
        <f>'AD Mauritius'!G57*EFs!$F$11/1000</f>
        <v>8.3483999999999998</v>
      </c>
      <c r="H18" s="90">
        <f>((F18*'GWP (SAR)'!$D$4)+('EE RoM'!G18*'GWP (SAR)'!$D$5))/1000</f>
        <v>5.5099439999999991</v>
      </c>
      <c r="I18" s="215"/>
      <c r="J18" s="70">
        <f t="shared" si="2"/>
        <v>2012</v>
      </c>
      <c r="K18" s="134">
        <f>'AD Mauritius'!H57*(EFs!$C$18/100)*(EFs!$C$19/100)*(EFs!$C$20/100)*(44/12)</f>
        <v>568.25120000000004</v>
      </c>
      <c r="L18" s="90">
        <f t="shared" si="3"/>
        <v>0.56825120000000007</v>
      </c>
      <c r="M18" s="214"/>
      <c r="N18" s="70">
        <f t="shared" si="4"/>
        <v>2012</v>
      </c>
      <c r="O18" s="80">
        <f t="shared" si="5"/>
        <v>568.25120000000004</v>
      </c>
      <c r="P18" s="80">
        <f t="shared" si="6"/>
        <v>21167.17</v>
      </c>
      <c r="Q18" s="80">
        <f t="shared" si="7"/>
        <v>8.3483999999999998</v>
      </c>
      <c r="R18" s="80">
        <f t="shared" si="8"/>
        <v>447.66682520000006</v>
      </c>
    </row>
    <row r="19" spans="1:18" x14ac:dyDescent="0.35">
      <c r="A19" s="70">
        <f t="shared" si="0"/>
        <v>2013</v>
      </c>
      <c r="B19" s="80">
        <v>19885.599999999999</v>
      </c>
      <c r="C19" s="90">
        <f>(B19*'GWP (SAR)'!$D$4)/1000</f>
        <v>417.5976</v>
      </c>
      <c r="E19" s="70">
        <f t="shared" si="1"/>
        <v>2013</v>
      </c>
      <c r="F19" s="134">
        <f>'AD Mauritius'!G58*EFs!$D$11/1000</f>
        <v>77.028000000000006</v>
      </c>
      <c r="G19" s="134">
        <f>'AD Mauritius'!G58*EFs!$F$11/1000</f>
        <v>4.6216799999999996</v>
      </c>
      <c r="H19" s="90">
        <f>((F19*'GWP (SAR)'!$D$4)+('EE RoM'!G19*'GWP (SAR)'!$D$5))/1000</f>
        <v>3.0503087999999998</v>
      </c>
      <c r="I19" s="215"/>
      <c r="J19" s="70">
        <f t="shared" si="2"/>
        <v>2013</v>
      </c>
      <c r="K19" s="134">
        <f>'AD Mauritius'!H58*(EFs!$C$18/100)*(EFs!$C$19/100)*(EFs!$C$20/100)*(44/12)</f>
        <v>587.65519999999992</v>
      </c>
      <c r="L19" s="90">
        <f t="shared" si="3"/>
        <v>0.58765519999999993</v>
      </c>
      <c r="M19" s="214"/>
      <c r="N19" s="70">
        <f t="shared" si="4"/>
        <v>2013</v>
      </c>
      <c r="O19" s="80">
        <f t="shared" si="5"/>
        <v>587.65519999999992</v>
      </c>
      <c r="P19" s="80">
        <f t="shared" si="6"/>
        <v>19962.627999999997</v>
      </c>
      <c r="Q19" s="80">
        <f t="shared" si="7"/>
        <v>4.6216799999999996</v>
      </c>
      <c r="R19" s="80">
        <f t="shared" si="8"/>
        <v>421.23556399999995</v>
      </c>
    </row>
    <row r="20" spans="1:18" x14ac:dyDescent="0.35">
      <c r="A20" s="70">
        <f t="shared" si="0"/>
        <v>2014</v>
      </c>
      <c r="B20" s="80">
        <v>19917.8</v>
      </c>
      <c r="C20" s="90">
        <f>(B20*'GWP (SAR)'!$D$4)/1000</f>
        <v>418.27379999999999</v>
      </c>
      <c r="E20" s="70">
        <f t="shared" si="1"/>
        <v>2014</v>
      </c>
      <c r="F20" s="134">
        <f>'AD Mauritius'!G59*EFs!$D$11/1000</f>
        <v>164.12799999999999</v>
      </c>
      <c r="G20" s="134">
        <f>'AD Mauritius'!G59*EFs!$F$11/1000</f>
        <v>9.8476800000000004</v>
      </c>
      <c r="H20" s="90">
        <f>((F20*'GWP (SAR)'!$D$4)+('EE RoM'!G20*'GWP (SAR)'!$D$5))/1000</f>
        <v>6.4994687999999998</v>
      </c>
      <c r="I20" s="215"/>
      <c r="J20" s="70">
        <f t="shared" si="2"/>
        <v>2014</v>
      </c>
      <c r="K20" s="134">
        <f>'AD Mauritius'!H59*(EFs!$C$18/100)*(EFs!$C$19/100)*(EFs!$C$20/100)*(44/12)</f>
        <v>663.42759999999998</v>
      </c>
      <c r="L20" s="90">
        <f t="shared" si="3"/>
        <v>0.66342760000000001</v>
      </c>
      <c r="M20" s="214"/>
      <c r="N20" s="70">
        <f t="shared" si="4"/>
        <v>2014</v>
      </c>
      <c r="O20" s="80">
        <f t="shared" si="5"/>
        <v>663.42759999999998</v>
      </c>
      <c r="P20" s="80">
        <f t="shared" si="6"/>
        <v>20081.928</v>
      </c>
      <c r="Q20" s="80">
        <f t="shared" si="7"/>
        <v>9.8476800000000004</v>
      </c>
      <c r="R20" s="80">
        <f t="shared" si="8"/>
        <v>425.43669639999996</v>
      </c>
    </row>
    <row r="21" spans="1:18" x14ac:dyDescent="0.35">
      <c r="A21" s="70">
        <f t="shared" si="0"/>
        <v>2015</v>
      </c>
      <c r="B21" s="80">
        <v>19219.28</v>
      </c>
      <c r="C21" s="90">
        <f>(B21*'GWP (SAR)'!$D$4)/1000</f>
        <v>403.60487999999998</v>
      </c>
      <c r="E21" s="70">
        <f t="shared" si="1"/>
        <v>2015</v>
      </c>
      <c r="F21" s="134">
        <f>'AD Mauritius'!G60*EFs!$D$11/1000</f>
        <v>151.916</v>
      </c>
      <c r="G21" s="134">
        <f>'AD Mauritius'!G60*EFs!$F$11/1000</f>
        <v>9.11496</v>
      </c>
      <c r="H21" s="90">
        <f>((F21*'GWP (SAR)'!$D$4)+('EE RoM'!G21*'GWP (SAR)'!$D$5))/1000</f>
        <v>6.0158735999999999</v>
      </c>
      <c r="I21" s="215"/>
      <c r="J21" s="70">
        <f t="shared" si="2"/>
        <v>2015</v>
      </c>
      <c r="K21" s="134">
        <f>'AD Mauritius'!H60*(EFs!$C$18/100)*(EFs!$C$19/100)*(EFs!$C$20/100)*(44/12)</f>
        <v>739.2</v>
      </c>
      <c r="L21" s="90">
        <f t="shared" si="3"/>
        <v>0.73920000000000008</v>
      </c>
      <c r="M21" s="214"/>
      <c r="N21" s="70">
        <f t="shared" si="4"/>
        <v>2015</v>
      </c>
      <c r="O21" s="80">
        <f t="shared" si="5"/>
        <v>739.2</v>
      </c>
      <c r="P21" s="80">
        <f t="shared" si="6"/>
        <v>19371.196</v>
      </c>
      <c r="Q21" s="80">
        <f t="shared" si="7"/>
        <v>9.11496</v>
      </c>
      <c r="R21" s="80">
        <f t="shared" si="8"/>
        <v>410.35995359999998</v>
      </c>
    </row>
    <row r="22" spans="1:18" x14ac:dyDescent="0.35">
      <c r="A22" s="70">
        <f t="shared" si="0"/>
        <v>2016</v>
      </c>
      <c r="B22" s="80">
        <v>19255.939999999999</v>
      </c>
      <c r="C22" s="90">
        <f>(B22*'GWP (SAR)'!$D$4)/1000</f>
        <v>404.37473999999997</v>
      </c>
      <c r="D22" s="181"/>
      <c r="E22" s="70">
        <f t="shared" si="1"/>
        <v>2016</v>
      </c>
      <c r="F22" s="134">
        <f>'AD Mauritius'!G61*EFs!$D$11/1000</f>
        <v>153.232</v>
      </c>
      <c r="G22" s="134">
        <f>'AD Mauritius'!G61*EFs!$F$11/1000</f>
        <v>9.1939200000000003</v>
      </c>
      <c r="H22" s="90">
        <f>((F22*'GWP (SAR)'!$D$4)+('EE RoM'!G22*'GWP (SAR)'!$D$5))/1000</f>
        <v>6.0679871999999992</v>
      </c>
      <c r="I22" s="215"/>
      <c r="J22" s="70">
        <f t="shared" si="2"/>
        <v>2016</v>
      </c>
      <c r="K22" s="134">
        <f>'AD Mauritius'!H61*(EFs!$C$18/100)*(EFs!$C$19/100)*(EFs!$C$20/100)*(44/12)</f>
        <v>739.53306489997635</v>
      </c>
      <c r="L22" s="90">
        <f t="shared" si="3"/>
        <v>0.73953306489997639</v>
      </c>
      <c r="M22" s="217"/>
      <c r="N22" s="70">
        <f t="shared" si="4"/>
        <v>2016</v>
      </c>
      <c r="O22" s="80">
        <f t="shared" si="5"/>
        <v>739.53306489997635</v>
      </c>
      <c r="P22" s="80">
        <f t="shared" si="6"/>
        <v>19409.171999999999</v>
      </c>
      <c r="Q22" s="80">
        <f t="shared" si="7"/>
        <v>9.1939200000000003</v>
      </c>
      <c r="R22" s="80">
        <f t="shared" si="8"/>
        <v>411.18226026489998</v>
      </c>
    </row>
    <row r="23" spans="1:18" x14ac:dyDescent="0.35">
      <c r="A23" s="86"/>
      <c r="C23" s="106"/>
      <c r="I23" s="177"/>
    </row>
    <row r="24" spans="1:18" x14ac:dyDescent="0.35">
      <c r="A24" s="99"/>
      <c r="B24" s="87"/>
      <c r="C24" s="87"/>
      <c r="D24" s="87"/>
    </row>
    <row r="25" spans="1:18" x14ac:dyDescent="0.35">
      <c r="A25" s="86"/>
    </row>
    <row r="27" spans="1:18" ht="46" x14ac:dyDescent="1">
      <c r="A27" s="220" t="s">
        <v>287</v>
      </c>
      <c r="B27" s="220"/>
      <c r="C27" s="220"/>
      <c r="D27" s="220"/>
      <c r="E27" s="220"/>
      <c r="F27" s="220"/>
      <c r="G27" s="220"/>
      <c r="H27" s="220"/>
      <c r="I27" s="220"/>
      <c r="J27" s="220"/>
      <c r="K27" s="220"/>
      <c r="L27" s="220"/>
      <c r="M27" s="116"/>
      <c r="N27" s="116"/>
      <c r="O27" s="116"/>
      <c r="P27" s="116"/>
      <c r="Q27" s="116"/>
      <c r="R27" s="116"/>
    </row>
    <row r="29" spans="1:18" ht="43.5" x14ac:dyDescent="0.35">
      <c r="A29" s="67" t="s">
        <v>0</v>
      </c>
      <c r="B29" s="68" t="s">
        <v>388</v>
      </c>
      <c r="C29" s="68" t="s">
        <v>389</v>
      </c>
      <c r="D29" s="68" t="s">
        <v>412</v>
      </c>
      <c r="G29" s="68" t="s">
        <v>396</v>
      </c>
      <c r="J29" s="67" t="s">
        <v>0</v>
      </c>
      <c r="K29" s="68" t="s">
        <v>404</v>
      </c>
      <c r="L29" s="68" t="s">
        <v>405</v>
      </c>
    </row>
    <row r="30" spans="1:18" x14ac:dyDescent="0.35">
      <c r="A30" s="88">
        <v>2000</v>
      </c>
      <c r="B30" s="80">
        <f>'AD Total'!X69-'AD Total'!Y69</f>
        <v>5281.3624576564507</v>
      </c>
      <c r="C30" s="90">
        <f>((('AD Total'!B69*'AD Total'!C69*EFs!$B$59*EFs!$C$59*EFs!$D$59)-EFs!$E$59)*EFs!$F$59*EFs!$G$59)/1000</f>
        <v>59.145915586811434</v>
      </c>
      <c r="D30" s="134">
        <f>((B30*'GWP (SAR)'!$D$4)+('EE RoM'!C30*'GWP (SAR)'!$D$5))/1000</f>
        <v>129.24384544269699</v>
      </c>
      <c r="E30" s="196"/>
      <c r="F30" s="106"/>
      <c r="G30" s="180">
        <f>'AD Total'!X69*1000/('AD Total'!B69*'AD Total'!D69)</f>
        <v>0.32772403689900848</v>
      </c>
      <c r="J30" s="88">
        <v>2000</v>
      </c>
      <c r="K30" s="80">
        <f>'AD Total'!W93-'AD Total'!X93</f>
        <v>0</v>
      </c>
      <c r="L30" s="80">
        <f>K30*'GWP (SAR)'!$D$4</f>
        <v>0</v>
      </c>
    </row>
    <row r="31" spans="1:18" x14ac:dyDescent="0.35">
      <c r="A31" s="88">
        <f t="shared" ref="A31:A46" si="9">A30+1</f>
        <v>2001</v>
      </c>
      <c r="B31" s="80">
        <f>'AD Total'!X70-'AD Total'!Y70</f>
        <v>5295.2827945094377</v>
      </c>
      <c r="C31" s="90">
        <f>((('AD Total'!B70*'AD Total'!C70*EFs!$B$59*EFs!$C$59*EFs!$D$59)-EFs!$E$59)*EFs!$F$59*EFs!$G$59)/1000</f>
        <v>60.286644854275728</v>
      </c>
      <c r="D31" s="134">
        <f>((B31*'GWP (SAR)'!$D$4)+('EE RoM'!C31*'GWP (SAR)'!$D$5))/1000</f>
        <v>129.88979858952368</v>
      </c>
      <c r="E31" s="196"/>
      <c r="F31" s="106"/>
      <c r="G31" s="180">
        <f>'AD Total'!X70*1000/('AD Total'!B70*'AD Total'!D70)</f>
        <v>0.32770491568407956</v>
      </c>
      <c r="J31" s="88">
        <f t="shared" ref="J31:J46" si="10">J30+1</f>
        <v>2001</v>
      </c>
      <c r="K31" s="80">
        <f>'AD Total'!W94-'AD Total'!X94</f>
        <v>0</v>
      </c>
      <c r="L31" s="80">
        <f>K31*'GWP (SAR)'!$D$4</f>
        <v>0</v>
      </c>
    </row>
    <row r="32" spans="1:18" x14ac:dyDescent="0.35">
      <c r="A32" s="88">
        <f t="shared" si="9"/>
        <v>2002</v>
      </c>
      <c r="B32" s="80">
        <f>'AD Total'!X71-'AD Total'!Y71</f>
        <v>5332.009658277314</v>
      </c>
      <c r="C32" s="90">
        <f>((('AD Total'!B71*'AD Total'!C71*EFs!$B$59*EFs!$C$59*EFs!$D$59)-EFs!$E$59)*EFs!$F$59*EFs!$G$59)/1000</f>
        <v>62.30295395355428</v>
      </c>
      <c r="D32" s="134">
        <f>((B32*'GWP (SAR)'!$D$4)+('EE RoM'!C32*'GWP (SAR)'!$D$5))/1000</f>
        <v>131.28611854942542</v>
      </c>
      <c r="E32" s="196"/>
      <c r="F32" s="106"/>
      <c r="G32" s="180">
        <f>'AD Total'!X71*1000/('AD Total'!B71*'AD Total'!D71)</f>
        <v>0.32769502279640306</v>
      </c>
      <c r="J32" s="88">
        <f t="shared" si="10"/>
        <v>2002</v>
      </c>
      <c r="K32" s="80">
        <f>'AD Total'!W95-'AD Total'!X95</f>
        <v>0</v>
      </c>
      <c r="L32" s="80">
        <f>K32*'GWP (SAR)'!$D$4</f>
        <v>0</v>
      </c>
    </row>
    <row r="33" spans="1:12" x14ac:dyDescent="0.35">
      <c r="A33" s="88">
        <f t="shared" si="9"/>
        <v>2003</v>
      </c>
      <c r="B33" s="80">
        <f>'AD Total'!X72-'AD Total'!Y72</f>
        <v>5370.5826216331125</v>
      </c>
      <c r="C33" s="90">
        <f>((('AD Total'!B72*'AD Total'!C72*EFs!$B$59*EFs!$C$59*EFs!$D$59)-EFs!$E$59)*EFs!$F$59*EFs!$G$59)/1000</f>
        <v>63.620594374755008</v>
      </c>
      <c r="D33" s="134">
        <f>((B33*'GWP (SAR)'!$D$4)+('EE RoM'!C33*'GWP (SAR)'!$D$5))/1000</f>
        <v>132.50461931046942</v>
      </c>
      <c r="E33" s="196"/>
      <c r="F33" s="106"/>
      <c r="G33" s="180">
        <f>'AD Total'!X72*1000/('AD Total'!B72*'AD Total'!D72)</f>
        <v>0.32768611934377834</v>
      </c>
      <c r="J33" s="88">
        <f t="shared" si="10"/>
        <v>2003</v>
      </c>
      <c r="K33" s="80">
        <f>'AD Total'!W96-'AD Total'!X96</f>
        <v>0</v>
      </c>
      <c r="L33" s="80">
        <f>K33*'GWP (SAR)'!$D$4</f>
        <v>0</v>
      </c>
    </row>
    <row r="34" spans="1:12" x14ac:dyDescent="0.35">
      <c r="A34" s="88">
        <f t="shared" si="9"/>
        <v>2004</v>
      </c>
      <c r="B34" s="80">
        <f>'AD Total'!X73-'AD Total'!Y73</f>
        <v>5404.182366412886</v>
      </c>
      <c r="C34" s="90">
        <f>((('AD Total'!B73*'AD Total'!C73*EFs!$B$59*EFs!$C$59*EFs!$D$59)-EFs!$E$59)*EFs!$F$59*EFs!$G$59)/1000</f>
        <v>65.754367969934279</v>
      </c>
      <c r="D34" s="134">
        <f>((B34*'GWP (SAR)'!$D$4)+('EE RoM'!C34*'GWP (SAR)'!$D$5))/1000</f>
        <v>133.87168376535024</v>
      </c>
      <c r="E34" s="196"/>
      <c r="F34" s="106"/>
      <c r="G34" s="180">
        <f>'AD Total'!X73*1000/('AD Total'!B73*'AD Total'!D73)</f>
        <v>0.32767524522369834</v>
      </c>
      <c r="J34" s="88">
        <f t="shared" si="10"/>
        <v>2004</v>
      </c>
      <c r="K34" s="80">
        <f>'AD Total'!W97-'AD Total'!X97</f>
        <v>0</v>
      </c>
      <c r="L34" s="80">
        <f>K34*'GWP (SAR)'!$D$4</f>
        <v>0</v>
      </c>
    </row>
    <row r="35" spans="1:12" x14ac:dyDescent="0.35">
      <c r="A35" s="88">
        <f t="shared" si="9"/>
        <v>2005</v>
      </c>
      <c r="B35" s="80">
        <f>'AD Total'!X74-'AD Total'!Y74</f>
        <v>5436.0874675101431</v>
      </c>
      <c r="C35" s="90">
        <f>((('AD Total'!B74*'AD Total'!C74*EFs!$B$59*EFs!$C$59*EFs!$D$59)-EFs!$E$59)*EFs!$F$59*EFs!$G$59)/1000</f>
        <v>65.083041818119284</v>
      </c>
      <c r="D35" s="134">
        <f>((B35*'GWP (SAR)'!$D$4)+('EE RoM'!C35*'GWP (SAR)'!$D$5))/1000</f>
        <v>134.33357978132997</v>
      </c>
      <c r="E35" s="196"/>
      <c r="F35" s="106"/>
      <c r="G35" s="180">
        <f>'AD Total'!X74*1000/('AD Total'!B74*'AD Total'!D74)</f>
        <v>0.32766371644927084</v>
      </c>
      <c r="J35" s="88">
        <f t="shared" si="10"/>
        <v>2005</v>
      </c>
      <c r="K35" s="80">
        <f>'AD Total'!W98-'AD Total'!X98</f>
        <v>0</v>
      </c>
      <c r="L35" s="80">
        <f>K35*'GWP (SAR)'!$D$4</f>
        <v>0</v>
      </c>
    </row>
    <row r="36" spans="1:12" x14ac:dyDescent="0.35">
      <c r="A36" s="88">
        <f t="shared" si="9"/>
        <v>2006</v>
      </c>
      <c r="B36" s="80">
        <f>'AD Total'!X75-'AD Total'!Y75</f>
        <v>5106.8807808168058</v>
      </c>
      <c r="C36" s="90">
        <f>((('AD Total'!B75*'AD Total'!C75*EFs!$B$59*EFs!$C$59*EFs!$D$59)-EFs!$E$59)*EFs!$F$59*EFs!$G$59)/1000</f>
        <v>64.74082363095286</v>
      </c>
      <c r="D36" s="134">
        <f>((B36*'GWP (SAR)'!$D$4)+('EE RoM'!C36*'GWP (SAR)'!$D$5))/1000</f>
        <v>127.31415172274831</v>
      </c>
      <c r="E36" s="196"/>
      <c r="F36" s="106"/>
      <c r="G36" s="180">
        <f>'AD Total'!X75*1000/('AD Total'!B75*'AD Total'!D75)</f>
        <v>0.32764963242508927</v>
      </c>
      <c r="J36" s="88">
        <f t="shared" si="10"/>
        <v>2006</v>
      </c>
      <c r="K36" s="80">
        <f>'AD Total'!W99-'AD Total'!X99</f>
        <v>0</v>
      </c>
      <c r="L36" s="80">
        <f>K36*'GWP (SAR)'!$D$4</f>
        <v>0</v>
      </c>
    </row>
    <row r="37" spans="1:12" x14ac:dyDescent="0.35">
      <c r="A37" s="88">
        <f t="shared" si="9"/>
        <v>2007</v>
      </c>
      <c r="B37" s="80">
        <f>'AD Total'!X76-'AD Total'!Y76</f>
        <v>5114.2965830849234</v>
      </c>
      <c r="C37" s="90">
        <f>((('AD Total'!B76*'AD Total'!C76*EFs!$B$59*EFs!$C$59*EFs!$D$59)-EFs!$E$59)*EFs!$F$59*EFs!$G$59)/1000</f>
        <v>67.828993828616433</v>
      </c>
      <c r="D37" s="134">
        <f>((B37*'GWP (SAR)'!$D$4)+('EE RoM'!C37*'GWP (SAR)'!$D$5))/1000</f>
        <v>128.42721633165448</v>
      </c>
      <c r="E37" s="196"/>
      <c r="F37" s="106"/>
      <c r="G37" s="180">
        <f>'AD Total'!X76*1000/('AD Total'!B76*'AD Total'!D76)</f>
        <v>0.32660364127090369</v>
      </c>
      <c r="J37" s="88">
        <f t="shared" si="10"/>
        <v>2007</v>
      </c>
      <c r="K37" s="80">
        <f>'AD Total'!W100-'AD Total'!X100</f>
        <v>0</v>
      </c>
      <c r="L37" s="80">
        <f>K37*'GWP (SAR)'!$D$4</f>
        <v>0</v>
      </c>
    </row>
    <row r="38" spans="1:12" x14ac:dyDescent="0.35">
      <c r="A38" s="88">
        <f t="shared" si="9"/>
        <v>2008</v>
      </c>
      <c r="B38" s="80">
        <f>'AD Total'!X77-'AD Total'!Y77</f>
        <v>5115.5961091946983</v>
      </c>
      <c r="C38" s="90">
        <f>((('AD Total'!B77*'AD Total'!C77*EFs!$B$59*EFs!$C$59*EFs!$D$59)-EFs!$E$59)*EFs!$F$59*EFs!$G$59)/1000</f>
        <v>66.370999687315731</v>
      </c>
      <c r="D38" s="134">
        <f>((B38*'GWP (SAR)'!$D$4)+('EE RoM'!C38*'GWP (SAR)'!$D$5))/1000</f>
        <v>128.00252819615656</v>
      </c>
      <c r="E38" s="196"/>
      <c r="F38" s="106"/>
      <c r="G38" s="180">
        <f>'AD Total'!X77*1000/('AD Total'!B77*'AD Total'!D77)</f>
        <v>0.32550246739105665</v>
      </c>
      <c r="J38" s="88">
        <f t="shared" si="10"/>
        <v>2008</v>
      </c>
      <c r="K38" s="80">
        <f>'AD Total'!W101-'AD Total'!X101</f>
        <v>0</v>
      </c>
      <c r="L38" s="80">
        <f>K38*'GWP (SAR)'!$D$4</f>
        <v>0</v>
      </c>
    </row>
    <row r="39" spans="1:12" x14ac:dyDescent="0.35">
      <c r="A39" s="88">
        <f t="shared" si="9"/>
        <v>2009</v>
      </c>
      <c r="B39" s="80">
        <f>'AD Total'!X78-'AD Total'!Y78</f>
        <v>5111.9930902333563</v>
      </c>
      <c r="C39" s="90">
        <f>((('AD Total'!B78*'AD Total'!C78*EFs!$B$59*EFs!$C$59*EFs!$D$59)-EFs!$E$59)*EFs!$F$59*EFs!$G$59)/1000</f>
        <v>70.625046974742858</v>
      </c>
      <c r="D39" s="134">
        <f>((B39*'GWP (SAR)'!$D$4)+('EE RoM'!C39*'GWP (SAR)'!$D$5))/1000</f>
        <v>129.24561945707075</v>
      </c>
      <c r="E39" s="196"/>
      <c r="F39" s="106"/>
      <c r="G39" s="180">
        <f>'AD Total'!X78*1000/('AD Total'!B78*'AD Total'!D78)</f>
        <v>0.32442533043939609</v>
      </c>
      <c r="J39" s="88">
        <f t="shared" si="10"/>
        <v>2009</v>
      </c>
      <c r="K39" s="80">
        <f>'AD Total'!W102-'AD Total'!X102</f>
        <v>0</v>
      </c>
      <c r="L39" s="80">
        <f>K39*'GWP (SAR)'!$D$4</f>
        <v>0</v>
      </c>
    </row>
    <row r="40" spans="1:12" x14ac:dyDescent="0.35">
      <c r="A40" s="88">
        <f t="shared" si="9"/>
        <v>2010</v>
      </c>
      <c r="B40" s="80">
        <f>'AD Total'!X79-'AD Total'!Y79</f>
        <v>5075.4435423631985</v>
      </c>
      <c r="C40" s="90">
        <f>((('AD Total'!B79*'AD Total'!C79*EFs!$B$59*EFs!$C$59*EFs!$D$59)-EFs!$E$59)*EFs!$F$59*EFs!$G$59)/1000</f>
        <v>71.06155864198287</v>
      </c>
      <c r="D40" s="134">
        <f>((B40*'GWP (SAR)'!$D$4)+('EE RoM'!C40*'GWP (SAR)'!$D$5))/1000</f>
        <v>128.61339756864186</v>
      </c>
      <c r="E40" s="196"/>
      <c r="F40" s="106"/>
      <c r="G40" s="180">
        <f>'AD Total'!X79*1000/('AD Total'!B79*'AD Total'!D79)</f>
        <v>0.32402970262446351</v>
      </c>
      <c r="J40" s="88">
        <f t="shared" si="10"/>
        <v>2010</v>
      </c>
      <c r="K40" s="80">
        <f>'AD Total'!W103-'AD Total'!X103</f>
        <v>0</v>
      </c>
      <c r="L40" s="80">
        <f>K40*'GWP (SAR)'!$D$4</f>
        <v>0</v>
      </c>
    </row>
    <row r="41" spans="1:12" x14ac:dyDescent="0.35">
      <c r="A41" s="88">
        <f t="shared" si="9"/>
        <v>2011</v>
      </c>
      <c r="B41" s="80">
        <f>'AD Total'!X80-'AD Total'!Y80</f>
        <v>5464.8696873562612</v>
      </c>
      <c r="C41" s="90">
        <f>((('AD Total'!B80*'AD Total'!C80*EFs!$B$59*EFs!$C$59*EFs!$D$59)-EFs!$E$59)*EFs!$F$59*EFs!$G$59)/1000</f>
        <v>70.362363138547877</v>
      </c>
      <c r="D41" s="134">
        <f>((B41*'GWP (SAR)'!$D$4)+('EE RoM'!C41*'GWP (SAR)'!$D$5))/1000</f>
        <v>136.57459600743132</v>
      </c>
      <c r="E41" s="196"/>
      <c r="F41" s="106"/>
      <c r="G41" s="180">
        <f>'AD Total'!X80*1000/('AD Total'!B80*'AD Total'!D80)</f>
        <v>0.3464088767215634</v>
      </c>
      <c r="J41" s="88">
        <f t="shared" si="10"/>
        <v>2011</v>
      </c>
      <c r="K41" s="80">
        <f>'AD Total'!W104-'AD Total'!X104</f>
        <v>0</v>
      </c>
      <c r="L41" s="80">
        <f>K41*'GWP (SAR)'!$D$4</f>
        <v>0</v>
      </c>
    </row>
    <row r="42" spans="1:12" x14ac:dyDescent="0.35">
      <c r="A42" s="88">
        <f t="shared" si="9"/>
        <v>2012</v>
      </c>
      <c r="B42" s="80">
        <f>'AD Total'!X81-'AD Total'!Y81</f>
        <v>5334.6527531257234</v>
      </c>
      <c r="C42" s="90">
        <f>((('AD Total'!B81*'AD Total'!C81*EFs!$B$59*EFs!$C$59*EFs!$D$59)-EFs!$E$59)*EFs!$F$59*EFs!$G$59)/1000</f>
        <v>69.651985713278577</v>
      </c>
      <c r="D42" s="134">
        <f>((B42*'GWP (SAR)'!$D$4)+('EE RoM'!C42*'GWP (SAR)'!$D$5))/1000</f>
        <v>133.61982338675656</v>
      </c>
      <c r="E42" s="196"/>
      <c r="F42" s="106"/>
      <c r="G42" s="180">
        <f>'AD Total'!X81*1000/('AD Total'!B81*'AD Total'!D81)</f>
        <v>0.34165824208223011</v>
      </c>
      <c r="J42" s="88">
        <f t="shared" si="10"/>
        <v>2012</v>
      </c>
      <c r="K42" s="80">
        <f>'AD Total'!W105-'AD Total'!X105</f>
        <v>0</v>
      </c>
      <c r="L42" s="80">
        <f>K42*'GWP (SAR)'!$D$4</f>
        <v>0</v>
      </c>
    </row>
    <row r="43" spans="1:12" x14ac:dyDescent="0.35">
      <c r="A43" s="88">
        <f t="shared" si="9"/>
        <v>2013</v>
      </c>
      <c r="B43" s="80">
        <f>'AD Total'!X82-'AD Total'!Y82</f>
        <v>5238.6414699261077</v>
      </c>
      <c r="C43" s="90">
        <f>((('AD Total'!B82*'AD Total'!C82*EFs!$B$59*EFs!$C$59*EFs!$D$59)-EFs!$E$59)*EFs!$F$59*EFs!$G$59)/1000</f>
        <v>70.179159279900006</v>
      </c>
      <c r="D43" s="134">
        <f>((B43*'GWP (SAR)'!$D$4)+('EE RoM'!C43*'GWP (SAR)'!$D$5))/1000</f>
        <v>131.76701024521728</v>
      </c>
      <c r="E43" s="196"/>
      <c r="F43" s="106"/>
      <c r="G43" s="180">
        <f>'AD Total'!X82*1000/('AD Total'!B82*'AD Total'!D82)</f>
        <v>0.33691441462697075</v>
      </c>
      <c r="J43" s="88">
        <f t="shared" si="10"/>
        <v>2013</v>
      </c>
      <c r="K43" s="80">
        <f>'AD Total'!W106-'AD Total'!X106</f>
        <v>0</v>
      </c>
      <c r="L43" s="80">
        <f>K43*'GWP (SAR)'!$D$4</f>
        <v>0</v>
      </c>
    </row>
    <row r="44" spans="1:12" x14ac:dyDescent="0.35">
      <c r="A44" s="88">
        <f t="shared" si="9"/>
        <v>2014</v>
      </c>
      <c r="B44" s="80">
        <f>'AD Total'!X83-'AD Total'!Y83</f>
        <v>5173.669502929235</v>
      </c>
      <c r="C44" s="90">
        <f>((('AD Total'!B83*'AD Total'!C83*EFs!$B$59*EFs!$C$59*EFs!$D$59)-EFs!$E$59)*EFs!$F$59*EFs!$G$59)/1000</f>
        <v>68.209734350269315</v>
      </c>
      <c r="D44" s="134">
        <f>((B44*'GWP (SAR)'!$D$4)+('EE RoM'!C44*'GWP (SAR)'!$D$5))/1000</f>
        <v>129.79207721009743</v>
      </c>
      <c r="E44" s="196"/>
      <c r="F44" s="106"/>
      <c r="G44" s="180">
        <f>'AD Total'!X83*1000/('AD Total'!B83*'AD Total'!D83)</f>
        <v>0.33213747587355408</v>
      </c>
      <c r="J44" s="88">
        <f t="shared" si="10"/>
        <v>2014</v>
      </c>
      <c r="K44" s="80">
        <f>'AD Total'!W107-'AD Total'!X107</f>
        <v>0</v>
      </c>
      <c r="L44" s="80">
        <f>K44*'GWP (SAR)'!$D$4</f>
        <v>0</v>
      </c>
    </row>
    <row r="45" spans="1:12" x14ac:dyDescent="0.35">
      <c r="A45" s="88">
        <f t="shared" si="9"/>
        <v>2015</v>
      </c>
      <c r="B45" s="80">
        <f>'AD Total'!X84-'AD Total'!Y84</f>
        <v>5133.8324709985463</v>
      </c>
      <c r="C45" s="90">
        <f>((('AD Total'!B84*'AD Total'!C84*EFs!$B$59*EFs!$C$59*EFs!$D$59)-EFs!$E$59)*EFs!$F$59*EFs!$G$59)/1000</f>
        <v>69.024940595537146</v>
      </c>
      <c r="D45" s="134">
        <f>((B45*'GWP (SAR)'!$D$4)+('EE RoM'!C45*'GWP (SAR)'!$D$5))/1000</f>
        <v>129.20821347558598</v>
      </c>
      <c r="E45" s="196"/>
      <c r="F45" s="106"/>
      <c r="G45" s="180">
        <f>'AD Total'!X84*1000/('AD Total'!B84*'AD Total'!D84)</f>
        <v>0.32913299310044641</v>
      </c>
      <c r="J45" s="88">
        <f t="shared" si="10"/>
        <v>2015</v>
      </c>
      <c r="K45" s="80">
        <f>'AD Total'!W108-'AD Total'!X108</f>
        <v>0</v>
      </c>
      <c r="L45" s="80">
        <f>K45*'GWP (SAR)'!$D$4</f>
        <v>0</v>
      </c>
    </row>
    <row r="46" spans="1:12" x14ac:dyDescent="0.35">
      <c r="A46" s="88">
        <f t="shared" si="9"/>
        <v>2016</v>
      </c>
      <c r="B46" s="80">
        <f>'AD Total'!X85-'AD Total'!Y85</f>
        <v>5049.8667071240061</v>
      </c>
      <c r="C46" s="90">
        <f>((('AD Total'!B85*'AD Total'!C85*EFs!$B$59*EFs!$C$59*EFs!$D$59)-EFs!$E$59)*EFs!$F$59*EFs!$G$59)/1000</f>
        <v>69.551830130734288</v>
      </c>
      <c r="D46" s="134">
        <f>((B46*'GWP (SAR)'!$D$4)+('EE RoM'!C46*'GWP (SAR)'!$D$5))/1000</f>
        <v>127.60826819013175</v>
      </c>
      <c r="E46" s="196"/>
      <c r="F46" s="106"/>
      <c r="G46" s="180">
        <f>'AD Total'!X85*1000/('AD Total'!B85*'AD Total'!D85)</f>
        <v>0.3235021543684693</v>
      </c>
      <c r="H46" s="181"/>
      <c r="J46" s="88">
        <f t="shared" si="10"/>
        <v>2016</v>
      </c>
      <c r="K46" s="80">
        <f>'AD Total'!W109-'AD Total'!X109</f>
        <v>0</v>
      </c>
      <c r="L46" s="80">
        <f>K46*'GWP (SAR)'!$D$4</f>
        <v>0</v>
      </c>
    </row>
    <row r="47" spans="1:12" x14ac:dyDescent="0.35">
      <c r="A47" s="86"/>
    </row>
    <row r="48" spans="1:12" x14ac:dyDescent="0.35">
      <c r="A48" s="86"/>
    </row>
    <row r="49" spans="1:18" x14ac:dyDescent="0.35">
      <c r="A49" s="100"/>
    </row>
    <row r="51" spans="1:18" ht="46" x14ac:dyDescent="1">
      <c r="A51" s="220" t="s">
        <v>288</v>
      </c>
      <c r="B51" s="220"/>
      <c r="C51" s="220"/>
      <c r="D51" s="220"/>
      <c r="E51" s="220"/>
      <c r="F51" s="220"/>
      <c r="G51" s="220"/>
      <c r="H51" s="220"/>
      <c r="I51" s="220"/>
      <c r="J51" s="220"/>
      <c r="K51" s="220"/>
      <c r="L51" s="220"/>
      <c r="M51" s="220"/>
      <c r="N51" s="220"/>
      <c r="O51" s="220"/>
      <c r="P51" s="220"/>
      <c r="Q51" s="220"/>
      <c r="R51" s="220"/>
    </row>
    <row r="53" spans="1:18" x14ac:dyDescent="0.35">
      <c r="A53" s="242" t="s">
        <v>349</v>
      </c>
      <c r="B53" s="242"/>
      <c r="C53" s="242"/>
      <c r="D53" s="242"/>
      <c r="F53" s="242" t="s">
        <v>350</v>
      </c>
      <c r="G53" s="242"/>
      <c r="H53" s="242"/>
      <c r="I53" s="242"/>
      <c r="K53" s="242" t="s">
        <v>351</v>
      </c>
      <c r="L53" s="242"/>
      <c r="M53" s="242"/>
      <c r="N53" s="242"/>
      <c r="P53" s="242" t="s">
        <v>345</v>
      </c>
      <c r="Q53" s="242"/>
      <c r="R53" s="242"/>
    </row>
    <row r="54" spans="1:18" x14ac:dyDescent="0.35">
      <c r="I54" s="177"/>
      <c r="K54" s="177"/>
      <c r="L54" s="177"/>
      <c r="M54" s="177"/>
      <c r="N54" s="177"/>
      <c r="P54" s="177"/>
      <c r="Q54" s="177"/>
      <c r="R54" s="177"/>
    </row>
    <row r="55" spans="1:18" ht="43.5" x14ac:dyDescent="0.35">
      <c r="A55" s="67" t="s">
        <v>0</v>
      </c>
      <c r="B55" s="68" t="s">
        <v>388</v>
      </c>
      <c r="C55" s="68" t="s">
        <v>412</v>
      </c>
      <c r="D55" s="68" t="s">
        <v>393</v>
      </c>
      <c r="F55" s="67" t="s">
        <v>0</v>
      </c>
      <c r="G55" s="68" t="s">
        <v>388</v>
      </c>
      <c r="H55" s="68" t="s">
        <v>412</v>
      </c>
      <c r="I55" s="68" t="s">
        <v>393</v>
      </c>
      <c r="K55" s="67" t="s">
        <v>0</v>
      </c>
      <c r="L55" s="68" t="s">
        <v>388</v>
      </c>
      <c r="M55" s="68" t="s">
        <v>412</v>
      </c>
      <c r="N55" s="68" t="s">
        <v>393</v>
      </c>
      <c r="P55" s="67" t="s">
        <v>0</v>
      </c>
      <c r="Q55" s="68" t="s">
        <v>388</v>
      </c>
      <c r="R55" s="68" t="s">
        <v>412</v>
      </c>
    </row>
    <row r="56" spans="1:18" x14ac:dyDescent="0.35">
      <c r="A56" s="88">
        <v>2000</v>
      </c>
      <c r="B56" s="80">
        <f>(('AD Total'!D117*'AD Total'!E117*('AD Total'!I117/100)*EFs!$E$49)+('AD Total'!D117*'AD Total'!E117*('AD Total'!K117/100)*EFs!$E$51))/1000</f>
        <v>3415.7339999999999</v>
      </c>
      <c r="C56" s="90">
        <f>(B56*'GWP (SAR)'!$D$4)/1000</f>
        <v>71.73041400000001</v>
      </c>
      <c r="D56" s="90">
        <f>(B56*1000)/('AD Total'!D117*'AD Total'!E117)</f>
        <v>0.15</v>
      </c>
      <c r="F56" s="88">
        <v>2000</v>
      </c>
      <c r="G56" s="135">
        <f>(('AD Total'!D138*'AD Total'!E138*('AD Total'!I138/100)*EFs!$E$49)+('AD Total'!D138*'AD Total'!E138*('AD Total'!K138/100)*EFs!$E$51))/1000</f>
        <v>186.36114000000001</v>
      </c>
      <c r="H56" s="90">
        <f>(G56*'GWP (SAR)'!$D$4)/1000</f>
        <v>3.9135839400000001</v>
      </c>
      <c r="I56" s="90">
        <f>(G56*1000)/('AD Total'!D138*'AD Total'!E138)</f>
        <v>0.15000000000000002</v>
      </c>
      <c r="K56" s="88">
        <v>2000</v>
      </c>
      <c r="L56" s="80">
        <f>(('AD Total'!D159*'AD Total'!E159*('AD Total'!I159/100)*EFs!$E$49)+('AD Total'!D159*'AD Total'!E159*('AD Total'!K159/100)*EFs!$E$51))/1000</f>
        <v>102.41248500000002</v>
      </c>
      <c r="M56" s="90">
        <f>(L56*'GWP (SAR)'!$D$4)/1000</f>
        <v>2.1506621850000007</v>
      </c>
      <c r="N56" s="90">
        <f>(L56*1000)/('AD Total'!D159*'AD Total'!E159)</f>
        <v>0.15000000000000002</v>
      </c>
      <c r="P56" s="88">
        <v>2000</v>
      </c>
      <c r="Q56" s="80">
        <f t="shared" ref="Q56:Q72" si="11">B56+G56+L56</f>
        <v>3704.5076249999997</v>
      </c>
      <c r="R56" s="90">
        <f>(Q56*'GWP (SAR)'!$D$4)/1000</f>
        <v>77.794660124999993</v>
      </c>
    </row>
    <row r="57" spans="1:18" x14ac:dyDescent="0.35">
      <c r="A57" s="88">
        <f t="shared" ref="A57:A72" si="12">A56+1</f>
        <v>2001</v>
      </c>
      <c r="B57" s="80">
        <f>(('AD Total'!D118*'AD Total'!E118*('AD Total'!I118/100)*EFs!$E$49)+('AD Total'!D118*'AD Total'!E118*('AD Total'!K118/100)*EFs!$E$51))/1000</f>
        <v>3873.5819999999999</v>
      </c>
      <c r="C57" s="90">
        <f>(B57*'GWP (SAR)'!$D$4)/1000</f>
        <v>81.345221999999993</v>
      </c>
      <c r="D57" s="90">
        <f>(B57*1000)/('AD Total'!D118*'AD Total'!E118)</f>
        <v>0.15</v>
      </c>
      <c r="F57" s="88">
        <f t="shared" ref="F57:F72" si="13">F56+1</f>
        <v>2001</v>
      </c>
      <c r="G57" s="135">
        <f>(('AD Total'!D139*'AD Total'!E139*('AD Total'!I139/100)*EFs!$E$49)+('AD Total'!D139*'AD Total'!E139*('AD Total'!K139/100)*EFs!$E$51))/1000</f>
        <v>186.36114000000001</v>
      </c>
      <c r="H57" s="90">
        <f>(G57*'GWP (SAR)'!$D$4)/1000</f>
        <v>3.9135839400000001</v>
      </c>
      <c r="I57" s="90">
        <f>(G57*1000)/('AD Total'!D139*'AD Total'!E139)</f>
        <v>0.15000000000000002</v>
      </c>
      <c r="K57" s="88">
        <f t="shared" ref="K57:K72" si="14">K56+1</f>
        <v>2001</v>
      </c>
      <c r="L57" s="80">
        <f>(('AD Total'!D160*'AD Total'!E160*('AD Total'!I160/100)*EFs!$E$49)+('AD Total'!D160*'AD Total'!E160*('AD Total'!K160/100)*EFs!$E$51))/1000</f>
        <v>102.41248500000002</v>
      </c>
      <c r="M57" s="90">
        <f>(L57*'GWP (SAR)'!$D$4)/1000</f>
        <v>2.1506621850000007</v>
      </c>
      <c r="N57" s="90">
        <f>(L57*1000)/('AD Total'!D160*'AD Total'!E160)</f>
        <v>0.15000000000000002</v>
      </c>
      <c r="P57" s="88">
        <f t="shared" ref="P57:P72" si="15">P56+1</f>
        <v>2001</v>
      </c>
      <c r="Q57" s="80">
        <f t="shared" si="11"/>
        <v>4162.3556250000001</v>
      </c>
      <c r="R57" s="90">
        <f>(Q57*'GWP (SAR)'!$D$4)/1000</f>
        <v>87.409468125000004</v>
      </c>
    </row>
    <row r="58" spans="1:18" x14ac:dyDescent="0.35">
      <c r="A58" s="88">
        <f t="shared" si="12"/>
        <v>2002</v>
      </c>
      <c r="B58" s="80">
        <f>(('AD Total'!D119*'AD Total'!E119*('AD Total'!I119/100)*EFs!$E$49)+('AD Total'!D119*'AD Total'!E119*('AD Total'!K119/100)*EFs!$E$51))/1000</f>
        <v>3125.3220000000001</v>
      </c>
      <c r="C58" s="90">
        <f>(B58*'GWP (SAR)'!$D$4)/1000</f>
        <v>65.631762000000009</v>
      </c>
      <c r="D58" s="90">
        <f>(B58*1000)/('AD Total'!D119*'AD Total'!E119)</f>
        <v>0.15</v>
      </c>
      <c r="F58" s="88">
        <f t="shared" si="13"/>
        <v>2002</v>
      </c>
      <c r="G58" s="135">
        <f>(('AD Total'!D140*'AD Total'!E140*('AD Total'!I140/100)*EFs!$E$49)+('AD Total'!D140*'AD Total'!E140*('AD Total'!K140/100)*EFs!$E$51))/1000</f>
        <v>186.36114000000001</v>
      </c>
      <c r="H58" s="90">
        <f>(G58*'GWP (SAR)'!$D$4)/1000</f>
        <v>3.9135839400000001</v>
      </c>
      <c r="I58" s="90">
        <f>(G58*1000)/('AD Total'!D140*'AD Total'!E140)</f>
        <v>0.15000000000000002</v>
      </c>
      <c r="K58" s="88">
        <f t="shared" si="14"/>
        <v>2002</v>
      </c>
      <c r="L58" s="80">
        <f>(('AD Total'!D161*'AD Total'!E161*('AD Total'!I161/100)*EFs!$E$49)+('AD Total'!D161*'AD Total'!E161*('AD Total'!K161/100)*EFs!$E$51))/1000</f>
        <v>102.41248500000002</v>
      </c>
      <c r="M58" s="90">
        <f>(L58*'GWP (SAR)'!$D$4)/1000</f>
        <v>2.1506621850000007</v>
      </c>
      <c r="N58" s="90">
        <f>(L58*1000)/('AD Total'!D161*'AD Total'!E161)</f>
        <v>0.15000000000000002</v>
      </c>
      <c r="P58" s="88">
        <f t="shared" si="15"/>
        <v>2002</v>
      </c>
      <c r="Q58" s="80">
        <f t="shared" si="11"/>
        <v>3414.0956249999999</v>
      </c>
      <c r="R58" s="90">
        <f>(Q58*'GWP (SAR)'!$D$4)/1000</f>
        <v>71.696008124999992</v>
      </c>
    </row>
    <row r="59" spans="1:18" x14ac:dyDescent="0.35">
      <c r="A59" s="88">
        <f t="shared" si="12"/>
        <v>2003</v>
      </c>
      <c r="B59" s="80">
        <f>(('AD Total'!D120*'AD Total'!E120*('AD Total'!I120/100)*EFs!$E$49)+('AD Total'!D120*'AD Total'!E120*('AD Total'!K120/100)*EFs!$E$51))/1000</f>
        <v>3222.93</v>
      </c>
      <c r="C59" s="90">
        <f>(B59*'GWP (SAR)'!$D$4)/1000</f>
        <v>67.681529999999995</v>
      </c>
      <c r="D59" s="90">
        <f>(B59*1000)/('AD Total'!D120*'AD Total'!E120)</f>
        <v>0.15</v>
      </c>
      <c r="F59" s="88">
        <f t="shared" si="13"/>
        <v>2003</v>
      </c>
      <c r="G59" s="135">
        <f>(('AD Total'!D141*'AD Total'!E141*('AD Total'!I141/100)*EFs!$E$49)+('AD Total'!D141*'AD Total'!E141*('AD Total'!K141/100)*EFs!$E$51))/1000</f>
        <v>186.36114000000001</v>
      </c>
      <c r="H59" s="90">
        <f>(G59*'GWP (SAR)'!$D$4)/1000</f>
        <v>3.9135839400000001</v>
      </c>
      <c r="I59" s="90">
        <f>(G59*1000)/('AD Total'!D141*'AD Total'!E141)</f>
        <v>0.15000000000000002</v>
      </c>
      <c r="K59" s="88">
        <f t="shared" si="14"/>
        <v>2003</v>
      </c>
      <c r="L59" s="80">
        <f>(('AD Total'!D162*'AD Total'!E162*('AD Total'!I162/100)*EFs!$E$49)+('AD Total'!D162*'AD Total'!E162*('AD Total'!K162/100)*EFs!$E$51))/1000</f>
        <v>102.41248500000002</v>
      </c>
      <c r="M59" s="90">
        <f>(L59*'GWP (SAR)'!$D$4)/1000</f>
        <v>2.1506621850000007</v>
      </c>
      <c r="N59" s="90">
        <f>(L59*1000)/('AD Total'!D162*'AD Total'!E162)</f>
        <v>0.15000000000000002</v>
      </c>
      <c r="P59" s="88">
        <f t="shared" si="15"/>
        <v>2003</v>
      </c>
      <c r="Q59" s="80">
        <f t="shared" si="11"/>
        <v>3511.7036249999996</v>
      </c>
      <c r="R59" s="90">
        <f>(Q59*'GWP (SAR)'!$D$4)/1000</f>
        <v>73.745776124999992</v>
      </c>
    </row>
    <row r="60" spans="1:18" x14ac:dyDescent="0.35">
      <c r="A60" s="88">
        <f t="shared" si="12"/>
        <v>2004</v>
      </c>
      <c r="B60" s="80">
        <f>(('AD Total'!D121*'AD Total'!E121*('AD Total'!I121/100)*EFs!$E$49)+('AD Total'!D121*'AD Total'!E121*('AD Total'!K121/100)*EFs!$E$51))/1000</f>
        <v>3433.8960000000002</v>
      </c>
      <c r="C60" s="90">
        <f>(B60*'GWP (SAR)'!$D$4)/1000</f>
        <v>72.111816000000005</v>
      </c>
      <c r="D60" s="90">
        <f>(B60*1000)/('AD Total'!D121*'AD Total'!E121)</f>
        <v>0.15</v>
      </c>
      <c r="F60" s="88">
        <f t="shared" si="13"/>
        <v>2004</v>
      </c>
      <c r="G60" s="135">
        <f>(('AD Total'!D142*'AD Total'!E142*('AD Total'!I142/100)*EFs!$E$49)+('AD Total'!D142*'AD Total'!E142*('AD Total'!K142/100)*EFs!$E$51))/1000</f>
        <v>186.36114000000001</v>
      </c>
      <c r="H60" s="90">
        <f>(G60*'GWP (SAR)'!$D$4)/1000</f>
        <v>3.9135839400000001</v>
      </c>
      <c r="I60" s="90">
        <f>(G60*1000)/('AD Total'!D142*'AD Total'!E142)</f>
        <v>0.15000000000000002</v>
      </c>
      <c r="K60" s="88">
        <f t="shared" si="14"/>
        <v>2004</v>
      </c>
      <c r="L60" s="80">
        <f>(('AD Total'!D163*'AD Total'!E163*('AD Total'!I163/100)*EFs!$E$49)+('AD Total'!D163*'AD Total'!E163*('AD Total'!K163/100)*EFs!$E$51))/1000</f>
        <v>102.41248500000002</v>
      </c>
      <c r="M60" s="90">
        <f>(L60*'GWP (SAR)'!$D$4)/1000</f>
        <v>2.1506621850000007</v>
      </c>
      <c r="N60" s="90">
        <f>(L60*1000)/('AD Total'!D163*'AD Total'!E163)</f>
        <v>0.15000000000000002</v>
      </c>
      <c r="P60" s="88">
        <f t="shared" si="15"/>
        <v>2004</v>
      </c>
      <c r="Q60" s="80">
        <f t="shared" si="11"/>
        <v>3722.669625</v>
      </c>
      <c r="R60" s="90">
        <f>(Q60*'GWP (SAR)'!$D$4)/1000</f>
        <v>78.176062125000001</v>
      </c>
    </row>
    <row r="61" spans="1:18" x14ac:dyDescent="0.35">
      <c r="A61" s="88">
        <f t="shared" si="12"/>
        <v>2005</v>
      </c>
      <c r="B61" s="80">
        <f>(('AD Total'!D122*'AD Total'!E122*('AD Total'!I122/100)*EFs!$E$49)+('AD Total'!D122*'AD Total'!E122*('AD Total'!K122/100)*EFs!$E$51))/1000</f>
        <v>3118.8960000000002</v>
      </c>
      <c r="C61" s="90">
        <f>(B61*'GWP (SAR)'!$D$4)/1000</f>
        <v>65.49681600000001</v>
      </c>
      <c r="D61" s="90">
        <f>(B61*1000)/('AD Total'!D122*'AD Total'!E122)</f>
        <v>0.15</v>
      </c>
      <c r="F61" s="88">
        <f t="shared" si="13"/>
        <v>2005</v>
      </c>
      <c r="G61" s="135">
        <f>(('AD Total'!D143*'AD Total'!E143*('AD Total'!I143/100)*EFs!$E$49)+('AD Total'!D143*'AD Total'!E143*('AD Total'!K143/100)*EFs!$E$51))/1000</f>
        <v>186.36114000000001</v>
      </c>
      <c r="H61" s="90">
        <f>(G61*'GWP (SAR)'!$D$4)/1000</f>
        <v>3.9135839400000001</v>
      </c>
      <c r="I61" s="90">
        <f>(G61*1000)/('AD Total'!D143*'AD Total'!E143)</f>
        <v>0.15000000000000002</v>
      </c>
      <c r="K61" s="88">
        <f t="shared" si="14"/>
        <v>2005</v>
      </c>
      <c r="L61" s="80">
        <f>(('AD Total'!D164*'AD Total'!E164*('AD Total'!I164/100)*EFs!$E$49)+('AD Total'!D164*'AD Total'!E164*('AD Total'!K164/100)*EFs!$E$51))/1000</f>
        <v>102.41248500000002</v>
      </c>
      <c r="M61" s="90">
        <f>(L61*'GWP (SAR)'!$D$4)/1000</f>
        <v>2.1506621850000007</v>
      </c>
      <c r="N61" s="90">
        <f>(L61*1000)/('AD Total'!D164*'AD Total'!E164)</f>
        <v>0.15000000000000002</v>
      </c>
      <c r="P61" s="88">
        <f t="shared" si="15"/>
        <v>2005</v>
      </c>
      <c r="Q61" s="80">
        <f t="shared" si="11"/>
        <v>3407.669625</v>
      </c>
      <c r="R61" s="90">
        <f>(Q61*'GWP (SAR)'!$D$4)/1000</f>
        <v>71.561062124999992</v>
      </c>
    </row>
    <row r="62" spans="1:18" x14ac:dyDescent="0.35">
      <c r="A62" s="88">
        <f t="shared" si="12"/>
        <v>2006</v>
      </c>
      <c r="B62" s="80">
        <f>(('AD Total'!D123*'AD Total'!E123*('AD Total'!I123/100)*EFs!$E$49)+('AD Total'!D123*'AD Total'!E123*('AD Total'!K123/100)*EFs!$E$51))/1000</f>
        <v>3029.1419999999998</v>
      </c>
      <c r="C62" s="90">
        <f>(B62*'GWP (SAR)'!$D$4)/1000</f>
        <v>63.611981999999998</v>
      </c>
      <c r="D62" s="90">
        <f>(B62*1000)/('AD Total'!D123*'AD Total'!E123)</f>
        <v>0.15</v>
      </c>
      <c r="F62" s="88">
        <f t="shared" si="13"/>
        <v>2006</v>
      </c>
      <c r="G62" s="135">
        <f>(('AD Total'!D144*'AD Total'!E144*('AD Total'!I144/100)*EFs!$E$49)+('AD Total'!D144*'AD Total'!E144*('AD Total'!K144/100)*EFs!$E$51))/1000</f>
        <v>186.36114000000001</v>
      </c>
      <c r="H62" s="90">
        <f>(G62*'GWP (SAR)'!$D$4)/1000</f>
        <v>3.9135839400000001</v>
      </c>
      <c r="I62" s="90">
        <f>(G62*1000)/('AD Total'!D144*'AD Total'!E144)</f>
        <v>0.15000000000000002</v>
      </c>
      <c r="K62" s="88">
        <f t="shared" si="14"/>
        <v>2006</v>
      </c>
      <c r="L62" s="80">
        <f>(('AD Total'!D165*'AD Total'!E165*('AD Total'!I165/100)*EFs!$E$49)+('AD Total'!D165*'AD Total'!E165*('AD Total'!K165/100)*EFs!$E$51))/1000</f>
        <v>102.41248500000002</v>
      </c>
      <c r="M62" s="90">
        <f>(L62*'GWP (SAR)'!$D$4)/1000</f>
        <v>2.1506621850000007</v>
      </c>
      <c r="N62" s="90">
        <f>(L62*1000)/('AD Total'!D165*'AD Total'!E165)</f>
        <v>0.15000000000000002</v>
      </c>
      <c r="P62" s="88">
        <f t="shared" si="15"/>
        <v>2006</v>
      </c>
      <c r="Q62" s="80">
        <f t="shared" si="11"/>
        <v>3317.9156249999996</v>
      </c>
      <c r="R62" s="90">
        <f>(Q62*'GWP (SAR)'!$D$4)/1000</f>
        <v>69.676228124999994</v>
      </c>
    </row>
    <row r="63" spans="1:18" x14ac:dyDescent="0.35">
      <c r="A63" s="88">
        <f t="shared" si="12"/>
        <v>2007</v>
      </c>
      <c r="B63" s="80">
        <f>(('AD Total'!D124*'AD Total'!E124*('AD Total'!I124/100)*EFs!$E$49)+('AD Total'!D124*'AD Total'!E124*('AD Total'!K124/100)*EFs!$E$51))/1000</f>
        <v>2615.8319999999999</v>
      </c>
      <c r="C63" s="90">
        <f>(B63*'GWP (SAR)'!$D$4)/1000</f>
        <v>54.932471999999997</v>
      </c>
      <c r="D63" s="90">
        <f>(B63*1000)/('AD Total'!D124*'AD Total'!E124)</f>
        <v>0.15</v>
      </c>
      <c r="F63" s="88">
        <f t="shared" si="13"/>
        <v>2007</v>
      </c>
      <c r="G63" s="135">
        <f>(('AD Total'!D145*'AD Total'!E145*('AD Total'!I145/100)*EFs!$E$49)+('AD Total'!D145*'AD Total'!E145*('AD Total'!K145/100)*EFs!$E$51))/1000</f>
        <v>210.85050000000001</v>
      </c>
      <c r="H63" s="90">
        <f>(G63*'GWP (SAR)'!$D$4)/1000</f>
        <v>4.4278605000000004</v>
      </c>
      <c r="I63" s="90">
        <f>(G63*1000)/('AD Total'!D145*'AD Total'!E145)</f>
        <v>0.15</v>
      </c>
      <c r="K63" s="88">
        <f t="shared" si="14"/>
        <v>2007</v>
      </c>
      <c r="L63" s="80">
        <f>(('AD Total'!D166*'AD Total'!E166*('AD Total'!I166/100)*EFs!$E$49)+('AD Total'!D166*'AD Total'!E166*('AD Total'!K166/100)*EFs!$E$51))/1000</f>
        <v>102.41248500000002</v>
      </c>
      <c r="M63" s="90">
        <f>(L63*'GWP (SAR)'!$D$4)/1000</f>
        <v>2.1506621850000007</v>
      </c>
      <c r="N63" s="90">
        <f>(L63*1000)/('AD Total'!D166*'AD Total'!E166)</f>
        <v>0.15000000000000002</v>
      </c>
      <c r="P63" s="88">
        <f t="shared" si="15"/>
        <v>2007</v>
      </c>
      <c r="Q63" s="80">
        <f t="shared" si="11"/>
        <v>2929.0949849999997</v>
      </c>
      <c r="R63" s="90">
        <f>(Q63*'GWP (SAR)'!$D$4)/1000</f>
        <v>61.510994685</v>
      </c>
    </row>
    <row r="64" spans="1:18" x14ac:dyDescent="0.35">
      <c r="A64" s="88">
        <f t="shared" si="12"/>
        <v>2008</v>
      </c>
      <c r="B64" s="80">
        <f>(('AD Total'!D125*'AD Total'!E125*('AD Total'!I125/100)*EFs!$E$49)+('AD Total'!D125*'AD Total'!E125*('AD Total'!K125/100)*EFs!$E$51))/1000</f>
        <v>2712.3719999999998</v>
      </c>
      <c r="C64" s="90">
        <f>(B64*'GWP (SAR)'!$D$4)/1000</f>
        <v>56.959811999999999</v>
      </c>
      <c r="D64" s="90">
        <f>(B64*1000)/('AD Total'!D125*'AD Total'!E125)</f>
        <v>0.15</v>
      </c>
      <c r="F64" s="88">
        <f t="shared" si="13"/>
        <v>2008</v>
      </c>
      <c r="G64" s="135">
        <f>(('AD Total'!D146*'AD Total'!E146*('AD Total'!I146/100)*EFs!$E$49)+('AD Total'!D146*'AD Total'!E146*('AD Total'!K146/100)*EFs!$E$51))/1000</f>
        <v>189.63</v>
      </c>
      <c r="H64" s="90">
        <f>(G64*'GWP (SAR)'!$D$4)/1000</f>
        <v>3.9822299999999999</v>
      </c>
      <c r="I64" s="90">
        <f>(G64*1000)/('AD Total'!D146*'AD Total'!E146)</f>
        <v>0.15</v>
      </c>
      <c r="K64" s="88">
        <f t="shared" si="14"/>
        <v>2008</v>
      </c>
      <c r="L64" s="80">
        <f>(('AD Total'!D167*'AD Total'!E167*('AD Total'!I167/100)*EFs!$E$49)+('AD Total'!D167*'AD Total'!E167*('AD Total'!K167/100)*EFs!$E$51))/1000</f>
        <v>102.41248500000002</v>
      </c>
      <c r="M64" s="90">
        <f>(L64*'GWP (SAR)'!$D$4)/1000</f>
        <v>2.1506621850000007</v>
      </c>
      <c r="N64" s="90">
        <f>(L64*1000)/('AD Total'!D167*'AD Total'!E167)</f>
        <v>0.15000000000000002</v>
      </c>
      <c r="P64" s="88">
        <f t="shared" si="15"/>
        <v>2008</v>
      </c>
      <c r="Q64" s="80">
        <f t="shared" si="11"/>
        <v>3004.4144849999998</v>
      </c>
      <c r="R64" s="90">
        <f>(Q64*'GWP (SAR)'!$D$4)/1000</f>
        <v>63.092704184999995</v>
      </c>
    </row>
    <row r="65" spans="1:18" x14ac:dyDescent="0.35">
      <c r="A65" s="88">
        <f t="shared" si="12"/>
        <v>2009</v>
      </c>
      <c r="B65" s="80">
        <f>(('AD Total'!D126*'AD Total'!E126*('AD Total'!I126/100)*EFs!$E$49)+('AD Total'!D126*'AD Total'!E126*('AD Total'!K126/100)*EFs!$E$51))/1000</f>
        <v>2803.404</v>
      </c>
      <c r="C65" s="90">
        <f>(B65*'GWP (SAR)'!$D$4)/1000</f>
        <v>58.871483999999995</v>
      </c>
      <c r="D65" s="90">
        <f>(B65*1000)/('AD Total'!D126*'AD Total'!E126)</f>
        <v>0.15</v>
      </c>
      <c r="F65" s="88">
        <f t="shared" si="13"/>
        <v>2009</v>
      </c>
      <c r="G65" s="135">
        <f>(('AD Total'!D147*'AD Total'!E147*('AD Total'!I147/100)*EFs!$E$49)+('AD Total'!D147*'AD Total'!E147*('AD Total'!K147/100)*EFs!$E$51))/1000</f>
        <v>198.66</v>
      </c>
      <c r="H65" s="90">
        <f>(G65*'GWP (SAR)'!$D$4)/1000</f>
        <v>4.1718599999999997</v>
      </c>
      <c r="I65" s="90">
        <f>(G65*1000)/('AD Total'!D147*'AD Total'!E147)</f>
        <v>0.15</v>
      </c>
      <c r="K65" s="88">
        <f t="shared" si="14"/>
        <v>2009</v>
      </c>
      <c r="L65" s="80">
        <f>(('AD Total'!D168*'AD Total'!E168*('AD Total'!I168/100)*EFs!$E$49)+('AD Total'!D168*'AD Total'!E168*('AD Total'!K168/100)*EFs!$E$51))/1000</f>
        <v>102.41248500000002</v>
      </c>
      <c r="M65" s="90">
        <f>(L65*'GWP (SAR)'!$D$4)/1000</f>
        <v>2.1506621850000007</v>
      </c>
      <c r="N65" s="90">
        <f>(L65*1000)/('AD Total'!D168*'AD Total'!E168)</f>
        <v>0.15000000000000002</v>
      </c>
      <c r="P65" s="88">
        <f t="shared" si="15"/>
        <v>2009</v>
      </c>
      <c r="Q65" s="80">
        <f t="shared" si="11"/>
        <v>3104.4764849999997</v>
      </c>
      <c r="R65" s="90">
        <f>(Q65*'GWP (SAR)'!$D$4)/1000</f>
        <v>65.194006184999992</v>
      </c>
    </row>
    <row r="66" spans="1:18" x14ac:dyDescent="0.35">
      <c r="A66" s="88">
        <f t="shared" si="12"/>
        <v>2010</v>
      </c>
      <c r="B66" s="80">
        <f>(('AD Total'!D127*'AD Total'!E127*('AD Total'!I127/100)*EFs!$E$49)+('AD Total'!D127*'AD Total'!E127*('AD Total'!K127/100)*EFs!$E$51))/1000</f>
        <v>2714.8380000000002</v>
      </c>
      <c r="C66" s="90">
        <f>(B66*'GWP (SAR)'!$D$4)/1000</f>
        <v>57.011598000000006</v>
      </c>
      <c r="D66" s="90">
        <f>(B66*1000)/('AD Total'!D127*'AD Total'!E127)</f>
        <v>0.15</v>
      </c>
      <c r="F66" s="88">
        <f t="shared" si="13"/>
        <v>2010</v>
      </c>
      <c r="G66" s="135">
        <f>(('AD Total'!D148*'AD Total'!E148*('AD Total'!I148/100)*EFs!$E$49)+('AD Total'!D148*'AD Total'!E148*('AD Total'!K148/100)*EFs!$E$51))/1000</f>
        <v>210.399</v>
      </c>
      <c r="H66" s="90">
        <f>(G66*'GWP (SAR)'!$D$4)/1000</f>
        <v>4.4183789999999998</v>
      </c>
      <c r="I66" s="90">
        <f>(G66*1000)/('AD Total'!D148*'AD Total'!E148)</f>
        <v>0.15</v>
      </c>
      <c r="K66" s="88">
        <f t="shared" si="14"/>
        <v>2010</v>
      </c>
      <c r="L66" s="80">
        <f>(('AD Total'!D169*'AD Total'!E169*('AD Total'!I169/100)*EFs!$E$49)+('AD Total'!D169*'AD Total'!E169*('AD Total'!K169/100)*EFs!$E$51))/1000</f>
        <v>102.41248500000002</v>
      </c>
      <c r="M66" s="90">
        <f>(L66*'GWP (SAR)'!$D$4)/1000</f>
        <v>2.1506621850000007</v>
      </c>
      <c r="N66" s="90">
        <f>(L66*1000)/('AD Total'!D169*'AD Total'!E169)</f>
        <v>0.15000000000000002</v>
      </c>
      <c r="P66" s="88">
        <f t="shared" si="15"/>
        <v>2010</v>
      </c>
      <c r="Q66" s="80">
        <f t="shared" si="11"/>
        <v>3027.6494849999999</v>
      </c>
      <c r="R66" s="90">
        <f>(Q66*'GWP (SAR)'!$D$4)/1000</f>
        <v>63.580639185000003</v>
      </c>
    </row>
    <row r="67" spans="1:18" x14ac:dyDescent="0.35">
      <c r="A67" s="88">
        <f t="shared" si="12"/>
        <v>2011</v>
      </c>
      <c r="B67" s="80">
        <f>(('AD Total'!D128*'AD Total'!E128*('AD Total'!I128/100)*EFs!$E$49)+('AD Total'!D128*'AD Total'!E128*('AD Total'!K128/100)*EFs!$E$51))/1000</f>
        <v>2611.86</v>
      </c>
      <c r="C67" s="90">
        <f>(B67*'GWP (SAR)'!$D$4)/1000</f>
        <v>54.849060000000001</v>
      </c>
      <c r="D67" s="90">
        <f>(B67*1000)/('AD Total'!D128*'AD Total'!E128)</f>
        <v>0.15</v>
      </c>
      <c r="F67" s="88">
        <f t="shared" si="13"/>
        <v>2011</v>
      </c>
      <c r="G67" s="135">
        <f>(('AD Total'!D149*'AD Total'!E149*('AD Total'!I149/100)*EFs!$E$49)+('AD Total'!D149*'AD Total'!E149*('AD Total'!K149/100)*EFs!$E$51))/1000</f>
        <v>212.20500000000001</v>
      </c>
      <c r="H67" s="90">
        <f>(G67*'GWP (SAR)'!$D$4)/1000</f>
        <v>4.4563050000000004</v>
      </c>
      <c r="I67" s="90">
        <f>(G67*1000)/('AD Total'!D149*'AD Total'!E149)</f>
        <v>0.15</v>
      </c>
      <c r="K67" s="88">
        <f t="shared" si="14"/>
        <v>2011</v>
      </c>
      <c r="L67" s="80">
        <f>(('AD Total'!D170*'AD Total'!E170*('AD Total'!I170/100)*EFs!$E$49)+('AD Total'!D170*'AD Total'!E170*('AD Total'!K170/100)*EFs!$E$51))/1000</f>
        <v>102.41248500000002</v>
      </c>
      <c r="M67" s="90">
        <f>(L67*'GWP (SAR)'!$D$4)/1000</f>
        <v>2.1506621850000007</v>
      </c>
      <c r="N67" s="90">
        <f>(L67*1000)/('AD Total'!D170*'AD Total'!E170)</f>
        <v>0.15000000000000002</v>
      </c>
      <c r="P67" s="88">
        <f t="shared" si="15"/>
        <v>2011</v>
      </c>
      <c r="Q67" s="80">
        <f t="shared" si="11"/>
        <v>2926.4774849999999</v>
      </c>
      <c r="R67" s="90">
        <f>(Q67*'GWP (SAR)'!$D$4)/1000</f>
        <v>61.456027184999996</v>
      </c>
    </row>
    <row r="68" spans="1:18" x14ac:dyDescent="0.35">
      <c r="A68" s="88">
        <f t="shared" si="12"/>
        <v>2012</v>
      </c>
      <c r="B68" s="80">
        <f>(('AD Total'!D129*'AD Total'!E129*('AD Total'!I129/100)*EFs!$E$49)+('AD Total'!D129*'AD Total'!E129*('AD Total'!K129/100)*EFs!$E$51))/1000</f>
        <v>2455.1999999999998</v>
      </c>
      <c r="C68" s="90">
        <f>(B68*'GWP (SAR)'!$D$4)/1000</f>
        <v>51.559199999999997</v>
      </c>
      <c r="D68" s="90">
        <f>(B68*1000)/('AD Total'!D129*'AD Total'!E129)</f>
        <v>0.15</v>
      </c>
      <c r="F68" s="88">
        <f t="shared" si="13"/>
        <v>2012</v>
      </c>
      <c r="G68" s="135">
        <f>(('AD Total'!D150*'AD Total'!E150*('AD Total'!I150/100)*EFs!$E$49)+('AD Total'!D150*'AD Total'!E150*('AD Total'!K150/100)*EFs!$E$51))/1000</f>
        <v>213.108</v>
      </c>
      <c r="H68" s="90">
        <f>(G68*'GWP (SAR)'!$D$4)/1000</f>
        <v>4.4752679999999998</v>
      </c>
      <c r="I68" s="90">
        <f>(G68*1000)/('AD Total'!D150*'AD Total'!E150)</f>
        <v>0.15</v>
      </c>
      <c r="K68" s="88">
        <f t="shared" si="14"/>
        <v>2012</v>
      </c>
      <c r="L68" s="80">
        <f>(('AD Total'!D171*'AD Total'!E171*('AD Total'!I171/100)*EFs!$E$49)+('AD Total'!D171*'AD Total'!E171*('AD Total'!K171/100)*EFs!$E$51))/1000</f>
        <v>101.0011275</v>
      </c>
      <c r="M68" s="90">
        <f>(L68*'GWP (SAR)'!$D$4)/1000</f>
        <v>2.1210236774999998</v>
      </c>
      <c r="N68" s="90">
        <f>(L68*1000)/('AD Total'!D171*'AD Total'!E171)</f>
        <v>0.15000000000000002</v>
      </c>
      <c r="P68" s="88">
        <f t="shared" si="15"/>
        <v>2012</v>
      </c>
      <c r="Q68" s="80">
        <f t="shared" si="11"/>
        <v>2769.3091275000002</v>
      </c>
      <c r="R68" s="90">
        <f>(Q68*'GWP (SAR)'!$D$4)/1000</f>
        <v>58.155491677500002</v>
      </c>
    </row>
    <row r="69" spans="1:18" x14ac:dyDescent="0.35">
      <c r="A69" s="88">
        <f t="shared" si="12"/>
        <v>2013</v>
      </c>
      <c r="B69" s="80">
        <f>(('AD Total'!D130*'AD Total'!E130*('AD Total'!I130/100)*EFs!$E$49)+('AD Total'!D130*'AD Total'!E130*('AD Total'!K130/100)*EFs!$E$51))/1000</f>
        <v>2428.2779999999998</v>
      </c>
      <c r="C69" s="90">
        <f>(B69*'GWP (SAR)'!$D$4)/1000</f>
        <v>50.993837999999997</v>
      </c>
      <c r="D69" s="90">
        <f>(B69*1000)/('AD Total'!D130*'AD Total'!E130)</f>
        <v>0.15</v>
      </c>
      <c r="F69" s="88">
        <f t="shared" si="13"/>
        <v>2013</v>
      </c>
      <c r="G69" s="135">
        <f>(('AD Total'!D151*'AD Total'!E151*('AD Total'!I151/100)*EFs!$E$49)+('AD Total'!D151*'AD Total'!E151*('AD Total'!K151/100)*EFs!$E$51))/1000</f>
        <v>210.85050000000001</v>
      </c>
      <c r="H69" s="90">
        <f>(G69*'GWP (SAR)'!$D$4)/1000</f>
        <v>4.4278605000000004</v>
      </c>
      <c r="I69" s="90">
        <f>(G69*1000)/('AD Total'!D151*'AD Total'!E151)</f>
        <v>0.15</v>
      </c>
      <c r="K69" s="88">
        <f t="shared" si="14"/>
        <v>2013</v>
      </c>
      <c r="L69" s="80">
        <f>(('AD Total'!D172*'AD Total'!E172*('AD Total'!I172/100)*EFs!$E$49)+('AD Total'!D172*'AD Total'!E172*('AD Total'!K172/100)*EFs!$E$51))/1000</f>
        <v>99.589770000000001</v>
      </c>
      <c r="M69" s="90">
        <f>(L69*'GWP (SAR)'!$D$4)/1000</f>
        <v>2.0913851700000001</v>
      </c>
      <c r="N69" s="90">
        <f>(L69*1000)/('AD Total'!D172*'AD Total'!E172)</f>
        <v>0.15000000000000002</v>
      </c>
      <c r="P69" s="88">
        <f t="shared" si="15"/>
        <v>2013</v>
      </c>
      <c r="Q69" s="80">
        <f t="shared" si="11"/>
        <v>2738.7182699999998</v>
      </c>
      <c r="R69" s="90">
        <f>(Q69*'GWP (SAR)'!$D$4)/1000</f>
        <v>57.51308367</v>
      </c>
    </row>
    <row r="70" spans="1:18" x14ac:dyDescent="0.35">
      <c r="A70" s="88">
        <f t="shared" si="12"/>
        <v>2014</v>
      </c>
      <c r="B70" s="80">
        <f>(('AD Total'!D131*'AD Total'!E131*('AD Total'!I131/100)*EFs!$E$49)+('AD Total'!D131*'AD Total'!E131*('AD Total'!K131/100)*EFs!$E$51))/1000</f>
        <v>2401.038</v>
      </c>
      <c r="C70" s="90">
        <f>(B70*'GWP (SAR)'!$D$4)/1000</f>
        <v>50.421798000000003</v>
      </c>
      <c r="D70" s="90">
        <f>(B70*1000)/('AD Total'!D131*'AD Total'!E131)</f>
        <v>0.15</v>
      </c>
      <c r="F70" s="88">
        <f t="shared" si="13"/>
        <v>2014</v>
      </c>
      <c r="G70" s="154">
        <f>(('AD Total'!D152*'AD Total'!E152*('AD Total'!I152/100)*EFs!$E$49)+('AD Total'!D152*'AD Total'!E152*('AD Total'!K152/100)*EFs!$E$51))/1000</f>
        <v>210.17325</v>
      </c>
      <c r="H70" s="90">
        <f>(G70*'GWP (SAR)'!$D$4)/1000</f>
        <v>4.41363825</v>
      </c>
      <c r="I70" s="90">
        <f>(G70*1000)/('AD Total'!D152*'AD Total'!E152)</f>
        <v>0.15</v>
      </c>
      <c r="K70" s="88">
        <f t="shared" si="14"/>
        <v>2014</v>
      </c>
      <c r="L70" s="80">
        <f>(('AD Total'!D173*'AD Total'!E173*('AD Total'!I173/100)*EFs!$E$49)+('AD Total'!D173*'AD Total'!E173*('AD Total'!K173/100)*EFs!$E$51))/1000</f>
        <v>98.178412500000007</v>
      </c>
      <c r="M70" s="90">
        <f>(L70*'GWP (SAR)'!$D$4)/1000</f>
        <v>2.0617466625</v>
      </c>
      <c r="N70" s="90">
        <f>(L70*1000)/('AD Total'!D173*'AD Total'!E173)</f>
        <v>0.15000000000000002</v>
      </c>
      <c r="P70" s="88">
        <f t="shared" si="15"/>
        <v>2014</v>
      </c>
      <c r="Q70" s="80">
        <f t="shared" si="11"/>
        <v>2709.3896624999998</v>
      </c>
      <c r="R70" s="90">
        <f>(Q70*'GWP (SAR)'!$D$4)/1000</f>
        <v>56.897182912499993</v>
      </c>
    </row>
    <row r="71" spans="1:18" x14ac:dyDescent="0.35">
      <c r="A71" s="88">
        <f t="shared" si="12"/>
        <v>2015</v>
      </c>
      <c r="B71" s="80">
        <f>(('AD Total'!D132*'AD Total'!E132*('AD Total'!I132/100)*EFs!$E$49)+('AD Total'!D132*'AD Total'!E132*('AD Total'!K132/100)*EFs!$E$51))/1000</f>
        <v>2196.4192680000001</v>
      </c>
      <c r="C71" s="90">
        <f>(B71*'GWP (SAR)'!$D$4)/1000</f>
        <v>46.124804628000007</v>
      </c>
      <c r="D71" s="90">
        <f>(B71*1000)/('AD Total'!D132*'AD Total'!E132)</f>
        <v>0.15</v>
      </c>
      <c r="F71" s="88">
        <f t="shared" si="13"/>
        <v>2015</v>
      </c>
      <c r="G71" s="135">
        <f>(('AD Total'!D153*'AD Total'!E153*('AD Total'!I153/100)*EFs!$E$49)+('AD Total'!D153*'AD Total'!E153*('AD Total'!K153/100)*EFs!$E$51))/1000</f>
        <v>209.49600000000001</v>
      </c>
      <c r="H71" s="90">
        <f>(G71*'GWP (SAR)'!$D$4)/1000</f>
        <v>4.3994160000000004</v>
      </c>
      <c r="I71" s="90">
        <f>(G71*1000)/('AD Total'!D153*'AD Total'!E153)</f>
        <v>0.15</v>
      </c>
      <c r="K71" s="88">
        <f t="shared" si="14"/>
        <v>2015</v>
      </c>
      <c r="L71" s="80">
        <f>(('AD Total'!D174*'AD Total'!E174*('AD Total'!I174/100)*EFs!$E$49)+('AD Total'!D174*'AD Total'!E174*('AD Total'!K174/100)*EFs!$E$51))/1000</f>
        <v>96.767054999999999</v>
      </c>
      <c r="M71" s="90">
        <f>(L71*'GWP (SAR)'!$D$4)/1000</f>
        <v>2.032108155</v>
      </c>
      <c r="N71" s="90">
        <f>(L71*1000)/('AD Total'!D174*'AD Total'!E174)</f>
        <v>0.15</v>
      </c>
      <c r="P71" s="88">
        <f t="shared" si="15"/>
        <v>2015</v>
      </c>
      <c r="Q71" s="80">
        <f t="shared" si="11"/>
        <v>2502.682323</v>
      </c>
      <c r="R71" s="90">
        <f>(Q71*'GWP (SAR)'!$D$4)/1000</f>
        <v>52.556328782999998</v>
      </c>
    </row>
    <row r="72" spans="1:18" x14ac:dyDescent="0.35">
      <c r="A72" s="88">
        <f t="shared" si="12"/>
        <v>2016</v>
      </c>
      <c r="B72" s="80">
        <f>(('AD Total'!D133*'AD Total'!E133*('AD Total'!I133/100)*EFs!$E$49)+('AD Total'!D133*'AD Total'!E133*('AD Total'!K133/100)*EFs!$E$51))/1000</f>
        <v>2317.6635299999998</v>
      </c>
      <c r="C72" s="90">
        <f>(B72*'GWP (SAR)'!$D$4)/1000</f>
        <v>48.670934129999992</v>
      </c>
      <c r="D72" s="90">
        <f>(B72*1000)/('AD Total'!D133*'AD Total'!E133)</f>
        <v>0.15</v>
      </c>
      <c r="F72" s="88">
        <f t="shared" si="13"/>
        <v>2016</v>
      </c>
      <c r="G72" s="135">
        <f>(('AD Total'!D154*'AD Total'!E154*('AD Total'!I154/100)*EFs!$E$49)+('AD Total'!D154*'AD Total'!E154*('AD Total'!K154/100)*EFs!$E$51))/1000</f>
        <v>206.78700000000001</v>
      </c>
      <c r="H72" s="90">
        <f>(G72*'GWP (SAR)'!$D$4)/1000</f>
        <v>4.3425270000000005</v>
      </c>
      <c r="I72" s="90">
        <f>(G72*1000)/('AD Total'!D154*'AD Total'!E154)</f>
        <v>0.15</v>
      </c>
      <c r="K72" s="88">
        <f t="shared" si="14"/>
        <v>2016</v>
      </c>
      <c r="L72" s="80">
        <f>(('AD Total'!D175*'AD Total'!E175*('AD Total'!I175/100)*EFs!$E$49)+('AD Total'!D175*'AD Total'!E175*('AD Total'!K175/100)*EFs!$E$51))/1000</f>
        <v>98.849835000000027</v>
      </c>
      <c r="M72" s="90">
        <f>(L72*'GWP (SAR)'!$D$4)/1000</f>
        <v>2.0758465350000006</v>
      </c>
      <c r="N72" s="90">
        <f>(L72*1000)/('AD Total'!D175*'AD Total'!E175)</f>
        <v>0.15000000000000002</v>
      </c>
      <c r="P72" s="88">
        <f t="shared" si="15"/>
        <v>2016</v>
      </c>
      <c r="Q72" s="80">
        <f t="shared" si="11"/>
        <v>2623.3003649999996</v>
      </c>
      <c r="R72" s="90">
        <f>(Q72*'GWP (SAR)'!$D$4)/1000</f>
        <v>55.089307664999993</v>
      </c>
    </row>
    <row r="73" spans="1:18" x14ac:dyDescent="0.35">
      <c r="A73" s="136"/>
    </row>
    <row r="74" spans="1:18" x14ac:dyDescent="0.35">
      <c r="D74" s="152"/>
    </row>
    <row r="76" spans="1:18" s="177" customFormat="1" ht="46" x14ac:dyDescent="1">
      <c r="A76" s="233" t="s">
        <v>411</v>
      </c>
      <c r="B76" s="233"/>
      <c r="C76" s="233"/>
      <c r="D76" s="233"/>
      <c r="E76" s="233"/>
      <c r="F76" s="233"/>
      <c r="G76" s="233"/>
      <c r="H76" s="233"/>
      <c r="I76" s="233"/>
      <c r="J76" s="233"/>
      <c r="K76" s="233"/>
      <c r="L76" s="233"/>
      <c r="M76" s="233"/>
      <c r="N76" s="233"/>
      <c r="O76" s="233"/>
      <c r="P76" s="233"/>
      <c r="Q76" s="233"/>
      <c r="R76" s="233"/>
    </row>
    <row r="77" spans="1:18" x14ac:dyDescent="0.35">
      <c r="D77" s="150"/>
    </row>
    <row r="78" spans="1:18" x14ac:dyDescent="0.35">
      <c r="D78" s="151"/>
    </row>
    <row r="79" spans="1:18" x14ac:dyDescent="0.35">
      <c r="D79" s="151"/>
      <c r="E79" s="177"/>
      <c r="F79" s="177"/>
      <c r="G79" s="177"/>
      <c r="H79" s="177"/>
    </row>
    <row r="80" spans="1:18" ht="87" x14ac:dyDescent="0.35">
      <c r="A80" s="177"/>
      <c r="D80" s="186" t="s">
        <v>398</v>
      </c>
      <c r="E80" s="186" t="s">
        <v>49</v>
      </c>
      <c r="F80" s="186" t="s">
        <v>399</v>
      </c>
      <c r="G80" s="186" t="s">
        <v>397</v>
      </c>
      <c r="H80" s="185" t="s">
        <v>400</v>
      </c>
      <c r="I80" s="209" t="s">
        <v>410</v>
      </c>
    </row>
    <row r="81" spans="1:10" x14ac:dyDescent="0.35">
      <c r="C81" s="70">
        <v>2000</v>
      </c>
      <c r="D81" s="216">
        <f>C6</f>
        <v>352.64523000000003</v>
      </c>
      <c r="E81" s="216">
        <f>H6</f>
        <v>0</v>
      </c>
      <c r="F81" s="216">
        <f>L6</f>
        <v>0.56415920000000008</v>
      </c>
      <c r="G81" s="216">
        <f>(D30+L30+R56)</f>
        <v>207.03850556769697</v>
      </c>
      <c r="H81" s="205">
        <f>SUM(D81:G81)</f>
        <v>560.24789476769706</v>
      </c>
      <c r="I81" s="85"/>
      <c r="J81" s="208"/>
    </row>
    <row r="82" spans="1:10" x14ac:dyDescent="0.35">
      <c r="B82" s="177"/>
      <c r="C82" s="70">
        <f t="shared" ref="C82:C97" si="16">C81+1</f>
        <v>2001</v>
      </c>
      <c r="D82" s="216">
        <f t="shared" ref="D82:D97" si="17">C7</f>
        <v>356.95400999999998</v>
      </c>
      <c r="E82" s="216">
        <f t="shared" ref="E82:E97" si="18">H7</f>
        <v>0</v>
      </c>
      <c r="F82" s="216">
        <f t="shared" ref="F82:F97" si="19">L7</f>
        <v>0.55207680000000003</v>
      </c>
      <c r="G82" s="216">
        <f t="shared" ref="G82:G97" si="20">(D31+L31+R57)</f>
        <v>217.2992667145237</v>
      </c>
      <c r="H82" s="205">
        <f t="shared" ref="H82:H97" si="21">SUM(D82:G82)</f>
        <v>574.80535351452363</v>
      </c>
      <c r="I82" s="210">
        <f>(H82-H81)/H81</f>
        <v>2.5983959748501543E-2</v>
      </c>
      <c r="J82" s="208"/>
    </row>
    <row r="83" spans="1:10" x14ac:dyDescent="0.35">
      <c r="B83" s="177"/>
      <c r="C83" s="70">
        <f t="shared" si="16"/>
        <v>2002</v>
      </c>
      <c r="D83" s="216">
        <f t="shared" si="17"/>
        <v>370.03490999999997</v>
      </c>
      <c r="E83" s="216">
        <f t="shared" si="18"/>
        <v>0</v>
      </c>
      <c r="F83" s="216">
        <f t="shared" si="19"/>
        <v>0.55888800000000005</v>
      </c>
      <c r="G83" s="216">
        <f t="shared" si="20"/>
        <v>202.98212667442542</v>
      </c>
      <c r="H83" s="205">
        <f t="shared" si="21"/>
        <v>573.57592467442544</v>
      </c>
      <c r="I83" s="210">
        <f t="shared" ref="I83:I97" si="22">(H83-H82)/H82</f>
        <v>-2.1388611511377132E-3</v>
      </c>
      <c r="J83" s="208"/>
    </row>
    <row r="84" spans="1:10" x14ac:dyDescent="0.35">
      <c r="B84" s="177"/>
      <c r="C84" s="70">
        <f t="shared" si="16"/>
        <v>2003</v>
      </c>
      <c r="D84" s="216">
        <f t="shared" si="17"/>
        <v>386.47224</v>
      </c>
      <c r="E84" s="216">
        <f t="shared" si="18"/>
        <v>0</v>
      </c>
      <c r="F84" s="216">
        <f t="shared" si="19"/>
        <v>0.51880399999999993</v>
      </c>
      <c r="G84" s="216">
        <f t="shared" si="20"/>
        <v>206.25039543546941</v>
      </c>
      <c r="H84" s="205">
        <f t="shared" si="21"/>
        <v>593.24143943546937</v>
      </c>
      <c r="I84" s="210">
        <f t="shared" si="22"/>
        <v>3.4285809280099271E-2</v>
      </c>
      <c r="J84" s="208"/>
    </row>
    <row r="85" spans="1:10" x14ac:dyDescent="0.35">
      <c r="B85" s="177"/>
      <c r="C85" s="70">
        <f t="shared" si="16"/>
        <v>2004</v>
      </c>
      <c r="D85" s="216">
        <f t="shared" si="17"/>
        <v>400.09598999999997</v>
      </c>
      <c r="E85" s="216">
        <f t="shared" si="18"/>
        <v>0</v>
      </c>
      <c r="F85" s="216">
        <f t="shared" si="19"/>
        <v>0.52330080000000001</v>
      </c>
      <c r="G85" s="216">
        <f t="shared" si="20"/>
        <v>212.04774589035026</v>
      </c>
      <c r="H85" s="205">
        <f t="shared" si="21"/>
        <v>612.66703669035019</v>
      </c>
      <c r="I85" s="210">
        <f t="shared" si="22"/>
        <v>3.2744842088857244E-2</v>
      </c>
      <c r="J85" s="208"/>
    </row>
    <row r="86" spans="1:10" x14ac:dyDescent="0.35">
      <c r="B86" s="177"/>
      <c r="C86" s="70">
        <f t="shared" si="16"/>
        <v>2005</v>
      </c>
      <c r="D86" s="216">
        <f t="shared" si="17"/>
        <v>413.28020999999995</v>
      </c>
      <c r="E86" s="216">
        <f t="shared" si="18"/>
        <v>0</v>
      </c>
      <c r="F86" s="216">
        <f t="shared" si="19"/>
        <v>0.52252639999999995</v>
      </c>
      <c r="G86" s="216">
        <f t="shared" si="20"/>
        <v>205.89464190632998</v>
      </c>
      <c r="H86" s="205">
        <f t="shared" si="21"/>
        <v>619.69737830632994</v>
      </c>
      <c r="I86" s="210">
        <f t="shared" si="22"/>
        <v>1.1474979385145174E-2</v>
      </c>
      <c r="J86" s="208"/>
    </row>
    <row r="87" spans="1:10" x14ac:dyDescent="0.35">
      <c r="B87" s="177"/>
      <c r="C87" s="70">
        <f t="shared" si="16"/>
        <v>2006</v>
      </c>
      <c r="D87" s="216">
        <f t="shared" si="17"/>
        <v>430.84775999999999</v>
      </c>
      <c r="E87" s="216">
        <f t="shared" si="18"/>
        <v>0</v>
      </c>
      <c r="F87" s="216">
        <f t="shared" si="19"/>
        <v>0.54822240000000011</v>
      </c>
      <c r="G87" s="216">
        <f t="shared" si="20"/>
        <v>196.9903798477483</v>
      </c>
      <c r="H87" s="205">
        <f t="shared" si="21"/>
        <v>628.38636224774825</v>
      </c>
      <c r="I87" s="210">
        <f t="shared" si="22"/>
        <v>1.4021334034308533E-2</v>
      </c>
      <c r="J87" s="208"/>
    </row>
    <row r="88" spans="1:10" x14ac:dyDescent="0.35">
      <c r="B88" s="177"/>
      <c r="C88" s="70">
        <f t="shared" si="16"/>
        <v>2007</v>
      </c>
      <c r="D88" s="216">
        <f t="shared" si="17"/>
        <v>443.77199999999999</v>
      </c>
      <c r="E88" s="216">
        <f t="shared" si="18"/>
        <v>0</v>
      </c>
      <c r="F88" s="216">
        <f t="shared" si="19"/>
        <v>0.52944319999999989</v>
      </c>
      <c r="G88" s="216">
        <f t="shared" si="20"/>
        <v>189.93821101665446</v>
      </c>
      <c r="H88" s="205">
        <f t="shared" si="21"/>
        <v>634.23965421665446</v>
      </c>
      <c r="I88" s="210">
        <f t="shared" si="22"/>
        <v>9.3147979023110641E-3</v>
      </c>
      <c r="J88" s="208"/>
    </row>
    <row r="89" spans="1:10" x14ac:dyDescent="0.35">
      <c r="B89" s="177"/>
      <c r="C89" s="70">
        <f t="shared" si="16"/>
        <v>2008</v>
      </c>
      <c r="D89" s="216">
        <f t="shared" si="17"/>
        <v>450.69213000000002</v>
      </c>
      <c r="E89" s="216">
        <f t="shared" si="18"/>
        <v>0</v>
      </c>
      <c r="F89" s="216">
        <f t="shared" si="19"/>
        <v>0.53775919999999999</v>
      </c>
      <c r="G89" s="216">
        <f t="shared" si="20"/>
        <v>191.09523238115656</v>
      </c>
      <c r="H89" s="205">
        <f t="shared" si="21"/>
        <v>642.32512158115651</v>
      </c>
      <c r="I89" s="210">
        <f t="shared" si="22"/>
        <v>1.274828420258327E-2</v>
      </c>
      <c r="J89" s="208"/>
    </row>
    <row r="90" spans="1:10" x14ac:dyDescent="0.35">
      <c r="B90" s="177"/>
      <c r="C90" s="70">
        <f t="shared" si="16"/>
        <v>2009</v>
      </c>
      <c r="D90" s="216">
        <f t="shared" si="17"/>
        <v>410.47692000000001</v>
      </c>
      <c r="E90" s="216">
        <f t="shared" si="18"/>
        <v>0</v>
      </c>
      <c r="F90" s="216">
        <f t="shared" si="19"/>
        <v>0.51835520000000002</v>
      </c>
      <c r="G90" s="216">
        <f t="shared" si="20"/>
        <v>194.43962564207072</v>
      </c>
      <c r="H90" s="205">
        <f t="shared" si="21"/>
        <v>605.43490084207065</v>
      </c>
      <c r="I90" s="210">
        <f t="shared" si="22"/>
        <v>-5.7432318151088936E-2</v>
      </c>
      <c r="J90" s="208"/>
    </row>
    <row r="91" spans="1:10" x14ac:dyDescent="0.35">
      <c r="B91" s="177"/>
      <c r="C91" s="70">
        <f t="shared" si="16"/>
        <v>2010</v>
      </c>
      <c r="D91" s="216">
        <f t="shared" si="17"/>
        <v>440.99432999999999</v>
      </c>
      <c r="E91" s="216">
        <f t="shared" si="18"/>
        <v>0</v>
      </c>
      <c r="F91" s="216">
        <f t="shared" si="19"/>
        <v>0.52667120000000001</v>
      </c>
      <c r="G91" s="216">
        <f t="shared" si="20"/>
        <v>192.19403675364185</v>
      </c>
      <c r="H91" s="205">
        <f t="shared" si="21"/>
        <v>633.71503795364185</v>
      </c>
      <c r="I91" s="210">
        <f t="shared" si="22"/>
        <v>4.6710450739192118E-2</v>
      </c>
      <c r="J91" s="208"/>
    </row>
    <row r="92" spans="1:10" x14ac:dyDescent="0.35">
      <c r="B92" s="177"/>
      <c r="C92" s="70">
        <f t="shared" si="16"/>
        <v>2011</v>
      </c>
      <c r="D92" s="216">
        <f t="shared" si="17"/>
        <v>449.12279999999998</v>
      </c>
      <c r="E92" s="216">
        <f t="shared" si="18"/>
        <v>0.81639359999999994</v>
      </c>
      <c r="F92" s="216">
        <f t="shared" si="19"/>
        <v>0.56825120000000007</v>
      </c>
      <c r="G92" s="216">
        <f t="shared" si="20"/>
        <v>198.03062319243134</v>
      </c>
      <c r="H92" s="205">
        <f t="shared" si="21"/>
        <v>648.53806799243137</v>
      </c>
      <c r="I92" s="210">
        <f t="shared" si="22"/>
        <v>2.3390686903462531E-2</v>
      </c>
      <c r="J92" s="208"/>
    </row>
    <row r="93" spans="1:10" x14ac:dyDescent="0.35">
      <c r="B93" s="177"/>
      <c r="C93" s="70">
        <f t="shared" si="16"/>
        <v>2012</v>
      </c>
      <c r="D93" s="216">
        <f t="shared" si="17"/>
        <v>441.58863000000002</v>
      </c>
      <c r="E93" s="216">
        <f t="shared" si="18"/>
        <v>5.5099439999999991</v>
      </c>
      <c r="F93" s="216">
        <f t="shared" si="19"/>
        <v>0.56825120000000007</v>
      </c>
      <c r="G93" s="216">
        <f t="shared" si="20"/>
        <v>191.77531506425657</v>
      </c>
      <c r="H93" s="205">
        <f t="shared" si="21"/>
        <v>639.44214026425664</v>
      </c>
      <c r="I93" s="210">
        <f t="shared" si="22"/>
        <v>-1.402527958972623E-2</v>
      </c>
      <c r="J93" s="208"/>
    </row>
    <row r="94" spans="1:10" x14ac:dyDescent="0.35">
      <c r="B94" s="177"/>
      <c r="C94" s="70">
        <f t="shared" si="16"/>
        <v>2013</v>
      </c>
      <c r="D94" s="216">
        <f t="shared" si="17"/>
        <v>417.5976</v>
      </c>
      <c r="E94" s="216">
        <f t="shared" si="18"/>
        <v>3.0503087999999998</v>
      </c>
      <c r="F94" s="216">
        <f t="shared" si="19"/>
        <v>0.58765519999999993</v>
      </c>
      <c r="G94" s="216">
        <f t="shared" si="20"/>
        <v>189.28009391521726</v>
      </c>
      <c r="H94" s="205">
        <f t="shared" si="21"/>
        <v>610.51565791521716</v>
      </c>
      <c r="I94" s="210">
        <f t="shared" si="22"/>
        <v>-4.52370598176174E-2</v>
      </c>
      <c r="J94" s="208"/>
    </row>
    <row r="95" spans="1:10" x14ac:dyDescent="0.35">
      <c r="A95" s="136"/>
      <c r="B95" s="177"/>
      <c r="C95" s="70">
        <f t="shared" si="16"/>
        <v>2014</v>
      </c>
      <c r="D95" s="216">
        <f t="shared" si="17"/>
        <v>418.27379999999999</v>
      </c>
      <c r="E95" s="216">
        <f t="shared" si="18"/>
        <v>6.4994687999999998</v>
      </c>
      <c r="F95" s="216">
        <f t="shared" si="19"/>
        <v>0.66342760000000001</v>
      </c>
      <c r="G95" s="216">
        <f t="shared" si="20"/>
        <v>186.68926012259743</v>
      </c>
      <c r="H95" s="205">
        <f t="shared" si="21"/>
        <v>612.12595652259733</v>
      </c>
      <c r="I95" s="210">
        <f t="shared" si="22"/>
        <v>2.6376041081059326E-3</v>
      </c>
      <c r="J95" s="208"/>
    </row>
    <row r="96" spans="1:10" x14ac:dyDescent="0.35">
      <c r="B96" s="177"/>
      <c r="C96" s="70">
        <f t="shared" si="16"/>
        <v>2015</v>
      </c>
      <c r="D96" s="216">
        <f t="shared" si="17"/>
        <v>403.60487999999998</v>
      </c>
      <c r="E96" s="216">
        <f t="shared" si="18"/>
        <v>6.0158735999999999</v>
      </c>
      <c r="F96" s="216">
        <f t="shared" si="19"/>
        <v>0.73920000000000008</v>
      </c>
      <c r="G96" s="216">
        <f t="shared" si="20"/>
        <v>181.76454225858598</v>
      </c>
      <c r="H96" s="205">
        <f t="shared" si="21"/>
        <v>592.12449585858599</v>
      </c>
      <c r="I96" s="210">
        <f t="shared" si="22"/>
        <v>-3.2675400301004832E-2</v>
      </c>
      <c r="J96" s="208"/>
    </row>
    <row r="97" spans="2:10" x14ac:dyDescent="0.35">
      <c r="B97" s="177"/>
      <c r="C97" s="70">
        <f t="shared" si="16"/>
        <v>2016</v>
      </c>
      <c r="D97" s="216">
        <f t="shared" si="17"/>
        <v>404.37473999999997</v>
      </c>
      <c r="E97" s="216">
        <f t="shared" si="18"/>
        <v>6.0679871999999992</v>
      </c>
      <c r="F97" s="216">
        <f t="shared" si="19"/>
        <v>0.73953306489997639</v>
      </c>
      <c r="G97" s="216">
        <f t="shared" si="20"/>
        <v>182.69757585513173</v>
      </c>
      <c r="H97" s="205">
        <f t="shared" si="21"/>
        <v>593.87983612003177</v>
      </c>
      <c r="I97" s="210">
        <f t="shared" si="22"/>
        <v>2.9644783719013708E-3</v>
      </c>
      <c r="J97" s="208"/>
    </row>
    <row r="98" spans="2:10" x14ac:dyDescent="0.35">
      <c r="D98" s="150"/>
      <c r="E98" s="213"/>
      <c r="G98" s="212"/>
    </row>
    <row r="99" spans="2:10" x14ac:dyDescent="0.35">
      <c r="D99" s="236" t="s">
        <v>409</v>
      </c>
      <c r="E99" s="236"/>
      <c r="F99" s="236"/>
      <c r="G99" s="236"/>
      <c r="H99" s="236"/>
    </row>
    <row r="100" spans="2:10" ht="87" x14ac:dyDescent="0.35">
      <c r="C100" s="177"/>
      <c r="D100" s="186" t="s">
        <v>398</v>
      </c>
      <c r="E100" s="186" t="s">
        <v>49</v>
      </c>
      <c r="F100" s="186" t="s">
        <v>399</v>
      </c>
      <c r="G100" s="186" t="s">
        <v>397</v>
      </c>
      <c r="H100" s="185" t="s">
        <v>400</v>
      </c>
    </row>
    <row r="101" spans="2:10" x14ac:dyDescent="0.35">
      <c r="C101" s="70">
        <v>2000</v>
      </c>
      <c r="D101" s="206">
        <f>D81/$H81</f>
        <v>0.6294449890725996</v>
      </c>
      <c r="E101" s="206">
        <f t="shared" ref="E101:H101" si="23">E81/$H81</f>
        <v>0</v>
      </c>
      <c r="F101" s="206">
        <f t="shared" si="23"/>
        <v>1.0069813831856073E-3</v>
      </c>
      <c r="G101" s="206">
        <f t="shared" si="23"/>
        <v>0.36954802954421467</v>
      </c>
      <c r="H101" s="207">
        <f t="shared" si="23"/>
        <v>1</v>
      </c>
    </row>
    <row r="102" spans="2:10" x14ac:dyDescent="0.35">
      <c r="C102" s="70">
        <f t="shared" ref="C102:C117" si="24">C101+1</f>
        <v>2001</v>
      </c>
      <c r="D102" s="206">
        <f t="shared" ref="D102:H102" si="25">D82/$H82</f>
        <v>0.62099980074555938</v>
      </c>
      <c r="E102" s="206">
        <f t="shared" si="25"/>
        <v>0</v>
      </c>
      <c r="F102" s="206">
        <f t="shared" si="25"/>
        <v>9.6045869549482316E-4</v>
      </c>
      <c r="G102" s="206">
        <f t="shared" si="25"/>
        <v>0.3780397405589459</v>
      </c>
      <c r="H102" s="207">
        <f t="shared" si="25"/>
        <v>1</v>
      </c>
    </row>
    <row r="103" spans="2:10" x14ac:dyDescent="0.35">
      <c r="C103" s="70">
        <f t="shared" si="24"/>
        <v>2002</v>
      </c>
      <c r="D103" s="206">
        <f t="shared" ref="D103:H103" si="26">D83/$H83</f>
        <v>0.6451367536216589</v>
      </c>
      <c r="E103" s="206">
        <f t="shared" si="26"/>
        <v>0</v>
      </c>
      <c r="F103" s="206">
        <f t="shared" si="26"/>
        <v>9.7439236194796252E-4</v>
      </c>
      <c r="G103" s="206">
        <f t="shared" si="26"/>
        <v>0.35388885401639308</v>
      </c>
      <c r="H103" s="207">
        <f t="shared" si="26"/>
        <v>1</v>
      </c>
    </row>
    <row r="104" spans="2:10" x14ac:dyDescent="0.35">
      <c r="C104" s="70">
        <f t="shared" si="24"/>
        <v>2003</v>
      </c>
      <c r="D104" s="206">
        <f t="shared" ref="D104:H104" si="27">D84/$H84</f>
        <v>0.6514586040512752</v>
      </c>
      <c r="E104" s="206">
        <f t="shared" si="27"/>
        <v>0</v>
      </c>
      <c r="F104" s="206">
        <f t="shared" si="27"/>
        <v>8.7452420804199997E-4</v>
      </c>
      <c r="G104" s="206">
        <f t="shared" si="27"/>
        <v>0.34766687174068289</v>
      </c>
      <c r="H104" s="207">
        <f t="shared" si="27"/>
        <v>1</v>
      </c>
    </row>
    <row r="105" spans="2:10" x14ac:dyDescent="0.35">
      <c r="C105" s="70">
        <f t="shared" si="24"/>
        <v>2004</v>
      </c>
      <c r="D105" s="206">
        <f t="shared" ref="D105:H105" si="28">D85/$H85</f>
        <v>0.65303985042403001</v>
      </c>
      <c r="E105" s="206">
        <f t="shared" si="28"/>
        <v>0</v>
      </c>
      <c r="F105" s="206">
        <f t="shared" si="28"/>
        <v>8.5413571917772844E-4</v>
      </c>
      <c r="G105" s="206">
        <f t="shared" si="28"/>
        <v>0.34610601385679235</v>
      </c>
      <c r="H105" s="207">
        <f t="shared" si="28"/>
        <v>1</v>
      </c>
    </row>
    <row r="106" spans="2:10" x14ac:dyDescent="0.35">
      <c r="C106" s="70">
        <f t="shared" si="24"/>
        <v>2005</v>
      </c>
      <c r="D106" s="206">
        <f t="shared" ref="D106:H106" si="29">D86/$H86</f>
        <v>0.66690650060440715</v>
      </c>
      <c r="E106" s="206">
        <f t="shared" si="29"/>
        <v>0</v>
      </c>
      <c r="F106" s="206">
        <f t="shared" si="29"/>
        <v>8.4319607971893625E-4</v>
      </c>
      <c r="G106" s="206">
        <f t="shared" si="29"/>
        <v>0.33225030331587391</v>
      </c>
      <c r="H106" s="207">
        <f t="shared" si="29"/>
        <v>1</v>
      </c>
    </row>
    <row r="107" spans="2:10" x14ac:dyDescent="0.35">
      <c r="C107" s="70">
        <f t="shared" si="24"/>
        <v>2006</v>
      </c>
      <c r="D107" s="206">
        <f t="shared" ref="D107:H107" si="30">D87/$H87</f>
        <v>0.68564148728315899</v>
      </c>
      <c r="E107" s="206">
        <f t="shared" si="30"/>
        <v>0</v>
      </c>
      <c r="F107" s="206">
        <f t="shared" si="30"/>
        <v>8.7242886373122366E-4</v>
      </c>
      <c r="G107" s="206">
        <f t="shared" si="30"/>
        <v>0.31348608385310989</v>
      </c>
      <c r="H107" s="207">
        <f t="shared" si="30"/>
        <v>1</v>
      </c>
    </row>
    <row r="108" spans="2:10" x14ac:dyDescent="0.35">
      <c r="C108" s="70">
        <f t="shared" si="24"/>
        <v>2007</v>
      </c>
      <c r="D108" s="206">
        <f t="shared" ref="D108:H108" si="31">D88/$H88</f>
        <v>0.69969135018544382</v>
      </c>
      <c r="E108" s="206">
        <f t="shared" si="31"/>
        <v>0</v>
      </c>
      <c r="F108" s="206">
        <f t="shared" si="31"/>
        <v>8.3476836631085768E-4</v>
      </c>
      <c r="G108" s="206">
        <f t="shared" si="31"/>
        <v>0.29947388144824527</v>
      </c>
      <c r="H108" s="207">
        <f t="shared" si="31"/>
        <v>1</v>
      </c>
    </row>
    <row r="109" spans="2:10" x14ac:dyDescent="0.35">
      <c r="C109" s="70">
        <f t="shared" si="24"/>
        <v>2008</v>
      </c>
      <c r="D109" s="206">
        <f t="shared" ref="D109:H109" si="32">D89/$H89</f>
        <v>0.70165733031049748</v>
      </c>
      <c r="E109" s="206">
        <f t="shared" si="32"/>
        <v>0</v>
      </c>
      <c r="F109" s="206">
        <f t="shared" si="32"/>
        <v>8.3720717426751803E-4</v>
      </c>
      <c r="G109" s="206">
        <f t="shared" si="32"/>
        <v>0.29750546251523508</v>
      </c>
      <c r="H109" s="207">
        <f t="shared" si="32"/>
        <v>1</v>
      </c>
    </row>
    <row r="110" spans="2:10" x14ac:dyDescent="0.35">
      <c r="C110" s="70">
        <f t="shared" si="24"/>
        <v>2009</v>
      </c>
      <c r="D110" s="206">
        <f t="shared" ref="D110:H110" si="33">D90/$H90</f>
        <v>0.67798688088362125</v>
      </c>
      <c r="E110" s="206">
        <f t="shared" si="33"/>
        <v>0</v>
      </c>
      <c r="F110" s="206">
        <f t="shared" si="33"/>
        <v>8.561700015625865E-4</v>
      </c>
      <c r="G110" s="206">
        <f t="shared" si="33"/>
        <v>0.32115694911481629</v>
      </c>
      <c r="H110" s="207">
        <f t="shared" si="33"/>
        <v>1</v>
      </c>
    </row>
    <row r="111" spans="2:10" x14ac:dyDescent="0.35">
      <c r="C111" s="70">
        <f t="shared" si="24"/>
        <v>2010</v>
      </c>
      <c r="D111" s="206">
        <f t="shared" ref="D111:H111" si="34">D91/$H91</f>
        <v>0.69588743139824316</v>
      </c>
      <c r="E111" s="206">
        <f t="shared" si="34"/>
        <v>0</v>
      </c>
      <c r="F111" s="206">
        <f t="shared" si="34"/>
        <v>8.310852172621594E-4</v>
      </c>
      <c r="G111" s="206">
        <f t="shared" si="34"/>
        <v>0.30328148338449468</v>
      </c>
      <c r="H111" s="207">
        <f t="shared" si="34"/>
        <v>1</v>
      </c>
    </row>
    <row r="112" spans="2:10" x14ac:dyDescent="0.35">
      <c r="C112" s="70">
        <f t="shared" si="24"/>
        <v>2011</v>
      </c>
      <c r="D112" s="206">
        <f t="shared" ref="D112:H112" si="35">D92/$H92</f>
        <v>0.69251570904738535</v>
      </c>
      <c r="E112" s="206">
        <f t="shared" si="35"/>
        <v>1.2588214019990688E-3</v>
      </c>
      <c r="F112" s="206">
        <f t="shared" si="35"/>
        <v>8.7620330716905851E-4</v>
      </c>
      <c r="G112" s="206">
        <f t="shared" si="35"/>
        <v>0.30534926624344649</v>
      </c>
      <c r="H112" s="207">
        <f t="shared" si="35"/>
        <v>1</v>
      </c>
    </row>
    <row r="113" spans="3:8" x14ac:dyDescent="0.35">
      <c r="C113" s="70">
        <f t="shared" si="24"/>
        <v>2012</v>
      </c>
      <c r="D113" s="206">
        <f t="shared" ref="D113:H113" si="36">D93/$H93</f>
        <v>0.6905841861118327</v>
      </c>
      <c r="E113" s="206">
        <f t="shared" si="36"/>
        <v>8.6167983826073036E-3</v>
      </c>
      <c r="F113" s="206">
        <f t="shared" si="36"/>
        <v>8.8866711187530415E-4</v>
      </c>
      <c r="G113" s="206">
        <f t="shared" si="36"/>
        <v>0.29991034839368463</v>
      </c>
      <c r="H113" s="207">
        <f t="shared" si="36"/>
        <v>1</v>
      </c>
    </row>
    <row r="114" spans="3:8" x14ac:dyDescent="0.35">
      <c r="C114" s="70">
        <f t="shared" si="24"/>
        <v>2013</v>
      </c>
      <c r="D114" s="206">
        <f t="shared" ref="D114:H114" si="37">D94/$H94</f>
        <v>0.68400800959963604</v>
      </c>
      <c r="E114" s="206">
        <f t="shared" si="37"/>
        <v>4.9962826676979329E-3</v>
      </c>
      <c r="F114" s="206">
        <f t="shared" si="37"/>
        <v>9.6255549285454713E-4</v>
      </c>
      <c r="G114" s="206">
        <f t="shared" si="37"/>
        <v>0.31003315223981159</v>
      </c>
      <c r="H114" s="207">
        <f t="shared" si="37"/>
        <v>1</v>
      </c>
    </row>
    <row r="115" spans="3:8" x14ac:dyDescent="0.35">
      <c r="C115" s="70">
        <f t="shared" si="24"/>
        <v>2014</v>
      </c>
      <c r="D115" s="206">
        <f t="shared" ref="D115:H115" si="38">D95/$H95</f>
        <v>0.68331328796471147</v>
      </c>
      <c r="E115" s="206">
        <f t="shared" si="38"/>
        <v>1.0617861782765399E-2</v>
      </c>
      <c r="F115" s="206">
        <f t="shared" si="38"/>
        <v>1.0838089659991551E-3</v>
      </c>
      <c r="G115" s="206">
        <f t="shared" si="38"/>
        <v>0.30498504128652415</v>
      </c>
      <c r="H115" s="207">
        <f t="shared" si="38"/>
        <v>1</v>
      </c>
    </row>
    <row r="116" spans="3:8" x14ac:dyDescent="0.35">
      <c r="C116" s="70">
        <f t="shared" si="24"/>
        <v>2015</v>
      </c>
      <c r="D116" s="206">
        <f t="shared" ref="D116:H116" si="39">D96/$H96</f>
        <v>0.68162165697058219</v>
      </c>
      <c r="E116" s="206">
        <f t="shared" si="39"/>
        <v>1.0159812070056192E-2</v>
      </c>
      <c r="F116" s="206">
        <f t="shared" si="39"/>
        <v>1.2483861167205273E-3</v>
      </c>
      <c r="G116" s="206">
        <f t="shared" si="39"/>
        <v>0.30697014484264107</v>
      </c>
      <c r="H116" s="207">
        <f t="shared" si="39"/>
        <v>1</v>
      </c>
    </row>
    <row r="117" spans="3:8" x14ac:dyDescent="0.35">
      <c r="C117" s="70">
        <f t="shared" si="24"/>
        <v>2016</v>
      </c>
      <c r="D117" s="206">
        <f t="shared" ref="D117:H117" si="40">D97/$H97</f>
        <v>0.68090329963361473</v>
      </c>
      <c r="E117" s="206">
        <f t="shared" si="40"/>
        <v>1.0217533633813374E-2</v>
      </c>
      <c r="F117" s="206">
        <f t="shared" si="40"/>
        <v>1.2452570704059162E-3</v>
      </c>
      <c r="G117" s="206">
        <f t="shared" si="40"/>
        <v>0.30763390966216586</v>
      </c>
      <c r="H117" s="207">
        <f t="shared" si="40"/>
        <v>1</v>
      </c>
    </row>
    <row r="119" spans="3:8" x14ac:dyDescent="0.35">
      <c r="D119" s="211"/>
    </row>
  </sheetData>
  <mergeCells count="13">
    <mergeCell ref="A76:R76"/>
    <mergeCell ref="O4:R4"/>
    <mergeCell ref="A27:L27"/>
    <mergeCell ref="D99:H99"/>
    <mergeCell ref="A2:R2"/>
    <mergeCell ref="B4:C4"/>
    <mergeCell ref="F4:H4"/>
    <mergeCell ref="K4:L4"/>
    <mergeCell ref="A53:D53"/>
    <mergeCell ref="F53:I53"/>
    <mergeCell ref="K53:N53"/>
    <mergeCell ref="P53:R53"/>
    <mergeCell ref="A51:R51"/>
  </mergeCells>
  <phoneticPr fontId="28" type="noConversion"/>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1FE7AF24C04954491C86467E44D5D3F" ma:contentTypeVersion="1" ma:contentTypeDescription="Create a new document." ma:contentTypeScope="" ma:versionID="a2d20bfa859f81238ec0f30d82f64af7">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8092DC8-C1A0-44C1-AC38-44687A71DD10}"/>
</file>

<file path=customXml/itemProps2.xml><?xml version="1.0" encoding="utf-8"?>
<ds:datastoreItem xmlns:ds="http://schemas.openxmlformats.org/officeDocument/2006/customXml" ds:itemID="{5D643469-69EF-4DAC-B9FE-062926B927D1}"/>
</file>

<file path=customXml/itemProps3.xml><?xml version="1.0" encoding="utf-8"?>
<ds:datastoreItem xmlns:ds="http://schemas.openxmlformats.org/officeDocument/2006/customXml" ds:itemID="{6C19216D-652A-4124-8F72-7290AF635E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AD Mauritius</vt:lpstr>
      <vt:lpstr>AD Rodrigues</vt:lpstr>
      <vt:lpstr>AD Total</vt:lpstr>
      <vt:lpstr>EFs</vt:lpstr>
      <vt:lpstr>IPCC_EF_Database</vt:lpstr>
      <vt:lpstr>GWP (SAR)</vt:lpstr>
      <vt:lpstr>EE RoM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Manuel Ramirez Garcia</dc:creator>
  <cp:lastModifiedBy>Jose Manuel Ramirez Garcia</cp:lastModifiedBy>
  <dcterms:created xsi:type="dcterms:W3CDTF">2015-06-05T18:17:20Z</dcterms:created>
  <dcterms:modified xsi:type="dcterms:W3CDTF">2020-12-16T09:41:40Z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0x01010081FE7AF24C04954491C86467E44D5D3F</vt:lpwstr>
  </property>
</Properties>
</file>