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4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5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6.xml" ContentType="application/vnd.openxmlformats-officedocument.drawing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drawings/drawing7.xml" ContentType="application/vnd.openxmlformats-officedocument.drawing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drawings/drawing8.xml" ContentType="application/vnd.openxmlformats-officedocument.drawing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Trabajo\Final Draft all docs\06. Review from MUR_November 2020_03112020\Calculations_TO UPDATE\"/>
    </mc:Choice>
  </mc:AlternateContent>
  <xr:revisionPtr revIDLastSave="0" documentId="13_ncr:1_{F6C8B473-2481-4AAC-B3D2-A3D5FA43C542}" xr6:coauthVersionLast="45" xr6:coauthVersionMax="45" xr10:uidLastSave="{00000000-0000-0000-0000-000000000000}"/>
  <bookViews>
    <workbookView xWindow="-110" yWindow="-110" windowWidth="19420" windowHeight="10420" tabRatio="905" firstSheet="1" activeTab="7" xr2:uid="{7E9F71D7-8E47-4ACC-89BB-F2B21E3A37A5}"/>
  </bookViews>
  <sheets>
    <sheet name="Introduction" sheetId="13" r:id="rId1"/>
    <sheet name="Activity Data Rep. Mauritius" sheetId="6" r:id="rId2"/>
    <sheet name="Hoja2" sheetId="23" r:id="rId3"/>
    <sheet name="Activity Data Mauritius Island" sheetId="3" state="hidden" r:id="rId4"/>
    <sheet name="Activity Data Rodrigues Island" sheetId="4" state="hidden" r:id="rId5"/>
    <sheet name="Emissions GEI HFCs" sheetId="18" r:id="rId6"/>
    <sheet name="Emissions GEI" sheetId="11" r:id="rId7"/>
    <sheet name="Emissions CO2eq." sheetId="14" r:id="rId8"/>
    <sheet name="Inf Source" sheetId="7" r:id="rId9"/>
    <sheet name="Activity Data Calculations" sheetId="5" r:id="rId10"/>
    <sheet name="Transport Data 14-16" sheetId="21" r:id="rId11"/>
    <sheet name="Transport QA-QC" sheetId="12" state="hidden" r:id="rId12"/>
    <sheet name="Emission Factors EF" sheetId="8" r:id="rId13"/>
    <sheet name="Conversion Factors CF" sheetId="9" r:id="rId14"/>
    <sheet name="Global Warming Potential GWP" sheetId="10" r:id="rId15"/>
    <sheet name="Comparissons" sheetId="15" r:id="rId16"/>
    <sheet name="Comparisson with TNC" sheetId="19" r:id="rId17"/>
    <sheet name="Reference Approach" sheetId="20" r:id="rId18"/>
    <sheet name="Activity Data IPCC Software" sheetId="17" state="hidden" r:id="rId19"/>
    <sheet name="Cualitative Analysis" sheetId="16" r:id="rId20"/>
  </sheets>
  <definedNames>
    <definedName name="_xlnm._FilterDatabase" localSheetId="19" hidden="1">'Cualitative Analysis'!$B$143:$E$143</definedName>
  </definedNames>
  <calcPr calcId="191029"/>
  <pivotCaches>
    <pivotCache cacheId="1" r:id="rId2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23" l="1"/>
  <c r="F31" i="23"/>
  <c r="G31" i="23"/>
  <c r="H31" i="23"/>
  <c r="I31" i="23"/>
  <c r="J31" i="23"/>
  <c r="K31" i="23"/>
  <c r="L31" i="23"/>
  <c r="M31" i="23"/>
  <c r="N31" i="23"/>
  <c r="O31" i="23"/>
  <c r="P31" i="23"/>
  <c r="Q31" i="23"/>
  <c r="R31" i="23"/>
  <c r="S31" i="23"/>
  <c r="T31" i="23"/>
  <c r="E32" i="23"/>
  <c r="F32" i="23"/>
  <c r="G32" i="23"/>
  <c r="H32" i="23"/>
  <c r="I32" i="23"/>
  <c r="J32" i="23"/>
  <c r="K32" i="23"/>
  <c r="L32" i="23"/>
  <c r="M32" i="23"/>
  <c r="N32" i="23"/>
  <c r="O32" i="23"/>
  <c r="P32" i="23"/>
  <c r="Q32" i="23"/>
  <c r="R32" i="23"/>
  <c r="S32" i="23"/>
  <c r="T32" i="23"/>
  <c r="E33" i="23"/>
  <c r="F33" i="23"/>
  <c r="G33" i="23"/>
  <c r="H33" i="23"/>
  <c r="I33" i="23"/>
  <c r="J33" i="23"/>
  <c r="K33" i="23"/>
  <c r="L33" i="23"/>
  <c r="M33" i="23"/>
  <c r="N33" i="23"/>
  <c r="O33" i="23"/>
  <c r="P33" i="23"/>
  <c r="Q33" i="23"/>
  <c r="R33" i="23"/>
  <c r="S33" i="23"/>
  <c r="T33" i="23"/>
  <c r="E34" i="23"/>
  <c r="F34" i="23"/>
  <c r="G34" i="23"/>
  <c r="H34" i="23"/>
  <c r="I34" i="23"/>
  <c r="J34" i="23"/>
  <c r="K34" i="23"/>
  <c r="L34" i="23"/>
  <c r="M34" i="23"/>
  <c r="N34" i="23"/>
  <c r="O34" i="23"/>
  <c r="P34" i="23"/>
  <c r="Q34" i="23"/>
  <c r="R34" i="23"/>
  <c r="S34" i="23"/>
  <c r="T34" i="23"/>
  <c r="E35" i="23"/>
  <c r="F35" i="23"/>
  <c r="G35" i="23"/>
  <c r="H35" i="23"/>
  <c r="I35" i="23"/>
  <c r="J35" i="23"/>
  <c r="K35" i="23"/>
  <c r="L35" i="23"/>
  <c r="M35" i="23"/>
  <c r="N35" i="23"/>
  <c r="O35" i="23"/>
  <c r="P35" i="23"/>
  <c r="Q35" i="23"/>
  <c r="R35" i="23"/>
  <c r="S35" i="23"/>
  <c r="T35" i="23"/>
  <c r="E36" i="23"/>
  <c r="F36" i="23"/>
  <c r="G36" i="23"/>
  <c r="H36" i="23"/>
  <c r="I36" i="23"/>
  <c r="J36" i="23"/>
  <c r="K36" i="23"/>
  <c r="L36" i="23"/>
  <c r="M36" i="23"/>
  <c r="N36" i="23"/>
  <c r="O36" i="23"/>
  <c r="P36" i="23"/>
  <c r="Q36" i="23"/>
  <c r="R36" i="23"/>
  <c r="S36" i="23"/>
  <c r="T36" i="23"/>
  <c r="E37" i="23"/>
  <c r="F37" i="23"/>
  <c r="G37" i="23"/>
  <c r="H37" i="23"/>
  <c r="I37" i="23"/>
  <c r="J37" i="23"/>
  <c r="K37" i="23"/>
  <c r="L37" i="23"/>
  <c r="M37" i="23"/>
  <c r="N37" i="23"/>
  <c r="O37" i="23"/>
  <c r="P37" i="23"/>
  <c r="Q37" i="23"/>
  <c r="R37" i="23"/>
  <c r="S37" i="23"/>
  <c r="T37" i="23"/>
  <c r="E38" i="23"/>
  <c r="F38" i="23"/>
  <c r="G38" i="23"/>
  <c r="H38" i="23"/>
  <c r="I38" i="23"/>
  <c r="J38" i="23"/>
  <c r="K38" i="23"/>
  <c r="L38" i="23"/>
  <c r="M38" i="23"/>
  <c r="N38" i="23"/>
  <c r="O38" i="23"/>
  <c r="P38" i="23"/>
  <c r="Q38" i="23"/>
  <c r="R38" i="23"/>
  <c r="S38" i="23"/>
  <c r="T38" i="23"/>
  <c r="E39" i="23"/>
  <c r="F39" i="23"/>
  <c r="G39" i="23"/>
  <c r="H39" i="23"/>
  <c r="I39" i="23"/>
  <c r="J39" i="23"/>
  <c r="K39" i="23"/>
  <c r="L39" i="23"/>
  <c r="M39" i="23"/>
  <c r="N39" i="23"/>
  <c r="O39" i="23"/>
  <c r="P39" i="23"/>
  <c r="Q39" i="23"/>
  <c r="R39" i="23"/>
  <c r="S39" i="23"/>
  <c r="T39" i="23"/>
  <c r="E40" i="23"/>
  <c r="F40" i="23"/>
  <c r="G40" i="23"/>
  <c r="H40" i="23"/>
  <c r="I40" i="23"/>
  <c r="J40" i="23"/>
  <c r="K40" i="23"/>
  <c r="L40" i="23"/>
  <c r="M40" i="23"/>
  <c r="N40" i="23"/>
  <c r="O40" i="23"/>
  <c r="P40" i="23"/>
  <c r="Q40" i="23"/>
  <c r="R40" i="23"/>
  <c r="S40" i="23"/>
  <c r="T40" i="23"/>
  <c r="E41" i="23"/>
  <c r="F41" i="23"/>
  <c r="G41" i="23"/>
  <c r="H41" i="23"/>
  <c r="I41" i="23"/>
  <c r="J41" i="23"/>
  <c r="K41" i="23"/>
  <c r="L41" i="23"/>
  <c r="M41" i="23"/>
  <c r="N41" i="23"/>
  <c r="O41" i="23"/>
  <c r="P41" i="23"/>
  <c r="Q41" i="23"/>
  <c r="R41" i="23"/>
  <c r="S41" i="23"/>
  <c r="T41" i="23"/>
  <c r="E42" i="23"/>
  <c r="F42" i="23"/>
  <c r="G42" i="23"/>
  <c r="H42" i="23"/>
  <c r="I42" i="23"/>
  <c r="J42" i="23"/>
  <c r="K42" i="23"/>
  <c r="L42" i="23"/>
  <c r="M42" i="23"/>
  <c r="N42" i="23"/>
  <c r="O42" i="23"/>
  <c r="P42" i="23"/>
  <c r="Q42" i="23"/>
  <c r="R42" i="23"/>
  <c r="S42" i="23"/>
  <c r="T42" i="23"/>
  <c r="E43" i="23"/>
  <c r="F43" i="23"/>
  <c r="G43" i="23"/>
  <c r="H43" i="23"/>
  <c r="I43" i="23"/>
  <c r="J43" i="23"/>
  <c r="K43" i="23"/>
  <c r="L43" i="23"/>
  <c r="M43" i="23"/>
  <c r="N43" i="23"/>
  <c r="O43" i="23"/>
  <c r="P43" i="23"/>
  <c r="Q43" i="23"/>
  <c r="R43" i="23"/>
  <c r="S43" i="23"/>
  <c r="T43" i="23"/>
  <c r="E44" i="23"/>
  <c r="F44" i="23"/>
  <c r="G44" i="23"/>
  <c r="H44" i="23"/>
  <c r="I44" i="23"/>
  <c r="J44" i="23"/>
  <c r="K44" i="23"/>
  <c r="L44" i="23"/>
  <c r="M44" i="23"/>
  <c r="N44" i="23"/>
  <c r="O44" i="23"/>
  <c r="P44" i="23"/>
  <c r="Q44" i="23"/>
  <c r="R44" i="23"/>
  <c r="S44" i="23"/>
  <c r="T44" i="23"/>
  <c r="D44" i="23"/>
  <c r="D43" i="23"/>
  <c r="D42" i="23"/>
  <c r="D41" i="23"/>
  <c r="D40" i="23"/>
  <c r="D39" i="23"/>
  <c r="D38" i="23"/>
  <c r="D37" i="23"/>
  <c r="D32" i="23"/>
  <c r="D33" i="23"/>
  <c r="D34" i="23"/>
  <c r="D35" i="23"/>
  <c r="D36" i="23"/>
  <c r="D31" i="23"/>
  <c r="P20" i="23"/>
  <c r="P21" i="23"/>
  <c r="P22" i="23"/>
  <c r="P23" i="23"/>
  <c r="P24" i="23"/>
  <c r="P25" i="23"/>
  <c r="E20" i="23"/>
  <c r="F20" i="23"/>
  <c r="G20" i="23"/>
  <c r="H20" i="23"/>
  <c r="I20" i="23"/>
  <c r="J20" i="23"/>
  <c r="K20" i="23"/>
  <c r="L20" i="23"/>
  <c r="M20" i="23"/>
  <c r="N20" i="23"/>
  <c r="O20" i="23"/>
  <c r="Q20" i="23"/>
  <c r="R20" i="23"/>
  <c r="S20" i="23"/>
  <c r="T20" i="23"/>
  <c r="E21" i="23"/>
  <c r="F21" i="23"/>
  <c r="G21" i="23"/>
  <c r="H21" i="23"/>
  <c r="I21" i="23"/>
  <c r="J21" i="23"/>
  <c r="K21" i="23"/>
  <c r="L21" i="23"/>
  <c r="M21" i="23"/>
  <c r="N21" i="23"/>
  <c r="O21" i="23"/>
  <c r="Q21" i="23"/>
  <c r="R21" i="23"/>
  <c r="S21" i="23"/>
  <c r="T21" i="23"/>
  <c r="E22" i="23"/>
  <c r="F22" i="23"/>
  <c r="G22" i="23"/>
  <c r="H22" i="23"/>
  <c r="I22" i="23"/>
  <c r="J22" i="23"/>
  <c r="K22" i="23"/>
  <c r="L22" i="23"/>
  <c r="M22" i="23"/>
  <c r="N22" i="23"/>
  <c r="O22" i="23"/>
  <c r="Q22" i="23"/>
  <c r="R22" i="23"/>
  <c r="S22" i="23"/>
  <c r="T22" i="23"/>
  <c r="E23" i="23"/>
  <c r="F23" i="23"/>
  <c r="G23" i="23"/>
  <c r="H23" i="23"/>
  <c r="I23" i="23"/>
  <c r="J23" i="23"/>
  <c r="K23" i="23"/>
  <c r="L23" i="23"/>
  <c r="M23" i="23"/>
  <c r="N23" i="23"/>
  <c r="O23" i="23"/>
  <c r="Q23" i="23"/>
  <c r="R23" i="23"/>
  <c r="S23" i="23"/>
  <c r="T23" i="23"/>
  <c r="E24" i="23"/>
  <c r="F24" i="23"/>
  <c r="G24" i="23"/>
  <c r="H24" i="23"/>
  <c r="I24" i="23"/>
  <c r="J24" i="23"/>
  <c r="K24" i="23"/>
  <c r="L24" i="23"/>
  <c r="M24" i="23"/>
  <c r="N24" i="23"/>
  <c r="O24" i="23"/>
  <c r="Q24" i="23"/>
  <c r="R24" i="23"/>
  <c r="S24" i="23"/>
  <c r="T24" i="23"/>
  <c r="E25" i="23"/>
  <c r="F25" i="23"/>
  <c r="G25" i="23"/>
  <c r="H25" i="23"/>
  <c r="I25" i="23"/>
  <c r="J25" i="23"/>
  <c r="K25" i="23"/>
  <c r="L25" i="23"/>
  <c r="M25" i="23"/>
  <c r="N25" i="23"/>
  <c r="O25" i="23"/>
  <c r="Q25" i="23"/>
  <c r="R25" i="23"/>
  <c r="S25" i="23"/>
  <c r="T25" i="23"/>
  <c r="E26" i="23"/>
  <c r="F26" i="23"/>
  <c r="G26" i="23"/>
  <c r="H26" i="23"/>
  <c r="I26" i="23"/>
  <c r="J26" i="23"/>
  <c r="K26" i="23"/>
  <c r="L26" i="23"/>
  <c r="M26" i="23"/>
  <c r="N26" i="23"/>
  <c r="O26" i="23"/>
  <c r="P26" i="23"/>
  <c r="Q26" i="23"/>
  <c r="R26" i="23"/>
  <c r="S26" i="23"/>
  <c r="T26" i="23"/>
  <c r="E27" i="23"/>
  <c r="F27" i="23"/>
  <c r="G27" i="23"/>
  <c r="H27" i="23"/>
  <c r="I27" i="23"/>
  <c r="J27" i="23"/>
  <c r="K27" i="23"/>
  <c r="L27" i="23"/>
  <c r="M27" i="23"/>
  <c r="N27" i="23"/>
  <c r="O27" i="23"/>
  <c r="P27" i="23"/>
  <c r="Q27" i="23"/>
  <c r="R27" i="23"/>
  <c r="S27" i="23"/>
  <c r="T27" i="23"/>
  <c r="E28" i="23"/>
  <c r="F28" i="23"/>
  <c r="G28" i="23"/>
  <c r="H28" i="23"/>
  <c r="I28" i="23"/>
  <c r="J28" i="23"/>
  <c r="K28" i="23"/>
  <c r="L28" i="23"/>
  <c r="M28" i="23"/>
  <c r="N28" i="23"/>
  <c r="O28" i="23"/>
  <c r="P28" i="23"/>
  <c r="Q28" i="23"/>
  <c r="R28" i="23"/>
  <c r="S28" i="23"/>
  <c r="T28" i="23"/>
  <c r="E29" i="23"/>
  <c r="F29" i="23"/>
  <c r="G29" i="23"/>
  <c r="H29" i="23"/>
  <c r="I29" i="23"/>
  <c r="J29" i="23"/>
  <c r="K29" i="23"/>
  <c r="L29" i="23"/>
  <c r="M29" i="23"/>
  <c r="N29" i="23"/>
  <c r="O29" i="23"/>
  <c r="P29" i="23"/>
  <c r="Q29" i="23"/>
  <c r="R29" i="23"/>
  <c r="S29" i="23"/>
  <c r="T29" i="23"/>
  <c r="D21" i="23"/>
  <c r="D22" i="23"/>
  <c r="D23" i="23"/>
  <c r="D24" i="23"/>
  <c r="D25" i="23"/>
  <c r="D20" i="23"/>
  <c r="D29" i="23"/>
  <c r="D27" i="23"/>
  <c r="D28" i="23"/>
  <c r="D26" i="23"/>
  <c r="M57" i="6" l="1"/>
  <c r="N57" i="6"/>
  <c r="O57" i="6"/>
  <c r="P57" i="6"/>
  <c r="Q57" i="6"/>
  <c r="R57" i="6"/>
  <c r="S57" i="6"/>
  <c r="T57" i="6"/>
  <c r="U57" i="6"/>
  <c r="V57" i="6"/>
  <c r="W57" i="6"/>
  <c r="X57" i="6"/>
  <c r="Y57" i="6"/>
  <c r="Z57" i="6"/>
  <c r="AZ91" i="11"/>
  <c r="BA91" i="11"/>
  <c r="BB91" i="11"/>
  <c r="AZ92" i="11"/>
  <c r="BA92" i="11"/>
  <c r="BB92" i="11"/>
  <c r="AI91" i="11"/>
  <c r="AJ91" i="11"/>
  <c r="AK91" i="11"/>
  <c r="AI92" i="11"/>
  <c r="AJ92" i="11"/>
  <c r="AK92" i="11"/>
  <c r="R91" i="11"/>
  <c r="S91" i="11"/>
  <c r="T91" i="11"/>
  <c r="R92" i="11"/>
  <c r="S92" i="11"/>
  <c r="T92" i="11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J54" i="6"/>
  <c r="J51" i="6"/>
  <c r="J47" i="6"/>
  <c r="J57" i="6"/>
  <c r="J56" i="6"/>
  <c r="J55" i="6"/>
  <c r="J53" i="6"/>
  <c r="J50" i="6"/>
  <c r="J46" i="6"/>
  <c r="J52" i="6"/>
  <c r="J49" i="6"/>
  <c r="J48" i="6"/>
  <c r="J45" i="6"/>
  <c r="J44" i="6"/>
  <c r="J43" i="6"/>
  <c r="J42" i="6"/>
  <c r="F42" i="6"/>
  <c r="G42" i="6"/>
  <c r="H42" i="6"/>
  <c r="I42" i="6"/>
  <c r="F43" i="6"/>
  <c r="G43" i="6"/>
  <c r="H43" i="6"/>
  <c r="I43" i="6"/>
  <c r="F44" i="6"/>
  <c r="G44" i="6"/>
  <c r="H44" i="6"/>
  <c r="I44" i="6"/>
  <c r="F45" i="6"/>
  <c r="G45" i="6"/>
  <c r="H45" i="6"/>
  <c r="I45" i="6"/>
  <c r="F46" i="6"/>
  <c r="G46" i="6"/>
  <c r="H46" i="6"/>
  <c r="I46" i="6"/>
  <c r="F47" i="6"/>
  <c r="G47" i="6"/>
  <c r="H47" i="6"/>
  <c r="I47" i="6"/>
  <c r="F48" i="6"/>
  <c r="G48" i="6"/>
  <c r="H48" i="6"/>
  <c r="I48" i="6"/>
  <c r="F49" i="6"/>
  <c r="G49" i="6"/>
  <c r="H49" i="6"/>
  <c r="I49" i="6"/>
  <c r="F50" i="6"/>
  <c r="G50" i="6"/>
  <c r="H50" i="6"/>
  <c r="I50" i="6"/>
  <c r="F51" i="6"/>
  <c r="G51" i="6"/>
  <c r="H51" i="6"/>
  <c r="I51" i="6"/>
  <c r="F52" i="6"/>
  <c r="G52" i="6"/>
  <c r="H52" i="6"/>
  <c r="I52" i="6"/>
  <c r="F53" i="6"/>
  <c r="G53" i="6"/>
  <c r="H53" i="6"/>
  <c r="I53" i="6"/>
  <c r="F54" i="6"/>
  <c r="G54" i="6"/>
  <c r="H54" i="6"/>
  <c r="I54" i="6"/>
  <c r="F55" i="6"/>
  <c r="G55" i="6"/>
  <c r="H55" i="6"/>
  <c r="I55" i="6"/>
  <c r="F56" i="6"/>
  <c r="G56" i="6"/>
  <c r="H56" i="6"/>
  <c r="I56" i="6"/>
  <c r="F57" i="6"/>
  <c r="G57" i="6"/>
  <c r="H57" i="6"/>
  <c r="I57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AB42" i="6" l="1"/>
  <c r="AC42" i="6"/>
  <c r="AB43" i="6"/>
  <c r="AC43" i="6"/>
  <c r="AB44" i="6"/>
  <c r="AC44" i="6"/>
  <c r="AB45" i="6"/>
  <c r="AC45" i="6"/>
  <c r="AB46" i="6"/>
  <c r="AC46" i="6"/>
  <c r="AB47" i="6"/>
  <c r="AC47" i="6"/>
  <c r="AB48" i="6"/>
  <c r="AC48" i="6"/>
  <c r="AB49" i="6"/>
  <c r="AC49" i="6"/>
  <c r="AB50" i="6"/>
  <c r="AC50" i="6"/>
  <c r="AB51" i="6"/>
  <c r="AC51" i="6"/>
  <c r="AB52" i="6"/>
  <c r="AC52" i="6"/>
  <c r="AB53" i="6"/>
  <c r="AC53" i="6"/>
  <c r="AB54" i="6"/>
  <c r="AC54" i="6"/>
  <c r="AB55" i="6"/>
  <c r="AC55" i="6"/>
  <c r="AB56" i="6"/>
  <c r="AC56" i="6"/>
  <c r="AB57" i="6"/>
  <c r="AC57" i="6"/>
  <c r="AA57" i="6"/>
  <c r="AA56" i="6"/>
  <c r="AA55" i="6"/>
  <c r="AA54" i="6"/>
  <c r="AA53" i="6"/>
  <c r="AA52" i="6"/>
  <c r="AA51" i="6"/>
  <c r="AA50" i="6"/>
  <c r="AA49" i="6"/>
  <c r="AA48" i="6"/>
  <c r="AA47" i="6"/>
  <c r="AA46" i="6"/>
  <c r="AA45" i="6"/>
  <c r="AA44" i="6"/>
  <c r="AA43" i="6"/>
  <c r="AA42" i="6"/>
  <c r="AZ47" i="11" l="1"/>
  <c r="R47" i="11"/>
  <c r="AI47" i="11"/>
  <c r="AZ55" i="11"/>
  <c r="R55" i="11"/>
  <c r="AI55" i="11"/>
  <c r="BB56" i="11"/>
  <c r="AK56" i="11"/>
  <c r="T56" i="11"/>
  <c r="BB52" i="11"/>
  <c r="AK52" i="11"/>
  <c r="T52" i="11"/>
  <c r="BB48" i="11"/>
  <c r="AK48" i="11"/>
  <c r="T48" i="11"/>
  <c r="AZ48" i="11"/>
  <c r="R48" i="11"/>
  <c r="AI48" i="11"/>
  <c r="R52" i="11"/>
  <c r="AI52" i="11"/>
  <c r="AZ52" i="11"/>
  <c r="AI56" i="11"/>
  <c r="R56" i="11"/>
  <c r="AZ56" i="11"/>
  <c r="BA58" i="11"/>
  <c r="AJ58" i="11"/>
  <c r="S58" i="11"/>
  <c r="BA56" i="11"/>
  <c r="AJ56" i="11"/>
  <c r="S56" i="11"/>
  <c r="BA54" i="11"/>
  <c r="AJ54" i="11"/>
  <c r="S54" i="11"/>
  <c r="BA52" i="11"/>
  <c r="AJ52" i="11"/>
  <c r="S52" i="11"/>
  <c r="BA50" i="11"/>
  <c r="AJ50" i="11"/>
  <c r="S50" i="11"/>
  <c r="BA48" i="11"/>
  <c r="AJ48" i="11"/>
  <c r="S48" i="11"/>
  <c r="BA46" i="11"/>
  <c r="AJ46" i="11"/>
  <c r="S46" i="11"/>
  <c r="BA44" i="11"/>
  <c r="AJ44" i="11"/>
  <c r="S44" i="11"/>
  <c r="AZ43" i="11"/>
  <c r="R43" i="11"/>
  <c r="AI43" i="11"/>
  <c r="BB54" i="11"/>
  <c r="AK54" i="11"/>
  <c r="T54" i="11"/>
  <c r="AZ44" i="11"/>
  <c r="R44" i="11"/>
  <c r="AI44" i="11"/>
  <c r="AZ45" i="11"/>
  <c r="R45" i="11"/>
  <c r="AI45" i="11"/>
  <c r="AZ49" i="11"/>
  <c r="R49" i="11"/>
  <c r="AI49" i="11"/>
  <c r="AZ53" i="11"/>
  <c r="R53" i="11"/>
  <c r="AI53" i="11"/>
  <c r="R57" i="11"/>
  <c r="AZ57" i="11"/>
  <c r="AI57" i="11"/>
  <c r="BB57" i="11"/>
  <c r="AK57" i="11"/>
  <c r="T57" i="11"/>
  <c r="T57" i="14" s="1"/>
  <c r="BB55" i="11"/>
  <c r="AK55" i="11"/>
  <c r="T55" i="11"/>
  <c r="BB53" i="11"/>
  <c r="AK53" i="11"/>
  <c r="T53" i="11"/>
  <c r="BB51" i="11"/>
  <c r="AK51" i="11"/>
  <c r="T51" i="11"/>
  <c r="BB49" i="11"/>
  <c r="AK49" i="11"/>
  <c r="T49" i="11"/>
  <c r="BB47" i="11"/>
  <c r="AK47" i="11"/>
  <c r="T47" i="11"/>
  <c r="BB45" i="11"/>
  <c r="AK45" i="11"/>
  <c r="T45" i="11"/>
  <c r="BB43" i="11"/>
  <c r="AK43" i="11"/>
  <c r="T43" i="11"/>
  <c r="AZ51" i="11"/>
  <c r="R51" i="11"/>
  <c r="AI51" i="11"/>
  <c r="BB58" i="11"/>
  <c r="AK58" i="11"/>
  <c r="T58" i="11"/>
  <c r="BB50" i="11"/>
  <c r="AK50" i="11"/>
  <c r="T50" i="11"/>
  <c r="BB46" i="11"/>
  <c r="AK46" i="11"/>
  <c r="T46" i="11"/>
  <c r="BB44" i="11"/>
  <c r="AK44" i="11"/>
  <c r="T44" i="11"/>
  <c r="AZ46" i="11"/>
  <c r="R46" i="11"/>
  <c r="AI46" i="11"/>
  <c r="AZ50" i="11"/>
  <c r="R50" i="11"/>
  <c r="AI50" i="11"/>
  <c r="AI54" i="11"/>
  <c r="R54" i="11"/>
  <c r="R54" i="14" s="1"/>
  <c r="AZ54" i="11"/>
  <c r="R58" i="11"/>
  <c r="AI58" i="11"/>
  <c r="AZ58" i="11"/>
  <c r="BA57" i="11"/>
  <c r="AJ57" i="11"/>
  <c r="S57" i="11"/>
  <c r="BA55" i="11"/>
  <c r="AJ55" i="11"/>
  <c r="S55" i="11"/>
  <c r="BA53" i="11"/>
  <c r="AJ53" i="11"/>
  <c r="S53" i="11"/>
  <c r="AJ51" i="11"/>
  <c r="S51" i="11"/>
  <c r="BA51" i="11"/>
  <c r="BA49" i="11"/>
  <c r="AJ49" i="11"/>
  <c r="S49" i="11"/>
  <c r="BA47" i="11"/>
  <c r="AJ47" i="11"/>
  <c r="S47" i="11"/>
  <c r="BA45" i="11"/>
  <c r="AJ45" i="11"/>
  <c r="S45" i="11"/>
  <c r="BA43" i="11"/>
  <c r="AJ43" i="11"/>
  <c r="S43" i="11"/>
  <c r="S88" i="11" s="1"/>
  <c r="O267" i="5"/>
  <c r="H246" i="5"/>
  <c r="I246" i="5"/>
  <c r="J246" i="5"/>
  <c r="K246" i="5"/>
  <c r="Q42" i="6" s="1"/>
  <c r="L246" i="5"/>
  <c r="M246" i="5"/>
  <c r="N246" i="5"/>
  <c r="O246" i="5"/>
  <c r="U42" i="6" s="1"/>
  <c r="P246" i="5"/>
  <c r="Q246" i="5"/>
  <c r="R246" i="5"/>
  <c r="S246" i="5"/>
  <c r="Y42" i="6" s="1"/>
  <c r="T246" i="5"/>
  <c r="Z42" i="6" s="1"/>
  <c r="U246" i="5"/>
  <c r="V246" i="5"/>
  <c r="W246" i="5"/>
  <c r="W267" i="5" s="1"/>
  <c r="H247" i="5"/>
  <c r="N43" i="6" s="1"/>
  <c r="I247" i="5"/>
  <c r="O43" i="6" s="1"/>
  <c r="J247" i="5"/>
  <c r="P43" i="6" s="1"/>
  <c r="K247" i="5"/>
  <c r="Q43" i="6" s="1"/>
  <c r="L247" i="5"/>
  <c r="R43" i="6" s="1"/>
  <c r="M247" i="5"/>
  <c r="S43" i="6" s="1"/>
  <c r="N247" i="5"/>
  <c r="T43" i="6" s="1"/>
  <c r="O247" i="5"/>
  <c r="U43" i="6" s="1"/>
  <c r="P247" i="5"/>
  <c r="V43" i="6" s="1"/>
  <c r="Q247" i="5"/>
  <c r="W43" i="6" s="1"/>
  <c r="R247" i="5"/>
  <c r="X43" i="6" s="1"/>
  <c r="S247" i="5"/>
  <c r="Y43" i="6" s="1"/>
  <c r="T247" i="5"/>
  <c r="Z43" i="6" s="1"/>
  <c r="U247" i="5"/>
  <c r="V247" i="5"/>
  <c r="W247" i="5"/>
  <c r="H248" i="5"/>
  <c r="N44" i="6" s="1"/>
  <c r="I248" i="5"/>
  <c r="O44" i="6" s="1"/>
  <c r="J248" i="5"/>
  <c r="P44" i="6" s="1"/>
  <c r="K248" i="5"/>
  <c r="Q44" i="6" s="1"/>
  <c r="L248" i="5"/>
  <c r="R44" i="6" s="1"/>
  <c r="M248" i="5"/>
  <c r="S44" i="6" s="1"/>
  <c r="N248" i="5"/>
  <c r="T44" i="6" s="1"/>
  <c r="O248" i="5"/>
  <c r="U44" i="6" s="1"/>
  <c r="P248" i="5"/>
  <c r="V44" i="6" s="1"/>
  <c r="Q248" i="5"/>
  <c r="W44" i="6" s="1"/>
  <c r="R248" i="5"/>
  <c r="X44" i="6" s="1"/>
  <c r="S248" i="5"/>
  <c r="Y44" i="6" s="1"/>
  <c r="T248" i="5"/>
  <c r="Z44" i="6" s="1"/>
  <c r="U248" i="5"/>
  <c r="V248" i="5"/>
  <c r="W248" i="5"/>
  <c r="H249" i="5"/>
  <c r="I249" i="5"/>
  <c r="J249" i="5"/>
  <c r="K249" i="5"/>
  <c r="L249" i="5"/>
  <c r="M249" i="5"/>
  <c r="N249" i="5"/>
  <c r="O249" i="5"/>
  <c r="P249" i="5"/>
  <c r="Q249" i="5"/>
  <c r="R249" i="5"/>
  <c r="S249" i="5"/>
  <c r="T249" i="5"/>
  <c r="U249" i="5"/>
  <c r="V249" i="5"/>
  <c r="W249" i="5"/>
  <c r="H250" i="5"/>
  <c r="I250" i="5"/>
  <c r="J250" i="5"/>
  <c r="K250" i="5"/>
  <c r="L250" i="5"/>
  <c r="M250" i="5"/>
  <c r="N250" i="5"/>
  <c r="O250" i="5"/>
  <c r="P250" i="5"/>
  <c r="Q250" i="5"/>
  <c r="R250" i="5"/>
  <c r="S250" i="5"/>
  <c r="T250" i="5"/>
  <c r="U250" i="5"/>
  <c r="V250" i="5"/>
  <c r="W250" i="5"/>
  <c r="H251" i="5"/>
  <c r="N45" i="6" s="1"/>
  <c r="I251" i="5"/>
  <c r="O45" i="6" s="1"/>
  <c r="J251" i="5"/>
  <c r="P45" i="6" s="1"/>
  <c r="K251" i="5"/>
  <c r="Q45" i="6" s="1"/>
  <c r="L251" i="5"/>
  <c r="R45" i="6" s="1"/>
  <c r="M251" i="5"/>
  <c r="S45" i="6" s="1"/>
  <c r="N251" i="5"/>
  <c r="T45" i="6" s="1"/>
  <c r="O251" i="5"/>
  <c r="U45" i="6" s="1"/>
  <c r="P251" i="5"/>
  <c r="V45" i="6" s="1"/>
  <c r="Q251" i="5"/>
  <c r="W45" i="6" s="1"/>
  <c r="R251" i="5"/>
  <c r="X45" i="6" s="1"/>
  <c r="S251" i="5"/>
  <c r="Y45" i="6" s="1"/>
  <c r="T251" i="5"/>
  <c r="U251" i="5"/>
  <c r="V251" i="5"/>
  <c r="W251" i="5"/>
  <c r="H252" i="5"/>
  <c r="N46" i="6" s="1"/>
  <c r="I252" i="5"/>
  <c r="O46" i="6" s="1"/>
  <c r="J252" i="5"/>
  <c r="P46" i="6" s="1"/>
  <c r="K252" i="5"/>
  <c r="Q46" i="6" s="1"/>
  <c r="L252" i="5"/>
  <c r="R46" i="6" s="1"/>
  <c r="M252" i="5"/>
  <c r="S46" i="6" s="1"/>
  <c r="N252" i="5"/>
  <c r="T46" i="6" s="1"/>
  <c r="O252" i="5"/>
  <c r="U46" i="6" s="1"/>
  <c r="P252" i="5"/>
  <c r="V46" i="6" s="1"/>
  <c r="Q252" i="5"/>
  <c r="W46" i="6" s="1"/>
  <c r="R252" i="5"/>
  <c r="X46" i="6" s="1"/>
  <c r="S252" i="5"/>
  <c r="Y46" i="6" s="1"/>
  <c r="T252" i="5"/>
  <c r="Z46" i="6" s="1"/>
  <c r="U252" i="5"/>
  <c r="V252" i="5"/>
  <c r="W252" i="5"/>
  <c r="H253" i="5"/>
  <c r="N47" i="6" s="1"/>
  <c r="I253" i="5"/>
  <c r="O47" i="6" s="1"/>
  <c r="J253" i="5"/>
  <c r="P47" i="6" s="1"/>
  <c r="K253" i="5"/>
  <c r="Q47" i="6" s="1"/>
  <c r="L253" i="5"/>
  <c r="R47" i="6" s="1"/>
  <c r="M253" i="5"/>
  <c r="S47" i="6" s="1"/>
  <c r="N253" i="5"/>
  <c r="T47" i="6" s="1"/>
  <c r="O253" i="5"/>
  <c r="U47" i="6" s="1"/>
  <c r="P253" i="5"/>
  <c r="V47" i="6" s="1"/>
  <c r="Q253" i="5"/>
  <c r="W47" i="6" s="1"/>
  <c r="R253" i="5"/>
  <c r="X47" i="6" s="1"/>
  <c r="S253" i="5"/>
  <c r="Y47" i="6" s="1"/>
  <c r="T253" i="5"/>
  <c r="Z47" i="6" s="1"/>
  <c r="U253" i="5"/>
  <c r="V253" i="5"/>
  <c r="W253" i="5"/>
  <c r="H254" i="5"/>
  <c r="I254" i="5"/>
  <c r="J254" i="5"/>
  <c r="K254" i="5"/>
  <c r="L254" i="5"/>
  <c r="M254" i="5"/>
  <c r="N254" i="5"/>
  <c r="O254" i="5"/>
  <c r="P254" i="5"/>
  <c r="Q254" i="5"/>
  <c r="R254" i="5"/>
  <c r="S254" i="5"/>
  <c r="T254" i="5"/>
  <c r="U254" i="5"/>
  <c r="V254" i="5"/>
  <c r="W254" i="5"/>
  <c r="H255" i="5"/>
  <c r="I255" i="5"/>
  <c r="J255" i="5"/>
  <c r="K255" i="5"/>
  <c r="L255" i="5"/>
  <c r="M255" i="5"/>
  <c r="N255" i="5"/>
  <c r="O255" i="5"/>
  <c r="P255" i="5"/>
  <c r="Q255" i="5"/>
  <c r="R255" i="5"/>
  <c r="S255" i="5"/>
  <c r="T255" i="5"/>
  <c r="U255" i="5"/>
  <c r="V255" i="5"/>
  <c r="W255" i="5"/>
  <c r="H256" i="5"/>
  <c r="N48" i="6" s="1"/>
  <c r="I256" i="5"/>
  <c r="O48" i="6" s="1"/>
  <c r="J256" i="5"/>
  <c r="P48" i="6" s="1"/>
  <c r="K256" i="5"/>
  <c r="Q48" i="6" s="1"/>
  <c r="L256" i="5"/>
  <c r="R48" i="6" s="1"/>
  <c r="M256" i="5"/>
  <c r="S48" i="6" s="1"/>
  <c r="N256" i="5"/>
  <c r="T48" i="6" s="1"/>
  <c r="O256" i="5"/>
  <c r="U48" i="6" s="1"/>
  <c r="P256" i="5"/>
  <c r="V48" i="6" s="1"/>
  <c r="Q256" i="5"/>
  <c r="W48" i="6" s="1"/>
  <c r="R256" i="5"/>
  <c r="X48" i="6" s="1"/>
  <c r="S256" i="5"/>
  <c r="Y48" i="6" s="1"/>
  <c r="T256" i="5"/>
  <c r="Z48" i="6" s="1"/>
  <c r="U256" i="5"/>
  <c r="V256" i="5"/>
  <c r="W256" i="5"/>
  <c r="H257" i="5"/>
  <c r="N49" i="6" s="1"/>
  <c r="I257" i="5"/>
  <c r="O49" i="6" s="1"/>
  <c r="J257" i="5"/>
  <c r="P49" i="6" s="1"/>
  <c r="K257" i="5"/>
  <c r="Q49" i="6" s="1"/>
  <c r="L257" i="5"/>
  <c r="R49" i="6" s="1"/>
  <c r="M257" i="5"/>
  <c r="S49" i="6" s="1"/>
  <c r="N257" i="5"/>
  <c r="T49" i="6" s="1"/>
  <c r="O257" i="5"/>
  <c r="U49" i="6" s="1"/>
  <c r="P257" i="5"/>
  <c r="V49" i="6" s="1"/>
  <c r="Q257" i="5"/>
  <c r="W49" i="6" s="1"/>
  <c r="R257" i="5"/>
  <c r="X49" i="6" s="1"/>
  <c r="S257" i="5"/>
  <c r="Y49" i="6" s="1"/>
  <c r="T257" i="5"/>
  <c r="Z49" i="6" s="1"/>
  <c r="U257" i="5"/>
  <c r="V257" i="5"/>
  <c r="W257" i="5"/>
  <c r="H258" i="5"/>
  <c r="N50" i="6" s="1"/>
  <c r="I258" i="5"/>
  <c r="O50" i="6" s="1"/>
  <c r="J258" i="5"/>
  <c r="P50" i="6" s="1"/>
  <c r="K258" i="5"/>
  <c r="Q50" i="6" s="1"/>
  <c r="L258" i="5"/>
  <c r="R50" i="6" s="1"/>
  <c r="M258" i="5"/>
  <c r="S50" i="6" s="1"/>
  <c r="N258" i="5"/>
  <c r="T50" i="6" s="1"/>
  <c r="O258" i="5"/>
  <c r="U50" i="6" s="1"/>
  <c r="P258" i="5"/>
  <c r="V50" i="6" s="1"/>
  <c r="Q258" i="5"/>
  <c r="W50" i="6" s="1"/>
  <c r="R258" i="5"/>
  <c r="X50" i="6" s="1"/>
  <c r="S258" i="5"/>
  <c r="Y50" i="6" s="1"/>
  <c r="T258" i="5"/>
  <c r="Z50" i="6" s="1"/>
  <c r="U258" i="5"/>
  <c r="V258" i="5"/>
  <c r="W258" i="5"/>
  <c r="H259" i="5"/>
  <c r="N51" i="6" s="1"/>
  <c r="I259" i="5"/>
  <c r="O51" i="6" s="1"/>
  <c r="J259" i="5"/>
  <c r="P51" i="6" s="1"/>
  <c r="K259" i="5"/>
  <c r="Q51" i="6" s="1"/>
  <c r="L259" i="5"/>
  <c r="R51" i="6" s="1"/>
  <c r="M259" i="5"/>
  <c r="S51" i="6" s="1"/>
  <c r="N259" i="5"/>
  <c r="T51" i="6" s="1"/>
  <c r="O259" i="5"/>
  <c r="U51" i="6" s="1"/>
  <c r="P259" i="5"/>
  <c r="V51" i="6" s="1"/>
  <c r="Q259" i="5"/>
  <c r="W51" i="6" s="1"/>
  <c r="R259" i="5"/>
  <c r="X51" i="6" s="1"/>
  <c r="S259" i="5"/>
  <c r="Y51" i="6" s="1"/>
  <c r="T259" i="5"/>
  <c r="Z51" i="6" s="1"/>
  <c r="U259" i="5"/>
  <c r="V259" i="5"/>
  <c r="W259" i="5"/>
  <c r="H260" i="5"/>
  <c r="N52" i="6" s="1"/>
  <c r="I260" i="5"/>
  <c r="O52" i="6" s="1"/>
  <c r="J260" i="5"/>
  <c r="P52" i="6" s="1"/>
  <c r="K260" i="5"/>
  <c r="Q52" i="6" s="1"/>
  <c r="L260" i="5"/>
  <c r="R52" i="6" s="1"/>
  <c r="M260" i="5"/>
  <c r="S52" i="6" s="1"/>
  <c r="N260" i="5"/>
  <c r="T52" i="6" s="1"/>
  <c r="O260" i="5"/>
  <c r="U52" i="6" s="1"/>
  <c r="P260" i="5"/>
  <c r="V52" i="6" s="1"/>
  <c r="Q260" i="5"/>
  <c r="W52" i="6" s="1"/>
  <c r="R260" i="5"/>
  <c r="X52" i="6" s="1"/>
  <c r="S260" i="5"/>
  <c r="Y52" i="6" s="1"/>
  <c r="T260" i="5"/>
  <c r="Z52" i="6" s="1"/>
  <c r="U260" i="5"/>
  <c r="V260" i="5"/>
  <c r="W260" i="5"/>
  <c r="H261" i="5"/>
  <c r="N53" i="6" s="1"/>
  <c r="I261" i="5"/>
  <c r="O53" i="6" s="1"/>
  <c r="J261" i="5"/>
  <c r="P53" i="6" s="1"/>
  <c r="K261" i="5"/>
  <c r="Q53" i="6" s="1"/>
  <c r="L261" i="5"/>
  <c r="R53" i="6" s="1"/>
  <c r="M261" i="5"/>
  <c r="S53" i="6" s="1"/>
  <c r="N261" i="5"/>
  <c r="T53" i="6" s="1"/>
  <c r="O261" i="5"/>
  <c r="U53" i="6" s="1"/>
  <c r="P261" i="5"/>
  <c r="V53" i="6" s="1"/>
  <c r="Q261" i="5"/>
  <c r="W53" i="6" s="1"/>
  <c r="R261" i="5"/>
  <c r="X53" i="6" s="1"/>
  <c r="S261" i="5"/>
  <c r="Y53" i="6" s="1"/>
  <c r="T261" i="5"/>
  <c r="Z53" i="6" s="1"/>
  <c r="U261" i="5"/>
  <c r="V261" i="5"/>
  <c r="W261" i="5"/>
  <c r="H262" i="5"/>
  <c r="N54" i="6" s="1"/>
  <c r="I262" i="5"/>
  <c r="O54" i="6" s="1"/>
  <c r="J262" i="5"/>
  <c r="P54" i="6" s="1"/>
  <c r="K262" i="5"/>
  <c r="Q54" i="6" s="1"/>
  <c r="L262" i="5"/>
  <c r="R54" i="6" s="1"/>
  <c r="M262" i="5"/>
  <c r="S54" i="6" s="1"/>
  <c r="N262" i="5"/>
  <c r="T54" i="6" s="1"/>
  <c r="O262" i="5"/>
  <c r="U54" i="6" s="1"/>
  <c r="P262" i="5"/>
  <c r="V54" i="6" s="1"/>
  <c r="Q262" i="5"/>
  <c r="W54" i="6" s="1"/>
  <c r="R262" i="5"/>
  <c r="X54" i="6" s="1"/>
  <c r="S262" i="5"/>
  <c r="Y54" i="6" s="1"/>
  <c r="T262" i="5"/>
  <c r="Z54" i="6" s="1"/>
  <c r="U262" i="5"/>
  <c r="V262" i="5"/>
  <c r="W262" i="5"/>
  <c r="H263" i="5"/>
  <c r="N55" i="6" s="1"/>
  <c r="I263" i="5"/>
  <c r="O55" i="6" s="1"/>
  <c r="J263" i="5"/>
  <c r="P55" i="6" s="1"/>
  <c r="K263" i="5"/>
  <c r="Q55" i="6" s="1"/>
  <c r="L263" i="5"/>
  <c r="R55" i="6" s="1"/>
  <c r="M263" i="5"/>
  <c r="S55" i="6" s="1"/>
  <c r="N263" i="5"/>
  <c r="T55" i="6" s="1"/>
  <c r="O263" i="5"/>
  <c r="U55" i="6" s="1"/>
  <c r="P263" i="5"/>
  <c r="V55" i="6" s="1"/>
  <c r="Q263" i="5"/>
  <c r="W55" i="6" s="1"/>
  <c r="R263" i="5"/>
  <c r="X55" i="6" s="1"/>
  <c r="S263" i="5"/>
  <c r="Y55" i="6" s="1"/>
  <c r="T263" i="5"/>
  <c r="Z55" i="6" s="1"/>
  <c r="U263" i="5"/>
  <c r="V263" i="5"/>
  <c r="W263" i="5"/>
  <c r="H264" i="5"/>
  <c r="N56" i="6" s="1"/>
  <c r="I264" i="5"/>
  <c r="O56" i="6" s="1"/>
  <c r="J264" i="5"/>
  <c r="P56" i="6" s="1"/>
  <c r="K264" i="5"/>
  <c r="Q56" i="6" s="1"/>
  <c r="L264" i="5"/>
  <c r="R56" i="6" s="1"/>
  <c r="M264" i="5"/>
  <c r="S56" i="6" s="1"/>
  <c r="N264" i="5"/>
  <c r="T56" i="6" s="1"/>
  <c r="O264" i="5"/>
  <c r="U56" i="6" s="1"/>
  <c r="P264" i="5"/>
  <c r="V56" i="6" s="1"/>
  <c r="Q264" i="5"/>
  <c r="W56" i="6" s="1"/>
  <c r="R264" i="5"/>
  <c r="X56" i="6" s="1"/>
  <c r="S264" i="5"/>
  <c r="Y56" i="6" s="1"/>
  <c r="T264" i="5"/>
  <c r="Z56" i="6" s="1"/>
  <c r="U264" i="5"/>
  <c r="V264" i="5"/>
  <c r="W264" i="5"/>
  <c r="H265" i="5"/>
  <c r="I265" i="5"/>
  <c r="J265" i="5"/>
  <c r="K265" i="5"/>
  <c r="L265" i="5"/>
  <c r="M265" i="5"/>
  <c r="N265" i="5"/>
  <c r="O265" i="5"/>
  <c r="P265" i="5"/>
  <c r="Q265" i="5"/>
  <c r="R265" i="5"/>
  <c r="S265" i="5"/>
  <c r="T265" i="5"/>
  <c r="U265" i="5"/>
  <c r="V265" i="5"/>
  <c r="W265" i="5"/>
  <c r="H266" i="5"/>
  <c r="I266" i="5"/>
  <c r="J266" i="5"/>
  <c r="K266" i="5"/>
  <c r="L266" i="5"/>
  <c r="M266" i="5"/>
  <c r="N266" i="5"/>
  <c r="O266" i="5"/>
  <c r="P266" i="5"/>
  <c r="Q266" i="5"/>
  <c r="R266" i="5"/>
  <c r="S266" i="5"/>
  <c r="T266" i="5"/>
  <c r="U266" i="5"/>
  <c r="V266" i="5"/>
  <c r="W266" i="5"/>
  <c r="G266" i="5"/>
  <c r="G247" i="5"/>
  <c r="M43" i="6" s="1"/>
  <c r="G248" i="5"/>
  <c r="M44" i="6" s="1"/>
  <c r="G249" i="5"/>
  <c r="G250" i="5"/>
  <c r="G251" i="5"/>
  <c r="M45" i="6" s="1"/>
  <c r="G252" i="5"/>
  <c r="M46" i="6" s="1"/>
  <c r="G253" i="5"/>
  <c r="M47" i="6" s="1"/>
  <c r="G254" i="5"/>
  <c r="G255" i="5"/>
  <c r="G256" i="5"/>
  <c r="M48" i="6" s="1"/>
  <c r="G257" i="5"/>
  <c r="M49" i="6" s="1"/>
  <c r="G258" i="5"/>
  <c r="M50" i="6" s="1"/>
  <c r="G259" i="5"/>
  <c r="M51" i="6" s="1"/>
  <c r="G260" i="5"/>
  <c r="M52" i="6" s="1"/>
  <c r="G261" i="5"/>
  <c r="M53" i="6" s="1"/>
  <c r="G262" i="5"/>
  <c r="M54" i="6" s="1"/>
  <c r="G263" i="5"/>
  <c r="M55" i="6" s="1"/>
  <c r="G264" i="5"/>
  <c r="M56" i="6" s="1"/>
  <c r="G265" i="5"/>
  <c r="G246" i="5"/>
  <c r="AF74" i="21"/>
  <c r="AG74" i="21"/>
  <c r="AH74" i="21"/>
  <c r="AI74" i="21"/>
  <c r="AJ74" i="21"/>
  <c r="AK74" i="21"/>
  <c r="AL74" i="21"/>
  <c r="AM74" i="21"/>
  <c r="AN74" i="21"/>
  <c r="AO74" i="21"/>
  <c r="AP74" i="21"/>
  <c r="AQ74" i="21"/>
  <c r="AR74" i="21"/>
  <c r="AS74" i="21"/>
  <c r="AT74" i="21"/>
  <c r="AU74" i="21"/>
  <c r="AE74" i="21"/>
  <c r="AF53" i="21"/>
  <c r="AG53" i="21"/>
  <c r="AH53" i="21"/>
  <c r="AI53" i="21"/>
  <c r="AJ53" i="21"/>
  <c r="AK53" i="21"/>
  <c r="AL53" i="21"/>
  <c r="AM53" i="21"/>
  <c r="AN53" i="21"/>
  <c r="AO53" i="21"/>
  <c r="AP53" i="21"/>
  <c r="AQ53" i="21"/>
  <c r="AR53" i="21"/>
  <c r="AS53" i="21"/>
  <c r="AT53" i="21"/>
  <c r="AU53" i="21"/>
  <c r="AF54" i="21"/>
  <c r="AG54" i="21"/>
  <c r="AH54" i="21"/>
  <c r="AI54" i="21"/>
  <c r="AJ54" i="21"/>
  <c r="AK54" i="21"/>
  <c r="AL54" i="21"/>
  <c r="AM54" i="21"/>
  <c r="AN54" i="21"/>
  <c r="AO54" i="21"/>
  <c r="AP54" i="21"/>
  <c r="AQ54" i="21"/>
  <c r="AR54" i="21"/>
  <c r="AS54" i="21"/>
  <c r="AT54" i="21"/>
  <c r="AU54" i="21"/>
  <c r="AF55" i="21"/>
  <c r="AG55" i="21"/>
  <c r="AH55" i="21"/>
  <c r="AI55" i="21"/>
  <c r="AJ55" i="21"/>
  <c r="AK55" i="21"/>
  <c r="AL55" i="21"/>
  <c r="AM55" i="21"/>
  <c r="AN55" i="21"/>
  <c r="AO55" i="21"/>
  <c r="AP55" i="21"/>
  <c r="AQ55" i="21"/>
  <c r="AR55" i="21"/>
  <c r="AS55" i="21"/>
  <c r="AT55" i="21"/>
  <c r="AU55" i="21"/>
  <c r="AF56" i="21"/>
  <c r="AG56" i="21"/>
  <c r="AH56" i="21"/>
  <c r="AI56" i="21"/>
  <c r="AJ56" i="21"/>
  <c r="AK56" i="21"/>
  <c r="AL56" i="21"/>
  <c r="AM56" i="21"/>
  <c r="AN56" i="21"/>
  <c r="AO56" i="21"/>
  <c r="AP56" i="21"/>
  <c r="AQ56" i="21"/>
  <c r="AR56" i="21"/>
  <c r="AS56" i="21"/>
  <c r="AT56" i="21"/>
  <c r="AU56" i="21"/>
  <c r="AF57" i="21"/>
  <c r="AG57" i="21"/>
  <c r="AH57" i="21"/>
  <c r="AI57" i="21"/>
  <c r="AJ57" i="21"/>
  <c r="AK57" i="21"/>
  <c r="AL57" i="21"/>
  <c r="AM57" i="21"/>
  <c r="AN57" i="21"/>
  <c r="AO57" i="21"/>
  <c r="AP57" i="21"/>
  <c r="AQ57" i="21"/>
  <c r="AR57" i="21"/>
  <c r="AS57" i="21"/>
  <c r="AT57" i="21"/>
  <c r="AU57" i="21"/>
  <c r="AF58" i="21"/>
  <c r="AG58" i="21"/>
  <c r="AH58" i="21"/>
  <c r="AI58" i="21"/>
  <c r="AJ58" i="21"/>
  <c r="AK58" i="21"/>
  <c r="AL58" i="21"/>
  <c r="AM58" i="21"/>
  <c r="AN58" i="21"/>
  <c r="AO58" i="21"/>
  <c r="AP58" i="21"/>
  <c r="AQ58" i="21"/>
  <c r="AR58" i="21"/>
  <c r="AS58" i="21"/>
  <c r="AT58" i="21"/>
  <c r="AU58" i="21"/>
  <c r="AF59" i="21"/>
  <c r="AG59" i="21"/>
  <c r="AH59" i="21"/>
  <c r="AI59" i="21"/>
  <c r="AJ59" i="21"/>
  <c r="AK59" i="21"/>
  <c r="AL59" i="21"/>
  <c r="AM59" i="21"/>
  <c r="AN59" i="21"/>
  <c r="AO59" i="21"/>
  <c r="AP59" i="21"/>
  <c r="AQ59" i="21"/>
  <c r="AR59" i="21"/>
  <c r="AS59" i="21"/>
  <c r="AT59" i="21"/>
  <c r="AU59" i="21"/>
  <c r="AF60" i="21"/>
  <c r="AG60" i="21"/>
  <c r="AH60" i="21"/>
  <c r="AI60" i="21"/>
  <c r="AJ60" i="21"/>
  <c r="AK60" i="21"/>
  <c r="AL60" i="21"/>
  <c r="AM60" i="21"/>
  <c r="AN60" i="21"/>
  <c r="AO60" i="21"/>
  <c r="AP60" i="21"/>
  <c r="AQ60" i="21"/>
  <c r="AR60" i="21"/>
  <c r="AS60" i="21"/>
  <c r="AT60" i="21"/>
  <c r="AU60" i="21"/>
  <c r="AF61" i="21"/>
  <c r="AG61" i="21"/>
  <c r="AH61" i="21"/>
  <c r="AI61" i="21"/>
  <c r="AJ61" i="21"/>
  <c r="AK61" i="21"/>
  <c r="AL61" i="21"/>
  <c r="AM61" i="21"/>
  <c r="AN61" i="21"/>
  <c r="AO61" i="21"/>
  <c r="AP61" i="21"/>
  <c r="AQ61" i="21"/>
  <c r="AR61" i="21"/>
  <c r="AS61" i="21"/>
  <c r="AT61" i="21"/>
  <c r="AU61" i="21"/>
  <c r="AF62" i="21"/>
  <c r="AG62" i="21"/>
  <c r="AH62" i="21"/>
  <c r="AI62" i="21"/>
  <c r="AJ62" i="21"/>
  <c r="AK62" i="21"/>
  <c r="AL62" i="21"/>
  <c r="AM62" i="21"/>
  <c r="AN62" i="21"/>
  <c r="AO62" i="21"/>
  <c r="AP62" i="21"/>
  <c r="AQ62" i="21"/>
  <c r="AR62" i="21"/>
  <c r="AS62" i="21"/>
  <c r="AT62" i="21"/>
  <c r="AU62" i="21"/>
  <c r="AF63" i="21"/>
  <c r="AG63" i="21"/>
  <c r="AH63" i="21"/>
  <c r="AI63" i="21"/>
  <c r="AJ63" i="21"/>
  <c r="AK63" i="21"/>
  <c r="AL63" i="21"/>
  <c r="AM63" i="21"/>
  <c r="AN63" i="21"/>
  <c r="AO63" i="21"/>
  <c r="AP63" i="21"/>
  <c r="AQ63" i="21"/>
  <c r="AR63" i="21"/>
  <c r="AS63" i="21"/>
  <c r="AT63" i="21"/>
  <c r="AU63" i="21"/>
  <c r="AF64" i="21"/>
  <c r="AG64" i="21"/>
  <c r="AH64" i="21"/>
  <c r="AI64" i="21"/>
  <c r="AJ64" i="21"/>
  <c r="AK64" i="21"/>
  <c r="AL64" i="21"/>
  <c r="AM64" i="21"/>
  <c r="AN64" i="21"/>
  <c r="AO64" i="21"/>
  <c r="AP64" i="21"/>
  <c r="AQ64" i="21"/>
  <c r="AR64" i="21"/>
  <c r="AS64" i="21"/>
  <c r="AT64" i="21"/>
  <c r="AU64" i="21"/>
  <c r="AF65" i="21"/>
  <c r="AG65" i="21"/>
  <c r="AH65" i="21"/>
  <c r="AI65" i="21"/>
  <c r="AJ65" i="21"/>
  <c r="AK65" i="21"/>
  <c r="AL65" i="21"/>
  <c r="AM65" i="21"/>
  <c r="AN65" i="21"/>
  <c r="AO65" i="21"/>
  <c r="AP65" i="21"/>
  <c r="AQ65" i="21"/>
  <c r="AR65" i="21"/>
  <c r="AS65" i="21"/>
  <c r="AT65" i="21"/>
  <c r="AU65" i="21"/>
  <c r="AF66" i="21"/>
  <c r="AG66" i="21"/>
  <c r="AH66" i="21"/>
  <c r="AI66" i="21"/>
  <c r="AJ66" i="21"/>
  <c r="AK66" i="21"/>
  <c r="AL66" i="21"/>
  <c r="AM66" i="21"/>
  <c r="AN66" i="21"/>
  <c r="AO66" i="21"/>
  <c r="AP66" i="21"/>
  <c r="AQ66" i="21"/>
  <c r="AR66" i="21"/>
  <c r="AS66" i="21"/>
  <c r="AT66" i="21"/>
  <c r="AU66" i="21"/>
  <c r="AF67" i="21"/>
  <c r="AG67" i="21"/>
  <c r="AH67" i="21"/>
  <c r="AI67" i="21"/>
  <c r="AJ67" i="21"/>
  <c r="AK67" i="21"/>
  <c r="AL67" i="21"/>
  <c r="AM67" i="21"/>
  <c r="AN67" i="21"/>
  <c r="AO67" i="21"/>
  <c r="AP67" i="21"/>
  <c r="AQ67" i="21"/>
  <c r="AR67" i="21"/>
  <c r="AS67" i="21"/>
  <c r="AT67" i="21"/>
  <c r="AU67" i="21"/>
  <c r="AF68" i="21"/>
  <c r="AG68" i="21"/>
  <c r="AH68" i="21"/>
  <c r="AI68" i="21"/>
  <c r="AJ68" i="21"/>
  <c r="AK68" i="21"/>
  <c r="AL68" i="21"/>
  <c r="AM68" i="21"/>
  <c r="AN68" i="21"/>
  <c r="AO68" i="21"/>
  <c r="AP68" i="21"/>
  <c r="AQ68" i="21"/>
  <c r="AR68" i="21"/>
  <c r="AS68" i="21"/>
  <c r="AT68" i="21"/>
  <c r="AU68" i="21"/>
  <c r="AF69" i="21"/>
  <c r="AG69" i="21"/>
  <c r="AH69" i="21"/>
  <c r="AI69" i="21"/>
  <c r="AJ69" i="21"/>
  <c r="AK69" i="21"/>
  <c r="AL69" i="21"/>
  <c r="AM69" i="21"/>
  <c r="AN69" i="21"/>
  <c r="AO69" i="21"/>
  <c r="AP69" i="21"/>
  <c r="AQ69" i="21"/>
  <c r="AR69" i="21"/>
  <c r="AS69" i="21"/>
  <c r="AT69" i="21"/>
  <c r="AU69" i="21"/>
  <c r="AF70" i="21"/>
  <c r="AG70" i="21"/>
  <c r="AH70" i="21"/>
  <c r="AI70" i="21"/>
  <c r="AJ70" i="21"/>
  <c r="AK70" i="21"/>
  <c r="AL70" i="21"/>
  <c r="AM70" i="21"/>
  <c r="AN70" i="21"/>
  <c r="AO70" i="21"/>
  <c r="AP70" i="21"/>
  <c r="AQ70" i="21"/>
  <c r="AR70" i="21"/>
  <c r="AS70" i="21"/>
  <c r="AT70" i="21"/>
  <c r="AU70" i="21"/>
  <c r="AF71" i="21"/>
  <c r="AG71" i="21"/>
  <c r="AH71" i="21"/>
  <c r="AI71" i="21"/>
  <c r="AJ71" i="21"/>
  <c r="AK71" i="21"/>
  <c r="AL71" i="21"/>
  <c r="AM71" i="21"/>
  <c r="AN71" i="21"/>
  <c r="AO71" i="21"/>
  <c r="AP71" i="21"/>
  <c r="AQ71" i="21"/>
  <c r="AR71" i="21"/>
  <c r="AS71" i="21"/>
  <c r="AT71" i="21"/>
  <c r="AU71" i="21"/>
  <c r="AF72" i="21"/>
  <c r="AG72" i="21"/>
  <c r="AH72" i="21"/>
  <c r="AI72" i="21"/>
  <c r="AJ72" i="21"/>
  <c r="AK72" i="21"/>
  <c r="AL72" i="21"/>
  <c r="AM72" i="21"/>
  <c r="AN72" i="21"/>
  <c r="AO72" i="21"/>
  <c r="AP72" i="21"/>
  <c r="AQ72" i="21"/>
  <c r="AR72" i="21"/>
  <c r="AS72" i="21"/>
  <c r="AT72" i="21"/>
  <c r="AU72" i="21"/>
  <c r="AF73" i="21"/>
  <c r="AG73" i="21"/>
  <c r="AH73" i="21"/>
  <c r="AI73" i="21"/>
  <c r="AJ73" i="21"/>
  <c r="AK73" i="21"/>
  <c r="AL73" i="21"/>
  <c r="AM73" i="21"/>
  <c r="AN73" i="21"/>
  <c r="AO73" i="21"/>
  <c r="AP73" i="21"/>
  <c r="AQ73" i="21"/>
  <c r="AR73" i="21"/>
  <c r="AS73" i="21"/>
  <c r="AT73" i="21"/>
  <c r="AU73" i="21"/>
  <c r="AE54" i="21"/>
  <c r="AE55" i="21"/>
  <c r="AE56" i="21"/>
  <c r="AE57" i="21"/>
  <c r="AE58" i="21"/>
  <c r="AE59" i="21"/>
  <c r="AE60" i="21"/>
  <c r="AE61" i="21"/>
  <c r="AE62" i="21"/>
  <c r="AE63" i="21"/>
  <c r="AE64" i="21"/>
  <c r="AE65" i="21"/>
  <c r="AE66" i="21"/>
  <c r="AE67" i="21"/>
  <c r="AE68" i="21"/>
  <c r="AE69" i="21"/>
  <c r="AE70" i="21"/>
  <c r="AE71" i="21"/>
  <c r="AE72" i="21"/>
  <c r="AE73" i="21"/>
  <c r="AE53" i="21"/>
  <c r="AE29" i="21"/>
  <c r="AF29" i="21"/>
  <c r="AG29" i="21"/>
  <c r="AH29" i="21"/>
  <c r="AI29" i="21"/>
  <c r="AJ29" i="21"/>
  <c r="AK29" i="21"/>
  <c r="AL29" i="21"/>
  <c r="AM29" i="21"/>
  <c r="AN29" i="21"/>
  <c r="AO29" i="21"/>
  <c r="AP29" i="21"/>
  <c r="AQ29" i="21"/>
  <c r="AE30" i="21"/>
  <c r="AF30" i="21"/>
  <c r="AG30" i="21"/>
  <c r="AH30" i="21"/>
  <c r="AI30" i="21"/>
  <c r="AJ30" i="21"/>
  <c r="AK30" i="21"/>
  <c r="AL30" i="21"/>
  <c r="AM30" i="21"/>
  <c r="AN30" i="21"/>
  <c r="AO30" i="21"/>
  <c r="AP30" i="21"/>
  <c r="AQ30" i="21"/>
  <c r="AE31" i="21"/>
  <c r="AF31" i="21"/>
  <c r="AG31" i="21"/>
  <c r="AH31" i="21"/>
  <c r="AI31" i="21"/>
  <c r="AJ31" i="21"/>
  <c r="AK31" i="21"/>
  <c r="AL31" i="21"/>
  <c r="AM31" i="21"/>
  <c r="AN31" i="21"/>
  <c r="AO31" i="21"/>
  <c r="AP31" i="21"/>
  <c r="AQ31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E33" i="21"/>
  <c r="AF33" i="21"/>
  <c r="AG33" i="21"/>
  <c r="AH33" i="21"/>
  <c r="AI33" i="21"/>
  <c r="AJ33" i="21"/>
  <c r="AK33" i="21"/>
  <c r="AL33" i="21"/>
  <c r="AM33" i="21"/>
  <c r="AN33" i="21"/>
  <c r="AO33" i="21"/>
  <c r="AP33" i="21"/>
  <c r="AQ33" i="21"/>
  <c r="AE34" i="21"/>
  <c r="AF34" i="21"/>
  <c r="AG34" i="21"/>
  <c r="AH34" i="21"/>
  <c r="AI34" i="21"/>
  <c r="AJ34" i="21"/>
  <c r="AK34" i="21"/>
  <c r="AL34" i="21"/>
  <c r="AM34" i="21"/>
  <c r="AN34" i="21"/>
  <c r="AO34" i="21"/>
  <c r="AP34" i="21"/>
  <c r="AQ34" i="21"/>
  <c r="AE35" i="21"/>
  <c r="AF35" i="21"/>
  <c r="AG35" i="21"/>
  <c r="AH35" i="21"/>
  <c r="AI35" i="21"/>
  <c r="AJ35" i="21"/>
  <c r="AK35" i="21"/>
  <c r="AL35" i="21"/>
  <c r="AM35" i="21"/>
  <c r="AN35" i="21"/>
  <c r="AO35" i="21"/>
  <c r="AP35" i="21"/>
  <c r="AQ35" i="21"/>
  <c r="AE36" i="21"/>
  <c r="AF36" i="21"/>
  <c r="AG36" i="21"/>
  <c r="AH36" i="21"/>
  <c r="AI36" i="21"/>
  <c r="AJ36" i="21"/>
  <c r="AK36" i="21"/>
  <c r="AL36" i="21"/>
  <c r="AM36" i="21"/>
  <c r="AN36" i="21"/>
  <c r="AO36" i="21"/>
  <c r="AP36" i="21"/>
  <c r="AQ36" i="21"/>
  <c r="AE37" i="21"/>
  <c r="AF37" i="21"/>
  <c r="AG37" i="21"/>
  <c r="AH37" i="21"/>
  <c r="AI37" i="21"/>
  <c r="AJ37" i="21"/>
  <c r="AK37" i="21"/>
  <c r="AL37" i="21"/>
  <c r="AM37" i="21"/>
  <c r="AN37" i="21"/>
  <c r="AO37" i="21"/>
  <c r="AP37" i="21"/>
  <c r="AQ37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E39" i="21"/>
  <c r="AF39" i="21"/>
  <c r="AG39" i="21"/>
  <c r="AH39" i="21"/>
  <c r="AI39" i="21"/>
  <c r="AJ39" i="21"/>
  <c r="AK39" i="21"/>
  <c r="AL39" i="21"/>
  <c r="AM39" i="21"/>
  <c r="AN39" i="21"/>
  <c r="AO39" i="21"/>
  <c r="AP39" i="21"/>
  <c r="AQ39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E41" i="21"/>
  <c r="AF41" i="21"/>
  <c r="AG41" i="21"/>
  <c r="AH41" i="21"/>
  <c r="AI41" i="21"/>
  <c r="AJ41" i="21"/>
  <c r="AK41" i="21"/>
  <c r="AL41" i="21"/>
  <c r="AM41" i="21"/>
  <c r="AN41" i="21"/>
  <c r="AO41" i="21"/>
  <c r="AP41" i="21"/>
  <c r="AQ41" i="21"/>
  <c r="AE42" i="21"/>
  <c r="AF42" i="21"/>
  <c r="AG42" i="21"/>
  <c r="AH42" i="21"/>
  <c r="AI42" i="21"/>
  <c r="AJ42" i="21"/>
  <c r="AK42" i="21"/>
  <c r="AL42" i="21"/>
  <c r="AM42" i="21"/>
  <c r="AN42" i="21"/>
  <c r="AO42" i="21"/>
  <c r="AP42" i="21"/>
  <c r="AQ42" i="21"/>
  <c r="AE43" i="21"/>
  <c r="AF43" i="21"/>
  <c r="AG43" i="21"/>
  <c r="AH43" i="21"/>
  <c r="AI43" i="21"/>
  <c r="AJ43" i="21"/>
  <c r="AK43" i="21"/>
  <c r="AL43" i="21"/>
  <c r="AM43" i="21"/>
  <c r="AN43" i="21"/>
  <c r="AO43" i="21"/>
  <c r="AP43" i="21"/>
  <c r="AQ43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E45" i="21"/>
  <c r="AF45" i="21"/>
  <c r="AG45" i="21"/>
  <c r="AH45" i="21"/>
  <c r="AI45" i="21"/>
  <c r="AJ45" i="21"/>
  <c r="AK45" i="21"/>
  <c r="AL45" i="21"/>
  <c r="AM45" i="21"/>
  <c r="AN45" i="21"/>
  <c r="AO45" i="21"/>
  <c r="AP45" i="21"/>
  <c r="AQ45" i="21"/>
  <c r="AE46" i="21"/>
  <c r="AF46" i="21"/>
  <c r="AG46" i="21"/>
  <c r="AH46" i="21"/>
  <c r="AI46" i="21"/>
  <c r="AJ46" i="21"/>
  <c r="AK46" i="21"/>
  <c r="AL46" i="21"/>
  <c r="AM46" i="21"/>
  <c r="AN46" i="21"/>
  <c r="AO46" i="21"/>
  <c r="AP46" i="21"/>
  <c r="AQ46" i="21"/>
  <c r="AE47" i="21"/>
  <c r="AF47" i="21"/>
  <c r="AG47" i="21"/>
  <c r="AH47" i="21"/>
  <c r="AI47" i="21"/>
  <c r="AJ47" i="21"/>
  <c r="AK47" i="21"/>
  <c r="AL47" i="21"/>
  <c r="AM47" i="21"/>
  <c r="AN47" i="21"/>
  <c r="AO47" i="21"/>
  <c r="AP47" i="21"/>
  <c r="AQ47" i="21"/>
  <c r="AE48" i="21"/>
  <c r="AF48" i="21"/>
  <c r="AG48" i="21"/>
  <c r="AH48" i="21"/>
  <c r="AI48" i="21"/>
  <c r="AJ48" i="21"/>
  <c r="AK48" i="21"/>
  <c r="AL48" i="21"/>
  <c r="AM48" i="21"/>
  <c r="AN48" i="21"/>
  <c r="AO48" i="21"/>
  <c r="AP48" i="21"/>
  <c r="AQ48" i="21"/>
  <c r="AE49" i="21"/>
  <c r="AF49" i="21"/>
  <c r="AG49" i="21"/>
  <c r="AH49" i="21"/>
  <c r="AI49" i="21"/>
  <c r="AJ49" i="21"/>
  <c r="AK49" i="21"/>
  <c r="AL49" i="21"/>
  <c r="AM49" i="21"/>
  <c r="AN49" i="21"/>
  <c r="AO49" i="21"/>
  <c r="AP49" i="21"/>
  <c r="AQ49" i="21"/>
  <c r="AR30" i="21"/>
  <c r="AR31" i="21"/>
  <c r="AR32" i="21"/>
  <c r="AR33" i="21"/>
  <c r="AR34" i="21"/>
  <c r="AR35" i="21"/>
  <c r="AR36" i="21"/>
  <c r="AR37" i="21"/>
  <c r="AR38" i="21"/>
  <c r="AR39" i="21"/>
  <c r="AR40" i="21"/>
  <c r="AR41" i="21"/>
  <c r="AR42" i="21"/>
  <c r="AR43" i="21"/>
  <c r="AR44" i="21"/>
  <c r="AR45" i="21"/>
  <c r="AR46" i="21"/>
  <c r="AR47" i="21"/>
  <c r="AR48" i="21"/>
  <c r="AR49" i="21"/>
  <c r="AR29" i="21"/>
  <c r="AH50" i="21"/>
  <c r="AG50" i="21" s="1"/>
  <c r="AF50" i="21" s="1"/>
  <c r="AE50" i="21" s="1"/>
  <c r="AI50" i="21"/>
  <c r="AJ50" i="21"/>
  <c r="AE5" i="21"/>
  <c r="AF5" i="21"/>
  <c r="AG5" i="21"/>
  <c r="AH5" i="21"/>
  <c r="AI5" i="21"/>
  <c r="AJ5" i="21"/>
  <c r="AK5" i="21"/>
  <c r="AL5" i="21"/>
  <c r="AM5" i="21"/>
  <c r="AN5" i="21"/>
  <c r="AO5" i="21"/>
  <c r="AP5" i="21"/>
  <c r="AQ5" i="21"/>
  <c r="AE6" i="21"/>
  <c r="AF6" i="21"/>
  <c r="AG6" i="21"/>
  <c r="AH6" i="21"/>
  <c r="AI6" i="21"/>
  <c r="AJ6" i="21"/>
  <c r="AK6" i="21"/>
  <c r="AL6" i="21"/>
  <c r="AM6" i="21"/>
  <c r="AN6" i="21"/>
  <c r="AO6" i="21"/>
  <c r="AP6" i="21"/>
  <c r="AQ6" i="21"/>
  <c r="AE7" i="21"/>
  <c r="AF7" i="21"/>
  <c r="AG7" i="21"/>
  <c r="AH7" i="21"/>
  <c r="AI7" i="21"/>
  <c r="AJ7" i="21"/>
  <c r="AK7" i="21"/>
  <c r="AL7" i="21"/>
  <c r="AM7" i="21"/>
  <c r="AN7" i="21"/>
  <c r="AO7" i="21"/>
  <c r="AP7" i="21"/>
  <c r="AQ7" i="21"/>
  <c r="AE8" i="21"/>
  <c r="AF8" i="21"/>
  <c r="AG8" i="21"/>
  <c r="AH8" i="21"/>
  <c r="AI8" i="21"/>
  <c r="AJ8" i="21"/>
  <c r="AK8" i="21"/>
  <c r="AL8" i="21"/>
  <c r="AM8" i="21"/>
  <c r="AN8" i="21"/>
  <c r="AO8" i="21"/>
  <c r="AP8" i="21"/>
  <c r="AQ8" i="21"/>
  <c r="AE9" i="21"/>
  <c r="AF9" i="21"/>
  <c r="AG9" i="21"/>
  <c r="AH9" i="21"/>
  <c r="AI9" i="21"/>
  <c r="AJ9" i="21"/>
  <c r="AK9" i="21"/>
  <c r="AL9" i="21"/>
  <c r="AM9" i="21"/>
  <c r="AN9" i="21"/>
  <c r="AO9" i="21"/>
  <c r="AP9" i="21"/>
  <c r="AQ9" i="21"/>
  <c r="AE10" i="21"/>
  <c r="AF10" i="21"/>
  <c r="AG10" i="21"/>
  <c r="AH10" i="21"/>
  <c r="AI10" i="21"/>
  <c r="AJ10" i="21"/>
  <c r="AK10" i="21"/>
  <c r="AL10" i="21"/>
  <c r="AM10" i="21"/>
  <c r="AN10" i="21"/>
  <c r="AO10" i="21"/>
  <c r="AP10" i="21"/>
  <c r="AQ10" i="21"/>
  <c r="AE11" i="21"/>
  <c r="AF11" i="21"/>
  <c r="AG11" i="21"/>
  <c r="AH11" i="21"/>
  <c r="AI11" i="21"/>
  <c r="AJ11" i="21"/>
  <c r="AK11" i="21"/>
  <c r="AL11" i="21"/>
  <c r="AM11" i="21"/>
  <c r="AN11" i="21"/>
  <c r="AO11" i="21"/>
  <c r="AP11" i="21"/>
  <c r="AQ11" i="21"/>
  <c r="AE12" i="21"/>
  <c r="AF12" i="21"/>
  <c r="AG12" i="21"/>
  <c r="AH12" i="21"/>
  <c r="AI12" i="21"/>
  <c r="AJ12" i="21"/>
  <c r="AK12" i="21"/>
  <c r="AL12" i="21"/>
  <c r="AM12" i="21"/>
  <c r="AN12" i="21"/>
  <c r="AO12" i="21"/>
  <c r="AP12" i="21"/>
  <c r="AQ12" i="21"/>
  <c r="AE13" i="21"/>
  <c r="AF13" i="21"/>
  <c r="AG13" i="21"/>
  <c r="AH13" i="21"/>
  <c r="AI13" i="21"/>
  <c r="AJ13" i="21"/>
  <c r="AK13" i="21"/>
  <c r="AL13" i="21"/>
  <c r="AM13" i="21"/>
  <c r="AN13" i="21"/>
  <c r="AO13" i="21"/>
  <c r="AP13" i="21"/>
  <c r="AQ13" i="21"/>
  <c r="AE14" i="21"/>
  <c r="AF14" i="21"/>
  <c r="AG14" i="21"/>
  <c r="AH14" i="21"/>
  <c r="AI14" i="21"/>
  <c r="AJ14" i="21"/>
  <c r="AK14" i="21"/>
  <c r="AL14" i="21"/>
  <c r="AM14" i="21"/>
  <c r="AN14" i="21"/>
  <c r="AO14" i="21"/>
  <c r="AP14" i="21"/>
  <c r="AQ14" i="21"/>
  <c r="AE15" i="21"/>
  <c r="AF15" i="21"/>
  <c r="AG15" i="21"/>
  <c r="AH15" i="21"/>
  <c r="AI15" i="21"/>
  <c r="AJ15" i="21"/>
  <c r="AK15" i="21"/>
  <c r="AL15" i="21"/>
  <c r="AM15" i="21"/>
  <c r="AN15" i="21"/>
  <c r="AO15" i="21"/>
  <c r="AP15" i="21"/>
  <c r="AQ15" i="21"/>
  <c r="AE16" i="21"/>
  <c r="AF16" i="21"/>
  <c r="AG16" i="21"/>
  <c r="AH16" i="21"/>
  <c r="AI16" i="21"/>
  <c r="AJ16" i="21"/>
  <c r="AK16" i="21"/>
  <c r="AL16" i="21"/>
  <c r="AM16" i="21"/>
  <c r="AN16" i="21"/>
  <c r="AO16" i="21"/>
  <c r="AP16" i="21"/>
  <c r="AQ16" i="21"/>
  <c r="AE17" i="21"/>
  <c r="AF17" i="21"/>
  <c r="AG17" i="21"/>
  <c r="AH17" i="21"/>
  <c r="AI17" i="21"/>
  <c r="AJ17" i="21"/>
  <c r="AK17" i="21"/>
  <c r="AL17" i="21"/>
  <c r="AM17" i="21"/>
  <c r="AN17" i="21"/>
  <c r="AO17" i="21"/>
  <c r="AP17" i="21"/>
  <c r="AQ17" i="21"/>
  <c r="AE18" i="21"/>
  <c r="AF18" i="21"/>
  <c r="AG18" i="21"/>
  <c r="AH18" i="21"/>
  <c r="AI18" i="21"/>
  <c r="AJ18" i="21"/>
  <c r="AK18" i="21"/>
  <c r="AL18" i="21"/>
  <c r="AM18" i="21"/>
  <c r="AN18" i="21"/>
  <c r="AO18" i="21"/>
  <c r="AP18" i="21"/>
  <c r="AQ18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E20" i="21"/>
  <c r="AF20" i="21"/>
  <c r="AG20" i="21"/>
  <c r="AH20" i="21"/>
  <c r="AI20" i="21"/>
  <c r="AJ20" i="21"/>
  <c r="AK20" i="21"/>
  <c r="AL20" i="21"/>
  <c r="AM20" i="21"/>
  <c r="AN20" i="21"/>
  <c r="AO20" i="21"/>
  <c r="AP20" i="21"/>
  <c r="AQ20" i="21"/>
  <c r="AE21" i="21"/>
  <c r="AF21" i="21"/>
  <c r="AG21" i="21"/>
  <c r="AH21" i="21"/>
  <c r="AI21" i="21"/>
  <c r="AJ21" i="21"/>
  <c r="AK21" i="21"/>
  <c r="AL21" i="21"/>
  <c r="AM21" i="21"/>
  <c r="AN21" i="21"/>
  <c r="AO21" i="21"/>
  <c r="AP21" i="21"/>
  <c r="AQ21" i="21"/>
  <c r="AE22" i="21"/>
  <c r="AF22" i="21"/>
  <c r="AG22" i="21"/>
  <c r="AH22" i="21"/>
  <c r="AI22" i="21"/>
  <c r="AJ22" i="21"/>
  <c r="AK22" i="21"/>
  <c r="AL22" i="21"/>
  <c r="AM22" i="21"/>
  <c r="AN22" i="21"/>
  <c r="AO22" i="21"/>
  <c r="AP22" i="21"/>
  <c r="AQ22" i="21"/>
  <c r="AE23" i="21"/>
  <c r="AF23" i="21"/>
  <c r="AG23" i="21"/>
  <c r="AH23" i="21"/>
  <c r="AI23" i="21"/>
  <c r="AJ23" i="21"/>
  <c r="AK23" i="21"/>
  <c r="AL23" i="21"/>
  <c r="AM23" i="21"/>
  <c r="AN23" i="21"/>
  <c r="AO23" i="21"/>
  <c r="AP23" i="21"/>
  <c r="AQ23" i="21"/>
  <c r="AE24" i="21"/>
  <c r="AF24" i="21"/>
  <c r="AG24" i="21"/>
  <c r="AH24" i="21"/>
  <c r="AI24" i="21"/>
  <c r="AJ24" i="21"/>
  <c r="AK24" i="21"/>
  <c r="AL24" i="21"/>
  <c r="AM24" i="21"/>
  <c r="AN24" i="21"/>
  <c r="AO24" i="21"/>
  <c r="AP24" i="21"/>
  <c r="AQ24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6" i="21"/>
  <c r="AR7" i="21"/>
  <c r="AR8" i="21"/>
  <c r="AR9" i="21"/>
  <c r="AR10" i="21"/>
  <c r="AR11" i="21"/>
  <c r="AR12" i="21"/>
  <c r="AR13" i="21"/>
  <c r="AR14" i="21"/>
  <c r="AR15" i="21"/>
  <c r="AR16" i="21"/>
  <c r="AR17" i="21"/>
  <c r="AR18" i="21"/>
  <c r="AR19" i="21"/>
  <c r="AR20" i="21"/>
  <c r="AR21" i="21"/>
  <c r="AR22" i="21"/>
  <c r="AR23" i="21"/>
  <c r="AR24" i="21"/>
  <c r="AR25" i="21"/>
  <c r="AR5" i="21"/>
  <c r="AL51" i="21"/>
  <c r="AM51" i="21"/>
  <c r="AN51" i="21"/>
  <c r="AO51" i="21"/>
  <c r="AP51" i="21"/>
  <c r="AQ51" i="21"/>
  <c r="AR51" i="21"/>
  <c r="AS51" i="21"/>
  <c r="AT51" i="21"/>
  <c r="AU51" i="21"/>
  <c r="AS26" i="21"/>
  <c r="AT26" i="21"/>
  <c r="AU26" i="21"/>
  <c r="AS50" i="21"/>
  <c r="AT50" i="21"/>
  <c r="AU50" i="21"/>
  <c r="AE26" i="21"/>
  <c r="AV30" i="21"/>
  <c r="AV31" i="21"/>
  <c r="AV32" i="21"/>
  <c r="AV33" i="21"/>
  <c r="AV34" i="21"/>
  <c r="AV35" i="21"/>
  <c r="AV36" i="21"/>
  <c r="AV37" i="21"/>
  <c r="AV38" i="21"/>
  <c r="AV39" i="21"/>
  <c r="AV40" i="21"/>
  <c r="AV41" i="21"/>
  <c r="AV42" i="21"/>
  <c r="AV43" i="21"/>
  <c r="AV44" i="21"/>
  <c r="AV45" i="21"/>
  <c r="AV46" i="21"/>
  <c r="AV47" i="21"/>
  <c r="AV48" i="21"/>
  <c r="AV49" i="21"/>
  <c r="AV29" i="21"/>
  <c r="AV6" i="21"/>
  <c r="AV7" i="21"/>
  <c r="AV8" i="21"/>
  <c r="AV9" i="21"/>
  <c r="AV10" i="21"/>
  <c r="AV11" i="21"/>
  <c r="AV12" i="21"/>
  <c r="AV13" i="21"/>
  <c r="AV14" i="21"/>
  <c r="AV15" i="21"/>
  <c r="AV16" i="21"/>
  <c r="AV17" i="21"/>
  <c r="AV18" i="21"/>
  <c r="AV19" i="21"/>
  <c r="AV20" i="21"/>
  <c r="AV21" i="21"/>
  <c r="AV22" i="21"/>
  <c r="AV23" i="21"/>
  <c r="AV24" i="21"/>
  <c r="AV25" i="21"/>
  <c r="AV5" i="21"/>
  <c r="AT29" i="21"/>
  <c r="AU29" i="21"/>
  <c r="AT30" i="21"/>
  <c r="AU30" i="21"/>
  <c r="AT31" i="21"/>
  <c r="AU31" i="21"/>
  <c r="AT32" i="21"/>
  <c r="AU32" i="21"/>
  <c r="AT33" i="21"/>
  <c r="AU33" i="21"/>
  <c r="AT34" i="21"/>
  <c r="AU34" i="21"/>
  <c r="AT35" i="21"/>
  <c r="AU35" i="21"/>
  <c r="AT36" i="21"/>
  <c r="AU36" i="21"/>
  <c r="AT37" i="21"/>
  <c r="AU37" i="21"/>
  <c r="AT38" i="21"/>
  <c r="AU38" i="21"/>
  <c r="AT39" i="21"/>
  <c r="AU39" i="21"/>
  <c r="AT40" i="21"/>
  <c r="AU40" i="21"/>
  <c r="AT41" i="21"/>
  <c r="AU41" i="21"/>
  <c r="AT42" i="21"/>
  <c r="AU42" i="21"/>
  <c r="AT43" i="21"/>
  <c r="AU43" i="21"/>
  <c r="AT44" i="21"/>
  <c r="AU44" i="21"/>
  <c r="AT45" i="21"/>
  <c r="AU45" i="21"/>
  <c r="AT46" i="21"/>
  <c r="AU46" i="21"/>
  <c r="AT47" i="21"/>
  <c r="AU47" i="21"/>
  <c r="AT48" i="21"/>
  <c r="AU48" i="21"/>
  <c r="AT49" i="21"/>
  <c r="AU49" i="21"/>
  <c r="AS30" i="21"/>
  <c r="AS31" i="21"/>
  <c r="AS32" i="21"/>
  <c r="AS33" i="21"/>
  <c r="AS34" i="21"/>
  <c r="AS35" i="21"/>
  <c r="AS36" i="21"/>
  <c r="AS37" i="21"/>
  <c r="AS38" i="21"/>
  <c r="AS39" i="21"/>
  <c r="AS40" i="21"/>
  <c r="AS41" i="21"/>
  <c r="AS42" i="21"/>
  <c r="AS43" i="21"/>
  <c r="AS44" i="21"/>
  <c r="AS45" i="21"/>
  <c r="AS46" i="21"/>
  <c r="AS47" i="21"/>
  <c r="AS48" i="21"/>
  <c r="AS49" i="21"/>
  <c r="AS29" i="21"/>
  <c r="AT5" i="21"/>
  <c r="AU5" i="21"/>
  <c r="AT6" i="21"/>
  <c r="AU6" i="21"/>
  <c r="AT7" i="21"/>
  <c r="AU7" i="21"/>
  <c r="AT8" i="21"/>
  <c r="AU8" i="21"/>
  <c r="AT9" i="21"/>
  <c r="AU9" i="21"/>
  <c r="AT10" i="21"/>
  <c r="AU10" i="21"/>
  <c r="AT11" i="21"/>
  <c r="AU11" i="21"/>
  <c r="AT12" i="21"/>
  <c r="AU12" i="21"/>
  <c r="AT13" i="21"/>
  <c r="AU13" i="21"/>
  <c r="AT14" i="21"/>
  <c r="AU14" i="21"/>
  <c r="AT15" i="21"/>
  <c r="AU15" i="21"/>
  <c r="AT16" i="21"/>
  <c r="AU16" i="21"/>
  <c r="AT17" i="21"/>
  <c r="AU17" i="21"/>
  <c r="AT18" i="21"/>
  <c r="AU18" i="21"/>
  <c r="AT19" i="21"/>
  <c r="AU19" i="21"/>
  <c r="AT20" i="21"/>
  <c r="AU20" i="21"/>
  <c r="AT21" i="21"/>
  <c r="AU21" i="21"/>
  <c r="AT22" i="21"/>
  <c r="AU22" i="21"/>
  <c r="AT23" i="21"/>
  <c r="AU23" i="21"/>
  <c r="AT24" i="21"/>
  <c r="AU24" i="21"/>
  <c r="AT25" i="21"/>
  <c r="AU25" i="21"/>
  <c r="AS6" i="21"/>
  <c r="AS7" i="21"/>
  <c r="AS8" i="21"/>
  <c r="AS9" i="21"/>
  <c r="AS10" i="21"/>
  <c r="AS11" i="21"/>
  <c r="AS12" i="21"/>
  <c r="AS13" i="21"/>
  <c r="AS14" i="21"/>
  <c r="AS15" i="21"/>
  <c r="AS16" i="21"/>
  <c r="AS17" i="21"/>
  <c r="AS18" i="21"/>
  <c r="AS19" i="21"/>
  <c r="AS20" i="21"/>
  <c r="AS21" i="21"/>
  <c r="AS22" i="21"/>
  <c r="AS23" i="21"/>
  <c r="AS24" i="21"/>
  <c r="AS25" i="21"/>
  <c r="AS5" i="21"/>
  <c r="D19" i="9"/>
  <c r="D20" i="9"/>
  <c r="D21" i="9"/>
  <c r="F274" i="5"/>
  <c r="F273" i="5"/>
  <c r="F272" i="5"/>
  <c r="R188" i="21"/>
  <c r="S188" i="21"/>
  <c r="R193" i="21"/>
  <c r="S193" i="21"/>
  <c r="Q188" i="21"/>
  <c r="Q193" i="21"/>
  <c r="AL47" i="11" l="1"/>
  <c r="U47" i="11"/>
  <c r="D47" i="11"/>
  <c r="AL45" i="11"/>
  <c r="D45" i="11"/>
  <c r="U45" i="11"/>
  <c r="O57" i="11"/>
  <c r="AW57" i="11"/>
  <c r="AF57" i="11"/>
  <c r="K57" i="11"/>
  <c r="AB57" i="11"/>
  <c r="AS57" i="11"/>
  <c r="G57" i="11"/>
  <c r="G57" i="14" s="1"/>
  <c r="AO57" i="11"/>
  <c r="X57" i="11"/>
  <c r="O56" i="11"/>
  <c r="AW56" i="11"/>
  <c r="AF56" i="11"/>
  <c r="K56" i="11"/>
  <c r="AS56" i="11"/>
  <c r="AB56" i="11"/>
  <c r="G56" i="11"/>
  <c r="X56" i="11"/>
  <c r="AO56" i="11"/>
  <c r="AW55" i="11"/>
  <c r="AF55" i="11"/>
  <c r="O55" i="11"/>
  <c r="AB55" i="11"/>
  <c r="AS55" i="11"/>
  <c r="K55" i="11"/>
  <c r="AO55" i="11"/>
  <c r="G55" i="11"/>
  <c r="X55" i="11"/>
  <c r="AW54" i="11"/>
  <c r="AF54" i="11"/>
  <c r="O54" i="11"/>
  <c r="O54" i="14" s="1"/>
  <c r="AS54" i="11"/>
  <c r="AB54" i="11"/>
  <c r="K54" i="11"/>
  <c r="X54" i="11"/>
  <c r="G54" i="11"/>
  <c r="G54" i="14" s="1"/>
  <c r="AO54" i="11"/>
  <c r="AW53" i="11"/>
  <c r="AF53" i="11"/>
  <c r="O53" i="11"/>
  <c r="O53" i="14" s="1"/>
  <c r="AB53" i="11"/>
  <c r="AS53" i="11"/>
  <c r="K53" i="11"/>
  <c r="K53" i="14" s="1"/>
  <c r="G53" i="11"/>
  <c r="G53" i="14" s="1"/>
  <c r="AO53" i="11"/>
  <c r="X53" i="11"/>
  <c r="AW52" i="11"/>
  <c r="AF52" i="11"/>
  <c r="O52" i="11"/>
  <c r="AS52" i="11"/>
  <c r="AB52" i="11"/>
  <c r="K52" i="11"/>
  <c r="AO52" i="11"/>
  <c r="G52" i="11"/>
  <c r="X52" i="11"/>
  <c r="AW51" i="11"/>
  <c r="AF51" i="11"/>
  <c r="O51" i="11"/>
  <c r="AS51" i="11"/>
  <c r="AB51" i="11"/>
  <c r="K51" i="11"/>
  <c r="AO51" i="11"/>
  <c r="G51" i="11"/>
  <c r="X51" i="11"/>
  <c r="AW50" i="11"/>
  <c r="AF50" i="11"/>
  <c r="O50" i="11"/>
  <c r="AS50" i="11"/>
  <c r="AB50" i="11"/>
  <c r="K50" i="11"/>
  <c r="AO50" i="11"/>
  <c r="G50" i="11"/>
  <c r="X50" i="11"/>
  <c r="AW49" i="11"/>
  <c r="AF49" i="11"/>
  <c r="O49" i="11"/>
  <c r="AS49" i="11"/>
  <c r="AB49" i="11"/>
  <c r="K49" i="11"/>
  <c r="AO49" i="11"/>
  <c r="G49" i="11"/>
  <c r="X49" i="11"/>
  <c r="AW48" i="11"/>
  <c r="AF48" i="11"/>
  <c r="O48" i="11"/>
  <c r="AS48" i="11"/>
  <c r="K48" i="11"/>
  <c r="AB48" i="11"/>
  <c r="AO48" i="11"/>
  <c r="X48" i="11"/>
  <c r="G48" i="11"/>
  <c r="AW47" i="11"/>
  <c r="AF47" i="11"/>
  <c r="O47" i="11"/>
  <c r="AS47" i="11"/>
  <c r="AB47" i="11"/>
  <c r="K47" i="11"/>
  <c r="AO47" i="11"/>
  <c r="G47" i="11"/>
  <c r="X47" i="11"/>
  <c r="AW46" i="11"/>
  <c r="AF46" i="11"/>
  <c r="O46" i="11"/>
  <c r="AO46" i="11"/>
  <c r="X46" i="11"/>
  <c r="G46" i="11"/>
  <c r="AL52" i="11"/>
  <c r="U52" i="11"/>
  <c r="D52" i="11"/>
  <c r="AL46" i="11"/>
  <c r="D46" i="11"/>
  <c r="U46" i="11"/>
  <c r="J57" i="11"/>
  <c r="AR57" i="11"/>
  <c r="AA57" i="11"/>
  <c r="AV56" i="11"/>
  <c r="AE56" i="11"/>
  <c r="N56" i="11"/>
  <c r="N56" i="14" s="1"/>
  <c r="W56" i="11"/>
  <c r="F56" i="11"/>
  <c r="AN56" i="11"/>
  <c r="AR55" i="11"/>
  <c r="AA55" i="11"/>
  <c r="J55" i="11"/>
  <c r="AV54" i="11"/>
  <c r="AE54" i="11"/>
  <c r="N54" i="11"/>
  <c r="W54" i="11"/>
  <c r="F54" i="11"/>
  <c r="AN54" i="11"/>
  <c r="AR53" i="11"/>
  <c r="AA53" i="11"/>
  <c r="J53" i="11"/>
  <c r="AV52" i="11"/>
  <c r="AE52" i="11"/>
  <c r="N52" i="11"/>
  <c r="AN52" i="11"/>
  <c r="F52" i="11"/>
  <c r="W52" i="11"/>
  <c r="AR51" i="11"/>
  <c r="AA51" i="11"/>
  <c r="J51" i="11"/>
  <c r="AV50" i="11"/>
  <c r="AE50" i="11"/>
  <c r="N50" i="11"/>
  <c r="F50" i="11"/>
  <c r="W50" i="11"/>
  <c r="AN50" i="11"/>
  <c r="AR49" i="11"/>
  <c r="AA49" i="11"/>
  <c r="J49" i="11"/>
  <c r="AV48" i="11"/>
  <c r="AE48" i="11"/>
  <c r="N48" i="11"/>
  <c r="AR48" i="11"/>
  <c r="AA48" i="11"/>
  <c r="J48" i="11"/>
  <c r="AV47" i="11"/>
  <c r="AE47" i="11"/>
  <c r="N47" i="11"/>
  <c r="F47" i="11"/>
  <c r="AN47" i="11"/>
  <c r="W47" i="11"/>
  <c r="AR46" i="11"/>
  <c r="AA46" i="11"/>
  <c r="J46" i="11"/>
  <c r="AV45" i="11"/>
  <c r="AE45" i="11"/>
  <c r="N45" i="11"/>
  <c r="F45" i="11"/>
  <c r="AN45" i="11"/>
  <c r="W45" i="11"/>
  <c r="AV44" i="11"/>
  <c r="AE44" i="11"/>
  <c r="N44" i="11"/>
  <c r="F44" i="11"/>
  <c r="W44" i="11"/>
  <c r="AN44" i="11"/>
  <c r="Q267" i="5"/>
  <c r="W42" i="6"/>
  <c r="I267" i="5"/>
  <c r="O42" i="6"/>
  <c r="G267" i="5"/>
  <c r="M42" i="6"/>
  <c r="AL55" i="11"/>
  <c r="U55" i="11"/>
  <c r="D55" i="11"/>
  <c r="U51" i="11"/>
  <c r="D51" i="11"/>
  <c r="AL51" i="11"/>
  <c r="Q57" i="11"/>
  <c r="Q57" i="14" s="1"/>
  <c r="AY57" i="11"/>
  <c r="AH57" i="11"/>
  <c r="AU57" i="11"/>
  <c r="AD57" i="11"/>
  <c r="M57" i="11"/>
  <c r="AQ57" i="11"/>
  <c r="Z57" i="11"/>
  <c r="I57" i="11"/>
  <c r="AM57" i="11"/>
  <c r="V57" i="11"/>
  <c r="E57" i="11"/>
  <c r="E57" i="14" s="1"/>
  <c r="Q56" i="11"/>
  <c r="Q56" i="14" s="1"/>
  <c r="AY56" i="11"/>
  <c r="AH56" i="11"/>
  <c r="AU56" i="11"/>
  <c r="AD56" i="11"/>
  <c r="M56" i="11"/>
  <c r="AQ56" i="11"/>
  <c r="Z56" i="11"/>
  <c r="I56" i="11"/>
  <c r="AM56" i="11"/>
  <c r="V56" i="11"/>
  <c r="E56" i="11"/>
  <c r="E56" i="14" s="1"/>
  <c r="AY55" i="11"/>
  <c r="AH55" i="11"/>
  <c r="Q55" i="11"/>
  <c r="AU55" i="11"/>
  <c r="AD55" i="11"/>
  <c r="M55" i="11"/>
  <c r="AQ55" i="11"/>
  <c r="Z55" i="11"/>
  <c r="I55" i="11"/>
  <c r="AM55" i="11"/>
  <c r="V55" i="11"/>
  <c r="E55" i="11"/>
  <c r="E55" i="14" s="1"/>
  <c r="AY54" i="11"/>
  <c r="AH54" i="11"/>
  <c r="Q54" i="11"/>
  <c r="AU54" i="11"/>
  <c r="AD54" i="11"/>
  <c r="M54" i="11"/>
  <c r="AQ54" i="11"/>
  <c r="Z54" i="11"/>
  <c r="I54" i="11"/>
  <c r="AM54" i="11"/>
  <c r="V54" i="11"/>
  <c r="E54" i="11"/>
  <c r="E54" i="14" s="1"/>
  <c r="AY53" i="11"/>
  <c r="AH53" i="11"/>
  <c r="Q53" i="11"/>
  <c r="AU53" i="11"/>
  <c r="AD53" i="11"/>
  <c r="M53" i="11"/>
  <c r="AQ53" i="11"/>
  <c r="Z53" i="11"/>
  <c r="I53" i="11"/>
  <c r="AM53" i="11"/>
  <c r="V53" i="11"/>
  <c r="E53" i="11"/>
  <c r="E53" i="14" s="1"/>
  <c r="AY52" i="11"/>
  <c r="AH52" i="11"/>
  <c r="Q52" i="11"/>
  <c r="AU52" i="11"/>
  <c r="AD52" i="11"/>
  <c r="M52" i="11"/>
  <c r="AQ52" i="11"/>
  <c r="Z52" i="11"/>
  <c r="I52" i="11"/>
  <c r="AM52" i="11"/>
  <c r="V52" i="11"/>
  <c r="E52" i="11"/>
  <c r="AY51" i="11"/>
  <c r="AH51" i="11"/>
  <c r="Q51" i="11"/>
  <c r="AD51" i="11"/>
  <c r="AU51" i="11"/>
  <c r="M51" i="11"/>
  <c r="Z51" i="11"/>
  <c r="AQ51" i="11"/>
  <c r="I51" i="11"/>
  <c r="V51" i="11"/>
  <c r="AM51" i="11"/>
  <c r="E51" i="11"/>
  <c r="AY50" i="11"/>
  <c r="AH50" i="11"/>
  <c r="Q50" i="11"/>
  <c r="AD50" i="11"/>
  <c r="M50" i="11"/>
  <c r="AU50" i="11"/>
  <c r="AQ50" i="11"/>
  <c r="Z50" i="11"/>
  <c r="I50" i="11"/>
  <c r="V50" i="11"/>
  <c r="AM50" i="11"/>
  <c r="E50" i="11"/>
  <c r="AY49" i="11"/>
  <c r="AH49" i="11"/>
  <c r="Q49" i="11"/>
  <c r="AD49" i="11"/>
  <c r="AU49" i="11"/>
  <c r="M49" i="11"/>
  <c r="AQ49" i="11"/>
  <c r="Z49" i="11"/>
  <c r="I49" i="11"/>
  <c r="V49" i="11"/>
  <c r="AM49" i="11"/>
  <c r="E49" i="11"/>
  <c r="AY48" i="11"/>
  <c r="AH48" i="11"/>
  <c r="Q48" i="11"/>
  <c r="AD48" i="11"/>
  <c r="M48" i="11"/>
  <c r="AU48" i="11"/>
  <c r="AQ48" i="11"/>
  <c r="Z48" i="11"/>
  <c r="I48" i="11"/>
  <c r="V48" i="11"/>
  <c r="E48" i="11"/>
  <c r="AM48" i="11"/>
  <c r="AY47" i="11"/>
  <c r="AH47" i="11"/>
  <c r="Q47" i="11"/>
  <c r="AD47" i="11"/>
  <c r="M47" i="11"/>
  <c r="AU47" i="11"/>
  <c r="AQ47" i="11"/>
  <c r="Z47" i="11"/>
  <c r="I47" i="11"/>
  <c r="V47" i="11"/>
  <c r="E47" i="11"/>
  <c r="AM47" i="11"/>
  <c r="AD46" i="11"/>
  <c r="M46" i="11"/>
  <c r="AU46" i="11"/>
  <c r="AQ46" i="11"/>
  <c r="Z46" i="11"/>
  <c r="I46" i="11"/>
  <c r="V46" i="11"/>
  <c r="E46" i="11"/>
  <c r="AM46" i="11"/>
  <c r="AY45" i="11"/>
  <c r="AH45" i="11"/>
  <c r="Q45" i="11"/>
  <c r="AD45" i="11"/>
  <c r="M45" i="11"/>
  <c r="AU45" i="11"/>
  <c r="AQ45" i="11"/>
  <c r="Z45" i="11"/>
  <c r="I45" i="11"/>
  <c r="V45" i="11"/>
  <c r="E45" i="11"/>
  <c r="AM45" i="11"/>
  <c r="AY44" i="11"/>
  <c r="AH44" i="11"/>
  <c r="Q44" i="11"/>
  <c r="AD44" i="11"/>
  <c r="M44" i="11"/>
  <c r="AU44" i="11"/>
  <c r="AQ44" i="11"/>
  <c r="Z44" i="11"/>
  <c r="I44" i="11"/>
  <c r="V44" i="11"/>
  <c r="E44" i="11"/>
  <c r="AM44" i="11"/>
  <c r="AY43" i="11"/>
  <c r="AH43" i="11"/>
  <c r="Q43" i="11"/>
  <c r="P267" i="5"/>
  <c r="V42" i="6"/>
  <c r="L267" i="5"/>
  <c r="R42" i="6"/>
  <c r="H267" i="5"/>
  <c r="N42" i="6"/>
  <c r="K267" i="5"/>
  <c r="AJ88" i="11"/>
  <c r="S57" i="14"/>
  <c r="T58" i="14"/>
  <c r="BB88" i="11"/>
  <c r="T55" i="14"/>
  <c r="R57" i="14"/>
  <c r="AI88" i="11"/>
  <c r="S58" i="14"/>
  <c r="R56" i="14"/>
  <c r="AL57" i="11"/>
  <c r="U57" i="11"/>
  <c r="D57" i="11"/>
  <c r="AL53" i="11"/>
  <c r="U53" i="11"/>
  <c r="D53" i="11"/>
  <c r="AL49" i="11"/>
  <c r="U49" i="11"/>
  <c r="D49" i="11"/>
  <c r="AS46" i="11"/>
  <c r="K46" i="11"/>
  <c r="AB46" i="11"/>
  <c r="D56" i="11"/>
  <c r="D56" i="14" s="1"/>
  <c r="AL56" i="11"/>
  <c r="U56" i="11"/>
  <c r="AL44" i="11"/>
  <c r="U44" i="11"/>
  <c r="D44" i="11"/>
  <c r="N57" i="11"/>
  <c r="N57" i="14" s="1"/>
  <c r="AV57" i="11"/>
  <c r="AE57" i="11"/>
  <c r="F57" i="11"/>
  <c r="AN57" i="11"/>
  <c r="W57" i="11"/>
  <c r="AR56" i="11"/>
  <c r="AA56" i="11"/>
  <c r="J56" i="11"/>
  <c r="J56" i="14" s="1"/>
  <c r="AV55" i="11"/>
  <c r="AE55" i="11"/>
  <c r="N55" i="11"/>
  <c r="AN55" i="11"/>
  <c r="F55" i="11"/>
  <c r="W55" i="11"/>
  <c r="AR54" i="11"/>
  <c r="AA54" i="11"/>
  <c r="J54" i="11"/>
  <c r="AV53" i="11"/>
  <c r="AE53" i="11"/>
  <c r="N53" i="11"/>
  <c r="N53" i="14" s="1"/>
  <c r="F53" i="11"/>
  <c r="F53" i="14" s="1"/>
  <c r="AN53" i="11"/>
  <c r="W53" i="11"/>
  <c r="AR52" i="11"/>
  <c r="AA52" i="11"/>
  <c r="J52" i="11"/>
  <c r="AE51" i="11"/>
  <c r="AV51" i="11"/>
  <c r="N51" i="11"/>
  <c r="AN51" i="11"/>
  <c r="F51" i="11"/>
  <c r="W51" i="11"/>
  <c r="AR50" i="11"/>
  <c r="AA50" i="11"/>
  <c r="J50" i="11"/>
  <c r="AV49" i="11"/>
  <c r="AE49" i="11"/>
  <c r="N49" i="11"/>
  <c r="F49" i="11"/>
  <c r="AN49" i="11"/>
  <c r="W49" i="11"/>
  <c r="F48" i="11"/>
  <c r="W48" i="11"/>
  <c r="AN48" i="11"/>
  <c r="AR47" i="11"/>
  <c r="AA47" i="11"/>
  <c r="J47" i="11"/>
  <c r="AV46" i="11"/>
  <c r="AE46" i="11"/>
  <c r="N46" i="11"/>
  <c r="F46" i="11"/>
  <c r="W46" i="11"/>
  <c r="AN46" i="11"/>
  <c r="AR45" i="11"/>
  <c r="AA45" i="11"/>
  <c r="J45" i="11"/>
  <c r="AR44" i="11"/>
  <c r="AA44" i="11"/>
  <c r="J44" i="11"/>
  <c r="U267" i="5"/>
  <c r="M267" i="5"/>
  <c r="S42" i="6"/>
  <c r="AK88" i="11"/>
  <c r="AL54" i="11"/>
  <c r="U54" i="11"/>
  <c r="D54" i="11"/>
  <c r="U50" i="11"/>
  <c r="D50" i="11"/>
  <c r="AL50" i="11"/>
  <c r="AL48" i="11"/>
  <c r="U48" i="11"/>
  <c r="D48" i="11"/>
  <c r="P57" i="11"/>
  <c r="P57" i="14" s="1"/>
  <c r="AX57" i="11"/>
  <c r="AG57" i="11"/>
  <c r="L57" i="11"/>
  <c r="L57" i="14" s="1"/>
  <c r="AC57" i="11"/>
  <c r="AT57" i="11"/>
  <c r="H57" i="11"/>
  <c r="AP57" i="11"/>
  <c r="Y57" i="11"/>
  <c r="P56" i="11"/>
  <c r="AG56" i="11"/>
  <c r="AX56" i="11"/>
  <c r="L56" i="11"/>
  <c r="L56" i="14" s="1"/>
  <c r="AT56" i="11"/>
  <c r="AC56" i="11"/>
  <c r="H56" i="11"/>
  <c r="H56" i="14" s="1"/>
  <c r="AP56" i="11"/>
  <c r="Y56" i="11"/>
  <c r="AX55" i="11"/>
  <c r="AG55" i="11"/>
  <c r="P55" i="11"/>
  <c r="AC55" i="11"/>
  <c r="AT55" i="11"/>
  <c r="L55" i="11"/>
  <c r="L55" i="14" s="1"/>
  <c r="AP55" i="11"/>
  <c r="Y55" i="11"/>
  <c r="H55" i="11"/>
  <c r="AG54" i="11"/>
  <c r="AX54" i="11"/>
  <c r="P54" i="11"/>
  <c r="AT54" i="11"/>
  <c r="L54" i="11"/>
  <c r="L54" i="14" s="1"/>
  <c r="AC54" i="11"/>
  <c r="AP54" i="11"/>
  <c r="Y54" i="11"/>
  <c r="H54" i="11"/>
  <c r="H54" i="14" s="1"/>
  <c r="AX53" i="11"/>
  <c r="AG53" i="11"/>
  <c r="P53" i="11"/>
  <c r="L53" i="11"/>
  <c r="L53" i="14" s="1"/>
  <c r="AC53" i="11"/>
  <c r="AT53" i="11"/>
  <c r="AP53" i="11"/>
  <c r="Y53" i="11"/>
  <c r="H53" i="11"/>
  <c r="AG52" i="11"/>
  <c r="AX52" i="11"/>
  <c r="P52" i="11"/>
  <c r="AT52" i="11"/>
  <c r="L52" i="11"/>
  <c r="AC52" i="11"/>
  <c r="Y52" i="11"/>
  <c r="AP52" i="11"/>
  <c r="H52" i="11"/>
  <c r="AX51" i="11"/>
  <c r="AG51" i="11"/>
  <c r="P51" i="11"/>
  <c r="AT51" i="11"/>
  <c r="L51" i="11"/>
  <c r="AC51" i="11"/>
  <c r="AP51" i="11"/>
  <c r="Y51" i="11"/>
  <c r="H51" i="11"/>
  <c r="AX50" i="11"/>
  <c r="AG50" i="11"/>
  <c r="P50" i="11"/>
  <c r="AT50" i="11"/>
  <c r="L50" i="11"/>
  <c r="AC50" i="11"/>
  <c r="AP50" i="11"/>
  <c r="Y50" i="11"/>
  <c r="H50" i="11"/>
  <c r="AX49" i="11"/>
  <c r="AG49" i="11"/>
  <c r="P49" i="11"/>
  <c r="AT49" i="11"/>
  <c r="L49" i="11"/>
  <c r="AC49" i="11"/>
  <c r="AP49" i="11"/>
  <c r="Y49" i="11"/>
  <c r="H49" i="11"/>
  <c r="AX48" i="11"/>
  <c r="AG48" i="11"/>
  <c r="P48" i="11"/>
  <c r="AT48" i="11"/>
  <c r="L48" i="11"/>
  <c r="AC48" i="11"/>
  <c r="AP48" i="11"/>
  <c r="Y48" i="11"/>
  <c r="H48" i="11"/>
  <c r="AX47" i="11"/>
  <c r="AG47" i="11"/>
  <c r="P47" i="11"/>
  <c r="AT47" i="11"/>
  <c r="AC47" i="11"/>
  <c r="L47" i="11"/>
  <c r="AP47" i="11"/>
  <c r="Y47" i="11"/>
  <c r="H47" i="11"/>
  <c r="AX46" i="11"/>
  <c r="AG46" i="11"/>
  <c r="P46" i="11"/>
  <c r="AT46" i="11"/>
  <c r="L46" i="11"/>
  <c r="AC46" i="11"/>
  <c r="AP46" i="11"/>
  <c r="Y46" i="11"/>
  <c r="H46" i="11"/>
  <c r="AX45" i="11"/>
  <c r="AG45" i="11"/>
  <c r="P45" i="11"/>
  <c r="AT45" i="11"/>
  <c r="AC45" i="11"/>
  <c r="L45" i="11"/>
  <c r="AP45" i="11"/>
  <c r="Y45" i="11"/>
  <c r="H45" i="11"/>
  <c r="AX44" i="11"/>
  <c r="AG44" i="11"/>
  <c r="P44" i="11"/>
  <c r="AT44" i="11"/>
  <c r="L44" i="11"/>
  <c r="AC44" i="11"/>
  <c r="AP44" i="11"/>
  <c r="Y44" i="11"/>
  <c r="H44" i="11"/>
  <c r="AX43" i="11"/>
  <c r="AG43" i="11"/>
  <c r="P43" i="11"/>
  <c r="AT43" i="11"/>
  <c r="AC43" i="11"/>
  <c r="L43" i="11"/>
  <c r="AP43" i="11"/>
  <c r="Y43" i="11"/>
  <c r="H43" i="11"/>
  <c r="BA88" i="11"/>
  <c r="S55" i="14"/>
  <c r="R58" i="14"/>
  <c r="T53" i="14"/>
  <c r="T54" i="14"/>
  <c r="R88" i="11"/>
  <c r="S56" i="14"/>
  <c r="AW45" i="11"/>
  <c r="AF45" i="11"/>
  <c r="O45" i="11"/>
  <c r="AS45" i="11"/>
  <c r="AB45" i="11"/>
  <c r="K45" i="11"/>
  <c r="AO45" i="11"/>
  <c r="G45" i="11"/>
  <c r="X45" i="11"/>
  <c r="AW44" i="11"/>
  <c r="AF44" i="11"/>
  <c r="O44" i="11"/>
  <c r="AS44" i="11"/>
  <c r="K44" i="11"/>
  <c r="AB44" i="11"/>
  <c r="AO44" i="11"/>
  <c r="X44" i="11"/>
  <c r="G44" i="11"/>
  <c r="V267" i="5"/>
  <c r="R267" i="5"/>
  <c r="X42" i="6"/>
  <c r="N267" i="5"/>
  <c r="T42" i="6"/>
  <c r="J267" i="5"/>
  <c r="P42" i="6"/>
  <c r="S267" i="5"/>
  <c r="S53" i="14"/>
  <c r="T88" i="11"/>
  <c r="R53" i="14"/>
  <c r="AZ88" i="11"/>
  <c r="S54" i="14"/>
  <c r="T56" i="14"/>
  <c r="R55" i="14"/>
  <c r="Z45" i="6"/>
  <c r="T267" i="5"/>
  <c r="R179" i="21"/>
  <c r="S180" i="21"/>
  <c r="S179" i="21"/>
  <c r="S178" i="21"/>
  <c r="S177" i="21"/>
  <c r="S176" i="21"/>
  <c r="S175" i="21"/>
  <c r="S174" i="21"/>
  <c r="S173" i="21"/>
  <c r="S172" i="21"/>
  <c r="S171" i="21"/>
  <c r="S170" i="21"/>
  <c r="S168" i="21"/>
  <c r="S166" i="21"/>
  <c r="S165" i="21"/>
  <c r="S163" i="21"/>
  <c r="S161" i="21"/>
  <c r="S160" i="21"/>
  <c r="R180" i="21"/>
  <c r="R178" i="21"/>
  <c r="R177" i="21"/>
  <c r="R176" i="21"/>
  <c r="R175" i="21"/>
  <c r="R174" i="21"/>
  <c r="R173" i="21"/>
  <c r="R172" i="21"/>
  <c r="R171" i="21"/>
  <c r="R170" i="21"/>
  <c r="R168" i="21"/>
  <c r="R166" i="21"/>
  <c r="R165" i="21"/>
  <c r="R163" i="21"/>
  <c r="R161" i="21"/>
  <c r="R160" i="21"/>
  <c r="Q180" i="21"/>
  <c r="Q179" i="21"/>
  <c r="Q178" i="21"/>
  <c r="Q177" i="21"/>
  <c r="Q176" i="21"/>
  <c r="Q175" i="21"/>
  <c r="Q174" i="21"/>
  <c r="Q173" i="21"/>
  <c r="Q172" i="21"/>
  <c r="Q171" i="21"/>
  <c r="Q170" i="21"/>
  <c r="Q168" i="21"/>
  <c r="Q166" i="21"/>
  <c r="Q165" i="21"/>
  <c r="Q163" i="21"/>
  <c r="Q161" i="21"/>
  <c r="Q160" i="21"/>
  <c r="S156" i="21"/>
  <c r="S155" i="21"/>
  <c r="S154" i="21"/>
  <c r="S153" i="21"/>
  <c r="S152" i="21"/>
  <c r="S151" i="21"/>
  <c r="S150" i="21"/>
  <c r="S149" i="21"/>
  <c r="S148" i="21"/>
  <c r="S147" i="21"/>
  <c r="S146" i="21"/>
  <c r="S144" i="21"/>
  <c r="S143" i="21"/>
  <c r="S142" i="21"/>
  <c r="S141" i="21"/>
  <c r="S139" i="21"/>
  <c r="S138" i="21"/>
  <c r="S137" i="21"/>
  <c r="S136" i="21"/>
  <c r="R156" i="21"/>
  <c r="R155" i="21"/>
  <c r="R154" i="21"/>
  <c r="R153" i="21"/>
  <c r="R152" i="21"/>
  <c r="R151" i="21"/>
  <c r="R150" i="21"/>
  <c r="R149" i="21"/>
  <c r="R148" i="21"/>
  <c r="R147" i="21"/>
  <c r="R146" i="21"/>
  <c r="R144" i="21"/>
  <c r="R143" i="21"/>
  <c r="R142" i="21"/>
  <c r="R141" i="21"/>
  <c r="R139" i="21"/>
  <c r="R138" i="21"/>
  <c r="R137" i="21"/>
  <c r="R136" i="21"/>
  <c r="Q156" i="21"/>
  <c r="Q155" i="21"/>
  <c r="Q154" i="21"/>
  <c r="Q153" i="21"/>
  <c r="Q152" i="21"/>
  <c r="Q151" i="21"/>
  <c r="Q150" i="21"/>
  <c r="Q149" i="21"/>
  <c r="Q148" i="21"/>
  <c r="Q147" i="21"/>
  <c r="Q146" i="21"/>
  <c r="Q143" i="21"/>
  <c r="Q142" i="21"/>
  <c r="Q141" i="21"/>
  <c r="Q139" i="21"/>
  <c r="Q138" i="21"/>
  <c r="Q137" i="21"/>
  <c r="Q136" i="21"/>
  <c r="Q144" i="21"/>
  <c r="AY46" i="11" l="1"/>
  <c r="AH46" i="11"/>
  <c r="Q46" i="11"/>
  <c r="AP58" i="11"/>
  <c r="AP88" i="11" s="1"/>
  <c r="Y58" i="11"/>
  <c r="H58" i="11"/>
  <c r="AQ43" i="11"/>
  <c r="Z43" i="11"/>
  <c r="I43" i="11"/>
  <c r="AM58" i="11"/>
  <c r="V58" i="11"/>
  <c r="E58" i="11"/>
  <c r="E58" i="14" s="1"/>
  <c r="AS58" i="11"/>
  <c r="K58" i="11"/>
  <c r="AB58" i="11"/>
  <c r="AO43" i="11"/>
  <c r="AO88" i="11" s="1"/>
  <c r="G43" i="11"/>
  <c r="X43" i="11"/>
  <c r="H88" i="11"/>
  <c r="AC88" i="11"/>
  <c r="P53" i="14"/>
  <c r="H55" i="14"/>
  <c r="H57" i="14"/>
  <c r="AT58" i="11"/>
  <c r="AT88" i="11" s="1"/>
  <c r="L58" i="11"/>
  <c r="AC58" i="11"/>
  <c r="D54" i="14"/>
  <c r="N55" i="14"/>
  <c r="F57" i="14"/>
  <c r="W58" i="11"/>
  <c r="F58" i="11"/>
  <c r="AN58" i="11"/>
  <c r="D57" i="14"/>
  <c r="Q53" i="14"/>
  <c r="Q54" i="14"/>
  <c r="Q55" i="14"/>
  <c r="AQ58" i="11"/>
  <c r="Z58" i="11"/>
  <c r="I58" i="11"/>
  <c r="J53" i="14"/>
  <c r="F54" i="14"/>
  <c r="J57" i="14"/>
  <c r="G55" i="14"/>
  <c r="O56" i="14"/>
  <c r="AW58" i="11"/>
  <c r="AF58" i="11"/>
  <c r="O58" i="11"/>
  <c r="AG88" i="11"/>
  <c r="AL58" i="11"/>
  <c r="U58" i="11"/>
  <c r="D58" i="11"/>
  <c r="F43" i="11"/>
  <c r="AN43" i="11"/>
  <c r="W43" i="11"/>
  <c r="AW43" i="11"/>
  <c r="AF43" i="11"/>
  <c r="O43" i="11"/>
  <c r="Y88" i="11"/>
  <c r="P54" i="14"/>
  <c r="P56" i="14"/>
  <c r="AG58" i="11"/>
  <c r="AX58" i="11"/>
  <c r="AX88" i="11" s="1"/>
  <c r="P58" i="11"/>
  <c r="P58" i="14" s="1"/>
  <c r="AR43" i="11"/>
  <c r="AA43" i="11"/>
  <c r="J43" i="11"/>
  <c r="J88" i="11" s="1"/>
  <c r="D53" i="14"/>
  <c r="V43" i="11"/>
  <c r="V88" i="11" s="1"/>
  <c r="E43" i="11"/>
  <c r="AM43" i="11"/>
  <c r="AM88" i="11" s="1"/>
  <c r="AD43" i="11"/>
  <c r="AD88" i="11" s="1"/>
  <c r="M43" i="11"/>
  <c r="AU43" i="11"/>
  <c r="AY88" i="11"/>
  <c r="M53" i="14"/>
  <c r="M54" i="14"/>
  <c r="M55" i="14"/>
  <c r="M56" i="14"/>
  <c r="M57" i="14"/>
  <c r="AU58" i="11"/>
  <c r="AD58" i="11"/>
  <c r="M58" i="11"/>
  <c r="AL43" i="11"/>
  <c r="AL88" i="11" s="1"/>
  <c r="U43" i="11"/>
  <c r="U88" i="11" s="1"/>
  <c r="D43" i="11"/>
  <c r="D88" i="11" s="1"/>
  <c r="AV43" i="11"/>
  <c r="AE43" i="11"/>
  <c r="N43" i="11"/>
  <c r="J55" i="14"/>
  <c r="F56" i="14"/>
  <c r="AR58" i="11"/>
  <c r="AA58" i="11"/>
  <c r="J58" i="11"/>
  <c r="K54" i="14"/>
  <c r="O55" i="14"/>
  <c r="K56" i="14"/>
  <c r="O57" i="14"/>
  <c r="L88" i="11"/>
  <c r="AS43" i="11"/>
  <c r="AS88" i="11" s="1"/>
  <c r="AB43" i="11"/>
  <c r="AB88" i="11" s="1"/>
  <c r="K43" i="11"/>
  <c r="K88" i="11" s="1"/>
  <c r="H53" i="14"/>
  <c r="P55" i="14"/>
  <c r="J54" i="14"/>
  <c r="F55" i="14"/>
  <c r="I53" i="14"/>
  <c r="I54" i="14"/>
  <c r="I55" i="14"/>
  <c r="I56" i="14"/>
  <c r="I57" i="14"/>
  <c r="AY58" i="11"/>
  <c r="AH58" i="11"/>
  <c r="AH88" i="11" s="1"/>
  <c r="Q58" i="11"/>
  <c r="Q58" i="14" s="1"/>
  <c r="D55" i="14"/>
  <c r="N54" i="14"/>
  <c r="AV58" i="11"/>
  <c r="AE58" i="11"/>
  <c r="N58" i="11"/>
  <c r="N58" i="14" s="1"/>
  <c r="K55" i="14"/>
  <c r="G56" i="14"/>
  <c r="K57" i="14"/>
  <c r="X58" i="11"/>
  <c r="G58" i="11"/>
  <c r="AO58" i="11"/>
  <c r="Q192" i="21"/>
  <c r="Q184" i="21"/>
  <c r="Q185" i="21"/>
  <c r="Q186" i="21"/>
  <c r="Q187" i="21"/>
  <c r="Q189" i="21"/>
  <c r="Q190" i="21"/>
  <c r="Q191" i="21"/>
  <c r="Q194" i="21"/>
  <c r="Q195" i="21"/>
  <c r="Q196" i="21"/>
  <c r="Q197" i="21"/>
  <c r="Q198" i="21"/>
  <c r="Q199" i="21"/>
  <c r="Q200" i="21"/>
  <c r="Q201" i="21"/>
  <c r="Q202" i="21"/>
  <c r="Q203" i="21"/>
  <c r="Q204" i="21"/>
  <c r="R184" i="21"/>
  <c r="R185" i="21"/>
  <c r="R186" i="21"/>
  <c r="R187" i="21"/>
  <c r="R189" i="21"/>
  <c r="R190" i="21"/>
  <c r="R191" i="21"/>
  <c r="R192" i="21"/>
  <c r="R194" i="21"/>
  <c r="R195" i="21"/>
  <c r="R196" i="21"/>
  <c r="R197" i="21"/>
  <c r="R198" i="21"/>
  <c r="R199" i="21"/>
  <c r="R200" i="21"/>
  <c r="R201" i="21"/>
  <c r="R202" i="21"/>
  <c r="R203" i="21"/>
  <c r="R204" i="21"/>
  <c r="S184" i="21"/>
  <c r="S185" i="21"/>
  <c r="S186" i="21"/>
  <c r="S187" i="21"/>
  <c r="S189" i="21"/>
  <c r="S190" i="21"/>
  <c r="S191" i="21"/>
  <c r="S192" i="21"/>
  <c r="S194" i="21"/>
  <c r="S195" i="21"/>
  <c r="S196" i="21"/>
  <c r="S197" i="21"/>
  <c r="S198" i="21"/>
  <c r="S199" i="21"/>
  <c r="S200" i="21"/>
  <c r="S201" i="21"/>
  <c r="S202" i="21"/>
  <c r="S203" i="21"/>
  <c r="S204" i="21"/>
  <c r="Q205" i="21"/>
  <c r="R205" i="21"/>
  <c r="S205" i="21"/>
  <c r="R181" i="21"/>
  <c r="S181" i="21"/>
  <c r="Q181" i="21"/>
  <c r="T165" i="21" s="1"/>
  <c r="S157" i="21"/>
  <c r="R157" i="21"/>
  <c r="Q157" i="21"/>
  <c r="T136" i="21" s="1"/>
  <c r="J4" i="21"/>
  <c r="J5" i="21"/>
  <c r="J6" i="21"/>
  <c r="J7" i="21"/>
  <c r="J8" i="21"/>
  <c r="J9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30" i="21"/>
  <c r="J32" i="21"/>
  <c r="J33" i="21"/>
  <c r="J34" i="21"/>
  <c r="J36" i="21"/>
  <c r="J46" i="21"/>
  <c r="J50" i="21"/>
  <c r="J52" i="21"/>
  <c r="J53" i="21"/>
  <c r="J54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85" i="21"/>
  <c r="J86" i="21"/>
  <c r="J87" i="21"/>
  <c r="J88" i="21"/>
  <c r="J89" i="21"/>
  <c r="J90" i="21"/>
  <c r="J92" i="21"/>
  <c r="J103" i="21"/>
  <c r="J105" i="21"/>
  <c r="J107" i="21"/>
  <c r="J109" i="21"/>
  <c r="J110" i="21"/>
  <c r="J112" i="21"/>
  <c r="J114" i="21"/>
  <c r="J116" i="21"/>
  <c r="J117" i="21"/>
  <c r="J118" i="21"/>
  <c r="J119" i="21"/>
  <c r="J120" i="21"/>
  <c r="J121" i="21"/>
  <c r="J122" i="21"/>
  <c r="J123" i="21"/>
  <c r="J124" i="21"/>
  <c r="J125" i="21"/>
  <c r="J126" i="21"/>
  <c r="J127" i="21"/>
  <c r="J128" i="21"/>
  <c r="J129" i="21"/>
  <c r="J130" i="21"/>
  <c r="J132" i="21"/>
  <c r="J133" i="21"/>
  <c r="J134" i="21"/>
  <c r="J141" i="21"/>
  <c r="J142" i="21"/>
  <c r="J143" i="21"/>
  <c r="J144" i="21"/>
  <c r="J145" i="21"/>
  <c r="J146" i="21"/>
  <c r="J147" i="21"/>
  <c r="J148" i="21"/>
  <c r="J149" i="21"/>
  <c r="J157" i="21"/>
  <c r="J159" i="21"/>
  <c r="J161" i="21"/>
  <c r="J163" i="21"/>
  <c r="J164" i="21"/>
  <c r="J165" i="21"/>
  <c r="J166" i="21"/>
  <c r="J168" i="21"/>
  <c r="J170" i="21"/>
  <c r="J172" i="21"/>
  <c r="J173" i="21"/>
  <c r="J174" i="21"/>
  <c r="J175" i="21"/>
  <c r="J176" i="21"/>
  <c r="J177" i="21"/>
  <c r="J178" i="21"/>
  <c r="J179" i="21"/>
  <c r="J180" i="21"/>
  <c r="J181" i="21"/>
  <c r="J182" i="21"/>
  <c r="J183" i="21"/>
  <c r="J184" i="21"/>
  <c r="J185" i="21"/>
  <c r="J186" i="21"/>
  <c r="J187" i="21"/>
  <c r="J188" i="21"/>
  <c r="J190" i="21"/>
  <c r="J197" i="21"/>
  <c r="J198" i="21"/>
  <c r="J199" i="21"/>
  <c r="J200" i="21"/>
  <c r="J202" i="21"/>
  <c r="J203" i="21"/>
  <c r="J204" i="21"/>
  <c r="J205" i="21"/>
  <c r="J206" i="21"/>
  <c r="J213" i="21"/>
  <c r="J214" i="21"/>
  <c r="J215" i="21"/>
  <c r="J216" i="21"/>
  <c r="J217" i="21"/>
  <c r="J218" i="21"/>
  <c r="J219" i="21"/>
  <c r="J220" i="21"/>
  <c r="J221" i="21"/>
  <c r="J222" i="21"/>
  <c r="J223" i="21"/>
  <c r="J224" i="21"/>
  <c r="J225" i="21"/>
  <c r="J226" i="21"/>
  <c r="J227" i="21"/>
  <c r="J228" i="21"/>
  <c r="J229" i="21"/>
  <c r="J230" i="21"/>
  <c r="J231" i="21"/>
  <c r="J232" i="21"/>
  <c r="J233" i="21"/>
  <c r="J234" i="21"/>
  <c r="J235" i="21"/>
  <c r="J236" i="21"/>
  <c r="J237" i="21"/>
  <c r="J238" i="21"/>
  <c r="J239" i="21"/>
  <c r="J240" i="21"/>
  <c r="J241" i="21"/>
  <c r="J242" i="21"/>
  <c r="J243" i="21"/>
  <c r="J244" i="21"/>
  <c r="J245" i="21"/>
  <c r="J246" i="21"/>
  <c r="J247" i="21"/>
  <c r="J248" i="21"/>
  <c r="J250" i="21"/>
  <c r="J251" i="21"/>
  <c r="J252" i="21"/>
  <c r="J253" i="21"/>
  <c r="J254" i="21"/>
  <c r="J255" i="21"/>
  <c r="J256" i="21"/>
  <c r="J257" i="21"/>
  <c r="J258" i="21"/>
  <c r="J259" i="21"/>
  <c r="J260" i="21"/>
  <c r="J261" i="21"/>
  <c r="J262" i="21"/>
  <c r="J263" i="21"/>
  <c r="J264" i="21"/>
  <c r="J265" i="21"/>
  <c r="J266" i="21"/>
  <c r="J267" i="21"/>
  <c r="J268" i="21"/>
  <c r="J269" i="21"/>
  <c r="J270" i="21"/>
  <c r="J271" i="21"/>
  <c r="J272" i="21"/>
  <c r="J273" i="21"/>
  <c r="J274" i="21"/>
  <c r="J275" i="21"/>
  <c r="J276" i="21"/>
  <c r="J277" i="21"/>
  <c r="J278" i="21"/>
  <c r="J279" i="21"/>
  <c r="J280" i="21"/>
  <c r="J281" i="21"/>
  <c r="J282" i="21"/>
  <c r="J283" i="21"/>
  <c r="J284" i="21"/>
  <c r="J285" i="21"/>
  <c r="J286" i="21"/>
  <c r="J287" i="21"/>
  <c r="J288" i="21"/>
  <c r="J289" i="21"/>
  <c r="J290" i="21"/>
  <c r="J291" i="21"/>
  <c r="J293" i="21"/>
  <c r="J294" i="21"/>
  <c r="J295" i="21"/>
  <c r="J296" i="21"/>
  <c r="J297" i="21"/>
  <c r="J298" i="21"/>
  <c r="J299" i="21"/>
  <c r="J301" i="21"/>
  <c r="J302" i="21"/>
  <c r="J303" i="21"/>
  <c r="J304" i="21"/>
  <c r="J305" i="21"/>
  <c r="J306" i="21"/>
  <c r="J309" i="21"/>
  <c r="J310" i="21"/>
  <c r="J311" i="21"/>
  <c r="J312" i="21"/>
  <c r="J313" i="21"/>
  <c r="J314" i="21"/>
  <c r="J315" i="21"/>
  <c r="J316" i="21"/>
  <c r="J317" i="21"/>
  <c r="J318" i="21"/>
  <c r="J319" i="21"/>
  <c r="J320" i="21"/>
  <c r="J321" i="21"/>
  <c r="J322" i="21"/>
  <c r="J323" i="21"/>
  <c r="J324" i="21"/>
  <c r="J325" i="21"/>
  <c r="J326" i="21"/>
  <c r="J327" i="21"/>
  <c r="J328" i="21"/>
  <c r="J329" i="21"/>
  <c r="J330" i="21"/>
  <c r="J331" i="21"/>
  <c r="J332" i="21"/>
  <c r="J333" i="21"/>
  <c r="J336" i="21"/>
  <c r="J337" i="21"/>
  <c r="J338" i="21"/>
  <c r="J339" i="21"/>
  <c r="J340" i="21"/>
  <c r="J341" i="21"/>
  <c r="J342" i="21"/>
  <c r="J343" i="21"/>
  <c r="K343" i="21" s="1"/>
  <c r="L343" i="21" s="1"/>
  <c r="J344" i="21"/>
  <c r="J345" i="21"/>
  <c r="J346" i="21"/>
  <c r="J347" i="21"/>
  <c r="J348" i="21"/>
  <c r="J349" i="21"/>
  <c r="J350" i="21"/>
  <c r="J351" i="21"/>
  <c r="J352" i="21"/>
  <c r="J353" i="21"/>
  <c r="J354" i="21"/>
  <c r="J355" i="21"/>
  <c r="K355" i="21" s="1"/>
  <c r="L355" i="21" s="1"/>
  <c r="J356" i="21"/>
  <c r="J357" i="21"/>
  <c r="J358" i="21"/>
  <c r="J359" i="21"/>
  <c r="J361" i="21"/>
  <c r="K361" i="21" s="1"/>
  <c r="L361" i="21" s="1"/>
  <c r="J363" i="21"/>
  <c r="J364" i="21"/>
  <c r="J365" i="21"/>
  <c r="J366" i="21"/>
  <c r="J367" i="21"/>
  <c r="K367" i="21" s="1"/>
  <c r="L367" i="21" s="1"/>
  <c r="J368" i="21"/>
  <c r="J369" i="21"/>
  <c r="J370" i="21"/>
  <c r="J371" i="21"/>
  <c r="J372" i="21"/>
  <c r="J373" i="21"/>
  <c r="J374" i="21"/>
  <c r="J375" i="21"/>
  <c r="J376" i="21"/>
  <c r="J377" i="21"/>
  <c r="J378" i="21"/>
  <c r="J379" i="21"/>
  <c r="J380" i="21"/>
  <c r="J381" i="21"/>
  <c r="J382" i="21"/>
  <c r="J383" i="21"/>
  <c r="J384" i="21"/>
  <c r="J385" i="21"/>
  <c r="J386" i="21"/>
  <c r="J387" i="21"/>
  <c r="J388" i="21"/>
  <c r="J389" i="21"/>
  <c r="J390" i="21"/>
  <c r="J392" i="21"/>
  <c r="J393" i="21"/>
  <c r="J394" i="21"/>
  <c r="J395" i="21"/>
  <c r="J396" i="21"/>
  <c r="J397" i="21"/>
  <c r="J398" i="21"/>
  <c r="J399" i="21"/>
  <c r="J400" i="21"/>
  <c r="J401" i="21"/>
  <c r="J402" i="21"/>
  <c r="J403" i="21"/>
  <c r="J404" i="21"/>
  <c r="J405" i="21"/>
  <c r="J406" i="21"/>
  <c r="J407" i="21"/>
  <c r="J408" i="21"/>
  <c r="J409" i="21"/>
  <c r="J410" i="21"/>
  <c r="J412" i="21"/>
  <c r="J413" i="21"/>
  <c r="J414" i="21"/>
  <c r="J416" i="21"/>
  <c r="J418" i="21"/>
  <c r="J419" i="21"/>
  <c r="J420" i="21"/>
  <c r="J421" i="21"/>
  <c r="J422" i="21"/>
  <c r="J423" i="21"/>
  <c r="J424" i="21"/>
  <c r="J426" i="21"/>
  <c r="J427" i="21"/>
  <c r="J428" i="21"/>
  <c r="J429" i="21"/>
  <c r="J430" i="21"/>
  <c r="J431" i="21"/>
  <c r="J432" i="21"/>
  <c r="J433" i="21"/>
  <c r="J434" i="21"/>
  <c r="J435" i="21"/>
  <c r="J436" i="21"/>
  <c r="J437" i="21"/>
  <c r="J438" i="21"/>
  <c r="J439" i="21"/>
  <c r="J440" i="21"/>
  <c r="J442" i="21"/>
  <c r="J443" i="21"/>
  <c r="J444" i="21"/>
  <c r="J445" i="21"/>
  <c r="J446" i="21"/>
  <c r="J447" i="21"/>
  <c r="J448" i="21"/>
  <c r="J449" i="21"/>
  <c r="J450" i="21"/>
  <c r="J451" i="21"/>
  <c r="J452" i="21"/>
  <c r="J3" i="21"/>
  <c r="L53" i="21"/>
  <c r="L54" i="21"/>
  <c r="L55" i="21"/>
  <c r="L56" i="21"/>
  <c r="L57" i="21"/>
  <c r="L58" i="21"/>
  <c r="L59" i="21"/>
  <c r="L60" i="21"/>
  <c r="L61" i="21"/>
  <c r="L62" i="21"/>
  <c r="L63" i="21"/>
  <c r="L64" i="21"/>
  <c r="L65" i="21"/>
  <c r="L66" i="21"/>
  <c r="L67" i="21"/>
  <c r="L68" i="21"/>
  <c r="L109" i="21"/>
  <c r="L110" i="21"/>
  <c r="L111" i="21"/>
  <c r="L112" i="21"/>
  <c r="L113" i="21"/>
  <c r="L114" i="21"/>
  <c r="L115" i="21"/>
  <c r="L116" i="21"/>
  <c r="L117" i="21"/>
  <c r="L118" i="21"/>
  <c r="L119" i="21"/>
  <c r="L120" i="21"/>
  <c r="L121" i="21"/>
  <c r="L122" i="21"/>
  <c r="L123" i="21"/>
  <c r="L124" i="21"/>
  <c r="L165" i="21"/>
  <c r="L166" i="21"/>
  <c r="L167" i="21"/>
  <c r="L168" i="21"/>
  <c r="L169" i="21"/>
  <c r="L170" i="21"/>
  <c r="L171" i="21"/>
  <c r="L172" i="21"/>
  <c r="L173" i="21"/>
  <c r="L174" i="21"/>
  <c r="L175" i="21"/>
  <c r="L176" i="21"/>
  <c r="L177" i="21"/>
  <c r="L178" i="21"/>
  <c r="L179" i="21"/>
  <c r="L180" i="21"/>
  <c r="K366" i="21"/>
  <c r="L366" i="21" s="1"/>
  <c r="K368" i="21"/>
  <c r="L368" i="21" s="1"/>
  <c r="K354" i="21"/>
  <c r="L354" i="21" s="1"/>
  <c r="K356" i="21"/>
  <c r="L356" i="21" s="1"/>
  <c r="K342" i="21"/>
  <c r="L342" i="21" s="1"/>
  <c r="K344" i="21"/>
  <c r="L344" i="21" s="1"/>
  <c r="G362" i="21"/>
  <c r="J362" i="21" s="1"/>
  <c r="K362" i="21" s="1"/>
  <c r="L362" i="21" s="1"/>
  <c r="G360" i="21"/>
  <c r="J360" i="21" s="1"/>
  <c r="K348" i="21"/>
  <c r="L348" i="21" s="1"/>
  <c r="K349" i="21"/>
  <c r="L349" i="21" s="1"/>
  <c r="K350" i="21"/>
  <c r="L350" i="21" s="1"/>
  <c r="K336" i="21"/>
  <c r="L336" i="21" s="1"/>
  <c r="K337" i="21"/>
  <c r="L337" i="21" s="1"/>
  <c r="K338" i="21"/>
  <c r="L338" i="21" s="1"/>
  <c r="S75" i="21"/>
  <c r="S74" i="21"/>
  <c r="S73" i="21"/>
  <c r="S72" i="21"/>
  <c r="S71" i="21"/>
  <c r="S70" i="21"/>
  <c r="S69" i="21"/>
  <c r="S68" i="21"/>
  <c r="S67" i="21"/>
  <c r="S66" i="21"/>
  <c r="S65" i="21"/>
  <c r="S64" i="21"/>
  <c r="S63" i="21"/>
  <c r="S62" i="21"/>
  <c r="S61" i="21"/>
  <c r="S60" i="21"/>
  <c r="S59" i="21"/>
  <c r="S58" i="21"/>
  <c r="S57" i="21"/>
  <c r="S56" i="21"/>
  <c r="S55" i="21"/>
  <c r="R75" i="21"/>
  <c r="R73" i="21"/>
  <c r="R72" i="21"/>
  <c r="R71" i="21"/>
  <c r="R70" i="21"/>
  <c r="R69" i="21"/>
  <c r="R68" i="21"/>
  <c r="R67" i="21"/>
  <c r="R66" i="21"/>
  <c r="R74" i="21"/>
  <c r="Q74" i="21"/>
  <c r="R65" i="21"/>
  <c r="R64" i="21"/>
  <c r="R63" i="21"/>
  <c r="R62" i="21"/>
  <c r="R61" i="21"/>
  <c r="R60" i="21"/>
  <c r="R59" i="21"/>
  <c r="R58" i="21"/>
  <c r="R57" i="21"/>
  <c r="R56" i="21"/>
  <c r="R55" i="21"/>
  <c r="Q75" i="21"/>
  <c r="Q73" i="21"/>
  <c r="Q72" i="21"/>
  <c r="Q71" i="21"/>
  <c r="Q70" i="21"/>
  <c r="Q69" i="21"/>
  <c r="Q68" i="21"/>
  <c r="Q67" i="21"/>
  <c r="Q66" i="21"/>
  <c r="Q64" i="21"/>
  <c r="Q63" i="21"/>
  <c r="Q62" i="21"/>
  <c r="Q61" i="21"/>
  <c r="Q65" i="21"/>
  <c r="Q60" i="21"/>
  <c r="Q59" i="21"/>
  <c r="Q58" i="21"/>
  <c r="Q57" i="21"/>
  <c r="Q56" i="21"/>
  <c r="Q55" i="21"/>
  <c r="P88" i="11" l="1"/>
  <c r="F58" i="14"/>
  <c r="M88" i="11"/>
  <c r="AR88" i="11"/>
  <c r="O88" i="11"/>
  <c r="AN88" i="11"/>
  <c r="Q88" i="11"/>
  <c r="N88" i="11"/>
  <c r="AV88" i="11"/>
  <c r="M58" i="14"/>
  <c r="AW88" i="11"/>
  <c r="L58" i="14"/>
  <c r="X88" i="11"/>
  <c r="K58" i="14"/>
  <c r="H58" i="14"/>
  <c r="Z88" i="11"/>
  <c r="AE88" i="11"/>
  <c r="AF88" i="11"/>
  <c r="F88" i="11"/>
  <c r="AQ88" i="11"/>
  <c r="G58" i="14"/>
  <c r="J58" i="14"/>
  <c r="AU88" i="11"/>
  <c r="E88" i="11"/>
  <c r="AA88" i="11"/>
  <c r="W88" i="11"/>
  <c r="D58" i="14"/>
  <c r="O58" i="14"/>
  <c r="I58" i="14"/>
  <c r="G88" i="11"/>
  <c r="I88" i="11"/>
  <c r="T179" i="21"/>
  <c r="T175" i="21"/>
  <c r="T171" i="21"/>
  <c r="T155" i="21"/>
  <c r="T201" i="21"/>
  <c r="T151" i="21"/>
  <c r="T197" i="21"/>
  <c r="T147" i="21"/>
  <c r="T143" i="21"/>
  <c r="T189" i="21"/>
  <c r="T138" i="21"/>
  <c r="T184" i="21"/>
  <c r="T162" i="21"/>
  <c r="T167" i="21"/>
  <c r="T164" i="21"/>
  <c r="T169" i="21"/>
  <c r="T178" i="21"/>
  <c r="T174" i="21"/>
  <c r="T170" i="21"/>
  <c r="T163" i="21"/>
  <c r="T203" i="21"/>
  <c r="T153" i="21"/>
  <c r="T199" i="21"/>
  <c r="T149" i="21"/>
  <c r="T195" i="21"/>
  <c r="T191" i="21"/>
  <c r="T141" i="21"/>
  <c r="T186" i="21"/>
  <c r="T145" i="21"/>
  <c r="T140" i="21"/>
  <c r="T193" i="21"/>
  <c r="T188" i="21"/>
  <c r="T177" i="21"/>
  <c r="T173" i="21"/>
  <c r="T168" i="21"/>
  <c r="T161" i="21"/>
  <c r="T204" i="21"/>
  <c r="T154" i="21"/>
  <c r="T152" i="21"/>
  <c r="T150" i="21"/>
  <c r="T196" i="21"/>
  <c r="T146" i="21"/>
  <c r="T142" i="21"/>
  <c r="T139" i="21"/>
  <c r="T185" i="21"/>
  <c r="T192" i="21"/>
  <c r="K360" i="21"/>
  <c r="L360" i="21" s="1"/>
  <c r="T180" i="21"/>
  <c r="T176" i="21"/>
  <c r="T172" i="21"/>
  <c r="T166" i="21"/>
  <c r="T160" i="21"/>
  <c r="T156" i="21"/>
  <c r="T202" i="21"/>
  <c r="T200" i="21"/>
  <c r="T198" i="21"/>
  <c r="T148" i="21"/>
  <c r="T194" i="21"/>
  <c r="T190" i="21"/>
  <c r="T187" i="21"/>
  <c r="T137" i="21"/>
  <c r="T144" i="21"/>
  <c r="K205" i="21"/>
  <c r="L205" i="21" s="1"/>
  <c r="K206" i="21"/>
  <c r="L206" i="21" s="1"/>
  <c r="K413" i="21"/>
  <c r="L413" i="21" s="1"/>
  <c r="K414" i="21"/>
  <c r="L414" i="21" s="1"/>
  <c r="K416" i="21"/>
  <c r="L416" i="21" s="1"/>
  <c r="K418" i="21"/>
  <c r="L418" i="21" s="1"/>
  <c r="K419" i="21"/>
  <c r="L419" i="21" s="1"/>
  <c r="K420" i="21"/>
  <c r="L420" i="21" s="1"/>
  <c r="K21" i="21"/>
  <c r="L21" i="21" s="1"/>
  <c r="K22" i="21"/>
  <c r="L22" i="21" s="1"/>
  <c r="K190" i="21"/>
  <c r="L190" i="21" s="1"/>
  <c r="K405" i="21"/>
  <c r="L405" i="21" s="1"/>
  <c r="K406" i="21"/>
  <c r="L406" i="21" s="1"/>
  <c r="K407" i="21"/>
  <c r="L407" i="21" s="1"/>
  <c r="K408" i="21"/>
  <c r="L408" i="21" s="1"/>
  <c r="K409" i="21"/>
  <c r="L409" i="21" s="1"/>
  <c r="K410" i="21"/>
  <c r="L410" i="21" s="1"/>
  <c r="K412" i="21"/>
  <c r="L412" i="21" s="1"/>
  <c r="K69" i="21"/>
  <c r="L69" i="21" s="1"/>
  <c r="K70" i="21"/>
  <c r="L70" i="21" s="1"/>
  <c r="K71" i="21"/>
  <c r="L71" i="21" s="1"/>
  <c r="K72" i="21"/>
  <c r="L72" i="21" s="1"/>
  <c r="K73" i="21"/>
  <c r="L73" i="21" s="1"/>
  <c r="K74" i="21"/>
  <c r="L74" i="21" s="1"/>
  <c r="K75" i="21"/>
  <c r="L75" i="21" s="1"/>
  <c r="K76" i="21"/>
  <c r="L76" i="21" s="1"/>
  <c r="K221" i="21"/>
  <c r="L221" i="21" s="1"/>
  <c r="K222" i="21"/>
  <c r="L222" i="21" s="1"/>
  <c r="K223" i="21"/>
  <c r="L223" i="21" s="1"/>
  <c r="K224" i="21"/>
  <c r="L224" i="21" s="1"/>
  <c r="K225" i="21"/>
  <c r="L225" i="21" s="1"/>
  <c r="K226" i="21"/>
  <c r="L226" i="21" s="1"/>
  <c r="K227" i="21"/>
  <c r="L227" i="21" s="1"/>
  <c r="K228" i="21"/>
  <c r="L228" i="21" s="1"/>
  <c r="K369" i="21"/>
  <c r="L369" i="21" s="1"/>
  <c r="K370" i="21"/>
  <c r="L370" i="21" s="1"/>
  <c r="K381" i="21"/>
  <c r="L381" i="21" s="1"/>
  <c r="K333" i="21"/>
  <c r="L333" i="21" s="1"/>
  <c r="K3" i="21"/>
  <c r="L3" i="21" s="1"/>
  <c r="K4" i="21"/>
  <c r="L4" i="21" s="1"/>
  <c r="K5" i="21"/>
  <c r="L5" i="21" s="1"/>
  <c r="K387" i="21"/>
  <c r="L387" i="21" s="1"/>
  <c r="K388" i="21"/>
  <c r="L388" i="21" s="1"/>
  <c r="K389" i="21"/>
  <c r="L389" i="21" s="1"/>
  <c r="K253" i="21"/>
  <c r="L253" i="21" s="1"/>
  <c r="K254" i="21"/>
  <c r="L254" i="21" s="1"/>
  <c r="K255" i="21"/>
  <c r="L255" i="21" s="1"/>
  <c r="K256" i="21"/>
  <c r="L256" i="21" s="1"/>
  <c r="K257" i="21"/>
  <c r="L257" i="21" s="1"/>
  <c r="K258" i="21"/>
  <c r="L258" i="21" s="1"/>
  <c r="K259" i="21"/>
  <c r="L259" i="21" s="1"/>
  <c r="K260" i="21"/>
  <c r="L260" i="21" s="1"/>
  <c r="K429" i="21"/>
  <c r="L429" i="21" s="1"/>
  <c r="K430" i="21"/>
  <c r="L430" i="21" s="1"/>
  <c r="K431" i="21"/>
  <c r="L431" i="21" s="1"/>
  <c r="K432" i="21"/>
  <c r="L432" i="21" s="1"/>
  <c r="K433" i="21"/>
  <c r="L433" i="21" s="1"/>
  <c r="K434" i="21"/>
  <c r="L434" i="21" s="1"/>
  <c r="K435" i="21"/>
  <c r="L435" i="21" s="1"/>
  <c r="K436" i="21"/>
  <c r="L436" i="21" s="1"/>
  <c r="K77" i="21"/>
  <c r="L77" i="21" s="1"/>
  <c r="K78" i="21"/>
  <c r="L78" i="21" s="1"/>
  <c r="K237" i="21"/>
  <c r="L237" i="21" s="1"/>
  <c r="K238" i="21"/>
  <c r="L238" i="21" s="1"/>
  <c r="K239" i="21"/>
  <c r="L239" i="21" s="1"/>
  <c r="K240" i="21"/>
  <c r="L240" i="21" s="1"/>
  <c r="K241" i="21"/>
  <c r="L241" i="21" s="1"/>
  <c r="K242" i="21"/>
  <c r="L242" i="21" s="1"/>
  <c r="K243" i="21"/>
  <c r="L243" i="21" s="1"/>
  <c r="K244" i="21"/>
  <c r="L244" i="21" s="1"/>
  <c r="K421" i="21"/>
  <c r="L421" i="21" s="1"/>
  <c r="K422" i="21"/>
  <c r="L422" i="21" s="1"/>
  <c r="K423" i="21"/>
  <c r="L423" i="21" s="1"/>
  <c r="K424" i="21"/>
  <c r="L424" i="21" s="1"/>
  <c r="K426" i="21"/>
  <c r="L426" i="21" s="1"/>
  <c r="K427" i="21"/>
  <c r="L427" i="21" s="1"/>
  <c r="K428" i="21"/>
  <c r="L428" i="21" s="1"/>
  <c r="K125" i="21"/>
  <c r="L125" i="21" s="1"/>
  <c r="K126" i="21"/>
  <c r="L126" i="21" s="1"/>
  <c r="K127" i="21"/>
  <c r="L127" i="21" s="1"/>
  <c r="K128" i="21"/>
  <c r="L128" i="21" s="1"/>
  <c r="K129" i="21"/>
  <c r="L129" i="21" s="1"/>
  <c r="K130" i="21"/>
  <c r="L130" i="21" s="1"/>
  <c r="K132" i="21"/>
  <c r="L132" i="21" s="1"/>
  <c r="K269" i="21"/>
  <c r="L269" i="21" s="1"/>
  <c r="K270" i="21"/>
  <c r="L270" i="21" s="1"/>
  <c r="K271" i="21"/>
  <c r="L271" i="21" s="1"/>
  <c r="K272" i="21"/>
  <c r="L272" i="21" s="1"/>
  <c r="K273" i="21"/>
  <c r="L273" i="21" s="1"/>
  <c r="K274" i="21"/>
  <c r="L274" i="21" s="1"/>
  <c r="K275" i="21"/>
  <c r="L275" i="21" s="1"/>
  <c r="K276" i="21"/>
  <c r="L276" i="21" s="1"/>
  <c r="K373" i="21"/>
  <c r="L373" i="21" s="1"/>
  <c r="K374" i="21"/>
  <c r="L374" i="21" s="1"/>
  <c r="K383" i="21"/>
  <c r="L383" i="21" s="1"/>
  <c r="K345" i="21"/>
  <c r="L345" i="21" s="1"/>
  <c r="K346" i="21"/>
  <c r="L346" i="21" s="1"/>
  <c r="K347" i="21"/>
  <c r="L347" i="21" s="1"/>
  <c r="K9" i="21"/>
  <c r="L9" i="21" s="1"/>
  <c r="K11" i="21"/>
  <c r="L11" i="21" s="1"/>
  <c r="K393" i="21"/>
  <c r="L393" i="21" s="1"/>
  <c r="K394" i="21"/>
  <c r="L394" i="21" s="1"/>
  <c r="K395" i="21"/>
  <c r="L395" i="21" s="1"/>
  <c r="K149" i="21"/>
  <c r="L149" i="21" s="1"/>
  <c r="K301" i="21"/>
  <c r="L301" i="21" s="1"/>
  <c r="K302" i="21"/>
  <c r="L302" i="21" s="1"/>
  <c r="K303" i="21"/>
  <c r="L303" i="21" s="1"/>
  <c r="K304" i="21"/>
  <c r="L304" i="21" s="1"/>
  <c r="K305" i="21"/>
  <c r="L305" i="21" s="1"/>
  <c r="K306" i="21"/>
  <c r="L306" i="21" s="1"/>
  <c r="K445" i="21"/>
  <c r="L445" i="21" s="1"/>
  <c r="K446" i="21"/>
  <c r="L446" i="21" s="1"/>
  <c r="K447" i="21"/>
  <c r="L447" i="21" s="1"/>
  <c r="K448" i="21"/>
  <c r="L448" i="21" s="1"/>
  <c r="K449" i="21"/>
  <c r="L449" i="21" s="1"/>
  <c r="K450" i="21"/>
  <c r="L450" i="21" s="1"/>
  <c r="K451" i="21"/>
  <c r="L451" i="21" s="1"/>
  <c r="K452" i="21"/>
  <c r="L452" i="21" s="1"/>
  <c r="K133" i="21"/>
  <c r="L133" i="21" s="1"/>
  <c r="K134" i="21"/>
  <c r="L134" i="21" s="1"/>
  <c r="K285" i="21"/>
  <c r="L285" i="21" s="1"/>
  <c r="K286" i="21"/>
  <c r="L286" i="21" s="1"/>
  <c r="K287" i="21"/>
  <c r="L287" i="21" s="1"/>
  <c r="K288" i="21"/>
  <c r="L288" i="21" s="1"/>
  <c r="K289" i="21"/>
  <c r="L289" i="21" s="1"/>
  <c r="K290" i="21"/>
  <c r="L290" i="21" s="1"/>
  <c r="K291" i="21"/>
  <c r="L291" i="21" s="1"/>
  <c r="K437" i="21"/>
  <c r="L437" i="21" s="1"/>
  <c r="K438" i="21"/>
  <c r="L438" i="21" s="1"/>
  <c r="K439" i="21"/>
  <c r="L439" i="21" s="1"/>
  <c r="K440" i="21"/>
  <c r="L440" i="21" s="1"/>
  <c r="K442" i="21"/>
  <c r="L442" i="21" s="1"/>
  <c r="K443" i="21"/>
  <c r="L443" i="21" s="1"/>
  <c r="K444" i="21"/>
  <c r="L444" i="21" s="1"/>
  <c r="K181" i="21"/>
  <c r="L181" i="21" s="1"/>
  <c r="K182" i="21"/>
  <c r="L182" i="21" s="1"/>
  <c r="K183" i="21"/>
  <c r="L183" i="21" s="1"/>
  <c r="K184" i="21"/>
  <c r="L184" i="21" s="1"/>
  <c r="K185" i="21"/>
  <c r="L185" i="21" s="1"/>
  <c r="K186" i="21"/>
  <c r="L186" i="21" s="1"/>
  <c r="K187" i="21"/>
  <c r="L187" i="21" s="1"/>
  <c r="K188" i="21"/>
  <c r="L188" i="21" s="1"/>
  <c r="K317" i="21"/>
  <c r="L317" i="21" s="1"/>
  <c r="K318" i="21"/>
  <c r="L318" i="21" s="1"/>
  <c r="K319" i="21"/>
  <c r="L319" i="21" s="1"/>
  <c r="K320" i="21"/>
  <c r="L320" i="21" s="1"/>
  <c r="K321" i="21"/>
  <c r="L321" i="21" s="1"/>
  <c r="K322" i="21"/>
  <c r="L322" i="21" s="1"/>
  <c r="K323" i="21"/>
  <c r="L323" i="21" s="1"/>
  <c r="K324" i="21"/>
  <c r="L324" i="21" s="1"/>
  <c r="K377" i="21"/>
  <c r="L377" i="21" s="1"/>
  <c r="K378" i="21"/>
  <c r="L378" i="21" s="1"/>
  <c r="K385" i="21"/>
  <c r="L385" i="21" s="1"/>
  <c r="K357" i="21"/>
  <c r="L357" i="21" s="1"/>
  <c r="K358" i="21"/>
  <c r="L358" i="21" s="1"/>
  <c r="K359" i="21"/>
  <c r="L359" i="21" s="1"/>
  <c r="K15" i="21"/>
  <c r="L15" i="21" s="1"/>
  <c r="K16" i="21"/>
  <c r="L16" i="21" s="1"/>
  <c r="K17" i="21"/>
  <c r="L17" i="21" s="1"/>
  <c r="K399" i="21"/>
  <c r="L399" i="21" s="1"/>
  <c r="K400" i="21"/>
  <c r="L400" i="21" s="1"/>
  <c r="K401" i="21"/>
  <c r="L401" i="21" s="1"/>
  <c r="K46" i="21"/>
  <c r="L46" i="21" s="1"/>
  <c r="K50" i="21"/>
  <c r="L50" i="21" s="1"/>
  <c r="K52" i="21"/>
  <c r="L52" i="21" s="1"/>
  <c r="K30" i="21"/>
  <c r="L30" i="21" s="1"/>
  <c r="K32" i="21"/>
  <c r="L32" i="21" s="1"/>
  <c r="K33" i="21"/>
  <c r="L33" i="21" s="1"/>
  <c r="K34" i="21"/>
  <c r="L34" i="21" s="1"/>
  <c r="K36" i="21"/>
  <c r="L36" i="21" s="1"/>
  <c r="K197" i="21"/>
  <c r="L197" i="21" s="1"/>
  <c r="K198" i="21"/>
  <c r="L198" i="21" s="1"/>
  <c r="K199" i="21"/>
  <c r="L199" i="21" s="1"/>
  <c r="K200" i="21"/>
  <c r="L200" i="21" s="1"/>
  <c r="K202" i="21"/>
  <c r="L202" i="21" s="1"/>
  <c r="K203" i="21"/>
  <c r="L203" i="21" s="1"/>
  <c r="K204" i="21"/>
  <c r="L204" i="21" s="1"/>
  <c r="K229" i="21"/>
  <c r="L229" i="21" s="1"/>
  <c r="K230" i="21"/>
  <c r="L230" i="21" s="1"/>
  <c r="K231" i="21"/>
  <c r="L231" i="21" s="1"/>
  <c r="K232" i="21"/>
  <c r="L232" i="21" s="1"/>
  <c r="K233" i="21"/>
  <c r="L233" i="21" s="1"/>
  <c r="K234" i="21"/>
  <c r="L234" i="21" s="1"/>
  <c r="K235" i="21"/>
  <c r="L235" i="21" s="1"/>
  <c r="K236" i="21"/>
  <c r="L236" i="21" s="1"/>
  <c r="K213" i="21"/>
  <c r="L213" i="21" s="1"/>
  <c r="K214" i="21"/>
  <c r="L214" i="21" s="1"/>
  <c r="K215" i="21"/>
  <c r="L215" i="21" s="1"/>
  <c r="K216" i="21"/>
  <c r="L216" i="21" s="1"/>
  <c r="K217" i="21"/>
  <c r="L217" i="21" s="1"/>
  <c r="K218" i="21"/>
  <c r="L218" i="21" s="1"/>
  <c r="K219" i="21"/>
  <c r="L219" i="21" s="1"/>
  <c r="K220" i="21"/>
  <c r="L220" i="21" s="1"/>
  <c r="K371" i="21"/>
  <c r="L371" i="21" s="1"/>
  <c r="K372" i="21"/>
  <c r="L372" i="21" s="1"/>
  <c r="K382" i="21"/>
  <c r="L382" i="21" s="1"/>
  <c r="K339" i="21"/>
  <c r="L339" i="21" s="1"/>
  <c r="K340" i="21"/>
  <c r="L340" i="21" s="1"/>
  <c r="K341" i="21"/>
  <c r="L341" i="21" s="1"/>
  <c r="K6" i="21"/>
  <c r="L6" i="21" s="1"/>
  <c r="K7" i="21"/>
  <c r="L7" i="21" s="1"/>
  <c r="K8" i="21"/>
  <c r="L8" i="21" s="1"/>
  <c r="K390" i="21"/>
  <c r="L390" i="21" s="1"/>
  <c r="K392" i="21"/>
  <c r="L392" i="21" s="1"/>
  <c r="K103" i="21"/>
  <c r="L103" i="21" s="1"/>
  <c r="K105" i="21"/>
  <c r="L105" i="21" s="1"/>
  <c r="K107" i="21"/>
  <c r="L107" i="21" s="1"/>
  <c r="K85" i="21"/>
  <c r="L85" i="21" s="1"/>
  <c r="K86" i="21"/>
  <c r="L86" i="21" s="1"/>
  <c r="K87" i="21"/>
  <c r="L87" i="21" s="1"/>
  <c r="K88" i="21"/>
  <c r="L88" i="21" s="1"/>
  <c r="K89" i="21"/>
  <c r="L89" i="21" s="1"/>
  <c r="K90" i="21"/>
  <c r="L90" i="21" s="1"/>
  <c r="K92" i="21"/>
  <c r="L92" i="21" s="1"/>
  <c r="K245" i="21"/>
  <c r="L245" i="21" s="1"/>
  <c r="K246" i="21"/>
  <c r="L246" i="21" s="1"/>
  <c r="K247" i="21"/>
  <c r="L247" i="21" s="1"/>
  <c r="K248" i="21"/>
  <c r="L248" i="21" s="1"/>
  <c r="K250" i="21"/>
  <c r="L250" i="21" s="1"/>
  <c r="K251" i="21"/>
  <c r="L251" i="21" s="1"/>
  <c r="K252" i="21"/>
  <c r="L252" i="21" s="1"/>
  <c r="K277" i="21"/>
  <c r="L277" i="21" s="1"/>
  <c r="K278" i="21"/>
  <c r="L278" i="21" s="1"/>
  <c r="K279" i="21"/>
  <c r="L279" i="21" s="1"/>
  <c r="K280" i="21"/>
  <c r="L280" i="21" s="1"/>
  <c r="K281" i="21"/>
  <c r="L281" i="21" s="1"/>
  <c r="K282" i="21"/>
  <c r="L282" i="21" s="1"/>
  <c r="K283" i="21"/>
  <c r="L283" i="21" s="1"/>
  <c r="K284" i="21"/>
  <c r="L284" i="21" s="1"/>
  <c r="K261" i="21"/>
  <c r="L261" i="21" s="1"/>
  <c r="K262" i="21"/>
  <c r="L262" i="21" s="1"/>
  <c r="K263" i="21"/>
  <c r="L263" i="21" s="1"/>
  <c r="K264" i="21"/>
  <c r="L264" i="21" s="1"/>
  <c r="K265" i="21"/>
  <c r="L265" i="21" s="1"/>
  <c r="K266" i="21"/>
  <c r="L266" i="21" s="1"/>
  <c r="K267" i="21"/>
  <c r="L267" i="21" s="1"/>
  <c r="K268" i="21"/>
  <c r="L268" i="21" s="1"/>
  <c r="K375" i="21"/>
  <c r="L375" i="21" s="1"/>
  <c r="K376" i="21"/>
  <c r="L376" i="21" s="1"/>
  <c r="K384" i="21"/>
  <c r="L384" i="21" s="1"/>
  <c r="K351" i="21"/>
  <c r="L351" i="21" s="1"/>
  <c r="K352" i="21"/>
  <c r="L352" i="21" s="1"/>
  <c r="K353" i="21"/>
  <c r="L353" i="21" s="1"/>
  <c r="K12" i="21"/>
  <c r="L12" i="21" s="1"/>
  <c r="K13" i="21"/>
  <c r="L13" i="21" s="1"/>
  <c r="K14" i="21"/>
  <c r="L14" i="21" s="1"/>
  <c r="K396" i="21"/>
  <c r="L396" i="21" s="1"/>
  <c r="K397" i="21"/>
  <c r="L397" i="21" s="1"/>
  <c r="K398" i="21"/>
  <c r="L398" i="21" s="1"/>
  <c r="K157" i="21"/>
  <c r="L157" i="21" s="1"/>
  <c r="K159" i="21"/>
  <c r="L159" i="21" s="1"/>
  <c r="K161" i="21"/>
  <c r="L161" i="21" s="1"/>
  <c r="K163" i="21"/>
  <c r="L163" i="21" s="1"/>
  <c r="K164" i="21"/>
  <c r="L164" i="21" s="1"/>
  <c r="K141" i="21"/>
  <c r="L141" i="21" s="1"/>
  <c r="K142" i="21"/>
  <c r="L142" i="21" s="1"/>
  <c r="K143" i="21"/>
  <c r="L143" i="21" s="1"/>
  <c r="K144" i="21"/>
  <c r="L144" i="21" s="1"/>
  <c r="K145" i="21"/>
  <c r="L145" i="21" s="1"/>
  <c r="K146" i="21"/>
  <c r="L146" i="21" s="1"/>
  <c r="K147" i="21"/>
  <c r="L147" i="21" s="1"/>
  <c r="K148" i="21"/>
  <c r="L148" i="21" s="1"/>
  <c r="K293" i="21"/>
  <c r="L293" i="21" s="1"/>
  <c r="K294" i="21"/>
  <c r="L294" i="21" s="1"/>
  <c r="K295" i="21"/>
  <c r="L295" i="21" s="1"/>
  <c r="K296" i="21"/>
  <c r="L296" i="21" s="1"/>
  <c r="K297" i="21"/>
  <c r="L297" i="21" s="1"/>
  <c r="K298" i="21"/>
  <c r="L298" i="21" s="1"/>
  <c r="K299" i="21"/>
  <c r="L299" i="21" s="1"/>
  <c r="K325" i="21"/>
  <c r="L325" i="21" s="1"/>
  <c r="K326" i="21"/>
  <c r="L326" i="21" s="1"/>
  <c r="K327" i="21"/>
  <c r="L327" i="21" s="1"/>
  <c r="K328" i="21"/>
  <c r="L328" i="21" s="1"/>
  <c r="K329" i="21"/>
  <c r="L329" i="21" s="1"/>
  <c r="K330" i="21"/>
  <c r="L330" i="21" s="1"/>
  <c r="K331" i="21"/>
  <c r="L331" i="21" s="1"/>
  <c r="K332" i="21"/>
  <c r="L332" i="21" s="1"/>
  <c r="K309" i="21"/>
  <c r="L309" i="21" s="1"/>
  <c r="K310" i="21"/>
  <c r="L310" i="21" s="1"/>
  <c r="K311" i="21"/>
  <c r="L311" i="21" s="1"/>
  <c r="K312" i="21"/>
  <c r="L312" i="21" s="1"/>
  <c r="K313" i="21"/>
  <c r="L313" i="21" s="1"/>
  <c r="K314" i="21"/>
  <c r="L314" i="21" s="1"/>
  <c r="K315" i="21"/>
  <c r="L315" i="21" s="1"/>
  <c r="K316" i="21"/>
  <c r="L316" i="21" s="1"/>
  <c r="K379" i="21"/>
  <c r="L379" i="21" s="1"/>
  <c r="K380" i="21"/>
  <c r="L380" i="21" s="1"/>
  <c r="K386" i="21"/>
  <c r="L386" i="21" s="1"/>
  <c r="K363" i="21"/>
  <c r="L363" i="21" s="1"/>
  <c r="K364" i="21"/>
  <c r="L364" i="21" s="1"/>
  <c r="K365" i="21"/>
  <c r="L365" i="21" s="1"/>
  <c r="K18" i="21"/>
  <c r="L18" i="21" s="1"/>
  <c r="K19" i="21"/>
  <c r="L19" i="21" s="1"/>
  <c r="K20" i="21"/>
  <c r="L20" i="21" s="1"/>
  <c r="K402" i="21"/>
  <c r="L402" i="21" s="1"/>
  <c r="K403" i="21"/>
  <c r="L403" i="21" s="1"/>
  <c r="K404" i="21"/>
  <c r="L404" i="21" s="1"/>
  <c r="G300" i="21"/>
  <c r="G162" i="21"/>
  <c r="G160" i="21"/>
  <c r="G158" i="21"/>
  <c r="G249" i="21"/>
  <c r="G91" i="21"/>
  <c r="G108" i="21"/>
  <c r="G106" i="21"/>
  <c r="G104" i="21"/>
  <c r="G102" i="21"/>
  <c r="G101" i="21"/>
  <c r="G391" i="21"/>
  <c r="G201" i="21"/>
  <c r="G35" i="21"/>
  <c r="G31" i="21"/>
  <c r="G29" i="21"/>
  <c r="G51" i="21"/>
  <c r="G49" i="21"/>
  <c r="G48" i="21"/>
  <c r="G47" i="21"/>
  <c r="G45" i="21"/>
  <c r="G441" i="21"/>
  <c r="G292" i="21"/>
  <c r="G140" i="21"/>
  <c r="G139" i="21"/>
  <c r="G138" i="21"/>
  <c r="G137" i="21"/>
  <c r="G136" i="21"/>
  <c r="G135" i="21"/>
  <c r="G171" i="21"/>
  <c r="J171" i="21" s="1"/>
  <c r="G169" i="21"/>
  <c r="J169" i="21" s="1"/>
  <c r="G167" i="21"/>
  <c r="J167" i="21" s="1"/>
  <c r="G308" i="21"/>
  <c r="G307" i="21"/>
  <c r="G156" i="21"/>
  <c r="G155" i="21"/>
  <c r="G154" i="21"/>
  <c r="G153" i="21"/>
  <c r="G152" i="21"/>
  <c r="G151" i="21"/>
  <c r="G150" i="21"/>
  <c r="G10" i="21"/>
  <c r="G131" i="21"/>
  <c r="G425" i="21"/>
  <c r="G84" i="21"/>
  <c r="G83" i="21"/>
  <c r="G82" i="21"/>
  <c r="G81" i="21"/>
  <c r="G80" i="21"/>
  <c r="G79" i="21"/>
  <c r="G115" i="21"/>
  <c r="J115" i="21" s="1"/>
  <c r="G113" i="21"/>
  <c r="J113" i="21" s="1"/>
  <c r="G111" i="21"/>
  <c r="J111" i="21" s="1"/>
  <c r="G100" i="21"/>
  <c r="G99" i="21"/>
  <c r="G98" i="21"/>
  <c r="G97" i="21"/>
  <c r="G96" i="21"/>
  <c r="G95" i="21"/>
  <c r="G94" i="21"/>
  <c r="G93" i="21"/>
  <c r="G335" i="21"/>
  <c r="G334" i="21"/>
  <c r="G411" i="21"/>
  <c r="G196" i="21"/>
  <c r="G195" i="21"/>
  <c r="G194" i="21"/>
  <c r="G193" i="21"/>
  <c r="G192" i="21"/>
  <c r="G191" i="21"/>
  <c r="G189" i="21"/>
  <c r="G28" i="21"/>
  <c r="G27" i="21"/>
  <c r="G26" i="21"/>
  <c r="G25" i="21"/>
  <c r="G24" i="21"/>
  <c r="G23" i="21"/>
  <c r="G55" i="21"/>
  <c r="J55" i="21" s="1"/>
  <c r="G417" i="21"/>
  <c r="G415" i="21"/>
  <c r="G212" i="21"/>
  <c r="G211" i="21"/>
  <c r="G210" i="21"/>
  <c r="G209" i="21"/>
  <c r="G208" i="21"/>
  <c r="G207" i="21"/>
  <c r="G44" i="21"/>
  <c r="G43" i="21"/>
  <c r="G42" i="21"/>
  <c r="G41" i="21"/>
  <c r="G40" i="21"/>
  <c r="G39" i="21"/>
  <c r="G38" i="21"/>
  <c r="G37" i="21"/>
  <c r="J40" i="21" l="1"/>
  <c r="K40" i="21" s="1"/>
  <c r="L40" i="21" s="1"/>
  <c r="K417" i="21"/>
  <c r="L417" i="21" s="1"/>
  <c r="J417" i="21"/>
  <c r="J292" i="21"/>
  <c r="K292" i="21" s="1"/>
  <c r="L292" i="21" s="1"/>
  <c r="K48" i="21"/>
  <c r="L48" i="21" s="1"/>
  <c r="J48" i="21"/>
  <c r="J31" i="21"/>
  <c r="K31" i="21" s="1"/>
  <c r="L31" i="21" s="1"/>
  <c r="K108" i="21"/>
  <c r="L108" i="21" s="1"/>
  <c r="J108" i="21"/>
  <c r="J160" i="21"/>
  <c r="K160" i="21" s="1"/>
  <c r="L160" i="21" s="1"/>
  <c r="K37" i="21"/>
  <c r="L37" i="21" s="1"/>
  <c r="J37" i="21"/>
  <c r="J41" i="21"/>
  <c r="K41" i="21" s="1"/>
  <c r="L41" i="21" s="1"/>
  <c r="K207" i="21"/>
  <c r="L207" i="21" s="1"/>
  <c r="J207" i="21"/>
  <c r="J211" i="21"/>
  <c r="K211" i="21" s="1"/>
  <c r="L211" i="21" s="1"/>
  <c r="K26" i="21"/>
  <c r="L26" i="21" s="1"/>
  <c r="J26" i="21"/>
  <c r="J191" i="21"/>
  <c r="K191" i="21" s="1"/>
  <c r="L191" i="21" s="1"/>
  <c r="K195" i="21"/>
  <c r="L195" i="21" s="1"/>
  <c r="J195" i="21"/>
  <c r="J335" i="21"/>
  <c r="K335" i="21" s="1"/>
  <c r="L335" i="21" s="1"/>
  <c r="K96" i="21"/>
  <c r="L96" i="21" s="1"/>
  <c r="J96" i="21"/>
  <c r="J100" i="21"/>
  <c r="K100" i="21" s="1"/>
  <c r="L100" i="21" s="1"/>
  <c r="K79" i="21"/>
  <c r="L79" i="21" s="1"/>
  <c r="J79" i="21"/>
  <c r="J83" i="21"/>
  <c r="K83" i="21" s="1"/>
  <c r="L83" i="21" s="1"/>
  <c r="K10" i="21"/>
  <c r="L10" i="21" s="1"/>
  <c r="J10" i="21"/>
  <c r="J153" i="21"/>
  <c r="K153" i="21" s="1"/>
  <c r="L153" i="21" s="1"/>
  <c r="K307" i="21"/>
  <c r="L307" i="21" s="1"/>
  <c r="J307" i="21"/>
  <c r="J138" i="21"/>
  <c r="K138" i="21" s="1"/>
  <c r="L138" i="21" s="1"/>
  <c r="K441" i="21"/>
  <c r="L441" i="21" s="1"/>
  <c r="J441" i="21"/>
  <c r="J49" i="21"/>
  <c r="K49" i="21" s="1"/>
  <c r="L49" i="21" s="1"/>
  <c r="K35" i="21"/>
  <c r="L35" i="21" s="1"/>
  <c r="J35" i="21"/>
  <c r="J102" i="21"/>
  <c r="K102" i="21" s="1"/>
  <c r="L102" i="21" s="1"/>
  <c r="K91" i="21"/>
  <c r="L91" i="21" s="1"/>
  <c r="J91" i="21"/>
  <c r="J162" i="21"/>
  <c r="K162" i="21" s="1"/>
  <c r="L162" i="21" s="1"/>
  <c r="K42" i="21"/>
  <c r="L42" i="21" s="1"/>
  <c r="J42" i="21"/>
  <c r="J208" i="21"/>
  <c r="K208" i="21" s="1"/>
  <c r="L208" i="21" s="1"/>
  <c r="K23" i="21"/>
  <c r="L23" i="21" s="1"/>
  <c r="J23" i="21"/>
  <c r="J27" i="21"/>
  <c r="K27" i="21" s="1"/>
  <c r="L27" i="21" s="1"/>
  <c r="K192" i="21"/>
  <c r="L192" i="21" s="1"/>
  <c r="J192" i="21"/>
  <c r="J196" i="21"/>
  <c r="K196" i="21" s="1"/>
  <c r="L196" i="21" s="1"/>
  <c r="K93" i="21"/>
  <c r="L93" i="21" s="1"/>
  <c r="J93" i="21"/>
  <c r="J97" i="21"/>
  <c r="K97" i="21" s="1"/>
  <c r="L97" i="21" s="1"/>
  <c r="K84" i="21"/>
  <c r="L84" i="21" s="1"/>
  <c r="J84" i="21"/>
  <c r="J308" i="21"/>
  <c r="K308" i="21" s="1"/>
  <c r="L308" i="21" s="1"/>
  <c r="K45" i="21"/>
  <c r="L45" i="21" s="1"/>
  <c r="J45" i="21"/>
  <c r="J104" i="21"/>
  <c r="K104" i="21" s="1"/>
  <c r="L104" i="21" s="1"/>
  <c r="K38" i="21"/>
  <c r="L38" i="21" s="1"/>
  <c r="J38" i="21"/>
  <c r="J212" i="21"/>
  <c r="K212" i="21" s="1"/>
  <c r="L212" i="21" s="1"/>
  <c r="K80" i="21"/>
  <c r="L80" i="21" s="1"/>
  <c r="J80" i="21"/>
  <c r="J150" i="21"/>
  <c r="K150" i="21" s="1"/>
  <c r="L150" i="21" s="1"/>
  <c r="K154" i="21"/>
  <c r="L154" i="21" s="1"/>
  <c r="J154" i="21"/>
  <c r="J135" i="21"/>
  <c r="K135" i="21" s="1"/>
  <c r="L135" i="21" s="1"/>
  <c r="K139" i="21"/>
  <c r="L139" i="21" s="1"/>
  <c r="J139" i="21"/>
  <c r="J51" i="21"/>
  <c r="K51" i="21" s="1"/>
  <c r="L51" i="21" s="1"/>
  <c r="K201" i="21"/>
  <c r="L201" i="21" s="1"/>
  <c r="J201" i="21"/>
  <c r="J249" i="21"/>
  <c r="K249" i="21" s="1"/>
  <c r="L249" i="21" s="1"/>
  <c r="K300" i="21"/>
  <c r="L300" i="21" s="1"/>
  <c r="J300" i="21"/>
  <c r="J39" i="21"/>
  <c r="K39" i="21" s="1"/>
  <c r="L39" i="21" s="1"/>
  <c r="K43" i="21"/>
  <c r="L43" i="21" s="1"/>
  <c r="J43" i="21"/>
  <c r="J209" i="21"/>
  <c r="K209" i="21" s="1"/>
  <c r="L209" i="21" s="1"/>
  <c r="K415" i="21"/>
  <c r="L415" i="21" s="1"/>
  <c r="J415" i="21"/>
  <c r="J24" i="21"/>
  <c r="K24" i="21" s="1"/>
  <c r="L24" i="21" s="1"/>
  <c r="K28" i="21"/>
  <c r="L28" i="21" s="1"/>
  <c r="J28" i="21"/>
  <c r="J193" i="21"/>
  <c r="K193" i="21" s="1"/>
  <c r="L193" i="21" s="1"/>
  <c r="K411" i="21"/>
  <c r="L411" i="21" s="1"/>
  <c r="J411" i="21"/>
  <c r="J94" i="21"/>
  <c r="K94" i="21" s="1"/>
  <c r="L94" i="21" s="1"/>
  <c r="K98" i="21"/>
  <c r="L98" i="21" s="1"/>
  <c r="J98" i="21"/>
  <c r="J81" i="21"/>
  <c r="K81" i="21" s="1"/>
  <c r="L81" i="21" s="1"/>
  <c r="K425" i="21"/>
  <c r="L425" i="21" s="1"/>
  <c r="J425" i="21"/>
  <c r="J151" i="21"/>
  <c r="K151" i="21" s="1"/>
  <c r="L151" i="21" s="1"/>
  <c r="K155" i="21"/>
  <c r="L155" i="21" s="1"/>
  <c r="J155" i="21"/>
  <c r="J136" i="21"/>
  <c r="K136" i="21" s="1"/>
  <c r="L136" i="21" s="1"/>
  <c r="K140" i="21"/>
  <c r="L140" i="21" s="1"/>
  <c r="J140" i="21"/>
  <c r="J47" i="21"/>
  <c r="K47" i="21" s="1"/>
  <c r="L47" i="21" s="1"/>
  <c r="K29" i="21"/>
  <c r="L29" i="21" s="1"/>
  <c r="J29" i="21"/>
  <c r="J391" i="21"/>
  <c r="K391" i="21" s="1"/>
  <c r="L391" i="21" s="1"/>
  <c r="K106" i="21"/>
  <c r="L106" i="21" s="1"/>
  <c r="J106" i="21"/>
  <c r="J158" i="21"/>
  <c r="K158" i="21" s="1"/>
  <c r="L158" i="21" s="1"/>
  <c r="K44" i="21"/>
  <c r="L44" i="21" s="1"/>
  <c r="J44" i="21"/>
  <c r="J210" i="21"/>
  <c r="K210" i="21" s="1"/>
  <c r="L210" i="21" s="1"/>
  <c r="K25" i="21"/>
  <c r="L25" i="21" s="1"/>
  <c r="J25" i="21"/>
  <c r="J189" i="21"/>
  <c r="K189" i="21" s="1"/>
  <c r="L189" i="21" s="1"/>
  <c r="K194" i="21"/>
  <c r="L194" i="21" s="1"/>
  <c r="J194" i="21"/>
  <c r="J334" i="21"/>
  <c r="K334" i="21" s="1"/>
  <c r="L334" i="21" s="1"/>
  <c r="K95" i="21"/>
  <c r="L95" i="21" s="1"/>
  <c r="J95" i="21"/>
  <c r="J99" i="21"/>
  <c r="K99" i="21" s="1"/>
  <c r="L99" i="21" s="1"/>
  <c r="K82" i="21"/>
  <c r="L82" i="21" s="1"/>
  <c r="J82" i="21"/>
  <c r="J131" i="21"/>
  <c r="K131" i="21" s="1"/>
  <c r="L131" i="21" s="1"/>
  <c r="K152" i="21"/>
  <c r="L152" i="21" s="1"/>
  <c r="J152" i="21"/>
  <c r="J156" i="21"/>
  <c r="K156" i="21" s="1"/>
  <c r="L156" i="21" s="1"/>
  <c r="K137" i="21"/>
  <c r="L137" i="21" s="1"/>
  <c r="J137" i="21"/>
  <c r="J101" i="21"/>
  <c r="K101" i="21" s="1"/>
  <c r="L101" i="21" s="1"/>
  <c r="J24" i="6" l="1"/>
  <c r="F23" i="6"/>
  <c r="G23" i="6"/>
  <c r="H23" i="6"/>
  <c r="F24" i="6"/>
  <c r="G24" i="6"/>
  <c r="H24" i="6"/>
  <c r="E24" i="6"/>
  <c r="E23" i="6"/>
  <c r="J26" i="6"/>
  <c r="J25" i="6"/>
  <c r="F25" i="6"/>
  <c r="G25" i="6"/>
  <c r="H25" i="6"/>
  <c r="F26" i="6"/>
  <c r="G26" i="6"/>
  <c r="H26" i="6"/>
  <c r="E25" i="6"/>
  <c r="E26" i="6"/>
  <c r="L120" i="5"/>
  <c r="F120" i="5"/>
  <c r="G120" i="5"/>
  <c r="H120" i="5"/>
  <c r="I120" i="5"/>
  <c r="J120" i="5"/>
  <c r="K120" i="5"/>
  <c r="M120" i="5"/>
  <c r="N120" i="5"/>
  <c r="O120" i="5"/>
  <c r="P120" i="5"/>
  <c r="Q120" i="5"/>
  <c r="R120" i="5"/>
  <c r="S120" i="5"/>
  <c r="T120" i="5"/>
  <c r="U120" i="5"/>
  <c r="V120" i="5"/>
  <c r="F121" i="5"/>
  <c r="G121" i="5"/>
  <c r="H121" i="5"/>
  <c r="I121" i="5"/>
  <c r="J121" i="5"/>
  <c r="K121" i="5"/>
  <c r="L121" i="5"/>
  <c r="M121" i="5"/>
  <c r="N121" i="5"/>
  <c r="O121" i="5"/>
  <c r="P121" i="5"/>
  <c r="Q121" i="5"/>
  <c r="R121" i="5"/>
  <c r="S121" i="5"/>
  <c r="T121" i="5"/>
  <c r="U121" i="5"/>
  <c r="V121" i="5"/>
  <c r="K99" i="5"/>
  <c r="J99" i="5" s="1"/>
  <c r="I99" i="5" s="1"/>
  <c r="H99" i="5" s="1"/>
  <c r="G99" i="5" s="1"/>
  <c r="F99" i="5" s="1"/>
  <c r="V99" i="5"/>
  <c r="F119" i="5"/>
  <c r="G119" i="5"/>
  <c r="H119" i="5"/>
  <c r="I119" i="5"/>
  <c r="J119" i="5"/>
  <c r="K119" i="5"/>
  <c r="L119" i="5"/>
  <c r="M119" i="5"/>
  <c r="N119" i="5"/>
  <c r="O119" i="5"/>
  <c r="P119" i="5"/>
  <c r="Q119" i="5"/>
  <c r="R119" i="5"/>
  <c r="S119" i="5"/>
  <c r="T119" i="5"/>
  <c r="U119" i="5"/>
  <c r="V119" i="5"/>
  <c r="F30" i="20" l="1"/>
  <c r="F37" i="20" s="1"/>
  <c r="G30" i="20"/>
  <c r="G37" i="20" s="1"/>
  <c r="H30" i="20"/>
  <c r="H37" i="20" s="1"/>
  <c r="I30" i="20"/>
  <c r="I37" i="20" s="1"/>
  <c r="J30" i="20"/>
  <c r="J37" i="20" s="1"/>
  <c r="K30" i="20"/>
  <c r="K37" i="20" s="1"/>
  <c r="L30" i="20"/>
  <c r="L37" i="20" s="1"/>
  <c r="M30" i="20"/>
  <c r="M37" i="20" s="1"/>
  <c r="N30" i="20"/>
  <c r="N37" i="20" s="1"/>
  <c r="O30" i="20"/>
  <c r="O37" i="20" s="1"/>
  <c r="P30" i="20"/>
  <c r="P37" i="20" s="1"/>
  <c r="Q30" i="20"/>
  <c r="Q37" i="20" s="1"/>
  <c r="R30" i="20"/>
  <c r="R37" i="20" s="1"/>
  <c r="S30" i="20"/>
  <c r="S37" i="20" s="1"/>
  <c r="T30" i="20"/>
  <c r="T37" i="20" s="1"/>
  <c r="U30" i="20"/>
  <c r="U37" i="20" s="1"/>
  <c r="V30" i="20"/>
  <c r="V37" i="20" s="1"/>
  <c r="J41" i="6"/>
  <c r="F118" i="5"/>
  <c r="G32" i="20"/>
  <c r="G39" i="20" s="1"/>
  <c r="H32" i="20"/>
  <c r="H39" i="20" s="1"/>
  <c r="I32" i="20"/>
  <c r="I39" i="20" s="1"/>
  <c r="J32" i="20"/>
  <c r="J39" i="20" s="1"/>
  <c r="K32" i="20"/>
  <c r="K39" i="20" s="1"/>
  <c r="L32" i="20"/>
  <c r="L39" i="20" s="1"/>
  <c r="M32" i="20"/>
  <c r="M39" i="20" s="1"/>
  <c r="N32" i="20"/>
  <c r="N39" i="20" s="1"/>
  <c r="O32" i="20"/>
  <c r="O39" i="20" s="1"/>
  <c r="P32" i="20"/>
  <c r="P39" i="20" s="1"/>
  <c r="Q32" i="20"/>
  <c r="Q39" i="20" s="1"/>
  <c r="R32" i="20"/>
  <c r="R39" i="20" s="1"/>
  <c r="S32" i="20"/>
  <c r="S39" i="20" s="1"/>
  <c r="T32" i="20"/>
  <c r="T39" i="20" s="1"/>
  <c r="U32" i="20"/>
  <c r="U39" i="20" s="1"/>
  <c r="V32" i="20"/>
  <c r="V39" i="20" s="1"/>
  <c r="G35" i="20"/>
  <c r="G42" i="20" s="1"/>
  <c r="H35" i="20"/>
  <c r="H42" i="20" s="1"/>
  <c r="I35" i="20"/>
  <c r="I42" i="20" s="1"/>
  <c r="J35" i="20"/>
  <c r="J42" i="20" s="1"/>
  <c r="K35" i="20"/>
  <c r="K42" i="20" s="1"/>
  <c r="L35" i="20"/>
  <c r="L42" i="20" s="1"/>
  <c r="M35" i="20"/>
  <c r="M42" i="20" s="1"/>
  <c r="N35" i="20"/>
  <c r="N42" i="20" s="1"/>
  <c r="O35" i="20"/>
  <c r="O42" i="20" s="1"/>
  <c r="P35" i="20"/>
  <c r="P42" i="20" s="1"/>
  <c r="Q35" i="20"/>
  <c r="Q42" i="20" s="1"/>
  <c r="R35" i="20"/>
  <c r="R42" i="20" s="1"/>
  <c r="S35" i="20"/>
  <c r="S42" i="20" s="1"/>
  <c r="T35" i="20"/>
  <c r="T42" i="20" s="1"/>
  <c r="U35" i="20"/>
  <c r="U42" i="20" s="1"/>
  <c r="V35" i="20"/>
  <c r="V42" i="20" s="1"/>
  <c r="F35" i="20"/>
  <c r="F42" i="20" s="1"/>
  <c r="F32" i="20"/>
  <c r="F39" i="20" s="1"/>
  <c r="G10" i="20" l="1"/>
  <c r="G29" i="20" s="1"/>
  <c r="G36" i="20" s="1"/>
  <c r="H10" i="20"/>
  <c r="H29" i="20" s="1"/>
  <c r="H36" i="20" s="1"/>
  <c r="I10" i="20"/>
  <c r="I29" i="20" s="1"/>
  <c r="I36" i="20" s="1"/>
  <c r="J10" i="20"/>
  <c r="J29" i="20" s="1"/>
  <c r="J36" i="20" s="1"/>
  <c r="K10" i="20"/>
  <c r="K29" i="20" s="1"/>
  <c r="K36" i="20" s="1"/>
  <c r="L10" i="20"/>
  <c r="L29" i="20" s="1"/>
  <c r="L36" i="20" s="1"/>
  <c r="M10" i="20"/>
  <c r="M29" i="20" s="1"/>
  <c r="M36" i="20" s="1"/>
  <c r="N10" i="20"/>
  <c r="N29" i="20" s="1"/>
  <c r="N36" i="20" s="1"/>
  <c r="O10" i="20"/>
  <c r="O29" i="20" s="1"/>
  <c r="O36" i="20" s="1"/>
  <c r="P10" i="20"/>
  <c r="P29" i="20" s="1"/>
  <c r="P36" i="20" s="1"/>
  <c r="Q10" i="20"/>
  <c r="Q29" i="20" s="1"/>
  <c r="Q36" i="20" s="1"/>
  <c r="R10" i="20"/>
  <c r="R29" i="20" s="1"/>
  <c r="R36" i="20" s="1"/>
  <c r="S10" i="20"/>
  <c r="S29" i="20" s="1"/>
  <c r="S36" i="20" s="1"/>
  <c r="T10" i="20"/>
  <c r="T29" i="20" s="1"/>
  <c r="T36" i="20" s="1"/>
  <c r="U10" i="20"/>
  <c r="U29" i="20" s="1"/>
  <c r="U36" i="20" s="1"/>
  <c r="V10" i="20"/>
  <c r="V29" i="20" s="1"/>
  <c r="V36" i="20" s="1"/>
  <c r="G11" i="20"/>
  <c r="H11" i="20"/>
  <c r="L11" i="20"/>
  <c r="M11" i="20"/>
  <c r="N11" i="20"/>
  <c r="O11" i="20"/>
  <c r="P11" i="20"/>
  <c r="Q11" i="20"/>
  <c r="R11" i="20"/>
  <c r="S11" i="20"/>
  <c r="T11" i="20"/>
  <c r="U11" i="20"/>
  <c r="V11" i="20"/>
  <c r="G12" i="20"/>
  <c r="G33" i="20" s="1"/>
  <c r="G40" i="20" s="1"/>
  <c r="H12" i="20"/>
  <c r="H33" i="20" s="1"/>
  <c r="H40" i="20" s="1"/>
  <c r="I12" i="20"/>
  <c r="I33" i="20" s="1"/>
  <c r="I40" i="20" s="1"/>
  <c r="J12" i="20"/>
  <c r="J33" i="20" s="1"/>
  <c r="J40" i="20" s="1"/>
  <c r="K12" i="20"/>
  <c r="K33" i="20" s="1"/>
  <c r="K40" i="20" s="1"/>
  <c r="L12" i="20"/>
  <c r="L33" i="20" s="1"/>
  <c r="L40" i="20" s="1"/>
  <c r="M12" i="20"/>
  <c r="M33" i="20" s="1"/>
  <c r="M40" i="20" s="1"/>
  <c r="N12" i="20"/>
  <c r="N33" i="20" s="1"/>
  <c r="N40" i="20" s="1"/>
  <c r="O12" i="20"/>
  <c r="O33" i="20" s="1"/>
  <c r="O40" i="20" s="1"/>
  <c r="P12" i="20"/>
  <c r="P33" i="20" s="1"/>
  <c r="P40" i="20" s="1"/>
  <c r="Q12" i="20"/>
  <c r="Q33" i="20" s="1"/>
  <c r="Q40" i="20" s="1"/>
  <c r="R12" i="20"/>
  <c r="R33" i="20" s="1"/>
  <c r="R40" i="20" s="1"/>
  <c r="S12" i="20"/>
  <c r="S33" i="20" s="1"/>
  <c r="S40" i="20" s="1"/>
  <c r="T12" i="20"/>
  <c r="T33" i="20" s="1"/>
  <c r="T40" i="20" s="1"/>
  <c r="U12" i="20"/>
  <c r="U33" i="20" s="1"/>
  <c r="U40" i="20" s="1"/>
  <c r="V12" i="20"/>
  <c r="V33" i="20" s="1"/>
  <c r="V40" i="20" s="1"/>
  <c r="G13" i="20"/>
  <c r="G34" i="20" s="1"/>
  <c r="G41" i="20" s="1"/>
  <c r="H13" i="20"/>
  <c r="H34" i="20" s="1"/>
  <c r="H41" i="20" s="1"/>
  <c r="L13" i="20"/>
  <c r="L34" i="20" s="1"/>
  <c r="L41" i="20" s="1"/>
  <c r="M13" i="20"/>
  <c r="M34" i="20" s="1"/>
  <c r="M41" i="20" s="1"/>
  <c r="N13" i="20"/>
  <c r="N34" i="20" s="1"/>
  <c r="N41" i="20" s="1"/>
  <c r="O13" i="20"/>
  <c r="O34" i="20" s="1"/>
  <c r="O41" i="20" s="1"/>
  <c r="P13" i="20"/>
  <c r="P34" i="20" s="1"/>
  <c r="P41" i="20" s="1"/>
  <c r="Q13" i="20"/>
  <c r="Q34" i="20" s="1"/>
  <c r="Q41" i="20" s="1"/>
  <c r="R13" i="20"/>
  <c r="R34" i="20" s="1"/>
  <c r="R41" i="20" s="1"/>
  <c r="S13" i="20"/>
  <c r="S34" i="20" s="1"/>
  <c r="S41" i="20" s="1"/>
  <c r="T13" i="20"/>
  <c r="T34" i="20" s="1"/>
  <c r="T41" i="20" s="1"/>
  <c r="U13" i="20"/>
  <c r="U34" i="20" s="1"/>
  <c r="U41" i="20" s="1"/>
  <c r="V13" i="20"/>
  <c r="V34" i="20" s="1"/>
  <c r="V41" i="20" s="1"/>
  <c r="F13" i="20"/>
  <c r="F34" i="20" s="1"/>
  <c r="F41" i="20" s="1"/>
  <c r="F12" i="20"/>
  <c r="F33" i="20" s="1"/>
  <c r="F40" i="20" s="1"/>
  <c r="F11" i="20"/>
  <c r="F10" i="20"/>
  <c r="F29" i="20" s="1"/>
  <c r="F36" i="20" s="1"/>
  <c r="V31" i="20" l="1"/>
  <c r="V38" i="20" s="1"/>
  <c r="R31" i="20"/>
  <c r="R38" i="20" s="1"/>
  <c r="N31" i="20"/>
  <c r="N38" i="20" s="1"/>
  <c r="F31" i="20"/>
  <c r="F38" i="20" s="1"/>
  <c r="U31" i="20"/>
  <c r="U38" i="20" s="1"/>
  <c r="Q31" i="20"/>
  <c r="Q38" i="20" s="1"/>
  <c r="M31" i="20"/>
  <c r="M38" i="20" s="1"/>
  <c r="T31" i="20"/>
  <c r="T38" i="20" s="1"/>
  <c r="P31" i="20"/>
  <c r="P38" i="20" s="1"/>
  <c r="L31" i="20"/>
  <c r="L38" i="20" s="1"/>
  <c r="H31" i="20"/>
  <c r="H38" i="20" s="1"/>
  <c r="S31" i="20"/>
  <c r="S38" i="20" s="1"/>
  <c r="O31" i="20"/>
  <c r="O38" i="20" s="1"/>
  <c r="G31" i="20"/>
  <c r="G38" i="20" s="1"/>
  <c r="G46" i="20"/>
  <c r="H46" i="20"/>
  <c r="I46" i="20"/>
  <c r="J46" i="20"/>
  <c r="K46" i="20"/>
  <c r="L46" i="20"/>
  <c r="M46" i="20"/>
  <c r="N46" i="20"/>
  <c r="O46" i="20"/>
  <c r="P46" i="20"/>
  <c r="Q46" i="20"/>
  <c r="R46" i="20"/>
  <c r="S46" i="20"/>
  <c r="T46" i="20"/>
  <c r="U46" i="20"/>
  <c r="V46" i="20"/>
  <c r="G47" i="20"/>
  <c r="H47" i="20"/>
  <c r="I47" i="20"/>
  <c r="J47" i="20"/>
  <c r="K47" i="20"/>
  <c r="L47" i="20"/>
  <c r="M47" i="20"/>
  <c r="N47" i="20"/>
  <c r="O47" i="20"/>
  <c r="P47" i="20"/>
  <c r="Q47" i="20"/>
  <c r="R47" i="20"/>
  <c r="S47" i="20"/>
  <c r="T47" i="20"/>
  <c r="U47" i="20"/>
  <c r="V47" i="20"/>
  <c r="G50" i="20"/>
  <c r="H50" i="20"/>
  <c r="I50" i="20"/>
  <c r="J50" i="20"/>
  <c r="K50" i="20"/>
  <c r="L50" i="20"/>
  <c r="M50" i="20"/>
  <c r="N50" i="20"/>
  <c r="O50" i="20"/>
  <c r="P50" i="20"/>
  <c r="Q50" i="20"/>
  <c r="R50" i="20"/>
  <c r="S50" i="20"/>
  <c r="T50" i="20"/>
  <c r="U50" i="20"/>
  <c r="V50" i="20"/>
  <c r="G52" i="20"/>
  <c r="H52" i="20"/>
  <c r="I52" i="20"/>
  <c r="J52" i="20"/>
  <c r="K52" i="20"/>
  <c r="L52" i="20"/>
  <c r="M52" i="20"/>
  <c r="N52" i="20"/>
  <c r="O52" i="20"/>
  <c r="P52" i="20"/>
  <c r="Q52" i="20"/>
  <c r="R52" i="20"/>
  <c r="S52" i="20"/>
  <c r="T52" i="20"/>
  <c r="U52" i="20"/>
  <c r="V52" i="20"/>
  <c r="F52" i="20"/>
  <c r="F50" i="20"/>
  <c r="F47" i="20"/>
  <c r="F46" i="20"/>
  <c r="G44" i="20"/>
  <c r="G48" i="20" s="1"/>
  <c r="H44" i="20"/>
  <c r="H48" i="20" s="1"/>
  <c r="I44" i="20"/>
  <c r="I48" i="20" s="1"/>
  <c r="J44" i="20"/>
  <c r="J48" i="20" s="1"/>
  <c r="K44" i="20"/>
  <c r="K48" i="20" s="1"/>
  <c r="L44" i="20"/>
  <c r="L48" i="20" s="1"/>
  <c r="M44" i="20"/>
  <c r="M48" i="20" s="1"/>
  <c r="N44" i="20"/>
  <c r="N48" i="20" s="1"/>
  <c r="O44" i="20"/>
  <c r="O48" i="20" s="1"/>
  <c r="P44" i="20"/>
  <c r="P48" i="20" s="1"/>
  <c r="Q44" i="20"/>
  <c r="Q48" i="20" s="1"/>
  <c r="R44" i="20"/>
  <c r="R48" i="20" s="1"/>
  <c r="S44" i="20"/>
  <c r="S48" i="20" s="1"/>
  <c r="T44" i="20"/>
  <c r="T48" i="20" s="1"/>
  <c r="U44" i="20"/>
  <c r="U48" i="20" s="1"/>
  <c r="V44" i="20"/>
  <c r="V48" i="20" s="1"/>
  <c r="G45" i="20"/>
  <c r="G51" i="20" s="1"/>
  <c r="H45" i="20"/>
  <c r="H51" i="20" s="1"/>
  <c r="I45" i="20"/>
  <c r="I51" i="20" s="1"/>
  <c r="J45" i="20"/>
  <c r="J51" i="20" s="1"/>
  <c r="K45" i="20"/>
  <c r="K51" i="20" s="1"/>
  <c r="L45" i="20"/>
  <c r="L51" i="20" s="1"/>
  <c r="M45" i="20"/>
  <c r="M51" i="20" s="1"/>
  <c r="N45" i="20"/>
  <c r="N51" i="20" s="1"/>
  <c r="O45" i="20"/>
  <c r="O51" i="20" s="1"/>
  <c r="P45" i="20"/>
  <c r="P51" i="20" s="1"/>
  <c r="Q45" i="20"/>
  <c r="Q51" i="20" s="1"/>
  <c r="R45" i="20"/>
  <c r="R51" i="20" s="1"/>
  <c r="S45" i="20"/>
  <c r="S51" i="20" s="1"/>
  <c r="T45" i="20"/>
  <c r="T51" i="20" s="1"/>
  <c r="U45" i="20"/>
  <c r="U51" i="20" s="1"/>
  <c r="V45" i="20"/>
  <c r="V51" i="20" s="1"/>
  <c r="F45" i="20"/>
  <c r="F51" i="20" s="1"/>
  <c r="F44" i="20"/>
  <c r="F48" i="20" s="1"/>
  <c r="D45" i="20"/>
  <c r="D44" i="20"/>
  <c r="G43" i="20"/>
  <c r="G49" i="20" s="1"/>
  <c r="H43" i="20"/>
  <c r="H49" i="20" s="1"/>
  <c r="I43" i="20"/>
  <c r="I49" i="20" s="1"/>
  <c r="J43" i="20"/>
  <c r="J49" i="20" s="1"/>
  <c r="K43" i="20"/>
  <c r="K49" i="20" s="1"/>
  <c r="L43" i="20"/>
  <c r="L49" i="20" s="1"/>
  <c r="M43" i="20"/>
  <c r="M49" i="20" s="1"/>
  <c r="N43" i="20"/>
  <c r="N49" i="20" s="1"/>
  <c r="O43" i="20"/>
  <c r="O49" i="20" s="1"/>
  <c r="P43" i="20"/>
  <c r="P49" i="20" s="1"/>
  <c r="Q43" i="20"/>
  <c r="Q49" i="20" s="1"/>
  <c r="R43" i="20"/>
  <c r="R49" i="20" s="1"/>
  <c r="S43" i="20"/>
  <c r="S49" i="20" s="1"/>
  <c r="T43" i="20"/>
  <c r="T49" i="20" s="1"/>
  <c r="U43" i="20"/>
  <c r="U49" i="20" s="1"/>
  <c r="V43" i="20"/>
  <c r="V49" i="20" s="1"/>
  <c r="F43" i="20"/>
  <c r="F49" i="20" s="1"/>
  <c r="D43" i="20"/>
  <c r="J74" i="6"/>
  <c r="N74" i="6"/>
  <c r="O74" i="6"/>
  <c r="P74" i="6"/>
  <c r="Q74" i="6"/>
  <c r="H75" i="11" s="1"/>
  <c r="R74" i="6"/>
  <c r="S74" i="6"/>
  <c r="T74" i="6"/>
  <c r="U74" i="6"/>
  <c r="L75" i="11" s="1"/>
  <c r="V74" i="6"/>
  <c r="W74" i="6"/>
  <c r="X74" i="6"/>
  <c r="Y74" i="6"/>
  <c r="P75" i="11" s="1"/>
  <c r="Z74" i="6"/>
  <c r="AA74" i="6"/>
  <c r="AB74" i="6"/>
  <c r="AC74" i="6"/>
  <c r="T75" i="11" s="1"/>
  <c r="M74" i="6"/>
  <c r="E23" i="18"/>
  <c r="F23" i="18"/>
  <c r="F29" i="18" s="1"/>
  <c r="F35" i="18" s="1"/>
  <c r="G23" i="18"/>
  <c r="G29" i="18" s="1"/>
  <c r="G35" i="18" s="1"/>
  <c r="H23" i="18"/>
  <c r="I23" i="18"/>
  <c r="J23" i="18"/>
  <c r="J29" i="18" s="1"/>
  <c r="J35" i="18" s="1"/>
  <c r="K23" i="18"/>
  <c r="K29" i="18" s="1"/>
  <c r="K35" i="18" s="1"/>
  <c r="L23" i="18"/>
  <c r="L29" i="18" s="1"/>
  <c r="M23" i="18"/>
  <c r="N23" i="18"/>
  <c r="N29" i="18" s="1"/>
  <c r="N35" i="18" s="1"/>
  <c r="O23" i="18"/>
  <c r="O29" i="18" s="1"/>
  <c r="O35" i="18" s="1"/>
  <c r="E24" i="18"/>
  <c r="E30" i="18" s="1"/>
  <c r="F24" i="18"/>
  <c r="F30" i="18" s="1"/>
  <c r="F36" i="18" s="1"/>
  <c r="G24" i="18"/>
  <c r="G30" i="18" s="1"/>
  <c r="H24" i="18"/>
  <c r="I24" i="18"/>
  <c r="J24" i="18"/>
  <c r="J30" i="18" s="1"/>
  <c r="J36" i="18" s="1"/>
  <c r="K24" i="18"/>
  <c r="L24" i="18"/>
  <c r="M24" i="18"/>
  <c r="M30" i="18" s="1"/>
  <c r="N24" i="18"/>
  <c r="N30" i="18" s="1"/>
  <c r="N36" i="18" s="1"/>
  <c r="O24" i="18"/>
  <c r="E25" i="18"/>
  <c r="F25" i="18"/>
  <c r="G25" i="18"/>
  <c r="G31" i="18" s="1"/>
  <c r="H25" i="18"/>
  <c r="H31" i="18" s="1"/>
  <c r="I25" i="18"/>
  <c r="I31" i="18" s="1"/>
  <c r="I37" i="18" s="1"/>
  <c r="J25" i="18"/>
  <c r="K25" i="18"/>
  <c r="K31" i="18" s="1"/>
  <c r="L25" i="18"/>
  <c r="L31" i="18" s="1"/>
  <c r="L37" i="18" s="1"/>
  <c r="M25" i="18"/>
  <c r="M31" i="18" s="1"/>
  <c r="M37" i="18" s="1"/>
  <c r="N25" i="18"/>
  <c r="N31" i="18" s="1"/>
  <c r="O25" i="18"/>
  <c r="O31" i="18" s="1"/>
  <c r="E26" i="18"/>
  <c r="F26" i="18"/>
  <c r="F32" i="18" s="1"/>
  <c r="G26" i="18"/>
  <c r="G32" i="18" s="1"/>
  <c r="G38" i="18" s="1"/>
  <c r="H26" i="18"/>
  <c r="H32" i="18" s="1"/>
  <c r="H38" i="18" s="1"/>
  <c r="I26" i="18"/>
  <c r="I32" i="18" s="1"/>
  <c r="J26" i="18"/>
  <c r="J32" i="18" s="1"/>
  <c r="K26" i="18"/>
  <c r="K32" i="18" s="1"/>
  <c r="K38" i="18" s="1"/>
  <c r="L26" i="18"/>
  <c r="L32" i="18" s="1"/>
  <c r="L38" i="18" s="1"/>
  <c r="M26" i="18"/>
  <c r="M32" i="18" s="1"/>
  <c r="N26" i="18"/>
  <c r="N32" i="18" s="1"/>
  <c r="O26" i="18"/>
  <c r="O32" i="18" s="1"/>
  <c r="O38" i="18" s="1"/>
  <c r="E27" i="18"/>
  <c r="F27" i="18"/>
  <c r="F33" i="18" s="1"/>
  <c r="F39" i="18" s="1"/>
  <c r="G27" i="18"/>
  <c r="G33" i="18" s="1"/>
  <c r="G39" i="18" s="1"/>
  <c r="H27" i="18"/>
  <c r="H33" i="18" s="1"/>
  <c r="I27" i="18"/>
  <c r="I33" i="18" s="1"/>
  <c r="J27" i="18"/>
  <c r="J33" i="18" s="1"/>
  <c r="J39" i="18" s="1"/>
  <c r="K27" i="18"/>
  <c r="K33" i="18" s="1"/>
  <c r="K39" i="18" s="1"/>
  <c r="L27" i="18"/>
  <c r="L33" i="18" s="1"/>
  <c r="M27" i="18"/>
  <c r="M33" i="18" s="1"/>
  <c r="N27" i="18"/>
  <c r="N33" i="18" s="1"/>
  <c r="N39" i="18" s="1"/>
  <c r="O27" i="18"/>
  <c r="O33" i="18" s="1"/>
  <c r="O39" i="18" s="1"/>
  <c r="E28" i="18"/>
  <c r="F28" i="18"/>
  <c r="F34" i="18" s="1"/>
  <c r="F40" i="18" s="1"/>
  <c r="G28" i="18"/>
  <c r="H28" i="18"/>
  <c r="I28" i="18"/>
  <c r="I34" i="18" s="1"/>
  <c r="J28" i="18"/>
  <c r="J34" i="18" s="1"/>
  <c r="J40" i="18" s="1"/>
  <c r="K28" i="18"/>
  <c r="L28" i="18"/>
  <c r="M28" i="18"/>
  <c r="M34" i="18" s="1"/>
  <c r="N28" i="18"/>
  <c r="N34" i="18" s="1"/>
  <c r="N40" i="18" s="1"/>
  <c r="O28" i="18"/>
  <c r="E57" i="18"/>
  <c r="E58" i="18" s="1"/>
  <c r="E59" i="18" s="1"/>
  <c r="F57" i="18"/>
  <c r="F58" i="18" s="1"/>
  <c r="F59" i="18" s="1"/>
  <c r="G57" i="18"/>
  <c r="G58" i="18" s="1"/>
  <c r="G59" i="18" s="1"/>
  <c r="H57" i="18"/>
  <c r="H58" i="18" s="1"/>
  <c r="I57" i="18"/>
  <c r="I58" i="18" s="1"/>
  <c r="I59" i="18" s="1"/>
  <c r="J57" i="18"/>
  <c r="J58" i="18" s="1"/>
  <c r="J59" i="18" s="1"/>
  <c r="K57" i="18"/>
  <c r="K58" i="18" s="1"/>
  <c r="K59" i="18" s="1"/>
  <c r="L57" i="18"/>
  <c r="L58" i="18" s="1"/>
  <c r="M57" i="18"/>
  <c r="M58" i="18" s="1"/>
  <c r="M59" i="18" s="1"/>
  <c r="N57" i="18"/>
  <c r="N58" i="18" s="1"/>
  <c r="N59" i="18" s="1"/>
  <c r="O57" i="18"/>
  <c r="O58" i="18" s="1"/>
  <c r="O59" i="18" s="1"/>
  <c r="P23" i="18"/>
  <c r="P24" i="18"/>
  <c r="P30" i="18" s="1"/>
  <c r="P36" i="18" s="1"/>
  <c r="P25" i="18"/>
  <c r="P31" i="18" s="1"/>
  <c r="P37" i="18" s="1"/>
  <c r="P26" i="18"/>
  <c r="P32" i="18" s="1"/>
  <c r="P27" i="18"/>
  <c r="P28" i="18"/>
  <c r="P34" i="18" s="1"/>
  <c r="P40" i="18" s="1"/>
  <c r="P57" i="18"/>
  <c r="P58" i="18" s="1"/>
  <c r="P59" i="18" s="1"/>
  <c r="Q23" i="18"/>
  <c r="Q29" i="18" s="1"/>
  <c r="Q24" i="18"/>
  <c r="Q25" i="18"/>
  <c r="Q31" i="18" s="1"/>
  <c r="Q37" i="18" s="1"/>
  <c r="Q26" i="18"/>
  <c r="Q32" i="18" s="1"/>
  <c r="Q38" i="18" s="1"/>
  <c r="Q27" i="18"/>
  <c r="Q28" i="18"/>
  <c r="Q34" i="18" s="1"/>
  <c r="Q57" i="18"/>
  <c r="Q58" i="18" s="1"/>
  <c r="R23" i="18"/>
  <c r="R29" i="18" s="1"/>
  <c r="R35" i="18" s="1"/>
  <c r="R24" i="18"/>
  <c r="R25" i="18"/>
  <c r="R31" i="18" s="1"/>
  <c r="R26" i="18"/>
  <c r="R32" i="18" s="1"/>
  <c r="R38" i="18" s="1"/>
  <c r="R27" i="18"/>
  <c r="R33" i="18" s="1"/>
  <c r="R39" i="18" s="1"/>
  <c r="R28" i="18"/>
  <c r="R34" i="18" s="1"/>
  <c r="R40" i="18" s="1"/>
  <c r="R57" i="18"/>
  <c r="S23" i="18"/>
  <c r="S28" i="18"/>
  <c r="S34" i="18" s="1"/>
  <c r="S57" i="18"/>
  <c r="T23" i="18"/>
  <c r="T28" i="18"/>
  <c r="T34" i="18" s="1"/>
  <c r="T57" i="18"/>
  <c r="T58" i="18" s="1"/>
  <c r="U23" i="18"/>
  <c r="U29" i="18" s="1"/>
  <c r="U35" i="18" s="1"/>
  <c r="U28" i="18"/>
  <c r="U34" i="18" s="1"/>
  <c r="U57" i="18"/>
  <c r="U58" i="18" s="1"/>
  <c r="V23" i="18"/>
  <c r="V29" i="18" s="1"/>
  <c r="V35" i="18" s="1"/>
  <c r="V28" i="18"/>
  <c r="V34" i="18" s="1"/>
  <c r="V57" i="18"/>
  <c r="V58" i="18" s="1"/>
  <c r="W23" i="18"/>
  <c r="W28" i="18"/>
  <c r="W57" i="18"/>
  <c r="X23" i="18"/>
  <c r="X29" i="18" s="1"/>
  <c r="X35" i="18" s="1"/>
  <c r="X28" i="18"/>
  <c r="X34" i="18" s="1"/>
  <c r="X40" i="18" s="1"/>
  <c r="X57" i="18"/>
  <c r="X58" i="18" s="1"/>
  <c r="Y23" i="18"/>
  <c r="Y29" i="18" s="1"/>
  <c r="Y28" i="18"/>
  <c r="Y34" i="18" s="1"/>
  <c r="Y40" i="18" s="1"/>
  <c r="Y57" i="18"/>
  <c r="Y58" i="18" s="1"/>
  <c r="Y59" i="18" s="1"/>
  <c r="Z23" i="18"/>
  <c r="Z28" i="18"/>
  <c r="Z34" i="18" s="1"/>
  <c r="Z57" i="18"/>
  <c r="Z58" i="18" s="1"/>
  <c r="AA23" i="18"/>
  <c r="AA29" i="18" s="1"/>
  <c r="AA28" i="18"/>
  <c r="AA57" i="18"/>
  <c r="AB23" i="18"/>
  <c r="AB29" i="18" s="1"/>
  <c r="AB28" i="18"/>
  <c r="AB34" i="18" s="1"/>
  <c r="AB57" i="18"/>
  <c r="AB58" i="18" s="1"/>
  <c r="AC23" i="18"/>
  <c r="AC29" i="18" s="1"/>
  <c r="AC28" i="18"/>
  <c r="AD23" i="18"/>
  <c r="AD29" i="18" s="1"/>
  <c r="AD35" i="18" s="1"/>
  <c r="AD28" i="18"/>
  <c r="AD34" i="18" s="1"/>
  <c r="AD40" i="18" s="1"/>
  <c r="D29" i="9"/>
  <c r="U106" i="12"/>
  <c r="U109" i="12"/>
  <c r="U110" i="12"/>
  <c r="U119" i="12"/>
  <c r="T106" i="12"/>
  <c r="T109" i="12"/>
  <c r="T110" i="12"/>
  <c r="T119" i="12"/>
  <c r="S106" i="12"/>
  <c r="S109" i="12"/>
  <c r="S110" i="12"/>
  <c r="S119" i="12"/>
  <c r="R119" i="12"/>
  <c r="Q119" i="12"/>
  <c r="P119" i="12"/>
  <c r="O119" i="12"/>
  <c r="N119" i="12"/>
  <c r="M119" i="12"/>
  <c r="L119" i="12"/>
  <c r="K119" i="12"/>
  <c r="J119" i="12"/>
  <c r="I119" i="12"/>
  <c r="H119" i="12"/>
  <c r="G119" i="12"/>
  <c r="F119" i="12"/>
  <c r="J60" i="6"/>
  <c r="E60" i="6"/>
  <c r="F60" i="6"/>
  <c r="G60" i="6"/>
  <c r="J61" i="6"/>
  <c r="E61" i="6"/>
  <c r="F61" i="6"/>
  <c r="G61" i="6"/>
  <c r="E41" i="6"/>
  <c r="U41" i="6"/>
  <c r="V41" i="6"/>
  <c r="W41" i="6"/>
  <c r="X41" i="6"/>
  <c r="Y41" i="6"/>
  <c r="Z41" i="6"/>
  <c r="AY42" i="11" s="1"/>
  <c r="AY87" i="11" s="1"/>
  <c r="AA41" i="6"/>
  <c r="AB41" i="6"/>
  <c r="AC41" i="6"/>
  <c r="F41" i="6"/>
  <c r="G41" i="6"/>
  <c r="J8" i="6"/>
  <c r="E8" i="6"/>
  <c r="J10" i="6"/>
  <c r="E10" i="6"/>
  <c r="J15" i="6"/>
  <c r="E15" i="6"/>
  <c r="J19" i="6"/>
  <c r="E19" i="6"/>
  <c r="J23" i="6"/>
  <c r="J27" i="6"/>
  <c r="E27" i="6"/>
  <c r="J12" i="6"/>
  <c r="E12" i="6"/>
  <c r="M14" i="6"/>
  <c r="J14" i="6"/>
  <c r="E14" i="6"/>
  <c r="J17" i="6"/>
  <c r="E17" i="6"/>
  <c r="J21" i="6"/>
  <c r="E21" i="6"/>
  <c r="M25" i="6"/>
  <c r="D26" i="11" s="1"/>
  <c r="J28" i="6"/>
  <c r="E28" i="6"/>
  <c r="J11" i="6"/>
  <c r="E11" i="6"/>
  <c r="J16" i="6"/>
  <c r="E16" i="6"/>
  <c r="J20" i="6"/>
  <c r="E20" i="6"/>
  <c r="M24" i="6"/>
  <c r="M29" i="6"/>
  <c r="J29" i="6"/>
  <c r="E29" i="6"/>
  <c r="E13" i="6"/>
  <c r="E18" i="6"/>
  <c r="E22" i="6"/>
  <c r="M26" i="6"/>
  <c r="U27" i="11" s="1"/>
  <c r="E30" i="6"/>
  <c r="J9" i="6"/>
  <c r="E9" i="6"/>
  <c r="M3" i="6"/>
  <c r="J3" i="6"/>
  <c r="E3" i="6"/>
  <c r="M4" i="6"/>
  <c r="J4" i="6"/>
  <c r="E4" i="6"/>
  <c r="M5" i="6"/>
  <c r="J5" i="6"/>
  <c r="E5" i="6"/>
  <c r="M6" i="6"/>
  <c r="E6" i="6"/>
  <c r="AC40" i="6"/>
  <c r="J40" i="6"/>
  <c r="E40" i="6"/>
  <c r="F40" i="6"/>
  <c r="G40" i="6"/>
  <c r="AC58" i="6"/>
  <c r="J58" i="6"/>
  <c r="E58" i="6"/>
  <c r="F58" i="6"/>
  <c r="G58" i="6"/>
  <c r="AC59" i="6"/>
  <c r="J59" i="6"/>
  <c r="E59" i="6"/>
  <c r="F59" i="6"/>
  <c r="G59" i="6"/>
  <c r="M40" i="6"/>
  <c r="M58" i="6"/>
  <c r="M59" i="6"/>
  <c r="N40" i="6"/>
  <c r="O40" i="6"/>
  <c r="P40" i="6"/>
  <c r="Q40" i="6"/>
  <c r="R40" i="6"/>
  <c r="S40" i="6"/>
  <c r="T40" i="6"/>
  <c r="U40" i="6"/>
  <c r="V40" i="6"/>
  <c r="W40" i="6"/>
  <c r="X40" i="6"/>
  <c r="Y40" i="6"/>
  <c r="Z40" i="6"/>
  <c r="AA40" i="6"/>
  <c r="AB40" i="6"/>
  <c r="N58" i="6"/>
  <c r="N59" i="6"/>
  <c r="O58" i="6"/>
  <c r="O59" i="6"/>
  <c r="P58" i="6"/>
  <c r="P59" i="6"/>
  <c r="Q58" i="6"/>
  <c r="Q59" i="6"/>
  <c r="R58" i="6"/>
  <c r="R59" i="6"/>
  <c r="S58" i="6"/>
  <c r="S59" i="6"/>
  <c r="T58" i="6"/>
  <c r="T59" i="6"/>
  <c r="U58" i="6"/>
  <c r="U59" i="6"/>
  <c r="V58" i="6"/>
  <c r="V59" i="6"/>
  <c r="W58" i="6"/>
  <c r="W59" i="6"/>
  <c r="X58" i="6"/>
  <c r="AF59" i="11" s="1"/>
  <c r="X59" i="6"/>
  <c r="Y58" i="6"/>
  <c r="Y59" i="6"/>
  <c r="Z58" i="6"/>
  <c r="Z59" i="6"/>
  <c r="AA58" i="6"/>
  <c r="AA59" i="6"/>
  <c r="AB58" i="6"/>
  <c r="AB59" i="6"/>
  <c r="K40" i="6"/>
  <c r="H40" i="6"/>
  <c r="I40" i="6"/>
  <c r="K59" i="6"/>
  <c r="K58" i="6"/>
  <c r="H58" i="6"/>
  <c r="I58" i="6"/>
  <c r="H59" i="6"/>
  <c r="I59" i="6"/>
  <c r="F121" i="12"/>
  <c r="H106" i="12"/>
  <c r="H110" i="12"/>
  <c r="I106" i="12"/>
  <c r="K106" i="12"/>
  <c r="M110" i="12"/>
  <c r="O106" i="12"/>
  <c r="O110" i="12"/>
  <c r="P106" i="12"/>
  <c r="P110" i="12"/>
  <c r="Q106" i="12"/>
  <c r="Q110" i="12"/>
  <c r="G111" i="12"/>
  <c r="G120" i="12"/>
  <c r="H114" i="12"/>
  <c r="H120" i="12"/>
  <c r="I107" i="12"/>
  <c r="I120" i="12"/>
  <c r="J114" i="12"/>
  <c r="J120" i="12"/>
  <c r="K107" i="12"/>
  <c r="K111" i="12"/>
  <c r="K113" i="12"/>
  <c r="K114" i="12"/>
  <c r="K115" i="12"/>
  <c r="K120" i="12"/>
  <c r="L111" i="12"/>
  <c r="L113" i="12"/>
  <c r="L115" i="12"/>
  <c r="L120" i="12"/>
  <c r="M120" i="12"/>
  <c r="N107" i="12"/>
  <c r="N111" i="12"/>
  <c r="N114" i="12"/>
  <c r="N120" i="12"/>
  <c r="O113" i="12"/>
  <c r="O120" i="12"/>
  <c r="P113" i="12"/>
  <c r="P115" i="12"/>
  <c r="P120" i="12"/>
  <c r="Q107" i="12"/>
  <c r="Q114" i="12"/>
  <c r="Q120" i="12"/>
  <c r="R111" i="12"/>
  <c r="R113" i="12"/>
  <c r="R114" i="12"/>
  <c r="R120" i="12"/>
  <c r="S107" i="12"/>
  <c r="S111" i="12"/>
  <c r="S113" i="12"/>
  <c r="S114" i="12"/>
  <c r="S115" i="12"/>
  <c r="S120" i="12"/>
  <c r="T107" i="12"/>
  <c r="T111" i="12"/>
  <c r="T113" i="12"/>
  <c r="T114" i="12"/>
  <c r="T115" i="12"/>
  <c r="T120" i="12"/>
  <c r="U107" i="12"/>
  <c r="U111" i="12"/>
  <c r="U113" i="12"/>
  <c r="U114" i="12"/>
  <c r="U115" i="12"/>
  <c r="U120" i="12"/>
  <c r="G121" i="12"/>
  <c r="H108" i="12"/>
  <c r="H121" i="12"/>
  <c r="I112" i="12"/>
  <c r="I121" i="12"/>
  <c r="J108" i="12"/>
  <c r="J121" i="12"/>
  <c r="K108" i="12"/>
  <c r="K121" i="12"/>
  <c r="L112" i="12"/>
  <c r="L121" i="12"/>
  <c r="M108" i="12"/>
  <c r="M112" i="12"/>
  <c r="M121" i="12"/>
  <c r="N112" i="12"/>
  <c r="N121" i="12"/>
  <c r="O108" i="12"/>
  <c r="O121" i="12"/>
  <c r="P108" i="12"/>
  <c r="P112" i="12"/>
  <c r="P121" i="12"/>
  <c r="Q112" i="12"/>
  <c r="Q121" i="12"/>
  <c r="R121" i="12"/>
  <c r="S108" i="12"/>
  <c r="S112" i="12"/>
  <c r="S121" i="12"/>
  <c r="T108" i="12"/>
  <c r="T112" i="12"/>
  <c r="T121" i="12"/>
  <c r="U108" i="12"/>
  <c r="U112" i="12"/>
  <c r="U121" i="12"/>
  <c r="F120" i="12"/>
  <c r="F112" i="12"/>
  <c r="L118" i="5"/>
  <c r="S23" i="6" s="1"/>
  <c r="F51" i="5"/>
  <c r="D5" i="18" s="1"/>
  <c r="D41" i="18" s="1"/>
  <c r="D47" i="18" s="1"/>
  <c r="G51" i="5"/>
  <c r="E5" i="18" s="1"/>
  <c r="E11" i="18" s="1"/>
  <c r="D29" i="18"/>
  <c r="D35" i="18"/>
  <c r="H51" i="5"/>
  <c r="F5" i="18" s="1"/>
  <c r="I51" i="5"/>
  <c r="G5" i="18"/>
  <c r="J51" i="5"/>
  <c r="H5" i="18" s="1"/>
  <c r="H11" i="18" s="1"/>
  <c r="K51" i="5"/>
  <c r="I5" i="18" s="1"/>
  <c r="L51" i="5"/>
  <c r="J5" i="18" s="1"/>
  <c r="J11" i="18" s="1"/>
  <c r="M51" i="5"/>
  <c r="K5" i="18" s="1"/>
  <c r="N51" i="5"/>
  <c r="L5" i="18" s="1"/>
  <c r="O51" i="5"/>
  <c r="M5" i="18" s="1"/>
  <c r="P51" i="5"/>
  <c r="N5" i="18" s="1"/>
  <c r="N11" i="18" s="1"/>
  <c r="Q51" i="5"/>
  <c r="O5" i="18" s="1"/>
  <c r="R51" i="5"/>
  <c r="P5" i="18" s="1"/>
  <c r="P11" i="18" s="1"/>
  <c r="S51" i="5"/>
  <c r="Q5" i="18" s="1"/>
  <c r="T51" i="5"/>
  <c r="R5" i="18" s="1"/>
  <c r="R11" i="18" s="1"/>
  <c r="U51" i="5"/>
  <c r="S5" i="18"/>
  <c r="V51" i="5"/>
  <c r="T5" i="18" s="1"/>
  <c r="X51" i="5"/>
  <c r="V5" i="18" s="1"/>
  <c r="Y51" i="5"/>
  <c r="W5" i="18" s="1"/>
  <c r="Z51" i="5"/>
  <c r="X5" i="18" s="1"/>
  <c r="AA51" i="5"/>
  <c r="Y5" i="18"/>
  <c r="D30" i="18"/>
  <c r="D36" i="18"/>
  <c r="AB52" i="5"/>
  <c r="Z6" i="18" s="1"/>
  <c r="D31" i="18"/>
  <c r="D37" i="18"/>
  <c r="Z53" i="5"/>
  <c r="X7" i="18" s="1"/>
  <c r="AA53" i="5"/>
  <c r="Y7" i="18" s="1"/>
  <c r="D32" i="18"/>
  <c r="D38" i="18"/>
  <c r="U8" i="18"/>
  <c r="Z8" i="18"/>
  <c r="D33" i="18"/>
  <c r="D39" i="18"/>
  <c r="D34" i="18"/>
  <c r="D40" i="18"/>
  <c r="V56" i="5"/>
  <c r="T10" i="18" s="1"/>
  <c r="W56" i="5"/>
  <c r="U10" i="18" s="1"/>
  <c r="U16" i="18" s="1"/>
  <c r="X56" i="5"/>
  <c r="V10" i="18" s="1"/>
  <c r="Y56" i="5"/>
  <c r="W10" i="18" s="1"/>
  <c r="Z56" i="5"/>
  <c r="X10" i="18" s="1"/>
  <c r="X16" i="18" s="1"/>
  <c r="AA56" i="5"/>
  <c r="Y10" i="18" s="1"/>
  <c r="AB56" i="5"/>
  <c r="Z10" i="18" s="1"/>
  <c r="D58" i="18"/>
  <c r="D59" i="18"/>
  <c r="M54" i="18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D4" i="19"/>
  <c r="E4" i="19"/>
  <c r="F4" i="19"/>
  <c r="G4" i="19"/>
  <c r="H4" i="19"/>
  <c r="I4" i="19"/>
  <c r="J4" i="19"/>
  <c r="K4" i="19"/>
  <c r="L4" i="19"/>
  <c r="M4" i="19"/>
  <c r="N4" i="19"/>
  <c r="O4" i="19"/>
  <c r="P4" i="19"/>
  <c r="C4" i="19"/>
  <c r="D22" i="19"/>
  <c r="E22" i="19"/>
  <c r="F22" i="19"/>
  <c r="G22" i="19"/>
  <c r="H22" i="19"/>
  <c r="I22" i="19"/>
  <c r="J22" i="19"/>
  <c r="K22" i="19"/>
  <c r="L22" i="19"/>
  <c r="M22" i="19"/>
  <c r="N22" i="19"/>
  <c r="O22" i="19"/>
  <c r="P22" i="19"/>
  <c r="Q22" i="19"/>
  <c r="R22" i="19"/>
  <c r="S22" i="19"/>
  <c r="C22" i="19"/>
  <c r="AD56" i="5"/>
  <c r="AB10" i="18" s="1"/>
  <c r="AE51" i="5"/>
  <c r="AC5" i="18" s="1"/>
  <c r="AE56" i="5"/>
  <c r="AC10" i="18" s="1"/>
  <c r="AF56" i="5"/>
  <c r="AD10" i="18" s="1"/>
  <c r="AC72" i="6"/>
  <c r="E72" i="6"/>
  <c r="F72" i="6"/>
  <c r="G72" i="6"/>
  <c r="AC73" i="6"/>
  <c r="E73" i="6"/>
  <c r="F73" i="6"/>
  <c r="G73" i="6"/>
  <c r="AB72" i="6"/>
  <c r="S73" i="11" s="1"/>
  <c r="AB73" i="6"/>
  <c r="AA72" i="6"/>
  <c r="AA73" i="6"/>
  <c r="Z72" i="6"/>
  <c r="Z73" i="6"/>
  <c r="Y72" i="6"/>
  <c r="Y73" i="6"/>
  <c r="X72" i="6"/>
  <c r="X73" i="6"/>
  <c r="W72" i="6"/>
  <c r="W73" i="6"/>
  <c r="V72" i="6"/>
  <c r="V73" i="6"/>
  <c r="U72" i="6"/>
  <c r="T72" i="6"/>
  <c r="S72" i="6"/>
  <c r="R72" i="6"/>
  <c r="Q72" i="6"/>
  <c r="P72" i="6"/>
  <c r="O72" i="6"/>
  <c r="N72" i="6"/>
  <c r="M72" i="6"/>
  <c r="N3" i="6"/>
  <c r="G3" i="6"/>
  <c r="N4" i="6"/>
  <c r="G4" i="6"/>
  <c r="N5" i="6"/>
  <c r="E6" i="11" s="1"/>
  <c r="G5" i="6"/>
  <c r="N6" i="6"/>
  <c r="G6" i="6"/>
  <c r="I8" i="9"/>
  <c r="I6" i="9" s="1"/>
  <c r="K98" i="5"/>
  <c r="J98" i="5" s="1"/>
  <c r="G8" i="6"/>
  <c r="F147" i="5"/>
  <c r="K101" i="5" s="1"/>
  <c r="R10" i="6" s="1"/>
  <c r="G10" i="6"/>
  <c r="G15" i="6"/>
  <c r="G118" i="5"/>
  <c r="G19" i="6"/>
  <c r="N23" i="6"/>
  <c r="V24" i="11" s="1"/>
  <c r="G27" i="6"/>
  <c r="G147" i="5"/>
  <c r="G12" i="6"/>
  <c r="G106" i="5"/>
  <c r="N14" i="6" s="1"/>
  <c r="G14" i="6"/>
  <c r="G110" i="5"/>
  <c r="N17" i="6"/>
  <c r="G17" i="6"/>
  <c r="G21" i="6"/>
  <c r="N25" i="6"/>
  <c r="AM26" i="11" s="1"/>
  <c r="G28" i="6"/>
  <c r="H147" i="5"/>
  <c r="G11" i="6"/>
  <c r="G16" i="6"/>
  <c r="G114" i="5"/>
  <c r="N20" i="6"/>
  <c r="E21" i="11" s="1"/>
  <c r="G20" i="6"/>
  <c r="N24" i="6"/>
  <c r="V25" i="11" s="1"/>
  <c r="G125" i="5"/>
  <c r="N29" i="6"/>
  <c r="E30" i="11" s="1"/>
  <c r="G29" i="6"/>
  <c r="I147" i="5"/>
  <c r="G104" i="5"/>
  <c r="N13" i="6"/>
  <c r="G13" i="6"/>
  <c r="G111" i="5"/>
  <c r="N18" i="6"/>
  <c r="G18" i="6"/>
  <c r="G22" i="6"/>
  <c r="N26" i="6"/>
  <c r="G30" i="6"/>
  <c r="G9" i="6"/>
  <c r="N189" i="5"/>
  <c r="N190" i="5"/>
  <c r="N191" i="5" s="1"/>
  <c r="M157" i="5" s="1"/>
  <c r="M189" i="5"/>
  <c r="M190" i="5"/>
  <c r="M191" i="5" s="1"/>
  <c r="L189" i="5"/>
  <c r="L190" i="5"/>
  <c r="L191" i="5" s="1"/>
  <c r="K189" i="5"/>
  <c r="K190" i="5"/>
  <c r="K191" i="5" s="1"/>
  <c r="J189" i="5"/>
  <c r="J190" i="5"/>
  <c r="J191" i="5" s="1"/>
  <c r="I189" i="5"/>
  <c r="I190" i="5"/>
  <c r="I191" i="5" s="1"/>
  <c r="H189" i="5"/>
  <c r="H190" i="5"/>
  <c r="H191" i="5" s="1"/>
  <c r="D16" i="9"/>
  <c r="T43" i="12"/>
  <c r="T44" i="12"/>
  <c r="T54" i="12"/>
  <c r="T62" i="12"/>
  <c r="U43" i="12"/>
  <c r="U44" i="12"/>
  <c r="U54" i="12"/>
  <c r="U62" i="12"/>
  <c r="V43" i="12"/>
  <c r="V44" i="12"/>
  <c r="V54" i="12"/>
  <c r="V62" i="12"/>
  <c r="Y43" i="12"/>
  <c r="G43" i="12"/>
  <c r="T82" i="12"/>
  <c r="U82" i="12"/>
  <c r="V82" i="12"/>
  <c r="Y63" i="12"/>
  <c r="K82" i="12"/>
  <c r="J82" i="12"/>
  <c r="I82" i="12"/>
  <c r="H82" i="12"/>
  <c r="G82" i="12"/>
  <c r="G63" i="12"/>
  <c r="G83" i="12"/>
  <c r="Y44" i="12"/>
  <c r="G44" i="12"/>
  <c r="Y64" i="12"/>
  <c r="G64" i="12"/>
  <c r="G84" i="12"/>
  <c r="Y45" i="12"/>
  <c r="G45" i="12"/>
  <c r="G65" i="12"/>
  <c r="G85" i="12"/>
  <c r="Y48" i="12"/>
  <c r="G48" i="12"/>
  <c r="Y68" i="12"/>
  <c r="G68" i="12"/>
  <c r="G88" i="12"/>
  <c r="F282" i="5"/>
  <c r="Y50" i="12"/>
  <c r="G50" i="12"/>
  <c r="Y70" i="12"/>
  <c r="G70" i="12"/>
  <c r="G90" i="12"/>
  <c r="Y51" i="12"/>
  <c r="G51" i="12"/>
  <c r="Y71" i="12"/>
  <c r="G71" i="12"/>
  <c r="G91" i="12"/>
  <c r="Y52" i="12"/>
  <c r="G52" i="12"/>
  <c r="Y72" i="12"/>
  <c r="G72" i="12"/>
  <c r="G92" i="12"/>
  <c r="Y54" i="12"/>
  <c r="G54" i="12"/>
  <c r="Y74" i="12"/>
  <c r="G74" i="12"/>
  <c r="G94" i="12"/>
  <c r="Y57" i="12"/>
  <c r="G57" i="12"/>
  <c r="Y77" i="12"/>
  <c r="G77" i="12"/>
  <c r="G97" i="12"/>
  <c r="Y60" i="12"/>
  <c r="G60" i="12"/>
  <c r="Y80" i="12"/>
  <c r="G80" i="12"/>
  <c r="G100" i="12"/>
  <c r="X162" i="5"/>
  <c r="G189" i="5"/>
  <c r="O189" i="5"/>
  <c r="P189" i="5"/>
  <c r="Q189" i="5"/>
  <c r="Q191" i="5" s="1"/>
  <c r="R189" i="5"/>
  <c r="S189" i="5"/>
  <c r="T189" i="5"/>
  <c r="U189" i="5"/>
  <c r="U191" i="5" s="1"/>
  <c r="V189" i="5"/>
  <c r="W189" i="5"/>
  <c r="W191" i="5" s="1"/>
  <c r="G190" i="5"/>
  <c r="O190" i="5"/>
  <c r="P190" i="5"/>
  <c r="P191" i="5" s="1"/>
  <c r="Q190" i="5"/>
  <c r="R190" i="5"/>
  <c r="R191" i="5" s="1"/>
  <c r="S190" i="5"/>
  <c r="T190" i="5"/>
  <c r="T191" i="5" s="1"/>
  <c r="U190" i="5"/>
  <c r="V190" i="5"/>
  <c r="W190" i="5"/>
  <c r="X190" i="5"/>
  <c r="V191" i="5"/>
  <c r="S191" i="5"/>
  <c r="O191" i="5"/>
  <c r="X163" i="5"/>
  <c r="N62" i="6"/>
  <c r="J62" i="6"/>
  <c r="G62" i="6"/>
  <c r="AZ63" i="11" s="1"/>
  <c r="N64" i="6"/>
  <c r="J64" i="6"/>
  <c r="G64" i="6"/>
  <c r="N65" i="6"/>
  <c r="J65" i="6"/>
  <c r="G65" i="6"/>
  <c r="N68" i="6"/>
  <c r="J68" i="6"/>
  <c r="G68" i="6"/>
  <c r="N69" i="6"/>
  <c r="J69" i="6"/>
  <c r="G69" i="6"/>
  <c r="N70" i="6"/>
  <c r="J70" i="6"/>
  <c r="G70" i="6"/>
  <c r="N71" i="6"/>
  <c r="J71" i="6"/>
  <c r="G71" i="6"/>
  <c r="O3" i="6"/>
  <c r="O4" i="6"/>
  <c r="O5" i="6"/>
  <c r="O6" i="6"/>
  <c r="J8" i="9"/>
  <c r="J6" i="9" s="1"/>
  <c r="H118" i="5"/>
  <c r="O23" i="6"/>
  <c r="H110" i="5"/>
  <c r="O17" i="6" s="1"/>
  <c r="O25" i="6"/>
  <c r="AN26" i="11" s="1"/>
  <c r="H124" i="5"/>
  <c r="O28" i="6" s="1"/>
  <c r="H109" i="5"/>
  <c r="O16" i="6" s="1"/>
  <c r="H114" i="5"/>
  <c r="O20" i="6" s="1"/>
  <c r="F21" i="11" s="1"/>
  <c r="O24" i="6"/>
  <c r="W25" i="11" s="1"/>
  <c r="H104" i="5"/>
  <c r="O13" i="6" s="1"/>
  <c r="H116" i="5"/>
  <c r="O22" i="6"/>
  <c r="F23" i="11" s="1"/>
  <c r="O26" i="6"/>
  <c r="H126" i="5"/>
  <c r="O30" i="6"/>
  <c r="H43" i="12"/>
  <c r="H63" i="12"/>
  <c r="H83" i="12"/>
  <c r="H44" i="12"/>
  <c r="H64" i="12"/>
  <c r="H84" i="12"/>
  <c r="H45" i="12"/>
  <c r="H65" i="12"/>
  <c r="H85" i="12"/>
  <c r="H48" i="12"/>
  <c r="H68" i="12"/>
  <c r="H88" i="12"/>
  <c r="H50" i="12"/>
  <c r="H70" i="12"/>
  <c r="H90" i="12"/>
  <c r="H51" i="12"/>
  <c r="H71" i="12"/>
  <c r="H91" i="12"/>
  <c r="H52" i="12"/>
  <c r="H72" i="12"/>
  <c r="H92" i="12"/>
  <c r="H54" i="12"/>
  <c r="H74" i="12"/>
  <c r="H94" i="12"/>
  <c r="H57" i="12"/>
  <c r="H77" i="12"/>
  <c r="H97" i="12"/>
  <c r="H60" i="12"/>
  <c r="H80" i="12"/>
  <c r="H100" i="12"/>
  <c r="O62" i="6"/>
  <c r="O64" i="6"/>
  <c r="O65" i="6"/>
  <c r="O68" i="6"/>
  <c r="O69" i="6"/>
  <c r="W70" i="11" s="1"/>
  <c r="O70" i="6"/>
  <c r="O71" i="6"/>
  <c r="P3" i="6"/>
  <c r="I5" i="5"/>
  <c r="I13" i="20" s="1"/>
  <c r="I34" i="20" s="1"/>
  <c r="I41" i="20" s="1"/>
  <c r="P4" i="6"/>
  <c r="I8" i="5"/>
  <c r="P6" i="6"/>
  <c r="K8" i="9"/>
  <c r="K6" i="9" s="1"/>
  <c r="I118" i="5"/>
  <c r="P23" i="6" s="1"/>
  <c r="I106" i="5"/>
  <c r="P14" i="6"/>
  <c r="I110" i="5"/>
  <c r="P17" i="6" s="1"/>
  <c r="P25" i="6"/>
  <c r="AO26" i="11" s="1"/>
  <c r="I114" i="5"/>
  <c r="P20" i="6" s="1"/>
  <c r="P24" i="6"/>
  <c r="AO25" i="11" s="1"/>
  <c r="I125" i="5"/>
  <c r="P29" i="6"/>
  <c r="I111" i="5"/>
  <c r="P18" i="6"/>
  <c r="G19" i="11" s="1"/>
  <c r="I116" i="5"/>
  <c r="P22" i="6" s="1"/>
  <c r="P26" i="6"/>
  <c r="AO27" i="11" s="1"/>
  <c r="I126" i="5"/>
  <c r="P30" i="6"/>
  <c r="I43" i="12"/>
  <c r="I63" i="12"/>
  <c r="I83" i="12"/>
  <c r="I44" i="12"/>
  <c r="I64" i="12"/>
  <c r="I84" i="12"/>
  <c r="I45" i="12"/>
  <c r="I65" i="12"/>
  <c r="I85" i="12"/>
  <c r="I48" i="12"/>
  <c r="I68" i="12"/>
  <c r="I88" i="12"/>
  <c r="I50" i="12"/>
  <c r="I70" i="12"/>
  <c r="I90" i="12"/>
  <c r="I51" i="12"/>
  <c r="I71" i="12"/>
  <c r="I91" i="12"/>
  <c r="I52" i="12"/>
  <c r="I72" i="12"/>
  <c r="I92" i="12"/>
  <c r="I54" i="12"/>
  <c r="I74" i="12"/>
  <c r="I94" i="12"/>
  <c r="I57" i="12"/>
  <c r="I77" i="12"/>
  <c r="I97" i="12"/>
  <c r="I60" i="12"/>
  <c r="I80" i="12"/>
  <c r="I100" i="12"/>
  <c r="P62" i="6"/>
  <c r="P64" i="6"/>
  <c r="P65" i="6"/>
  <c r="P68" i="6"/>
  <c r="P69" i="6"/>
  <c r="P70" i="6"/>
  <c r="P71" i="6"/>
  <c r="Q3" i="6"/>
  <c r="J5" i="5"/>
  <c r="J13" i="20" s="1"/>
  <c r="J34" i="20" s="1"/>
  <c r="J41" i="20" s="1"/>
  <c r="Q4" i="6"/>
  <c r="J8" i="5"/>
  <c r="J11" i="20" s="1"/>
  <c r="J31" i="20" s="1"/>
  <c r="J38" i="20" s="1"/>
  <c r="Q5" i="6"/>
  <c r="Q6" i="6"/>
  <c r="L8" i="9"/>
  <c r="L6" i="9" s="1"/>
  <c r="J118" i="5"/>
  <c r="Q23" i="6"/>
  <c r="J106" i="5"/>
  <c r="Q14" i="6" s="1"/>
  <c r="J115" i="5"/>
  <c r="Q21" i="6" s="1"/>
  <c r="Q25" i="6"/>
  <c r="AP26" i="11" s="1"/>
  <c r="J124" i="5"/>
  <c r="Q28" i="6"/>
  <c r="J102" i="5"/>
  <c r="Q11" i="6" s="1"/>
  <c r="J114" i="5"/>
  <c r="Q20" i="6" s="1"/>
  <c r="Q24" i="6"/>
  <c r="AP25" i="11" s="1"/>
  <c r="J111" i="5"/>
  <c r="Q18" i="6" s="1"/>
  <c r="H19" i="11" s="1"/>
  <c r="Q26" i="6"/>
  <c r="J126" i="5"/>
  <c r="Q30" i="6" s="1"/>
  <c r="J43" i="12"/>
  <c r="J63" i="12"/>
  <c r="J83" i="12"/>
  <c r="J44" i="12"/>
  <c r="J64" i="12"/>
  <c r="J84" i="12"/>
  <c r="J45" i="12"/>
  <c r="J65" i="12"/>
  <c r="J85" i="12"/>
  <c r="J48" i="12"/>
  <c r="J68" i="12"/>
  <c r="J88" i="12"/>
  <c r="J50" i="12"/>
  <c r="J70" i="12"/>
  <c r="J90" i="12"/>
  <c r="J51" i="12"/>
  <c r="J71" i="12"/>
  <c r="J91" i="12"/>
  <c r="J52" i="12"/>
  <c r="J72" i="12"/>
  <c r="J92" i="12"/>
  <c r="J54" i="12"/>
  <c r="J74" i="12"/>
  <c r="J94" i="12"/>
  <c r="J57" i="12"/>
  <c r="J77" i="12"/>
  <c r="J97" i="12"/>
  <c r="J60" i="12"/>
  <c r="J80" i="12"/>
  <c r="J100" i="12"/>
  <c r="Q62" i="6"/>
  <c r="Q64" i="6"/>
  <c r="Q65" i="6"/>
  <c r="Q68" i="6"/>
  <c r="Q69" i="6"/>
  <c r="Q70" i="6"/>
  <c r="Q71" i="6"/>
  <c r="R3" i="6"/>
  <c r="K5" i="5"/>
  <c r="K8" i="5"/>
  <c r="K11" i="20" s="1"/>
  <c r="K31" i="20" s="1"/>
  <c r="K38" i="20" s="1"/>
  <c r="R5" i="6"/>
  <c r="R6" i="6"/>
  <c r="M8" i="9"/>
  <c r="M6" i="9" s="1"/>
  <c r="R8" i="6"/>
  <c r="K118" i="5"/>
  <c r="R23" i="6" s="1"/>
  <c r="K113" i="5"/>
  <c r="R19" i="6" s="1"/>
  <c r="K103" i="5"/>
  <c r="R12" i="6" s="1"/>
  <c r="K106" i="5"/>
  <c r="R14" i="6" s="1"/>
  <c r="K110" i="5"/>
  <c r="R17" i="6" s="1"/>
  <c r="K115" i="5"/>
  <c r="R21" i="6" s="1"/>
  <c r="R25" i="6"/>
  <c r="AQ26" i="11" s="1"/>
  <c r="K124" i="5"/>
  <c r="R28" i="6"/>
  <c r="K102" i="5"/>
  <c r="R11" i="6" s="1"/>
  <c r="K109" i="5"/>
  <c r="R16" i="6"/>
  <c r="I17" i="11" s="1"/>
  <c r="K114" i="5"/>
  <c r="R20" i="6" s="1"/>
  <c r="R24" i="6"/>
  <c r="AQ25" i="11" s="1"/>
  <c r="K125" i="5"/>
  <c r="R29" i="6"/>
  <c r="K104" i="5"/>
  <c r="R13" i="6" s="1"/>
  <c r="K111" i="5"/>
  <c r="R18" i="6"/>
  <c r="K116" i="5"/>
  <c r="R22" i="6" s="1"/>
  <c r="R26" i="6"/>
  <c r="K126" i="5"/>
  <c r="R30" i="6"/>
  <c r="K43" i="12"/>
  <c r="K63" i="12"/>
  <c r="K83" i="12"/>
  <c r="K44" i="12"/>
  <c r="K64" i="12"/>
  <c r="K84" i="12"/>
  <c r="K45" i="12"/>
  <c r="K65" i="12"/>
  <c r="K85" i="12"/>
  <c r="K48" i="12"/>
  <c r="K68" i="12"/>
  <c r="K88" i="12"/>
  <c r="K50" i="12"/>
  <c r="K70" i="12"/>
  <c r="K90" i="12"/>
  <c r="K51" i="12"/>
  <c r="K71" i="12"/>
  <c r="K91" i="12"/>
  <c r="K52" i="12"/>
  <c r="K72" i="12"/>
  <c r="K92" i="12"/>
  <c r="K54" i="12"/>
  <c r="K74" i="12"/>
  <c r="K94" i="12"/>
  <c r="K57" i="12"/>
  <c r="K77" i="12"/>
  <c r="K97" i="12"/>
  <c r="K60" i="12"/>
  <c r="K80" i="12"/>
  <c r="K100" i="12"/>
  <c r="R62" i="6"/>
  <c r="R64" i="6"/>
  <c r="R65" i="6"/>
  <c r="R68" i="6"/>
  <c r="R69" i="6"/>
  <c r="R70" i="6"/>
  <c r="R71" i="6"/>
  <c r="S3" i="6"/>
  <c r="S4" i="6"/>
  <c r="J5" i="11" s="1"/>
  <c r="S5" i="6"/>
  <c r="S6" i="6"/>
  <c r="N8" i="9"/>
  <c r="N6" i="9" s="1"/>
  <c r="S8" i="6"/>
  <c r="L123" i="5"/>
  <c r="S27" i="6" s="1"/>
  <c r="L103" i="5"/>
  <c r="S12" i="6" s="1"/>
  <c r="L106" i="5"/>
  <c r="S14" i="6"/>
  <c r="J15" i="11" s="1"/>
  <c r="L110" i="5"/>
  <c r="S17" i="6" s="1"/>
  <c r="L115" i="5"/>
  <c r="S21" i="6"/>
  <c r="S25" i="6"/>
  <c r="L124" i="5"/>
  <c r="S28" i="6"/>
  <c r="L102" i="5"/>
  <c r="S11" i="6"/>
  <c r="L109" i="5"/>
  <c r="S16" i="6"/>
  <c r="J17" i="11" s="1"/>
  <c r="L114" i="5"/>
  <c r="S20" i="6"/>
  <c r="J21" i="11" s="1"/>
  <c r="S24" i="6"/>
  <c r="AR25" i="11" s="1"/>
  <c r="L104" i="5"/>
  <c r="S13" i="6"/>
  <c r="L111" i="5"/>
  <c r="S18" i="6"/>
  <c r="L116" i="5"/>
  <c r="S22" i="6"/>
  <c r="S26" i="6"/>
  <c r="L126" i="5"/>
  <c r="S30" i="6"/>
  <c r="S9" i="6"/>
  <c r="L43" i="12"/>
  <c r="L63" i="12"/>
  <c r="L83" i="12"/>
  <c r="L44" i="12"/>
  <c r="L64" i="12"/>
  <c r="L84" i="12"/>
  <c r="L45" i="12"/>
  <c r="L65" i="12"/>
  <c r="L85" i="12"/>
  <c r="L48" i="12"/>
  <c r="L68" i="12"/>
  <c r="L88" i="12"/>
  <c r="L50" i="12"/>
  <c r="L70" i="12"/>
  <c r="L90" i="12"/>
  <c r="L51" i="12"/>
  <c r="L71" i="12"/>
  <c r="L91" i="12"/>
  <c r="L52" i="12"/>
  <c r="L72" i="12"/>
  <c r="L92" i="12"/>
  <c r="L54" i="12"/>
  <c r="L74" i="12"/>
  <c r="L94" i="12"/>
  <c r="L57" i="12"/>
  <c r="L77" i="12"/>
  <c r="L97" i="12"/>
  <c r="L60" i="12"/>
  <c r="L80" i="12"/>
  <c r="L100" i="12"/>
  <c r="S62" i="6"/>
  <c r="S64" i="6"/>
  <c r="S65" i="6"/>
  <c r="S68" i="6"/>
  <c r="S69" i="6"/>
  <c r="S70" i="6"/>
  <c r="S71" i="6"/>
  <c r="T3" i="6"/>
  <c r="T4" i="6"/>
  <c r="T5" i="6"/>
  <c r="T6" i="6"/>
  <c r="O6" i="9"/>
  <c r="T8" i="6"/>
  <c r="M108" i="5"/>
  <c r="T15" i="6" s="1"/>
  <c r="M118" i="5"/>
  <c r="T23" i="6"/>
  <c r="M103" i="5"/>
  <c r="T12" i="6"/>
  <c r="M106" i="5"/>
  <c r="T14" i="6" s="1"/>
  <c r="M110" i="5"/>
  <c r="T17" i="6"/>
  <c r="M115" i="5"/>
  <c r="T21" i="6" s="1"/>
  <c r="T25" i="6"/>
  <c r="AS26" i="11" s="1"/>
  <c r="M124" i="5"/>
  <c r="T28" i="6"/>
  <c r="M102" i="5"/>
  <c r="T11" i="6" s="1"/>
  <c r="K12" i="11" s="1"/>
  <c r="M109" i="5"/>
  <c r="T16" i="6"/>
  <c r="M114" i="5"/>
  <c r="T20" i="6" s="1"/>
  <c r="T24" i="6"/>
  <c r="AS25" i="11" s="1"/>
  <c r="M125" i="5"/>
  <c r="T29" i="6"/>
  <c r="M104" i="5"/>
  <c r="T13" i="6"/>
  <c r="M111" i="5"/>
  <c r="T18" i="6"/>
  <c r="M116" i="5"/>
  <c r="T22" i="6"/>
  <c r="T26" i="6"/>
  <c r="M126" i="5"/>
  <c r="T30" i="6" s="1"/>
  <c r="T9" i="6"/>
  <c r="T37" i="6" s="1"/>
  <c r="M43" i="12"/>
  <c r="M63" i="12"/>
  <c r="M83" i="12"/>
  <c r="M44" i="12"/>
  <c r="M64" i="12"/>
  <c r="M84" i="12"/>
  <c r="M45" i="12"/>
  <c r="M65" i="12"/>
  <c r="M85" i="12"/>
  <c r="M48" i="12"/>
  <c r="M68" i="12"/>
  <c r="M88" i="12"/>
  <c r="M50" i="12"/>
  <c r="M70" i="12"/>
  <c r="M90" i="12"/>
  <c r="M51" i="12"/>
  <c r="M71" i="12"/>
  <c r="M91" i="12"/>
  <c r="M52" i="12"/>
  <c r="M72" i="12"/>
  <c r="M92" i="12"/>
  <c r="M54" i="12"/>
  <c r="M74" i="12"/>
  <c r="M94" i="12"/>
  <c r="M57" i="12"/>
  <c r="M77" i="12"/>
  <c r="M97" i="12"/>
  <c r="M60" i="12"/>
  <c r="M80" i="12"/>
  <c r="M100" i="12"/>
  <c r="T62" i="6"/>
  <c r="T64" i="6"/>
  <c r="T65" i="6"/>
  <c r="H177" i="5"/>
  <c r="I177" i="5"/>
  <c r="J177" i="5"/>
  <c r="K177" i="5"/>
  <c r="L177" i="5"/>
  <c r="T69" i="6"/>
  <c r="T70" i="6"/>
  <c r="T71" i="6"/>
  <c r="U3" i="6"/>
  <c r="U4" i="6"/>
  <c r="U5" i="6"/>
  <c r="U6" i="6"/>
  <c r="P6" i="9"/>
  <c r="U8" i="6"/>
  <c r="N118" i="5"/>
  <c r="U23" i="6"/>
  <c r="N103" i="5"/>
  <c r="U12" i="6"/>
  <c r="N106" i="5"/>
  <c r="U14" i="6" s="1"/>
  <c r="N110" i="5"/>
  <c r="U17" i="6" s="1"/>
  <c r="N115" i="5"/>
  <c r="U21" i="6" s="1"/>
  <c r="U25" i="6"/>
  <c r="AT26" i="11" s="1"/>
  <c r="N124" i="5"/>
  <c r="U28" i="6" s="1"/>
  <c r="L29" i="11" s="1"/>
  <c r="N102" i="5"/>
  <c r="U11" i="6"/>
  <c r="N109" i="5"/>
  <c r="U16" i="6" s="1"/>
  <c r="N114" i="5"/>
  <c r="U20" i="6"/>
  <c r="U24" i="6"/>
  <c r="AT25" i="11" s="1"/>
  <c r="N125" i="5"/>
  <c r="U29" i="6" s="1"/>
  <c r="N104" i="5"/>
  <c r="U13" i="6"/>
  <c r="N111" i="5"/>
  <c r="U18" i="6" s="1"/>
  <c r="L19" i="11" s="1"/>
  <c r="N116" i="5"/>
  <c r="U22" i="6"/>
  <c r="U26" i="6"/>
  <c r="AC27" i="11" s="1"/>
  <c r="N126" i="5"/>
  <c r="U30" i="6"/>
  <c r="L31" i="11" s="1"/>
  <c r="U9" i="6"/>
  <c r="U37" i="6" s="1"/>
  <c r="N43" i="12"/>
  <c r="N63" i="12"/>
  <c r="N83" i="12"/>
  <c r="N44" i="12"/>
  <c r="N64" i="12"/>
  <c r="N84" i="12"/>
  <c r="N45" i="12"/>
  <c r="N65" i="12"/>
  <c r="N85" i="12"/>
  <c r="N48" i="12"/>
  <c r="N68" i="12"/>
  <c r="N88" i="12"/>
  <c r="N50" i="12"/>
  <c r="N70" i="12"/>
  <c r="N90" i="12"/>
  <c r="N51" i="12"/>
  <c r="N71" i="12"/>
  <c r="N91" i="12"/>
  <c r="N52" i="12"/>
  <c r="N72" i="12"/>
  <c r="N92" i="12"/>
  <c r="N54" i="12"/>
  <c r="N74" i="12"/>
  <c r="N94" i="12"/>
  <c r="N57" i="12"/>
  <c r="N77" i="12"/>
  <c r="N97" i="12"/>
  <c r="N60" i="12"/>
  <c r="N80" i="12"/>
  <c r="N100" i="12"/>
  <c r="U62" i="6"/>
  <c r="U64" i="6"/>
  <c r="U65" i="6"/>
  <c r="U69" i="6"/>
  <c r="U70" i="6"/>
  <c r="U71" i="6"/>
  <c r="V3" i="6"/>
  <c r="V4" i="6"/>
  <c r="M5" i="11" s="1"/>
  <c r="V5" i="6"/>
  <c r="V6" i="6"/>
  <c r="Q6" i="9"/>
  <c r="V8" i="6"/>
  <c r="O118" i="5"/>
  <c r="V23" i="6"/>
  <c r="O103" i="5"/>
  <c r="V12" i="6"/>
  <c r="O106" i="5"/>
  <c r="V14" i="6"/>
  <c r="O110" i="5"/>
  <c r="V17" i="6"/>
  <c r="O115" i="5"/>
  <c r="V21" i="6"/>
  <c r="V25" i="6"/>
  <c r="AU26" i="11" s="1"/>
  <c r="O124" i="5"/>
  <c r="V28" i="6"/>
  <c r="O102" i="5"/>
  <c r="V11" i="6" s="1"/>
  <c r="O109" i="5"/>
  <c r="V16" i="6"/>
  <c r="O114" i="5"/>
  <c r="V20" i="6" s="1"/>
  <c r="V24" i="6"/>
  <c r="AU25" i="11" s="1"/>
  <c r="O125" i="5"/>
  <c r="V29" i="6"/>
  <c r="M30" i="11" s="1"/>
  <c r="O104" i="5"/>
  <c r="V13" i="6"/>
  <c r="AU14" i="11" s="1"/>
  <c r="O111" i="5"/>
  <c r="V18" i="6"/>
  <c r="O116" i="5"/>
  <c r="V22" i="6"/>
  <c r="V26" i="6"/>
  <c r="AD27" i="11" s="1"/>
  <c r="O126" i="5"/>
  <c r="V30" i="6" s="1"/>
  <c r="V9" i="6"/>
  <c r="O43" i="12"/>
  <c r="O63" i="12"/>
  <c r="O83" i="12"/>
  <c r="O44" i="12"/>
  <c r="O64" i="12"/>
  <c r="O84" i="12"/>
  <c r="O45" i="12"/>
  <c r="O65" i="12"/>
  <c r="O85" i="12"/>
  <c r="O48" i="12"/>
  <c r="O68" i="12"/>
  <c r="O88" i="12"/>
  <c r="O50" i="12"/>
  <c r="O70" i="12"/>
  <c r="O90" i="12"/>
  <c r="O51" i="12"/>
  <c r="O71" i="12"/>
  <c r="O91" i="12"/>
  <c r="O52" i="12"/>
  <c r="O72" i="12"/>
  <c r="O92" i="12"/>
  <c r="O54" i="12"/>
  <c r="O74" i="12"/>
  <c r="O94" i="12"/>
  <c r="O57" i="12"/>
  <c r="O77" i="12"/>
  <c r="O97" i="12"/>
  <c r="O60" i="12"/>
  <c r="O80" i="12"/>
  <c r="O100" i="12"/>
  <c r="V62" i="6"/>
  <c r="V64" i="6"/>
  <c r="V65" i="6"/>
  <c r="V69" i="6"/>
  <c r="V70" i="6"/>
  <c r="V71" i="6"/>
  <c r="W3" i="6"/>
  <c r="W4" i="6"/>
  <c r="W5" i="6"/>
  <c r="N6" i="11" s="1"/>
  <c r="W6" i="6"/>
  <c r="R6" i="9"/>
  <c r="W8" i="6"/>
  <c r="P101" i="5"/>
  <c r="W10" i="6" s="1"/>
  <c r="P118" i="5"/>
  <c r="W23" i="6" s="1"/>
  <c r="P123" i="5"/>
  <c r="W27" i="6" s="1"/>
  <c r="P103" i="5"/>
  <c r="W12" i="6"/>
  <c r="P106" i="5"/>
  <c r="W14" i="6" s="1"/>
  <c r="P110" i="5"/>
  <c r="W17" i="6"/>
  <c r="P115" i="5"/>
  <c r="W21" i="6" s="1"/>
  <c r="W25" i="6"/>
  <c r="AV26" i="11" s="1"/>
  <c r="P124" i="5"/>
  <c r="W28" i="6" s="1"/>
  <c r="P102" i="5"/>
  <c r="W11" i="6"/>
  <c r="P109" i="5"/>
  <c r="W16" i="6" s="1"/>
  <c r="P114" i="5"/>
  <c r="W20" i="6"/>
  <c r="W24" i="6"/>
  <c r="AV25" i="11" s="1"/>
  <c r="P125" i="5"/>
  <c r="W29" i="6" s="1"/>
  <c r="P104" i="5"/>
  <c r="W13" i="6"/>
  <c r="P111" i="5"/>
  <c r="W18" i="6" s="1"/>
  <c r="P116" i="5"/>
  <c r="W22" i="6"/>
  <c r="W26" i="6"/>
  <c r="P126" i="5"/>
  <c r="W30" i="6"/>
  <c r="W9" i="6"/>
  <c r="P43" i="12"/>
  <c r="P63" i="12"/>
  <c r="P83" i="12"/>
  <c r="P44" i="12"/>
  <c r="P64" i="12"/>
  <c r="P84" i="12"/>
  <c r="P45" i="12"/>
  <c r="P65" i="12"/>
  <c r="P85" i="12"/>
  <c r="P48" i="12"/>
  <c r="P68" i="12"/>
  <c r="P88" i="12"/>
  <c r="P50" i="12"/>
  <c r="P70" i="12"/>
  <c r="P90" i="12"/>
  <c r="P51" i="12"/>
  <c r="P71" i="12"/>
  <c r="P91" i="12"/>
  <c r="P52" i="12"/>
  <c r="P72" i="12"/>
  <c r="P92" i="12"/>
  <c r="P54" i="12"/>
  <c r="P74" i="12"/>
  <c r="P94" i="12"/>
  <c r="P57" i="12"/>
  <c r="P77" i="12"/>
  <c r="P97" i="12"/>
  <c r="P60" i="12"/>
  <c r="P80" i="12"/>
  <c r="P100" i="12"/>
  <c r="W62" i="6"/>
  <c r="W64" i="6"/>
  <c r="W65" i="6"/>
  <c r="W69" i="6"/>
  <c r="W70" i="6"/>
  <c r="W71" i="6"/>
  <c r="X3" i="6"/>
  <c r="X4" i="6"/>
  <c r="X5" i="6"/>
  <c r="X6" i="6"/>
  <c r="O7" i="11" s="1"/>
  <c r="S6" i="9"/>
  <c r="X8" i="6"/>
  <c r="Q118" i="5"/>
  <c r="X23" i="6" s="1"/>
  <c r="Q123" i="5"/>
  <c r="X27" i="6" s="1"/>
  <c r="Q103" i="5"/>
  <c r="X12" i="6"/>
  <c r="Q106" i="5"/>
  <c r="X14" i="6" s="1"/>
  <c r="Q110" i="5"/>
  <c r="X17" i="6"/>
  <c r="Q115" i="5"/>
  <c r="X21" i="6" s="1"/>
  <c r="O22" i="11" s="1"/>
  <c r="X25" i="6"/>
  <c r="AW26" i="11" s="1"/>
  <c r="Q124" i="5"/>
  <c r="X28" i="6"/>
  <c r="Q102" i="5"/>
  <c r="X11" i="6" s="1"/>
  <c r="Q109" i="5"/>
  <c r="X16" i="6"/>
  <c r="AW17" i="11" s="1"/>
  <c r="Q114" i="5"/>
  <c r="X20" i="6" s="1"/>
  <c r="X24" i="6"/>
  <c r="AW25" i="11" s="1"/>
  <c r="Q125" i="5"/>
  <c r="X29" i="6"/>
  <c r="Q104" i="5"/>
  <c r="X13" i="6"/>
  <c r="AW14" i="11" s="1"/>
  <c r="Q111" i="5"/>
  <c r="X18" i="6"/>
  <c r="O19" i="11" s="1"/>
  <c r="Q116" i="5"/>
  <c r="X22" i="6"/>
  <c r="X26" i="6"/>
  <c r="AW27" i="11" s="1"/>
  <c r="Q126" i="5"/>
  <c r="X30" i="6" s="1"/>
  <c r="O31" i="11" s="1"/>
  <c r="X9" i="6"/>
  <c r="X37" i="6" s="1"/>
  <c r="Q43" i="12"/>
  <c r="Q63" i="12"/>
  <c r="Q83" i="12"/>
  <c r="Q44" i="12"/>
  <c r="Q64" i="12"/>
  <c r="Q84" i="12"/>
  <c r="Q45" i="12"/>
  <c r="Q65" i="12"/>
  <c r="Q85" i="12"/>
  <c r="Q48" i="12"/>
  <c r="Q68" i="12"/>
  <c r="Q88" i="12"/>
  <c r="Q50" i="12"/>
  <c r="Q70" i="12"/>
  <c r="Q90" i="12"/>
  <c r="Q51" i="12"/>
  <c r="Q71" i="12"/>
  <c r="Q91" i="12"/>
  <c r="Q52" i="12"/>
  <c r="Q72" i="12"/>
  <c r="Q92" i="12"/>
  <c r="Q54" i="12"/>
  <c r="Q74" i="12"/>
  <c r="Q94" i="12"/>
  <c r="Q57" i="12"/>
  <c r="Q77" i="12"/>
  <c r="Q97" i="12"/>
  <c r="Q60" i="12"/>
  <c r="Q80" i="12"/>
  <c r="Q100" i="12"/>
  <c r="X62" i="6"/>
  <c r="X64" i="6"/>
  <c r="X65" i="6"/>
  <c r="X69" i="6"/>
  <c r="X70" i="6"/>
  <c r="X71" i="6"/>
  <c r="Y3" i="6"/>
  <c r="Y4" i="6"/>
  <c r="Y5" i="6"/>
  <c r="Y6" i="6"/>
  <c r="T6" i="9"/>
  <c r="Y8" i="6"/>
  <c r="R101" i="5"/>
  <c r="Y10" i="6" s="1"/>
  <c r="R118" i="5"/>
  <c r="Y23" i="6" s="1"/>
  <c r="R103" i="5"/>
  <c r="Y12" i="6" s="1"/>
  <c r="R106" i="5"/>
  <c r="Y14" i="6"/>
  <c r="R110" i="5"/>
  <c r="Y17" i="6" s="1"/>
  <c r="R115" i="5"/>
  <c r="Y21" i="6"/>
  <c r="Y25" i="6"/>
  <c r="AX26" i="11" s="1"/>
  <c r="R124" i="5"/>
  <c r="Y28" i="6"/>
  <c r="P29" i="11" s="1"/>
  <c r="R102" i="5"/>
  <c r="Y11" i="6"/>
  <c r="R109" i="5"/>
  <c r="Y16" i="6"/>
  <c r="R114" i="5"/>
  <c r="Y20" i="6"/>
  <c r="Y24" i="6"/>
  <c r="AX25" i="11" s="1"/>
  <c r="R125" i="5"/>
  <c r="Y29" i="6"/>
  <c r="R104" i="5"/>
  <c r="Y13" i="6" s="1"/>
  <c r="R111" i="5"/>
  <c r="Y18" i="6"/>
  <c r="R116" i="5"/>
  <c r="Y22" i="6" s="1"/>
  <c r="Y26" i="6"/>
  <c r="R126" i="5"/>
  <c r="Y30" i="6" s="1"/>
  <c r="Y9" i="6"/>
  <c r="Y37" i="6" s="1"/>
  <c r="R43" i="12"/>
  <c r="R63" i="12"/>
  <c r="R83" i="12"/>
  <c r="R44" i="12"/>
  <c r="R64" i="12"/>
  <c r="R84" i="12"/>
  <c r="R45" i="12"/>
  <c r="R65" i="12"/>
  <c r="R85" i="12"/>
  <c r="R48" i="12"/>
  <c r="R68" i="12"/>
  <c r="R88" i="12"/>
  <c r="R50" i="12"/>
  <c r="R70" i="12"/>
  <c r="R90" i="12"/>
  <c r="R51" i="12"/>
  <c r="R71" i="12"/>
  <c r="R91" i="12"/>
  <c r="R52" i="12"/>
  <c r="R72" i="12"/>
  <c r="R92" i="12"/>
  <c r="R54" i="12"/>
  <c r="R74" i="12"/>
  <c r="R94" i="12"/>
  <c r="R57" i="12"/>
  <c r="R77" i="12"/>
  <c r="R97" i="12"/>
  <c r="R60" i="12"/>
  <c r="R80" i="12"/>
  <c r="R100" i="12"/>
  <c r="Y62" i="6"/>
  <c r="Y64" i="6"/>
  <c r="Y65" i="6"/>
  <c r="Y69" i="6"/>
  <c r="Y70" i="6"/>
  <c r="AG71" i="11" s="1"/>
  <c r="Y71" i="6"/>
  <c r="Z3" i="6"/>
  <c r="Z4" i="6"/>
  <c r="Z5" i="6"/>
  <c r="Z6" i="6"/>
  <c r="U6" i="9"/>
  <c r="Z8" i="6"/>
  <c r="S108" i="5"/>
  <c r="Z15" i="6" s="1"/>
  <c r="S118" i="5"/>
  <c r="Z23" i="6"/>
  <c r="S103" i="5"/>
  <c r="Z12" i="6" s="1"/>
  <c r="S106" i="5"/>
  <c r="Z14" i="6"/>
  <c r="S110" i="5"/>
  <c r="Z17" i="6" s="1"/>
  <c r="S115" i="5"/>
  <c r="Z21" i="6"/>
  <c r="AH22" i="11" s="1"/>
  <c r="Z25" i="6"/>
  <c r="AY26" i="11" s="1"/>
  <c r="S124" i="5"/>
  <c r="Z28" i="6" s="1"/>
  <c r="S102" i="5"/>
  <c r="Z11" i="6"/>
  <c r="S109" i="5"/>
  <c r="Z16" i="6" s="1"/>
  <c r="Q17" i="11" s="1"/>
  <c r="S114" i="5"/>
  <c r="Z20" i="6"/>
  <c r="Z24" i="6"/>
  <c r="AY25" i="11" s="1"/>
  <c r="S125" i="5"/>
  <c r="Z29" i="6"/>
  <c r="S104" i="5"/>
  <c r="Z13" i="6"/>
  <c r="S111" i="5"/>
  <c r="Z18" i="6"/>
  <c r="S116" i="5"/>
  <c r="Z22" i="6"/>
  <c r="Z26" i="6"/>
  <c r="S126" i="5"/>
  <c r="Z30" i="6"/>
  <c r="Z9" i="6"/>
  <c r="S43" i="12"/>
  <c r="S63" i="12"/>
  <c r="S83" i="12"/>
  <c r="S44" i="12"/>
  <c r="S64" i="12"/>
  <c r="S84" i="12"/>
  <c r="S45" i="12"/>
  <c r="S65" i="12"/>
  <c r="S85" i="12"/>
  <c r="S48" i="12"/>
  <c r="S68" i="12"/>
  <c r="S88" i="12"/>
  <c r="S50" i="12"/>
  <c r="S70" i="12"/>
  <c r="S90" i="12"/>
  <c r="S51" i="12"/>
  <c r="S71" i="12"/>
  <c r="S91" i="12"/>
  <c r="S52" i="12"/>
  <c r="S72" i="12"/>
  <c r="S92" i="12"/>
  <c r="S54" i="12"/>
  <c r="S74" i="12"/>
  <c r="S94" i="12"/>
  <c r="S57" i="12"/>
  <c r="S77" i="12"/>
  <c r="S97" i="12"/>
  <c r="S60" i="12"/>
  <c r="S80" i="12"/>
  <c r="S100" i="12"/>
  <c r="Z62" i="6"/>
  <c r="Z64" i="6"/>
  <c r="Z65" i="6"/>
  <c r="Z69" i="6"/>
  <c r="Z70" i="6"/>
  <c r="Z71" i="6"/>
  <c r="AA3" i="6"/>
  <c r="AA4" i="6"/>
  <c r="AA5" i="6"/>
  <c r="AA6" i="6"/>
  <c r="V6" i="9"/>
  <c r="AA8" i="6"/>
  <c r="T118" i="5"/>
  <c r="AA23" i="6"/>
  <c r="T103" i="5"/>
  <c r="AA12" i="6"/>
  <c r="T106" i="5"/>
  <c r="AA14" i="6" s="1"/>
  <c r="T110" i="5"/>
  <c r="AA17" i="6"/>
  <c r="T115" i="5"/>
  <c r="AA21" i="6" s="1"/>
  <c r="AA25" i="6"/>
  <c r="AZ26" i="11" s="1"/>
  <c r="T124" i="5"/>
  <c r="AA28" i="6"/>
  <c r="T102" i="5"/>
  <c r="AA11" i="6"/>
  <c r="T109" i="5"/>
  <c r="AA16" i="6"/>
  <c r="T114" i="5"/>
  <c r="AA20" i="6"/>
  <c r="AI21" i="11" s="1"/>
  <c r="AA24" i="6"/>
  <c r="AZ25" i="11" s="1"/>
  <c r="T125" i="5"/>
  <c r="AA29" i="6" s="1"/>
  <c r="T104" i="5"/>
  <c r="AA13" i="6"/>
  <c r="T111" i="5"/>
  <c r="AA18" i="6" s="1"/>
  <c r="T116" i="5"/>
  <c r="AA22" i="6"/>
  <c r="AA26" i="6"/>
  <c r="T126" i="5"/>
  <c r="AA30" i="6"/>
  <c r="AA9" i="6"/>
  <c r="AA37" i="6" s="1"/>
  <c r="T83" i="12"/>
  <c r="T84" i="12"/>
  <c r="T85" i="12"/>
  <c r="T88" i="12"/>
  <c r="T90" i="12"/>
  <c r="T91" i="12"/>
  <c r="T92" i="12"/>
  <c r="T94" i="12"/>
  <c r="T97" i="12"/>
  <c r="T100" i="12"/>
  <c r="AA69" i="6"/>
  <c r="AA70" i="6"/>
  <c r="AA71" i="6"/>
  <c r="AB3" i="6"/>
  <c r="AB4" i="6"/>
  <c r="AB5" i="6"/>
  <c r="AB6" i="6"/>
  <c r="W6" i="9"/>
  <c r="AB8" i="6"/>
  <c r="S9" i="11" s="1"/>
  <c r="U118" i="5"/>
  <c r="AB23" i="6" s="1"/>
  <c r="U113" i="5"/>
  <c r="AB19" i="6" s="1"/>
  <c r="U103" i="5"/>
  <c r="AB12" i="6" s="1"/>
  <c r="U106" i="5"/>
  <c r="AB14" i="6"/>
  <c r="U110" i="5"/>
  <c r="AB17" i="6" s="1"/>
  <c r="U115" i="5"/>
  <c r="AB21" i="6"/>
  <c r="S22" i="11" s="1"/>
  <c r="AB25" i="6"/>
  <c r="BA26" i="11" s="1"/>
  <c r="U124" i="5"/>
  <c r="AB28" i="6"/>
  <c r="U102" i="5"/>
  <c r="AB11" i="6"/>
  <c r="U109" i="5"/>
  <c r="AB16" i="6"/>
  <c r="S17" i="11" s="1"/>
  <c r="U114" i="5"/>
  <c r="AB20" i="6"/>
  <c r="AB24" i="6"/>
  <c r="BA25" i="11" s="1"/>
  <c r="U125" i="5"/>
  <c r="AB29" i="6"/>
  <c r="U104" i="5"/>
  <c r="AB13" i="6" s="1"/>
  <c r="U111" i="5"/>
  <c r="AB18" i="6"/>
  <c r="U116" i="5"/>
  <c r="AB22" i="6" s="1"/>
  <c r="AB26" i="6"/>
  <c r="U126" i="5"/>
  <c r="AB30" i="6"/>
  <c r="AB9" i="6"/>
  <c r="U83" i="12"/>
  <c r="U84" i="12"/>
  <c r="U85" i="12"/>
  <c r="U88" i="12"/>
  <c r="U90" i="12"/>
  <c r="U91" i="12"/>
  <c r="U92" i="12"/>
  <c r="U94" i="12"/>
  <c r="U97" i="12"/>
  <c r="U100" i="12"/>
  <c r="AB69" i="6"/>
  <c r="AB70" i="6"/>
  <c r="AB71" i="6"/>
  <c r="AC3" i="6"/>
  <c r="AC4" i="6"/>
  <c r="AC5" i="6"/>
  <c r="AC6" i="6"/>
  <c r="X6" i="9"/>
  <c r="AC8" i="6"/>
  <c r="V118" i="5"/>
  <c r="AC23" i="6"/>
  <c r="V103" i="5"/>
  <c r="AC12" i="6"/>
  <c r="V106" i="5"/>
  <c r="AC14" i="6" s="1"/>
  <c r="V110" i="5"/>
  <c r="AC17" i="6"/>
  <c r="V115" i="5"/>
  <c r="AC21" i="6" s="1"/>
  <c r="AC25" i="6"/>
  <c r="BB26" i="11" s="1"/>
  <c r="V124" i="5"/>
  <c r="AC28" i="6"/>
  <c r="V102" i="5"/>
  <c r="AC11" i="6"/>
  <c r="BB12" i="11" s="1"/>
  <c r="V109" i="5"/>
  <c r="AC16" i="6"/>
  <c r="V114" i="5"/>
  <c r="AC20" i="6"/>
  <c r="AC24" i="6"/>
  <c r="BB25" i="11" s="1"/>
  <c r="V125" i="5"/>
  <c r="AC29" i="6" s="1"/>
  <c r="V104" i="5"/>
  <c r="AC13" i="6"/>
  <c r="V111" i="5"/>
  <c r="AC18" i="6" s="1"/>
  <c r="V116" i="5"/>
  <c r="AC22" i="6" s="1"/>
  <c r="AC26" i="6"/>
  <c r="V126" i="5"/>
  <c r="AC30" i="6"/>
  <c r="AC9" i="6"/>
  <c r="V83" i="12"/>
  <c r="V84" i="12"/>
  <c r="V85" i="12"/>
  <c r="V88" i="12"/>
  <c r="V90" i="12"/>
  <c r="V91" i="12"/>
  <c r="V92" i="12"/>
  <c r="V94" i="12"/>
  <c r="V97" i="12"/>
  <c r="V100" i="12"/>
  <c r="BB63" i="11"/>
  <c r="AC69" i="6"/>
  <c r="AK70" i="11" s="1"/>
  <c r="AC70" i="6"/>
  <c r="AC71" i="6"/>
  <c r="H8" i="9"/>
  <c r="H6" i="9"/>
  <c r="F123" i="5"/>
  <c r="M27" i="6" s="1"/>
  <c r="F103" i="5"/>
  <c r="M12" i="6" s="1"/>
  <c r="F106" i="5"/>
  <c r="F110" i="5"/>
  <c r="M17" i="6" s="1"/>
  <c r="F115" i="5"/>
  <c r="M21" i="6" s="1"/>
  <c r="AL26" i="11"/>
  <c r="F124" i="5"/>
  <c r="M28" i="6" s="1"/>
  <c r="F102" i="5"/>
  <c r="M11" i="6" s="1"/>
  <c r="F109" i="5"/>
  <c r="M16" i="6" s="1"/>
  <c r="F114" i="5"/>
  <c r="M20" i="6" s="1"/>
  <c r="F125" i="5"/>
  <c r="F104" i="5"/>
  <c r="M13" i="6" s="1"/>
  <c r="F111" i="5"/>
  <c r="M18" i="6" s="1"/>
  <c r="F116" i="5"/>
  <c r="M22" i="6" s="1"/>
  <c r="F126" i="5"/>
  <c r="M30" i="6" s="1"/>
  <c r="G191" i="5"/>
  <c r="F62" i="12"/>
  <c r="F43" i="12"/>
  <c r="F82" i="12"/>
  <c r="F63" i="12"/>
  <c r="F83" i="12"/>
  <c r="F44" i="12"/>
  <c r="F64" i="12"/>
  <c r="F84" i="12"/>
  <c r="F45" i="12"/>
  <c r="F65" i="12"/>
  <c r="F85" i="12"/>
  <c r="F48" i="12"/>
  <c r="F68" i="12"/>
  <c r="F88" i="12"/>
  <c r="F50" i="12"/>
  <c r="F70" i="12"/>
  <c r="F90" i="12"/>
  <c r="F51" i="12"/>
  <c r="F71" i="12"/>
  <c r="F91" i="12"/>
  <c r="F52" i="12"/>
  <c r="F72" i="12"/>
  <c r="F92" i="12"/>
  <c r="F54" i="12"/>
  <c r="F74" i="12"/>
  <c r="F94" i="12"/>
  <c r="F57" i="12"/>
  <c r="F77" i="12"/>
  <c r="F97" i="12"/>
  <c r="F60" i="12"/>
  <c r="F80" i="12"/>
  <c r="F100" i="12"/>
  <c r="M62" i="6"/>
  <c r="M64" i="6"/>
  <c r="U65" i="11" s="1"/>
  <c r="M65" i="6"/>
  <c r="M68" i="6"/>
  <c r="M69" i="6"/>
  <c r="M70" i="6"/>
  <c r="M71" i="6"/>
  <c r="F3" i="6"/>
  <c r="F4" i="6"/>
  <c r="F5" i="6"/>
  <c r="AH6" i="11" s="1"/>
  <c r="F6" i="6"/>
  <c r="F8" i="6"/>
  <c r="F10" i="6"/>
  <c r="F15" i="6"/>
  <c r="F19" i="6"/>
  <c r="F27" i="6"/>
  <c r="F12" i="6"/>
  <c r="F14" i="6"/>
  <c r="F17" i="6"/>
  <c r="F21" i="6"/>
  <c r="F28" i="6"/>
  <c r="F11" i="6"/>
  <c r="F16" i="6"/>
  <c r="F20" i="6"/>
  <c r="F29" i="6"/>
  <c r="F13" i="6"/>
  <c r="AF14" i="11" s="1"/>
  <c r="F18" i="6"/>
  <c r="F22" i="6"/>
  <c r="F30" i="6"/>
  <c r="F9" i="6"/>
  <c r="F62" i="6"/>
  <c r="F64" i="6"/>
  <c r="F65" i="6"/>
  <c r="F68" i="6"/>
  <c r="F69" i="6"/>
  <c r="F70" i="6"/>
  <c r="F71" i="6"/>
  <c r="Y72" i="11" s="1"/>
  <c r="Y94" i="11" s="1"/>
  <c r="AJ65" i="11"/>
  <c r="G24" i="11"/>
  <c r="E62" i="6"/>
  <c r="E64" i="6"/>
  <c r="L65" i="11" s="1"/>
  <c r="E65" i="6"/>
  <c r="D31" i="8"/>
  <c r="E68" i="6"/>
  <c r="E69" i="6"/>
  <c r="E70" i="6"/>
  <c r="E71" i="6"/>
  <c r="J69" i="11"/>
  <c r="Q4" i="11"/>
  <c r="Q19" i="11"/>
  <c r="S24" i="11"/>
  <c r="T19" i="11"/>
  <c r="T69" i="11"/>
  <c r="P7" i="6"/>
  <c r="F7" i="6"/>
  <c r="K9" i="9"/>
  <c r="K7" i="9"/>
  <c r="N7" i="6"/>
  <c r="G7" i="6"/>
  <c r="I9" i="9"/>
  <c r="I7" i="9" s="1"/>
  <c r="E18" i="11"/>
  <c r="G127" i="5"/>
  <c r="N31" i="6" s="1"/>
  <c r="F31" i="6"/>
  <c r="J31" i="6"/>
  <c r="G31" i="6"/>
  <c r="G128" i="5"/>
  <c r="N32" i="6"/>
  <c r="N39" i="6" s="1"/>
  <c r="F32" i="6"/>
  <c r="G32" i="6"/>
  <c r="N63" i="6"/>
  <c r="J63" i="6"/>
  <c r="F63" i="6"/>
  <c r="G63" i="6"/>
  <c r="N66" i="6"/>
  <c r="J66" i="6"/>
  <c r="F66" i="6"/>
  <c r="G66" i="6"/>
  <c r="N67" i="6"/>
  <c r="J67" i="6"/>
  <c r="F67" i="6"/>
  <c r="G67" i="6"/>
  <c r="Q7" i="6"/>
  <c r="L9" i="9"/>
  <c r="L7" i="9" s="1"/>
  <c r="O7" i="6"/>
  <c r="J9" i="9"/>
  <c r="J7" i="9" s="1"/>
  <c r="H127" i="5"/>
  <c r="O31" i="6"/>
  <c r="H128" i="5"/>
  <c r="O32" i="6"/>
  <c r="O39" i="6" s="1"/>
  <c r="O63" i="6"/>
  <c r="O66" i="6"/>
  <c r="O67" i="6"/>
  <c r="R7" i="6"/>
  <c r="M9" i="9"/>
  <c r="M7" i="9" s="1"/>
  <c r="I127" i="5"/>
  <c r="P31" i="6" s="1"/>
  <c r="I128" i="5"/>
  <c r="P32" i="6" s="1"/>
  <c r="P39" i="6" s="1"/>
  <c r="P63" i="6"/>
  <c r="P66" i="6"/>
  <c r="P67" i="6"/>
  <c r="S7" i="6"/>
  <c r="AR8" i="11" s="1"/>
  <c r="N9" i="9"/>
  <c r="N7" i="9" s="1"/>
  <c r="J127" i="5"/>
  <c r="Q31" i="6" s="1"/>
  <c r="Q38" i="6" s="1"/>
  <c r="J128" i="5"/>
  <c r="Q32" i="6"/>
  <c r="Q39" i="6" s="1"/>
  <c r="Q63" i="6"/>
  <c r="Q66" i="6"/>
  <c r="Q67" i="6"/>
  <c r="T7" i="6"/>
  <c r="O7" i="9"/>
  <c r="K127" i="5"/>
  <c r="R31" i="6" s="1"/>
  <c r="R38" i="6" s="1"/>
  <c r="K128" i="5"/>
  <c r="R32" i="6"/>
  <c r="R39" i="6" s="1"/>
  <c r="R63" i="6"/>
  <c r="R66" i="6"/>
  <c r="R67" i="6"/>
  <c r="U7" i="6"/>
  <c r="P7" i="9"/>
  <c r="L127" i="5"/>
  <c r="S31" i="6"/>
  <c r="L128" i="5"/>
  <c r="S32" i="6"/>
  <c r="S63" i="6"/>
  <c r="S66" i="6"/>
  <c r="S67" i="6"/>
  <c r="V7" i="6"/>
  <c r="Q7" i="9"/>
  <c r="M127" i="5"/>
  <c r="T31" i="6"/>
  <c r="M128" i="5"/>
  <c r="T32" i="6" s="1"/>
  <c r="T63" i="6"/>
  <c r="T66" i="6"/>
  <c r="T67" i="6"/>
  <c r="W7" i="6"/>
  <c r="R7" i="9"/>
  <c r="N127" i="5"/>
  <c r="U31" i="6"/>
  <c r="N128" i="5"/>
  <c r="U32" i="6"/>
  <c r="U63" i="6"/>
  <c r="U66" i="6"/>
  <c r="U67" i="6"/>
  <c r="X7" i="6"/>
  <c r="S7" i="9"/>
  <c r="O127" i="5"/>
  <c r="V31" i="6" s="1"/>
  <c r="O128" i="5"/>
  <c r="V32" i="6" s="1"/>
  <c r="V63" i="6"/>
  <c r="V66" i="6"/>
  <c r="V67" i="6"/>
  <c r="Y7" i="6"/>
  <c r="T7" i="9"/>
  <c r="P127" i="5"/>
  <c r="W31" i="6"/>
  <c r="P128" i="5"/>
  <c r="W32" i="6"/>
  <c r="W63" i="6"/>
  <c r="W66" i="6"/>
  <c r="W67" i="6"/>
  <c r="Z7" i="6"/>
  <c r="U7" i="9"/>
  <c r="Q127" i="5"/>
  <c r="X31" i="6" s="1"/>
  <c r="Q128" i="5"/>
  <c r="X32" i="6" s="1"/>
  <c r="X39" i="6" s="1"/>
  <c r="X63" i="6"/>
  <c r="X66" i="6"/>
  <c r="X67" i="6"/>
  <c r="AA7" i="6"/>
  <c r="V7" i="9"/>
  <c r="R127" i="5"/>
  <c r="Y31" i="6" s="1"/>
  <c r="R128" i="5"/>
  <c r="Y32" i="6"/>
  <c r="Y39" i="6" s="1"/>
  <c r="Y63" i="6"/>
  <c r="Y66" i="6"/>
  <c r="Y67" i="6"/>
  <c r="AB7" i="6"/>
  <c r="AJ8" i="11" s="1"/>
  <c r="W7" i="9"/>
  <c r="S127" i="5"/>
  <c r="Z31" i="6" s="1"/>
  <c r="Z38" i="6" s="1"/>
  <c r="S128" i="5"/>
  <c r="Z32" i="6"/>
  <c r="Z63" i="6"/>
  <c r="Z66" i="6"/>
  <c r="Z67" i="6"/>
  <c r="AC7" i="6"/>
  <c r="X7" i="9"/>
  <c r="T127" i="5"/>
  <c r="AA31" i="6"/>
  <c r="T128" i="5"/>
  <c r="AA32" i="6"/>
  <c r="AA39" i="6" s="1"/>
  <c r="M7" i="6"/>
  <c r="H9" i="9"/>
  <c r="H7" i="9" s="1"/>
  <c r="U127" i="5"/>
  <c r="AB31" i="6"/>
  <c r="U128" i="5"/>
  <c r="AB32" i="6"/>
  <c r="V127" i="5"/>
  <c r="AC31" i="6"/>
  <c r="V128" i="5"/>
  <c r="AC32" i="6"/>
  <c r="AC39" i="6" s="1"/>
  <c r="F127" i="5"/>
  <c r="M31" i="6"/>
  <c r="M38" i="6" s="1"/>
  <c r="F128" i="5"/>
  <c r="M32" i="6"/>
  <c r="M39" i="6" s="1"/>
  <c r="M63" i="6"/>
  <c r="M66" i="6"/>
  <c r="M67" i="6"/>
  <c r="H68" i="6"/>
  <c r="H69" i="6"/>
  <c r="H70" i="6"/>
  <c r="AF41" i="5"/>
  <c r="BK41" i="5"/>
  <c r="AF40" i="5"/>
  <c r="AF51" i="5" s="1"/>
  <c r="AF42" i="5"/>
  <c r="AF53" i="5" s="1"/>
  <c r="AD7" i="18" s="1"/>
  <c r="BK42" i="5"/>
  <c r="AF54" i="5"/>
  <c r="AD8" i="18" s="1"/>
  <c r="AF45" i="5"/>
  <c r="BK45" i="5"/>
  <c r="G177" i="5"/>
  <c r="K64" i="6"/>
  <c r="K65" i="6"/>
  <c r="K66" i="6"/>
  <c r="K67" i="6"/>
  <c r="K68" i="6"/>
  <c r="K69" i="6"/>
  <c r="K70" i="6"/>
  <c r="K71" i="6"/>
  <c r="K60" i="6"/>
  <c r="K61" i="6"/>
  <c r="K62" i="6"/>
  <c r="K39" i="6"/>
  <c r="J39" i="6"/>
  <c r="K36" i="6"/>
  <c r="J36" i="6"/>
  <c r="K32" i="6"/>
  <c r="K33" i="6"/>
  <c r="J33" i="6"/>
  <c r="J32" i="6"/>
  <c r="K30" i="6"/>
  <c r="J30" i="6"/>
  <c r="K26" i="6"/>
  <c r="K27" i="6"/>
  <c r="K22" i="6"/>
  <c r="K23" i="6"/>
  <c r="J22" i="6"/>
  <c r="K18" i="6"/>
  <c r="K19" i="6"/>
  <c r="J18" i="6"/>
  <c r="K15" i="6"/>
  <c r="K13" i="6"/>
  <c r="J13" i="6"/>
  <c r="K10" i="6"/>
  <c r="K8" i="6"/>
  <c r="BC34" i="11"/>
  <c r="BD34" i="11"/>
  <c r="BE34" i="11"/>
  <c r="BF34" i="11"/>
  <c r="BG34" i="11"/>
  <c r="BH34" i="11"/>
  <c r="BI34" i="11"/>
  <c r="BJ34" i="11"/>
  <c r="BK34" i="11"/>
  <c r="BL34" i="11"/>
  <c r="BM34" i="11"/>
  <c r="BN34" i="11"/>
  <c r="BO34" i="11"/>
  <c r="BP34" i="11"/>
  <c r="BQ34" i="11"/>
  <c r="BR34" i="11"/>
  <c r="BS34" i="11"/>
  <c r="BC35" i="11"/>
  <c r="BD35" i="11"/>
  <c r="BE35" i="11"/>
  <c r="BF35" i="11"/>
  <c r="BG35" i="11"/>
  <c r="BH35" i="11"/>
  <c r="BI35" i="11"/>
  <c r="BJ35" i="11"/>
  <c r="BK35" i="11"/>
  <c r="BL35" i="11"/>
  <c r="BM35" i="11"/>
  <c r="BN35" i="11"/>
  <c r="BO35" i="11"/>
  <c r="BP35" i="11"/>
  <c r="BQ35" i="11"/>
  <c r="BR35" i="11"/>
  <c r="BS35" i="11"/>
  <c r="BC36" i="11"/>
  <c r="BD36" i="11"/>
  <c r="BE36" i="11"/>
  <c r="BF36" i="11"/>
  <c r="BG36" i="11"/>
  <c r="BH36" i="11"/>
  <c r="BI36" i="11"/>
  <c r="BJ36" i="11"/>
  <c r="BK36" i="11"/>
  <c r="BL36" i="11"/>
  <c r="BM36" i="11"/>
  <c r="BN36" i="11"/>
  <c r="BO36" i="11"/>
  <c r="BP36" i="11"/>
  <c r="BQ36" i="11"/>
  <c r="BR36" i="11"/>
  <c r="BS36" i="11"/>
  <c r="K34" i="6"/>
  <c r="K35" i="6"/>
  <c r="K37" i="6"/>
  <c r="K38" i="6"/>
  <c r="J34" i="6"/>
  <c r="J35" i="6"/>
  <c r="J37" i="6"/>
  <c r="J38" i="6"/>
  <c r="F33" i="6"/>
  <c r="G33" i="6"/>
  <c r="H33" i="6"/>
  <c r="I33" i="6"/>
  <c r="F34" i="6"/>
  <c r="G34" i="6"/>
  <c r="H34" i="6"/>
  <c r="I34" i="6"/>
  <c r="F35" i="6"/>
  <c r="G35" i="6"/>
  <c r="H35" i="6"/>
  <c r="I35" i="6"/>
  <c r="F36" i="6"/>
  <c r="G36" i="6"/>
  <c r="H36" i="6"/>
  <c r="I36" i="6"/>
  <c r="F37" i="6"/>
  <c r="G37" i="6"/>
  <c r="H37" i="6"/>
  <c r="I37" i="6"/>
  <c r="F38" i="6"/>
  <c r="G38" i="6"/>
  <c r="H38" i="6"/>
  <c r="I38" i="6"/>
  <c r="F39" i="6"/>
  <c r="G39" i="6"/>
  <c r="H39" i="6"/>
  <c r="I39" i="6"/>
  <c r="E39" i="6"/>
  <c r="E38" i="6"/>
  <c r="E37" i="6"/>
  <c r="E36" i="6"/>
  <c r="E35" i="6"/>
  <c r="E34" i="6"/>
  <c r="E33" i="6"/>
  <c r="AC94" i="6"/>
  <c r="N94" i="6"/>
  <c r="O94" i="6"/>
  <c r="P94" i="6"/>
  <c r="Q94" i="6"/>
  <c r="R94" i="6"/>
  <c r="S94" i="6"/>
  <c r="T94" i="6"/>
  <c r="U94" i="6"/>
  <c r="V94" i="6"/>
  <c r="W94" i="6"/>
  <c r="X94" i="6"/>
  <c r="Y94" i="6"/>
  <c r="Z94" i="6"/>
  <c r="AA94" i="6"/>
  <c r="AB94" i="6"/>
  <c r="M94" i="6"/>
  <c r="N81" i="6"/>
  <c r="O81" i="6"/>
  <c r="P81" i="6"/>
  <c r="Q81" i="6"/>
  <c r="R81" i="6"/>
  <c r="S81" i="6"/>
  <c r="T81" i="6"/>
  <c r="U81" i="6"/>
  <c r="V81" i="6"/>
  <c r="W81" i="6"/>
  <c r="X81" i="6"/>
  <c r="Y81" i="6"/>
  <c r="Z81" i="6"/>
  <c r="AA81" i="6"/>
  <c r="AB81" i="6"/>
  <c r="AC81" i="6"/>
  <c r="Z82" i="6"/>
  <c r="Z83" i="6"/>
  <c r="Z85" i="6"/>
  <c r="N86" i="6"/>
  <c r="O86" i="6"/>
  <c r="P86" i="6"/>
  <c r="Q86" i="6"/>
  <c r="R86" i="6"/>
  <c r="S86" i="6"/>
  <c r="T86" i="6"/>
  <c r="U86" i="6"/>
  <c r="V86" i="6"/>
  <c r="W86" i="6"/>
  <c r="X86" i="6"/>
  <c r="Y86" i="6"/>
  <c r="Z86" i="6"/>
  <c r="AA86" i="6"/>
  <c r="AB86" i="6"/>
  <c r="AC86" i="6"/>
  <c r="M86" i="6"/>
  <c r="M81" i="6"/>
  <c r="N75" i="6"/>
  <c r="O75" i="6"/>
  <c r="P75" i="6"/>
  <c r="Q75" i="6"/>
  <c r="R75" i="6"/>
  <c r="S75" i="6"/>
  <c r="U75" i="6"/>
  <c r="U87" i="6" s="1"/>
  <c r="V75" i="6"/>
  <c r="V87" i="6" s="1"/>
  <c r="W75" i="6"/>
  <c r="W87" i="6" s="1"/>
  <c r="X75" i="6"/>
  <c r="X87" i="6" s="1"/>
  <c r="AB75" i="6"/>
  <c r="S80" i="6"/>
  <c r="S92" i="6" s="1"/>
  <c r="T80" i="6"/>
  <c r="T92" i="6" s="1"/>
  <c r="U80" i="6"/>
  <c r="U92" i="6" s="1"/>
  <c r="V80" i="6"/>
  <c r="V92" i="6" s="1"/>
  <c r="W80" i="6"/>
  <c r="W92" i="6" s="1"/>
  <c r="X80" i="6"/>
  <c r="X92" i="6" s="1"/>
  <c r="Y80" i="6"/>
  <c r="Y92" i="6" s="1"/>
  <c r="AA80" i="6"/>
  <c r="AB80" i="6"/>
  <c r="AC80" i="6"/>
  <c r="M75" i="6"/>
  <c r="H32" i="5"/>
  <c r="J32" i="5" s="1"/>
  <c r="M32" i="5"/>
  <c r="T73" i="6" s="1"/>
  <c r="K74" i="11" s="1"/>
  <c r="K99" i="11" s="1"/>
  <c r="J13" i="15" s="1"/>
  <c r="N32" i="5"/>
  <c r="P33" i="5"/>
  <c r="Q33" i="5"/>
  <c r="R33" i="5"/>
  <c r="S33" i="5"/>
  <c r="T33" i="5"/>
  <c r="U33" i="5"/>
  <c r="V33" i="5"/>
  <c r="I69" i="6"/>
  <c r="I70" i="6"/>
  <c r="K32" i="5"/>
  <c r="I32" i="5"/>
  <c r="N33" i="5"/>
  <c r="K9" i="6"/>
  <c r="I9" i="6"/>
  <c r="H9" i="6"/>
  <c r="K11" i="6"/>
  <c r="K12" i="6"/>
  <c r="K14" i="6"/>
  <c r="K16" i="6"/>
  <c r="K17" i="6"/>
  <c r="K20" i="6"/>
  <c r="K21" i="6"/>
  <c r="K24" i="6"/>
  <c r="K25" i="6"/>
  <c r="K28" i="6"/>
  <c r="K29" i="6"/>
  <c r="K31" i="6"/>
  <c r="E7" i="6"/>
  <c r="N8" i="11" s="1"/>
  <c r="H10" i="6"/>
  <c r="I10" i="6"/>
  <c r="H11" i="6"/>
  <c r="I11" i="6"/>
  <c r="H12" i="6"/>
  <c r="I12" i="6"/>
  <c r="H13" i="6"/>
  <c r="I13" i="6"/>
  <c r="H14" i="6"/>
  <c r="I14" i="6"/>
  <c r="H15" i="6"/>
  <c r="I15" i="6"/>
  <c r="H16" i="6"/>
  <c r="I16" i="6"/>
  <c r="H17" i="6"/>
  <c r="I17" i="6"/>
  <c r="H18" i="6"/>
  <c r="I18" i="6"/>
  <c r="H19" i="6"/>
  <c r="I19" i="6"/>
  <c r="H20" i="6"/>
  <c r="I20" i="6"/>
  <c r="H21" i="6"/>
  <c r="I21" i="6"/>
  <c r="H22" i="6"/>
  <c r="I22" i="6"/>
  <c r="I23" i="6"/>
  <c r="I24" i="6"/>
  <c r="I25" i="6"/>
  <c r="I26" i="6"/>
  <c r="H27" i="6"/>
  <c r="I27" i="6"/>
  <c r="H28" i="6"/>
  <c r="I28" i="6"/>
  <c r="H29" i="6"/>
  <c r="I29" i="6"/>
  <c r="H30" i="6"/>
  <c r="I30" i="6"/>
  <c r="H31" i="6"/>
  <c r="I31" i="6"/>
  <c r="H32" i="6"/>
  <c r="I32" i="6"/>
  <c r="E32" i="6"/>
  <c r="E31" i="6"/>
  <c r="H8" i="6"/>
  <c r="I8" i="6"/>
  <c r="J7" i="6"/>
  <c r="I7" i="6"/>
  <c r="H7" i="6"/>
  <c r="J6" i="6"/>
  <c r="I6" i="6"/>
  <c r="H6" i="6"/>
  <c r="K5" i="6"/>
  <c r="I5" i="6"/>
  <c r="H5" i="6"/>
  <c r="K4" i="6"/>
  <c r="I4" i="6"/>
  <c r="H4" i="6"/>
  <c r="K3" i="6"/>
  <c r="I3" i="6"/>
  <c r="H3" i="6"/>
  <c r="AC85" i="6"/>
  <c r="AC83" i="6"/>
  <c r="AC82" i="6"/>
  <c r="AC79" i="6"/>
  <c r="AC77" i="6"/>
  <c r="AC76" i="6"/>
  <c r="AB42" i="5"/>
  <c r="AB53" i="5" s="1"/>
  <c r="Z7" i="18" s="1"/>
  <c r="Y77" i="6"/>
  <c r="BK43" i="5"/>
  <c r="AC84" i="6"/>
  <c r="BJ43" i="5"/>
  <c r="AB84" i="6"/>
  <c r="BI43" i="5"/>
  <c r="AA84" i="6"/>
  <c r="BH43" i="5"/>
  <c r="Z84" i="6"/>
  <c r="BG43" i="5"/>
  <c r="Y84" i="6"/>
  <c r="BF43" i="5"/>
  <c r="X84" i="6"/>
  <c r="BE43" i="5"/>
  <c r="W84" i="6"/>
  <c r="BD43" i="5"/>
  <c r="V84" i="6"/>
  <c r="BC43" i="5"/>
  <c r="U84" i="6"/>
  <c r="BB43" i="5"/>
  <c r="T84" i="6"/>
  <c r="BA43" i="5"/>
  <c r="S84" i="6"/>
  <c r="O43" i="5"/>
  <c r="AF73" i="5"/>
  <c r="AF43" i="5"/>
  <c r="AC78" i="6"/>
  <c r="W54" i="5"/>
  <c r="AE54" i="5"/>
  <c r="AC8" i="18" s="1"/>
  <c r="AE43" i="5"/>
  <c r="AB78" i="6"/>
  <c r="AD54" i="5"/>
  <c r="AB8" i="18" s="1"/>
  <c r="AD43" i="5"/>
  <c r="AA78" i="6"/>
  <c r="AC54" i="5"/>
  <c r="AB54" i="5"/>
  <c r="AA54" i="5"/>
  <c r="Y8" i="18" s="1"/>
  <c r="Z54" i="5"/>
  <c r="X8" i="18" s="1"/>
  <c r="Y54" i="5"/>
  <c r="W8" i="18" s="1"/>
  <c r="X54" i="5"/>
  <c r="V8" i="18" s="1"/>
  <c r="V54" i="5"/>
  <c r="T8" i="18" s="1"/>
  <c r="AE73" i="5"/>
  <c r="AC54" i="18" s="1"/>
  <c r="AE65" i="5"/>
  <c r="AB93" i="6" s="1"/>
  <c r="AD73" i="5"/>
  <c r="AC73" i="5"/>
  <c r="AA54" i="18" s="1"/>
  <c r="AB73" i="5"/>
  <c r="Z54" i="18" s="1"/>
  <c r="AB65" i="5"/>
  <c r="Y93" i="6" s="1"/>
  <c r="AA73" i="5"/>
  <c r="Z73" i="5"/>
  <c r="X54" i="18" s="1"/>
  <c r="Z65" i="5"/>
  <c r="Z43" i="5" s="1"/>
  <c r="Y73" i="5"/>
  <c r="X73" i="5"/>
  <c r="V54" i="18" s="1"/>
  <c r="W73" i="5"/>
  <c r="V73" i="5"/>
  <c r="T54" i="18" s="1"/>
  <c r="V65" i="5"/>
  <c r="U65" i="5" s="1"/>
  <c r="T65" i="5" s="1"/>
  <c r="T43" i="5" s="1"/>
  <c r="W78" i="6"/>
  <c r="AB43" i="5"/>
  <c r="Y78" i="6" s="1"/>
  <c r="AF62" i="5"/>
  <c r="V45" i="5"/>
  <c r="V55" i="5" s="1"/>
  <c r="T9" i="18" s="1"/>
  <c r="S79" i="6"/>
  <c r="W45" i="5"/>
  <c r="T79" i="6" s="1"/>
  <c r="X45" i="5"/>
  <c r="U79" i="6"/>
  <c r="Y45" i="5"/>
  <c r="Z45" i="5"/>
  <c r="Z55" i="5" s="1"/>
  <c r="X9" i="18" s="1"/>
  <c r="AA45" i="5"/>
  <c r="AB45" i="5"/>
  <c r="AB55" i="5" s="1"/>
  <c r="Z9" i="18" s="1"/>
  <c r="Y79" i="6"/>
  <c r="AC45" i="5"/>
  <c r="AC55" i="5" s="1"/>
  <c r="AA9" i="18" s="1"/>
  <c r="AD45" i="5"/>
  <c r="AA79" i="6"/>
  <c r="AE45" i="5"/>
  <c r="AE55" i="5" s="1"/>
  <c r="AC9" i="18" s="1"/>
  <c r="G197" i="5"/>
  <c r="H197" i="5"/>
  <c r="I197" i="5"/>
  <c r="J197" i="5"/>
  <c r="K197" i="5"/>
  <c r="L197" i="5"/>
  <c r="M197" i="5"/>
  <c r="N197" i="5"/>
  <c r="O197" i="5"/>
  <c r="G199" i="5"/>
  <c r="H199" i="5"/>
  <c r="I199" i="5"/>
  <c r="J199" i="5"/>
  <c r="K199" i="5"/>
  <c r="L199" i="5"/>
  <c r="M199" i="5"/>
  <c r="N199" i="5"/>
  <c r="O199" i="5"/>
  <c r="N65" i="5" s="1"/>
  <c r="M65" i="5" s="1"/>
  <c r="L65" i="5" s="1"/>
  <c r="AG197" i="5"/>
  <c r="AG199" i="5"/>
  <c r="D205" i="5"/>
  <c r="E205" i="5"/>
  <c r="F205" i="5"/>
  <c r="F224" i="5" s="1"/>
  <c r="D206" i="5"/>
  <c r="E206" i="5"/>
  <c r="Z79" i="6"/>
  <c r="N158" i="5"/>
  <c r="D11" i="18"/>
  <c r="L11" i="18"/>
  <c r="F11" i="18"/>
  <c r="G11" i="18"/>
  <c r="I11" i="18"/>
  <c r="K11" i="18"/>
  <c r="M11" i="18"/>
  <c r="D144" i="16"/>
  <c r="E147" i="16"/>
  <c r="E146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46" i="16"/>
  <c r="E145" i="16"/>
  <c r="O11" i="18"/>
  <c r="Q11" i="18"/>
  <c r="S11" i="18"/>
  <c r="AA42" i="5"/>
  <c r="X77" i="6"/>
  <c r="BJ45" i="5"/>
  <c r="AB85" i="6"/>
  <c r="BJ42" i="5"/>
  <c r="AB83" i="6"/>
  <c r="BJ41" i="5"/>
  <c r="AB82" i="6"/>
  <c r="AE42" i="5"/>
  <c r="AE53" i="5" s="1"/>
  <c r="AC7" i="18" s="1"/>
  <c r="AB77" i="6"/>
  <c r="AE41" i="5"/>
  <c r="AE52" i="5" s="1"/>
  <c r="AC6" i="18" s="1"/>
  <c r="AB76" i="6"/>
  <c r="AB88" i="6" s="1"/>
  <c r="BI45" i="5"/>
  <c r="AA85" i="6"/>
  <c r="BI42" i="5"/>
  <c r="AA83" i="6"/>
  <c r="BI41" i="5"/>
  <c r="AA82" i="6"/>
  <c r="AD42" i="5"/>
  <c r="AD53" i="5" s="1"/>
  <c r="AB7" i="18" s="1"/>
  <c r="AA77" i="6"/>
  <c r="AA89" i="6" s="1"/>
  <c r="AD41" i="5"/>
  <c r="AD52" i="5" s="1"/>
  <c r="AB6" i="18" s="1"/>
  <c r="AA76" i="6"/>
  <c r="AA88" i="6" s="1"/>
  <c r="AD40" i="5"/>
  <c r="AD51" i="5" s="1"/>
  <c r="AB5" i="18" s="1"/>
  <c r="AA75" i="6"/>
  <c r="AC46" i="5"/>
  <c r="AC56" i="5" s="1"/>
  <c r="AA10" i="18" s="1"/>
  <c r="Z80" i="6"/>
  <c r="AC42" i="5"/>
  <c r="AC53" i="5" s="1"/>
  <c r="AA7" i="18" s="1"/>
  <c r="Z77" i="6"/>
  <c r="AC41" i="5"/>
  <c r="AC52" i="5" s="1"/>
  <c r="AA6" i="18" s="1"/>
  <c r="Z76" i="6"/>
  <c r="AC40" i="5"/>
  <c r="AC51" i="5" s="1"/>
  <c r="AA5" i="18" s="1"/>
  <c r="Z75" i="6"/>
  <c r="BG45" i="5"/>
  <c r="Y85" i="6"/>
  <c r="BG42" i="5"/>
  <c r="Y83" i="6"/>
  <c r="BG41" i="5"/>
  <c r="Y82" i="6"/>
  <c r="AB41" i="5"/>
  <c r="Y76" i="6"/>
  <c r="AB40" i="5"/>
  <c r="AB51" i="5" s="1"/>
  <c r="Z5" i="18" s="1"/>
  <c r="Y75" i="6"/>
  <c r="BF45" i="5"/>
  <c r="X85" i="6"/>
  <c r="BF42" i="5"/>
  <c r="X83" i="6"/>
  <c r="BF41" i="5"/>
  <c r="AA52" i="5" s="1"/>
  <c r="Y6" i="18" s="1"/>
  <c r="X82" i="6"/>
  <c r="AA41" i="5"/>
  <c r="X76" i="6"/>
  <c r="BE45" i="5"/>
  <c r="W85" i="6"/>
  <c r="BE42" i="5"/>
  <c r="W83" i="6"/>
  <c r="BE41" i="5"/>
  <c r="W82" i="6"/>
  <c r="Z42" i="5"/>
  <c r="W77" i="6"/>
  <c r="W89" i="6" s="1"/>
  <c r="Z41" i="5"/>
  <c r="Z52" i="5" s="1"/>
  <c r="X6" i="18" s="1"/>
  <c r="W76" i="6"/>
  <c r="W88" i="6" s="1"/>
  <c r="BD45" i="5"/>
  <c r="V85" i="6"/>
  <c r="BD42" i="5"/>
  <c r="V83" i="6"/>
  <c r="BD41" i="5"/>
  <c r="V82" i="6"/>
  <c r="Y42" i="5"/>
  <c r="Y53" i="5" s="1"/>
  <c r="W7" i="18" s="1"/>
  <c r="V77" i="6"/>
  <c r="V89" i="6" s="1"/>
  <c r="Y41" i="5"/>
  <c r="Y52" i="5" s="1"/>
  <c r="W6" i="18" s="1"/>
  <c r="V76" i="6"/>
  <c r="V88" i="6" s="1"/>
  <c r="BC45" i="5"/>
  <c r="U85" i="6"/>
  <c r="BC42" i="5"/>
  <c r="U83" i="6"/>
  <c r="BC41" i="5"/>
  <c r="U82" i="6"/>
  <c r="X42" i="5"/>
  <c r="X53" i="5" s="1"/>
  <c r="V7" i="18" s="1"/>
  <c r="U77" i="6"/>
  <c r="U89" i="6" s="1"/>
  <c r="X41" i="5"/>
  <c r="X52" i="5" s="1"/>
  <c r="V6" i="18" s="1"/>
  <c r="U76" i="6"/>
  <c r="U88" i="6" s="1"/>
  <c r="BB45" i="5"/>
  <c r="T85" i="6"/>
  <c r="BB42" i="5"/>
  <c r="T83" i="6"/>
  <c r="BB41" i="5"/>
  <c r="T82" i="6"/>
  <c r="W42" i="5"/>
  <c r="W53" i="5" s="1"/>
  <c r="U7" i="18" s="1"/>
  <c r="T77" i="6"/>
  <c r="T89" i="6" s="1"/>
  <c r="W41" i="5"/>
  <c r="W52" i="5" s="1"/>
  <c r="U6" i="18" s="1"/>
  <c r="T76" i="6"/>
  <c r="T88" i="6" s="1"/>
  <c r="W40" i="5"/>
  <c r="W51" i="5" s="1"/>
  <c r="U5" i="18" s="1"/>
  <c r="U11" i="18" s="1"/>
  <c r="T75" i="6"/>
  <c r="BA45" i="5"/>
  <c r="S85" i="6"/>
  <c r="BA42" i="5"/>
  <c r="AZ42" i="5" s="1"/>
  <c r="S83" i="6"/>
  <c r="BA41" i="5"/>
  <c r="S82" i="6"/>
  <c r="V42" i="5"/>
  <c r="S77" i="6"/>
  <c r="S89" i="6" s="1"/>
  <c r="V41" i="5"/>
  <c r="V52" i="5" s="1"/>
  <c r="T6" i="18" s="1"/>
  <c r="S76" i="6"/>
  <c r="S88" i="6" s="1"/>
  <c r="W16" i="18"/>
  <c r="Z16" i="18"/>
  <c r="V16" i="18"/>
  <c r="Y16" i="18"/>
  <c r="AC16" i="18"/>
  <c r="W11" i="18"/>
  <c r="V11" i="18"/>
  <c r="T16" i="18"/>
  <c r="AB16" i="18"/>
  <c r="T11" i="18"/>
  <c r="I141" i="16"/>
  <c r="J139" i="16"/>
  <c r="J140" i="16"/>
  <c r="AA16" i="18"/>
  <c r="O73" i="5"/>
  <c r="J138" i="16"/>
  <c r="J137" i="16"/>
  <c r="AL129" i="16"/>
  <c r="AL130" i="16"/>
  <c r="AL131" i="16"/>
  <c r="AL128" i="16"/>
  <c r="AL132" i="16"/>
  <c r="AL123" i="16"/>
  <c r="AL122" i="16"/>
  <c r="AL121" i="16"/>
  <c r="AE127" i="16"/>
  <c r="AF127" i="16"/>
  <c r="AE120" i="16"/>
  <c r="AF120" i="16"/>
  <c r="AJ55" i="16"/>
  <c r="AJ54" i="16"/>
  <c r="AJ53" i="16"/>
  <c r="AJ52" i="16"/>
  <c r="AF82" i="16"/>
  <c r="AF83" i="16"/>
  <c r="AF84" i="16"/>
  <c r="AF85" i="16"/>
  <c r="AF86" i="16"/>
  <c r="AF87" i="16"/>
  <c r="AF88" i="16"/>
  <c r="AF91" i="16"/>
  <c r="AF92" i="16"/>
  <c r="AF93" i="16"/>
  <c r="AF95" i="16"/>
  <c r="AF97" i="16"/>
  <c r="AF98" i="16"/>
  <c r="AF99" i="16"/>
  <c r="AF101" i="16"/>
  <c r="AF102" i="16"/>
  <c r="AF103" i="16"/>
  <c r="AF105" i="16"/>
  <c r="AF106" i="16"/>
  <c r="AF107" i="16"/>
  <c r="AF108" i="16"/>
  <c r="AF109" i="16"/>
  <c r="AF111" i="16"/>
  <c r="AF112" i="16"/>
  <c r="AF113" i="16"/>
  <c r="AG53" i="16"/>
  <c r="AG54" i="16"/>
  <c r="AG55" i="16"/>
  <c r="AG57" i="16"/>
  <c r="AG59" i="16"/>
  <c r="AG60" i="16"/>
  <c r="AG61" i="16"/>
  <c r="AE79" i="16"/>
  <c r="AF79" i="16"/>
  <c r="AF58" i="16"/>
  <c r="AF96" i="16"/>
  <c r="AF56" i="16"/>
  <c r="AF94" i="16"/>
  <c r="AF52" i="16"/>
  <c r="AF90" i="16"/>
  <c r="AF74" i="16"/>
  <c r="AF110" i="16"/>
  <c r="AF67" i="16"/>
  <c r="AF104" i="16"/>
  <c r="AF62" i="16"/>
  <c r="AF100" i="16"/>
  <c r="AF42" i="16"/>
  <c r="AF81" i="16"/>
  <c r="AF31" i="16"/>
  <c r="AF32" i="16"/>
  <c r="AF33" i="16"/>
  <c r="AF34" i="16"/>
  <c r="AF35" i="16"/>
  <c r="AF36" i="16"/>
  <c r="AF23" i="16"/>
  <c r="AF24" i="16"/>
  <c r="AF25" i="16"/>
  <c r="AF26" i="16"/>
  <c r="AF27" i="16"/>
  <c r="AF28" i="16"/>
  <c r="AF29" i="16"/>
  <c r="AF22" i="16"/>
  <c r="AF30" i="16"/>
  <c r="AF21" i="16"/>
  <c r="AG29" i="16"/>
  <c r="AG22" i="16"/>
  <c r="AJ61" i="16"/>
  <c r="AG32" i="16"/>
  <c r="AJ62" i="16"/>
  <c r="AJ63" i="16"/>
  <c r="AG27" i="16"/>
  <c r="AG30" i="16"/>
  <c r="AG28" i="16"/>
  <c r="AJ59" i="16"/>
  <c r="AG31" i="16"/>
  <c r="AF119" i="16"/>
  <c r="AG127" i="16"/>
  <c r="AE119" i="16"/>
  <c r="AF51" i="16"/>
  <c r="AG36" i="16"/>
  <c r="AG25" i="16"/>
  <c r="AG35" i="16"/>
  <c r="AG26" i="16"/>
  <c r="AG24" i="16"/>
  <c r="AF41" i="16"/>
  <c r="AF80" i="16"/>
  <c r="AF89" i="16"/>
  <c r="AG121" i="16"/>
  <c r="AG125" i="16"/>
  <c r="AG129" i="16"/>
  <c r="AG133" i="16"/>
  <c r="AG122" i="16"/>
  <c r="AG126" i="16"/>
  <c r="AG130" i="16"/>
  <c r="AG128" i="16"/>
  <c r="AG132" i="16"/>
  <c r="AG123" i="16"/>
  <c r="AG131" i="16"/>
  <c r="AG124" i="16"/>
  <c r="AG120" i="16"/>
  <c r="AG33" i="16"/>
  <c r="AG23" i="16"/>
  <c r="AG34" i="16"/>
  <c r="AJ60" i="16"/>
  <c r="AG89" i="16"/>
  <c r="AG104" i="16"/>
  <c r="AG81" i="16"/>
  <c r="AG110" i="16"/>
  <c r="AG100" i="16"/>
  <c r="G19" i="5"/>
  <c r="G16" i="5"/>
  <c r="F19" i="5"/>
  <c r="H19" i="5"/>
  <c r="F20" i="5"/>
  <c r="H20" i="5"/>
  <c r="F16" i="5"/>
  <c r="H16" i="5"/>
  <c r="F17" i="5"/>
  <c r="G17" i="5"/>
  <c r="H17" i="5"/>
  <c r="G20" i="5"/>
  <c r="E79" i="16"/>
  <c r="F79" i="16"/>
  <c r="G79" i="16"/>
  <c r="H79" i="16"/>
  <c r="I79" i="16"/>
  <c r="J79" i="16"/>
  <c r="K79" i="16"/>
  <c r="L79" i="16"/>
  <c r="M79" i="16"/>
  <c r="N79" i="16"/>
  <c r="O79" i="16"/>
  <c r="P79" i="16"/>
  <c r="Q79" i="16"/>
  <c r="R79" i="16"/>
  <c r="S79" i="16"/>
  <c r="T79" i="16"/>
  <c r="U79" i="16"/>
  <c r="V79" i="16"/>
  <c r="W79" i="16"/>
  <c r="X79" i="16"/>
  <c r="Y79" i="16"/>
  <c r="Z79" i="16"/>
  <c r="AA79" i="16"/>
  <c r="AB79" i="16"/>
  <c r="AC79" i="16"/>
  <c r="AD79" i="16"/>
  <c r="D79" i="16"/>
  <c r="U12" i="15"/>
  <c r="V12" i="15"/>
  <c r="W12" i="15"/>
  <c r="X12" i="15"/>
  <c r="Y12" i="15"/>
  <c r="Z12" i="15"/>
  <c r="AA12" i="15"/>
  <c r="AB12" i="15"/>
  <c r="AC12" i="15"/>
  <c r="AD12" i="15"/>
  <c r="AE12" i="15"/>
  <c r="AF12" i="15"/>
  <c r="AG12" i="15"/>
  <c r="U10" i="15"/>
  <c r="V10" i="15"/>
  <c r="W10" i="15"/>
  <c r="X10" i="15"/>
  <c r="Y10" i="15"/>
  <c r="Z10" i="15"/>
  <c r="AA10" i="15"/>
  <c r="AB10" i="15"/>
  <c r="AC10" i="15"/>
  <c r="AD10" i="15"/>
  <c r="AE10" i="15"/>
  <c r="AF10" i="15"/>
  <c r="AG10" i="15"/>
  <c r="T12" i="15"/>
  <c r="T10" i="15"/>
  <c r="X49" i="12"/>
  <c r="X53" i="12"/>
  <c r="X55" i="12"/>
  <c r="X56" i="12"/>
  <c r="X58" i="12"/>
  <c r="X59" i="12"/>
  <c r="X61" i="12"/>
  <c r="W49" i="12"/>
  <c r="W53" i="12"/>
  <c r="W55" i="12"/>
  <c r="W56" i="12"/>
  <c r="W58" i="12"/>
  <c r="W59" i="12"/>
  <c r="W61" i="12"/>
  <c r="L67" i="12"/>
  <c r="M67" i="12"/>
  <c r="N67" i="12"/>
  <c r="O67" i="12"/>
  <c r="P67" i="12"/>
  <c r="Q67" i="12"/>
  <c r="R67" i="12"/>
  <c r="L69" i="12"/>
  <c r="M69" i="12"/>
  <c r="N69" i="12"/>
  <c r="O69" i="12"/>
  <c r="P69" i="12"/>
  <c r="Q69" i="12"/>
  <c r="R69" i="12"/>
  <c r="L73" i="12"/>
  <c r="M73" i="12"/>
  <c r="N73" i="12"/>
  <c r="O73" i="12"/>
  <c r="P73" i="12"/>
  <c r="Q73" i="12"/>
  <c r="R73" i="12"/>
  <c r="L75" i="12"/>
  <c r="M75" i="12"/>
  <c r="N75" i="12"/>
  <c r="O75" i="12"/>
  <c r="P75" i="12"/>
  <c r="Q75" i="12"/>
  <c r="R75" i="12"/>
  <c r="L76" i="12"/>
  <c r="M76" i="12"/>
  <c r="N76" i="12"/>
  <c r="O76" i="12"/>
  <c r="P76" i="12"/>
  <c r="Q76" i="12"/>
  <c r="R76" i="12"/>
  <c r="L78" i="12"/>
  <c r="M78" i="12"/>
  <c r="N78" i="12"/>
  <c r="O78" i="12"/>
  <c r="P78" i="12"/>
  <c r="Q78" i="12"/>
  <c r="R78" i="12"/>
  <c r="L79" i="12"/>
  <c r="M79" i="12"/>
  <c r="N79" i="12"/>
  <c r="O79" i="12"/>
  <c r="P79" i="12"/>
  <c r="Q79" i="12"/>
  <c r="R79" i="12"/>
  <c r="L81" i="12"/>
  <c r="M81" i="12"/>
  <c r="N81" i="12"/>
  <c r="O81" i="12"/>
  <c r="P81" i="12"/>
  <c r="Q81" i="12"/>
  <c r="R81" i="12"/>
  <c r="S67" i="12"/>
  <c r="S69" i="12"/>
  <c r="S73" i="12"/>
  <c r="S75" i="12"/>
  <c r="S76" i="12"/>
  <c r="S78" i="12"/>
  <c r="S79" i="12"/>
  <c r="S81" i="12"/>
  <c r="G49" i="12"/>
  <c r="H49" i="12"/>
  <c r="I49" i="12"/>
  <c r="J49" i="12"/>
  <c r="K49" i="12"/>
  <c r="L49" i="12"/>
  <c r="L89" i="12"/>
  <c r="M49" i="12"/>
  <c r="M89" i="12"/>
  <c r="N49" i="12"/>
  <c r="N89" i="12"/>
  <c r="O49" i="12"/>
  <c r="O89" i="12"/>
  <c r="P49" i="12"/>
  <c r="P89" i="12"/>
  <c r="Q49" i="12"/>
  <c r="Q89" i="12"/>
  <c r="R49" i="12"/>
  <c r="G53" i="12"/>
  <c r="H53" i="12"/>
  <c r="I53" i="12"/>
  <c r="J53" i="12"/>
  <c r="K53" i="12"/>
  <c r="L53" i="12"/>
  <c r="M53" i="12"/>
  <c r="M93" i="12"/>
  <c r="N53" i="12"/>
  <c r="O53" i="12"/>
  <c r="P53" i="12"/>
  <c r="Q53" i="12"/>
  <c r="Q93" i="12"/>
  <c r="R53" i="12"/>
  <c r="G55" i="12"/>
  <c r="H55" i="12"/>
  <c r="I55" i="12"/>
  <c r="J55" i="12"/>
  <c r="K55" i="12"/>
  <c r="L55" i="12"/>
  <c r="M55" i="12"/>
  <c r="N55" i="12"/>
  <c r="O55" i="12"/>
  <c r="P55" i="12"/>
  <c r="Q55" i="12"/>
  <c r="R55" i="12"/>
  <c r="R95" i="12"/>
  <c r="G56" i="12"/>
  <c r="H56" i="12"/>
  <c r="I56" i="12"/>
  <c r="J56" i="12"/>
  <c r="K56" i="12"/>
  <c r="L56" i="12"/>
  <c r="M56" i="12"/>
  <c r="N56" i="12"/>
  <c r="N96" i="12"/>
  <c r="O56" i="12"/>
  <c r="O96" i="12"/>
  <c r="P56" i="12"/>
  <c r="Q56" i="12"/>
  <c r="R56" i="12"/>
  <c r="R96" i="12"/>
  <c r="G58" i="12"/>
  <c r="H58" i="12"/>
  <c r="I58" i="12"/>
  <c r="J58" i="12"/>
  <c r="K58" i="12"/>
  <c r="L58" i="12"/>
  <c r="L98" i="12"/>
  <c r="M58" i="12"/>
  <c r="M98" i="12"/>
  <c r="N58" i="12"/>
  <c r="O58" i="12"/>
  <c r="P58" i="12"/>
  <c r="P98" i="12"/>
  <c r="Q58" i="12"/>
  <c r="Q98" i="12"/>
  <c r="R58" i="12"/>
  <c r="G59" i="12"/>
  <c r="H59" i="12"/>
  <c r="I59" i="12"/>
  <c r="J59" i="12"/>
  <c r="K59" i="12"/>
  <c r="L59" i="12"/>
  <c r="M59" i="12"/>
  <c r="M99" i="12"/>
  <c r="N59" i="12"/>
  <c r="O59" i="12"/>
  <c r="P59" i="12"/>
  <c r="Q59" i="12"/>
  <c r="Q99" i="12"/>
  <c r="R59" i="12"/>
  <c r="G61" i="12"/>
  <c r="H61" i="12"/>
  <c r="I61" i="12"/>
  <c r="J61" i="12"/>
  <c r="K61" i="12"/>
  <c r="L61" i="12"/>
  <c r="M61" i="12"/>
  <c r="N61" i="12"/>
  <c r="N101" i="12"/>
  <c r="O61" i="12"/>
  <c r="O101" i="12"/>
  <c r="P61" i="12"/>
  <c r="Q61" i="12"/>
  <c r="R61" i="12"/>
  <c r="R101" i="12"/>
  <c r="S49" i="12"/>
  <c r="S53" i="12"/>
  <c r="S93" i="12"/>
  <c r="S55" i="12"/>
  <c r="S95" i="12"/>
  <c r="S56" i="12"/>
  <c r="S58" i="12"/>
  <c r="S59" i="12"/>
  <c r="S99" i="12"/>
  <c r="S61" i="12"/>
  <c r="F56" i="12"/>
  <c r="F49" i="12"/>
  <c r="F53" i="12"/>
  <c r="S96" i="12"/>
  <c r="F61" i="12"/>
  <c r="P95" i="12"/>
  <c r="L95" i="12"/>
  <c r="R98" i="12"/>
  <c r="N98" i="12"/>
  <c r="F58" i="12"/>
  <c r="S98" i="12"/>
  <c r="P99" i="12"/>
  <c r="L99" i="12"/>
  <c r="Q95" i="12"/>
  <c r="M95" i="12"/>
  <c r="P93" i="12"/>
  <c r="L93" i="12"/>
  <c r="S89" i="12"/>
  <c r="F59" i="12"/>
  <c r="F55" i="12"/>
  <c r="P96" i="12"/>
  <c r="L96" i="12"/>
  <c r="N95" i="12"/>
  <c r="O98" i="12"/>
  <c r="R89" i="12"/>
  <c r="Q101" i="12"/>
  <c r="M101" i="12"/>
  <c r="S101" i="12"/>
  <c r="P101" i="12"/>
  <c r="L101" i="12"/>
  <c r="O99" i="12"/>
  <c r="R99" i="12"/>
  <c r="N99" i="12"/>
  <c r="Q96" i="12"/>
  <c r="M96" i="12"/>
  <c r="O95" i="12"/>
  <c r="O93" i="12"/>
  <c r="R93" i="12"/>
  <c r="N93" i="12"/>
  <c r="T101" i="12"/>
  <c r="T99" i="12"/>
  <c r="T98" i="12"/>
  <c r="T96" i="12"/>
  <c r="T95" i="12"/>
  <c r="T93" i="12"/>
  <c r="T89" i="12"/>
  <c r="T87" i="12"/>
  <c r="T86" i="12"/>
  <c r="Y66" i="12"/>
  <c r="W82" i="12"/>
  <c r="K66" i="12"/>
  <c r="O66" i="12"/>
  <c r="L66" i="12"/>
  <c r="P66" i="12"/>
  <c r="W66" i="12"/>
  <c r="M66" i="12"/>
  <c r="Q66" i="12"/>
  <c r="N66" i="12"/>
  <c r="R66" i="12"/>
  <c r="S66" i="12"/>
  <c r="T102" i="12"/>
  <c r="X54" i="12"/>
  <c r="W54" i="12"/>
  <c r="Y46" i="12"/>
  <c r="Y47" i="12"/>
  <c r="W70" i="12"/>
  <c r="W80" i="12"/>
  <c r="W65" i="12"/>
  <c r="W69" i="12"/>
  <c r="W89" i="12"/>
  <c r="W73" i="12"/>
  <c r="W93" i="12"/>
  <c r="W81" i="12"/>
  <c r="W101" i="12"/>
  <c r="W79" i="12"/>
  <c r="W99" i="12"/>
  <c r="W75" i="12"/>
  <c r="W95" i="12"/>
  <c r="W76" i="12"/>
  <c r="W96" i="12"/>
  <c r="W78" i="12"/>
  <c r="W98" i="12"/>
  <c r="W67" i="12"/>
  <c r="X82" i="12"/>
  <c r="X64" i="12"/>
  <c r="W77" i="12"/>
  <c r="W63" i="12"/>
  <c r="W71" i="12"/>
  <c r="W74" i="12"/>
  <c r="K78" i="12"/>
  <c r="K98" i="12"/>
  <c r="K69" i="12"/>
  <c r="K89" i="12"/>
  <c r="K73" i="12"/>
  <c r="K93" i="12"/>
  <c r="K81" i="12"/>
  <c r="K101" i="12"/>
  <c r="K75" i="12"/>
  <c r="K95" i="12"/>
  <c r="K76" i="12"/>
  <c r="K96" i="12"/>
  <c r="K79" i="12"/>
  <c r="K99" i="12"/>
  <c r="K67" i="12"/>
  <c r="W68" i="12"/>
  <c r="W72" i="12"/>
  <c r="W64" i="12"/>
  <c r="F225" i="5"/>
  <c r="G225" i="5"/>
  <c r="H225" i="5"/>
  <c r="I225" i="5"/>
  <c r="K225" i="5"/>
  <c r="L225" i="5"/>
  <c r="M225" i="5"/>
  <c r="N225" i="5"/>
  <c r="O225" i="5"/>
  <c r="R225" i="5"/>
  <c r="S225" i="5"/>
  <c r="T225" i="5"/>
  <c r="U225" i="5"/>
  <c r="V225" i="5"/>
  <c r="E226" i="5"/>
  <c r="F226" i="5"/>
  <c r="G226" i="5"/>
  <c r="H226" i="5"/>
  <c r="I226" i="5"/>
  <c r="J226" i="5"/>
  <c r="K226" i="5"/>
  <c r="L226" i="5"/>
  <c r="M226" i="5"/>
  <c r="N226" i="5"/>
  <c r="O226" i="5"/>
  <c r="R226" i="5"/>
  <c r="S226" i="5"/>
  <c r="T226" i="5"/>
  <c r="U226" i="5"/>
  <c r="V226" i="5"/>
  <c r="D227" i="5"/>
  <c r="E227" i="5"/>
  <c r="W227" i="5" s="1"/>
  <c r="F227" i="5"/>
  <c r="G227" i="5"/>
  <c r="H227" i="5"/>
  <c r="I227" i="5"/>
  <c r="J227" i="5"/>
  <c r="K227" i="5"/>
  <c r="L227" i="5"/>
  <c r="M227" i="5"/>
  <c r="N227" i="5"/>
  <c r="O227" i="5"/>
  <c r="P227" i="5"/>
  <c r="Q227" i="5"/>
  <c r="R227" i="5"/>
  <c r="S227" i="5"/>
  <c r="T227" i="5"/>
  <c r="U227" i="5"/>
  <c r="V227" i="5"/>
  <c r="D228" i="5"/>
  <c r="E228" i="5"/>
  <c r="F228" i="5"/>
  <c r="G228" i="5"/>
  <c r="H228" i="5"/>
  <c r="I228" i="5"/>
  <c r="J228" i="5"/>
  <c r="K228" i="5"/>
  <c r="L228" i="5"/>
  <c r="M228" i="5"/>
  <c r="N228" i="5"/>
  <c r="O228" i="5"/>
  <c r="P228" i="5"/>
  <c r="Q228" i="5"/>
  <c r="R228" i="5"/>
  <c r="S228" i="5"/>
  <c r="T228" i="5"/>
  <c r="U228" i="5"/>
  <c r="V228" i="5"/>
  <c r="D229" i="5"/>
  <c r="E229" i="5"/>
  <c r="F229" i="5"/>
  <c r="G229" i="5"/>
  <c r="W229" i="5" s="1"/>
  <c r="H229" i="5"/>
  <c r="I229" i="5"/>
  <c r="J229" i="5"/>
  <c r="K229" i="5"/>
  <c r="L229" i="5"/>
  <c r="M229" i="5"/>
  <c r="N229" i="5"/>
  <c r="O229" i="5"/>
  <c r="P229" i="5"/>
  <c r="Q229" i="5"/>
  <c r="R229" i="5"/>
  <c r="S229" i="5"/>
  <c r="T229" i="5"/>
  <c r="U229" i="5"/>
  <c r="V229" i="5"/>
  <c r="D230" i="5"/>
  <c r="W230" i="5" s="1"/>
  <c r="E230" i="5"/>
  <c r="F230" i="5"/>
  <c r="G230" i="5"/>
  <c r="H230" i="5"/>
  <c r="I230" i="5"/>
  <c r="J230" i="5"/>
  <c r="K230" i="5"/>
  <c r="L230" i="5"/>
  <c r="M230" i="5"/>
  <c r="N230" i="5"/>
  <c r="O230" i="5"/>
  <c r="P230" i="5"/>
  <c r="Q230" i="5"/>
  <c r="R230" i="5"/>
  <c r="S230" i="5"/>
  <c r="T230" i="5"/>
  <c r="U230" i="5"/>
  <c r="V230" i="5"/>
  <c r="D231" i="5"/>
  <c r="E231" i="5"/>
  <c r="W231" i="5" s="1"/>
  <c r="F231" i="5"/>
  <c r="G231" i="5"/>
  <c r="H231" i="5"/>
  <c r="I231" i="5"/>
  <c r="J231" i="5"/>
  <c r="K231" i="5"/>
  <c r="L231" i="5"/>
  <c r="M231" i="5"/>
  <c r="N231" i="5"/>
  <c r="O231" i="5"/>
  <c r="P231" i="5"/>
  <c r="Q231" i="5"/>
  <c r="R231" i="5"/>
  <c r="S231" i="5"/>
  <c r="T231" i="5"/>
  <c r="U231" i="5"/>
  <c r="V231" i="5"/>
  <c r="D232" i="5"/>
  <c r="E232" i="5"/>
  <c r="F232" i="5"/>
  <c r="G232" i="5"/>
  <c r="H232" i="5"/>
  <c r="I232" i="5"/>
  <c r="J232" i="5"/>
  <c r="K232" i="5"/>
  <c r="L232" i="5"/>
  <c r="M232" i="5"/>
  <c r="N232" i="5"/>
  <c r="O232" i="5"/>
  <c r="P232" i="5"/>
  <c r="Q232" i="5"/>
  <c r="R232" i="5"/>
  <c r="S232" i="5"/>
  <c r="T232" i="5"/>
  <c r="U232" i="5"/>
  <c r="V232" i="5"/>
  <c r="D233" i="5"/>
  <c r="E233" i="5"/>
  <c r="F233" i="5"/>
  <c r="G233" i="5"/>
  <c r="W233" i="5" s="1"/>
  <c r="H233" i="5"/>
  <c r="I233" i="5"/>
  <c r="J233" i="5"/>
  <c r="K233" i="5"/>
  <c r="L233" i="5"/>
  <c r="M233" i="5"/>
  <c r="N233" i="5"/>
  <c r="O233" i="5"/>
  <c r="P233" i="5"/>
  <c r="Q233" i="5"/>
  <c r="R233" i="5"/>
  <c r="S233" i="5"/>
  <c r="T233" i="5"/>
  <c r="U233" i="5"/>
  <c r="V233" i="5"/>
  <c r="D234" i="5"/>
  <c r="W234" i="5" s="1"/>
  <c r="E234" i="5"/>
  <c r="F234" i="5"/>
  <c r="G234" i="5"/>
  <c r="H234" i="5"/>
  <c r="I234" i="5"/>
  <c r="J234" i="5"/>
  <c r="K234" i="5"/>
  <c r="L234" i="5"/>
  <c r="M234" i="5"/>
  <c r="N234" i="5"/>
  <c r="O234" i="5"/>
  <c r="P234" i="5"/>
  <c r="Q234" i="5"/>
  <c r="R234" i="5"/>
  <c r="S234" i="5"/>
  <c r="T234" i="5"/>
  <c r="U234" i="5"/>
  <c r="V234" i="5"/>
  <c r="D235" i="5"/>
  <c r="E235" i="5"/>
  <c r="W235" i="5" s="1"/>
  <c r="F235" i="5"/>
  <c r="G235" i="5"/>
  <c r="H235" i="5"/>
  <c r="I235" i="5"/>
  <c r="J235" i="5"/>
  <c r="K235" i="5"/>
  <c r="L235" i="5"/>
  <c r="M235" i="5"/>
  <c r="N235" i="5"/>
  <c r="O235" i="5"/>
  <c r="P235" i="5"/>
  <c r="Q235" i="5"/>
  <c r="R235" i="5"/>
  <c r="S235" i="5"/>
  <c r="T235" i="5"/>
  <c r="U235" i="5"/>
  <c r="V235" i="5"/>
  <c r="D236" i="5"/>
  <c r="W236" i="5" s="1"/>
  <c r="E236" i="5"/>
  <c r="F236" i="5"/>
  <c r="G236" i="5"/>
  <c r="H236" i="5"/>
  <c r="I236" i="5"/>
  <c r="J236" i="5"/>
  <c r="K236" i="5"/>
  <c r="L236" i="5"/>
  <c r="M236" i="5"/>
  <c r="N236" i="5"/>
  <c r="O236" i="5"/>
  <c r="P236" i="5"/>
  <c r="Q236" i="5"/>
  <c r="R236" i="5"/>
  <c r="S236" i="5"/>
  <c r="T236" i="5"/>
  <c r="U236" i="5"/>
  <c r="V236" i="5"/>
  <c r="D237" i="5"/>
  <c r="E237" i="5"/>
  <c r="F237" i="5"/>
  <c r="G237" i="5"/>
  <c r="H237" i="5"/>
  <c r="I237" i="5"/>
  <c r="J237" i="5"/>
  <c r="K237" i="5"/>
  <c r="L237" i="5"/>
  <c r="M237" i="5"/>
  <c r="N237" i="5"/>
  <c r="O237" i="5"/>
  <c r="P237" i="5"/>
  <c r="Q237" i="5"/>
  <c r="R237" i="5"/>
  <c r="S237" i="5"/>
  <c r="T237" i="5"/>
  <c r="U237" i="5"/>
  <c r="V237" i="5"/>
  <c r="D238" i="5"/>
  <c r="E238" i="5"/>
  <c r="F238" i="5"/>
  <c r="G238" i="5"/>
  <c r="H238" i="5"/>
  <c r="I238" i="5"/>
  <c r="J238" i="5"/>
  <c r="K238" i="5"/>
  <c r="L238" i="5"/>
  <c r="M238" i="5"/>
  <c r="N238" i="5"/>
  <c r="O238" i="5"/>
  <c r="P238" i="5"/>
  <c r="Q238" i="5"/>
  <c r="R238" i="5"/>
  <c r="S238" i="5"/>
  <c r="T238" i="5"/>
  <c r="U238" i="5"/>
  <c r="V238" i="5"/>
  <c r="D239" i="5"/>
  <c r="E239" i="5"/>
  <c r="F239" i="5"/>
  <c r="G239" i="5"/>
  <c r="H239" i="5"/>
  <c r="I239" i="5"/>
  <c r="J239" i="5"/>
  <c r="K239" i="5"/>
  <c r="L239" i="5"/>
  <c r="M239" i="5"/>
  <c r="N239" i="5"/>
  <c r="O239" i="5"/>
  <c r="P239" i="5"/>
  <c r="Q239" i="5"/>
  <c r="R239" i="5"/>
  <c r="S239" i="5"/>
  <c r="T239" i="5"/>
  <c r="U239" i="5"/>
  <c r="V239" i="5"/>
  <c r="G224" i="5"/>
  <c r="H224" i="5"/>
  <c r="I224" i="5"/>
  <c r="K224" i="5"/>
  <c r="L224" i="5"/>
  <c r="M224" i="5"/>
  <c r="N224" i="5"/>
  <c r="O224" i="5"/>
  <c r="R224" i="5"/>
  <c r="S224" i="5"/>
  <c r="T224" i="5"/>
  <c r="U224" i="5"/>
  <c r="V224" i="5"/>
  <c r="Q207" i="5"/>
  <c r="Q226" i="5"/>
  <c r="Q206" i="5"/>
  <c r="Q225" i="5"/>
  <c r="Q205" i="5"/>
  <c r="Q224" i="5"/>
  <c r="P207" i="5"/>
  <c r="P226" i="5"/>
  <c r="P206" i="5"/>
  <c r="P225" i="5"/>
  <c r="P205" i="5"/>
  <c r="P224" i="5"/>
  <c r="J206" i="5"/>
  <c r="J225" i="5"/>
  <c r="J205" i="5"/>
  <c r="J224" i="5"/>
  <c r="D207" i="5"/>
  <c r="D226" i="5"/>
  <c r="W226" i="5" s="1"/>
  <c r="E225" i="5"/>
  <c r="D225" i="5"/>
  <c r="E224" i="5"/>
  <c r="D224" i="5"/>
  <c r="W224" i="5" s="1"/>
  <c r="X74" i="12"/>
  <c r="X67" i="12"/>
  <c r="X75" i="12"/>
  <c r="X95" i="12"/>
  <c r="X79" i="12"/>
  <c r="X99" i="12"/>
  <c r="X65" i="12"/>
  <c r="X69" i="12"/>
  <c r="X89" i="12"/>
  <c r="X73" i="12"/>
  <c r="X93" i="12"/>
  <c r="X76" i="12"/>
  <c r="X96" i="12"/>
  <c r="X81" i="12"/>
  <c r="X101" i="12"/>
  <c r="X78" i="12"/>
  <c r="X98" i="12"/>
  <c r="X70" i="12"/>
  <c r="X57" i="12"/>
  <c r="W57" i="12"/>
  <c r="W97" i="12"/>
  <c r="X94" i="12"/>
  <c r="J69" i="12"/>
  <c r="J89" i="12"/>
  <c r="J73" i="12"/>
  <c r="J93" i="12"/>
  <c r="J81" i="12"/>
  <c r="J101" i="12"/>
  <c r="J76" i="12"/>
  <c r="J96" i="12"/>
  <c r="J67" i="12"/>
  <c r="J75" i="12"/>
  <c r="J95" i="12"/>
  <c r="J78" i="12"/>
  <c r="J98" i="12"/>
  <c r="J79" i="12"/>
  <c r="J99" i="12"/>
  <c r="X63" i="12"/>
  <c r="W60" i="12"/>
  <c r="W100" i="12"/>
  <c r="X60" i="12"/>
  <c r="X50" i="12"/>
  <c r="X90" i="12"/>
  <c r="W50" i="12"/>
  <c r="W90" i="12"/>
  <c r="J66" i="12"/>
  <c r="X68" i="12"/>
  <c r="X80" i="12"/>
  <c r="W52" i="12"/>
  <c r="W92" i="12"/>
  <c r="X52" i="12"/>
  <c r="W51" i="12"/>
  <c r="W91" i="12"/>
  <c r="X51" i="12"/>
  <c r="X45" i="12"/>
  <c r="W45" i="12"/>
  <c r="W85" i="12"/>
  <c r="X44" i="12"/>
  <c r="X84" i="12"/>
  <c r="W44" i="12"/>
  <c r="W84" i="12"/>
  <c r="X77" i="12"/>
  <c r="W48" i="12"/>
  <c r="W88" i="12"/>
  <c r="X48" i="12"/>
  <c r="X72" i="12"/>
  <c r="X43" i="12"/>
  <c r="X83" i="12"/>
  <c r="W43" i="12"/>
  <c r="W83" i="12"/>
  <c r="X71" i="12"/>
  <c r="W47" i="12"/>
  <c r="W87" i="12"/>
  <c r="F47" i="12"/>
  <c r="J47" i="12"/>
  <c r="N47" i="12"/>
  <c r="N87" i="12"/>
  <c r="R47" i="12"/>
  <c r="R87" i="12"/>
  <c r="G47" i="12"/>
  <c r="K47" i="12"/>
  <c r="K87" i="12"/>
  <c r="O47" i="12"/>
  <c r="O87" i="12"/>
  <c r="X47" i="12"/>
  <c r="I47" i="12"/>
  <c r="Q47" i="12"/>
  <c r="Q87" i="12"/>
  <c r="L47" i="12"/>
  <c r="L87" i="12"/>
  <c r="H47" i="12"/>
  <c r="M47" i="12"/>
  <c r="M87" i="12"/>
  <c r="P47" i="12"/>
  <c r="P87" i="12"/>
  <c r="S47" i="12"/>
  <c r="S87" i="12"/>
  <c r="I46" i="12"/>
  <c r="M46" i="12"/>
  <c r="M86" i="12"/>
  <c r="Q46" i="12"/>
  <c r="Q86" i="12"/>
  <c r="X46" i="12"/>
  <c r="F46" i="12"/>
  <c r="J46" i="12"/>
  <c r="N46" i="12"/>
  <c r="N86" i="12"/>
  <c r="R46" i="12"/>
  <c r="R86" i="12"/>
  <c r="W46" i="12"/>
  <c r="W86" i="12"/>
  <c r="H46" i="12"/>
  <c r="P46" i="12"/>
  <c r="P86" i="12"/>
  <c r="K46" i="12"/>
  <c r="K86" i="12"/>
  <c r="O46" i="12"/>
  <c r="O86" i="12"/>
  <c r="L46" i="12"/>
  <c r="L86" i="12"/>
  <c r="G46" i="12"/>
  <c r="S46" i="12"/>
  <c r="S86" i="12"/>
  <c r="W94" i="12"/>
  <c r="X66" i="12"/>
  <c r="W239" i="5"/>
  <c r="W238" i="5"/>
  <c r="W228" i="5"/>
  <c r="J86" i="12"/>
  <c r="X88" i="12"/>
  <c r="X86" i="12"/>
  <c r="Q102" i="12"/>
  <c r="O102" i="12"/>
  <c r="I76" i="12"/>
  <c r="I96" i="12"/>
  <c r="I67" i="12"/>
  <c r="I87" i="12"/>
  <c r="I75" i="12"/>
  <c r="I95" i="12"/>
  <c r="I79" i="12"/>
  <c r="I99" i="12"/>
  <c r="I81" i="12"/>
  <c r="I101" i="12"/>
  <c r="I78" i="12"/>
  <c r="I98" i="12"/>
  <c r="I69" i="12"/>
  <c r="I89" i="12"/>
  <c r="I73" i="12"/>
  <c r="I93" i="12"/>
  <c r="I66" i="12"/>
  <c r="I86" i="12"/>
  <c r="X85" i="12"/>
  <c r="S102" i="12"/>
  <c r="P102" i="12"/>
  <c r="M102" i="12"/>
  <c r="K102" i="12"/>
  <c r="R102" i="12"/>
  <c r="X91" i="12"/>
  <c r="X100" i="12"/>
  <c r="X97" i="12"/>
  <c r="L102" i="12"/>
  <c r="N102" i="12"/>
  <c r="J87" i="12"/>
  <c r="W102" i="12"/>
  <c r="X92" i="12"/>
  <c r="X87" i="12"/>
  <c r="G141" i="16"/>
  <c r="U86" i="12"/>
  <c r="V86" i="12"/>
  <c r="U87" i="12"/>
  <c r="V87" i="12"/>
  <c r="U89" i="12"/>
  <c r="V89" i="12"/>
  <c r="U93" i="12"/>
  <c r="V93" i="12"/>
  <c r="U95" i="12"/>
  <c r="V95" i="12"/>
  <c r="U96" i="12"/>
  <c r="V96" i="12"/>
  <c r="U98" i="12"/>
  <c r="V98" i="12"/>
  <c r="U99" i="12"/>
  <c r="V99" i="12"/>
  <c r="U101" i="12"/>
  <c r="V101" i="12"/>
  <c r="H67" i="12"/>
  <c r="H87" i="12"/>
  <c r="H75" i="12"/>
  <c r="H95" i="12"/>
  <c r="H79" i="12"/>
  <c r="H99" i="12"/>
  <c r="H78" i="12"/>
  <c r="H98" i="12"/>
  <c r="H69" i="12"/>
  <c r="H89" i="12"/>
  <c r="H73" i="12"/>
  <c r="H93" i="12"/>
  <c r="H76" i="12"/>
  <c r="H96" i="12"/>
  <c r="H81" i="12"/>
  <c r="H101" i="12"/>
  <c r="H66" i="12"/>
  <c r="H86" i="12"/>
  <c r="E119" i="12"/>
  <c r="I102" i="12"/>
  <c r="J102" i="12"/>
  <c r="X102" i="12"/>
  <c r="AJ56" i="16"/>
  <c r="V102" i="12"/>
  <c r="U102" i="12"/>
  <c r="H102" i="12"/>
  <c r="G78" i="12"/>
  <c r="G98" i="12"/>
  <c r="G69" i="12"/>
  <c r="G89" i="12"/>
  <c r="G73" i="12"/>
  <c r="G93" i="12"/>
  <c r="G81" i="12"/>
  <c r="G101" i="12"/>
  <c r="G67" i="12"/>
  <c r="G87" i="12"/>
  <c r="G79" i="12"/>
  <c r="G99" i="12"/>
  <c r="G75" i="12"/>
  <c r="G95" i="12"/>
  <c r="G76" i="12"/>
  <c r="G96" i="12"/>
  <c r="G66" i="12"/>
  <c r="G86" i="12"/>
  <c r="G102" i="12"/>
  <c r="F69" i="12"/>
  <c r="F89" i="12"/>
  <c r="F73" i="12"/>
  <c r="F93" i="12"/>
  <c r="F81" i="12"/>
  <c r="F101" i="12"/>
  <c r="F76" i="12"/>
  <c r="F96" i="12"/>
  <c r="F67" i="12"/>
  <c r="F87" i="12"/>
  <c r="F75" i="12"/>
  <c r="F95" i="12"/>
  <c r="F79" i="12"/>
  <c r="F99" i="12"/>
  <c r="F78" i="12"/>
  <c r="F98" i="12"/>
  <c r="F66" i="12"/>
  <c r="F86" i="12"/>
  <c r="H71" i="6"/>
  <c r="I71" i="6"/>
  <c r="F102" i="12"/>
  <c r="AD124" i="16"/>
  <c r="AC124" i="16"/>
  <c r="AC120" i="16"/>
  <c r="AC127" i="16"/>
  <c r="AC119" i="16"/>
  <c r="AB124" i="16"/>
  <c r="AA124" i="16"/>
  <c r="AA120" i="16"/>
  <c r="Z124" i="16"/>
  <c r="E127" i="16"/>
  <c r="F127" i="16"/>
  <c r="G127" i="16"/>
  <c r="H127" i="16"/>
  <c r="I127" i="16"/>
  <c r="J127" i="16"/>
  <c r="K127" i="16"/>
  <c r="L127" i="16"/>
  <c r="M127" i="16"/>
  <c r="N127" i="16"/>
  <c r="O127" i="16"/>
  <c r="P127" i="16"/>
  <c r="Q127" i="16"/>
  <c r="R127" i="16"/>
  <c r="S127" i="16"/>
  <c r="T127" i="16"/>
  <c r="U127" i="16"/>
  <c r="V127" i="16"/>
  <c r="W127" i="16"/>
  <c r="X127" i="16"/>
  <c r="Y127" i="16"/>
  <c r="Z127" i="16"/>
  <c r="AA127" i="16"/>
  <c r="AB127" i="16"/>
  <c r="AD127" i="16"/>
  <c r="E120" i="16"/>
  <c r="F120" i="16"/>
  <c r="F119" i="16"/>
  <c r="G120" i="16"/>
  <c r="H120" i="16"/>
  <c r="I120" i="16"/>
  <c r="J120" i="16"/>
  <c r="J119" i="16"/>
  <c r="K120" i="16"/>
  <c r="L120" i="16"/>
  <c r="M120" i="16"/>
  <c r="N120" i="16"/>
  <c r="N119" i="16"/>
  <c r="O120" i="16"/>
  <c r="P120" i="16"/>
  <c r="Q120" i="16"/>
  <c r="R120" i="16"/>
  <c r="R119" i="16"/>
  <c r="S120" i="16"/>
  <c r="T120" i="16"/>
  <c r="U120" i="16"/>
  <c r="V120" i="16"/>
  <c r="V119" i="16"/>
  <c r="W120" i="16"/>
  <c r="X120" i="16"/>
  <c r="Y120" i="16"/>
  <c r="Z120" i="16"/>
  <c r="Z119" i="16"/>
  <c r="AB120" i="16"/>
  <c r="AD120" i="16"/>
  <c r="AD119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Q42" i="16"/>
  <c r="R42" i="16"/>
  <c r="S42" i="16"/>
  <c r="T42" i="16"/>
  <c r="U42" i="16"/>
  <c r="V42" i="16"/>
  <c r="W42" i="16"/>
  <c r="X42" i="16"/>
  <c r="Y42" i="16"/>
  <c r="Z42" i="16"/>
  <c r="AA42" i="16"/>
  <c r="AB42" i="16"/>
  <c r="AC42" i="16"/>
  <c r="AD42" i="16"/>
  <c r="AE42" i="16"/>
  <c r="D42" i="16"/>
  <c r="D127" i="16"/>
  <c r="D120" i="16"/>
  <c r="D119" i="16"/>
  <c r="Y119" i="16"/>
  <c r="U119" i="16"/>
  <c r="Q119" i="16"/>
  <c r="M119" i="16"/>
  <c r="I119" i="16"/>
  <c r="E119" i="16"/>
  <c r="AA119" i="16"/>
  <c r="W119" i="16"/>
  <c r="S119" i="16"/>
  <c r="O119" i="16"/>
  <c r="K119" i="16"/>
  <c r="G119" i="16"/>
  <c r="AL127" i="16"/>
  <c r="AM132" i="16"/>
  <c r="AB119" i="16"/>
  <c r="X119" i="16"/>
  <c r="T119" i="16"/>
  <c r="P119" i="16"/>
  <c r="L119" i="16"/>
  <c r="H119" i="16"/>
  <c r="AM130" i="16"/>
  <c r="AM128" i="16"/>
  <c r="AM129" i="16"/>
  <c r="AM131" i="16"/>
  <c r="E82" i="16"/>
  <c r="F82" i="16"/>
  <c r="G82" i="16"/>
  <c r="H82" i="16"/>
  <c r="I82" i="16"/>
  <c r="J82" i="16"/>
  <c r="K82" i="16"/>
  <c r="L82" i="16"/>
  <c r="M82" i="16"/>
  <c r="N82" i="16"/>
  <c r="O82" i="16"/>
  <c r="P82" i="16"/>
  <c r="Q82" i="16"/>
  <c r="R82" i="16"/>
  <c r="S82" i="16"/>
  <c r="T82" i="16"/>
  <c r="U82" i="16"/>
  <c r="V82" i="16"/>
  <c r="W82" i="16"/>
  <c r="X82" i="16"/>
  <c r="Y82" i="16"/>
  <c r="Z82" i="16"/>
  <c r="AA82" i="16"/>
  <c r="AB82" i="16"/>
  <c r="AC82" i="16"/>
  <c r="AD82" i="16"/>
  <c r="AE82" i="16"/>
  <c r="E83" i="16"/>
  <c r="F83" i="16"/>
  <c r="G83" i="16"/>
  <c r="H83" i="16"/>
  <c r="I83" i="16"/>
  <c r="J83" i="16"/>
  <c r="K83" i="16"/>
  <c r="L83" i="16"/>
  <c r="M83" i="16"/>
  <c r="N83" i="16"/>
  <c r="O83" i="16"/>
  <c r="P83" i="16"/>
  <c r="Q83" i="16"/>
  <c r="R83" i="16"/>
  <c r="S83" i="16"/>
  <c r="T83" i="16"/>
  <c r="U83" i="16"/>
  <c r="V83" i="16"/>
  <c r="W83" i="16"/>
  <c r="X83" i="16"/>
  <c r="Y83" i="16"/>
  <c r="Z83" i="16"/>
  <c r="AA83" i="16"/>
  <c r="AB83" i="16"/>
  <c r="AC83" i="16"/>
  <c r="AD83" i="16"/>
  <c r="AE83" i="16"/>
  <c r="E84" i="16"/>
  <c r="F84" i="16"/>
  <c r="G84" i="16"/>
  <c r="H84" i="16"/>
  <c r="I84" i="16"/>
  <c r="J84" i="16"/>
  <c r="K84" i="16"/>
  <c r="L84" i="16"/>
  <c r="M84" i="16"/>
  <c r="N84" i="16"/>
  <c r="O84" i="16"/>
  <c r="P84" i="16"/>
  <c r="Q84" i="16"/>
  <c r="R84" i="16"/>
  <c r="S84" i="16"/>
  <c r="T84" i="16"/>
  <c r="U84" i="16"/>
  <c r="V84" i="16"/>
  <c r="W84" i="16"/>
  <c r="X84" i="16"/>
  <c r="Y84" i="16"/>
  <c r="Z84" i="16"/>
  <c r="AA84" i="16"/>
  <c r="AB84" i="16"/>
  <c r="AC84" i="16"/>
  <c r="AD84" i="16"/>
  <c r="AE84" i="16"/>
  <c r="E85" i="16"/>
  <c r="F85" i="16"/>
  <c r="G85" i="16"/>
  <c r="H85" i="16"/>
  <c r="I85" i="16"/>
  <c r="J85" i="16"/>
  <c r="K85" i="16"/>
  <c r="L85" i="16"/>
  <c r="M85" i="16"/>
  <c r="N85" i="16"/>
  <c r="O85" i="16"/>
  <c r="P85" i="16"/>
  <c r="Q85" i="16"/>
  <c r="R85" i="16"/>
  <c r="S85" i="16"/>
  <c r="T85" i="16"/>
  <c r="U85" i="16"/>
  <c r="V85" i="16"/>
  <c r="W85" i="16"/>
  <c r="X85" i="16"/>
  <c r="Y85" i="16"/>
  <c r="Z85" i="16"/>
  <c r="AA85" i="16"/>
  <c r="AB85" i="16"/>
  <c r="AC85" i="16"/>
  <c r="AD85" i="16"/>
  <c r="AE85" i="16"/>
  <c r="E86" i="16"/>
  <c r="F86" i="16"/>
  <c r="G86" i="16"/>
  <c r="H86" i="16"/>
  <c r="I86" i="16"/>
  <c r="J86" i="16"/>
  <c r="K86" i="16"/>
  <c r="L86" i="16"/>
  <c r="M86" i="16"/>
  <c r="N86" i="16"/>
  <c r="O86" i="16"/>
  <c r="P86" i="16"/>
  <c r="Q86" i="16"/>
  <c r="R86" i="16"/>
  <c r="S86" i="16"/>
  <c r="T86" i="16"/>
  <c r="U86" i="16"/>
  <c r="V86" i="16"/>
  <c r="W86" i="16"/>
  <c r="X86" i="16"/>
  <c r="Y86" i="16"/>
  <c r="Z86" i="16"/>
  <c r="AA86" i="16"/>
  <c r="AB86" i="16"/>
  <c r="AC86" i="16"/>
  <c r="AD86" i="16"/>
  <c r="AE86" i="16"/>
  <c r="E87" i="16"/>
  <c r="F87" i="16"/>
  <c r="G87" i="16"/>
  <c r="H87" i="16"/>
  <c r="I87" i="16"/>
  <c r="J87" i="16"/>
  <c r="K87" i="16"/>
  <c r="L87" i="16"/>
  <c r="M87" i="16"/>
  <c r="N87" i="16"/>
  <c r="O87" i="16"/>
  <c r="P87" i="16"/>
  <c r="Q87" i="16"/>
  <c r="R87" i="16"/>
  <c r="S87" i="16"/>
  <c r="T87" i="16"/>
  <c r="U87" i="16"/>
  <c r="V87" i="16"/>
  <c r="W87" i="16"/>
  <c r="X87" i="16"/>
  <c r="Y87" i="16"/>
  <c r="Z87" i="16"/>
  <c r="AA87" i="16"/>
  <c r="AB87" i="16"/>
  <c r="AC87" i="16"/>
  <c r="AD87" i="16"/>
  <c r="AE87" i="16"/>
  <c r="E88" i="16"/>
  <c r="F88" i="16"/>
  <c r="G88" i="16"/>
  <c r="H88" i="16"/>
  <c r="I88" i="16"/>
  <c r="J88" i="16"/>
  <c r="K88" i="16"/>
  <c r="L88" i="16"/>
  <c r="M88" i="16"/>
  <c r="N88" i="16"/>
  <c r="O88" i="16"/>
  <c r="P88" i="16"/>
  <c r="Q88" i="16"/>
  <c r="R88" i="16"/>
  <c r="S88" i="16"/>
  <c r="T88" i="16"/>
  <c r="U88" i="16"/>
  <c r="V88" i="16"/>
  <c r="W88" i="16"/>
  <c r="X88" i="16"/>
  <c r="Y88" i="16"/>
  <c r="Z88" i="16"/>
  <c r="AA88" i="16"/>
  <c r="AB88" i="16"/>
  <c r="AC88" i="16"/>
  <c r="AD88" i="16"/>
  <c r="AE88" i="16"/>
  <c r="E91" i="16"/>
  <c r="F91" i="16"/>
  <c r="G91" i="16"/>
  <c r="H91" i="16"/>
  <c r="I91" i="16"/>
  <c r="J91" i="16"/>
  <c r="K91" i="16"/>
  <c r="L91" i="16"/>
  <c r="M91" i="16"/>
  <c r="N91" i="16"/>
  <c r="O91" i="16"/>
  <c r="P91" i="16"/>
  <c r="Q91" i="16"/>
  <c r="R91" i="16"/>
  <c r="S91" i="16"/>
  <c r="T91" i="16"/>
  <c r="U91" i="16"/>
  <c r="V91" i="16"/>
  <c r="W91" i="16"/>
  <c r="X91" i="16"/>
  <c r="Y91" i="16"/>
  <c r="Z91" i="16"/>
  <c r="AA91" i="16"/>
  <c r="AB91" i="16"/>
  <c r="AC91" i="16"/>
  <c r="AD91" i="16"/>
  <c r="AE91" i="16"/>
  <c r="E92" i="16"/>
  <c r="F92" i="16"/>
  <c r="G92" i="16"/>
  <c r="H92" i="16"/>
  <c r="I92" i="16"/>
  <c r="J92" i="16"/>
  <c r="K92" i="16"/>
  <c r="L92" i="16"/>
  <c r="M92" i="16"/>
  <c r="N92" i="16"/>
  <c r="O92" i="16"/>
  <c r="P92" i="16"/>
  <c r="Q92" i="16"/>
  <c r="R92" i="16"/>
  <c r="S92" i="16"/>
  <c r="T92" i="16"/>
  <c r="U92" i="16"/>
  <c r="V92" i="16"/>
  <c r="W92" i="16"/>
  <c r="X92" i="16"/>
  <c r="Y92" i="16"/>
  <c r="Z92" i="16"/>
  <c r="AA92" i="16"/>
  <c r="AB92" i="16"/>
  <c r="AC92" i="16"/>
  <c r="AD92" i="16"/>
  <c r="AE92" i="16"/>
  <c r="E93" i="16"/>
  <c r="F93" i="16"/>
  <c r="G93" i="16"/>
  <c r="H93" i="16"/>
  <c r="I93" i="16"/>
  <c r="J93" i="16"/>
  <c r="K93" i="16"/>
  <c r="L93" i="16"/>
  <c r="M93" i="16"/>
  <c r="N93" i="16"/>
  <c r="O93" i="16"/>
  <c r="P93" i="16"/>
  <c r="Q93" i="16"/>
  <c r="R93" i="16"/>
  <c r="S93" i="16"/>
  <c r="T93" i="16"/>
  <c r="U93" i="16"/>
  <c r="V93" i="16"/>
  <c r="W93" i="16"/>
  <c r="X93" i="16"/>
  <c r="Y93" i="16"/>
  <c r="Z93" i="16"/>
  <c r="AA93" i="16"/>
  <c r="AB93" i="16"/>
  <c r="AC93" i="16"/>
  <c r="AD93" i="16"/>
  <c r="AE93" i="16"/>
  <c r="E95" i="16"/>
  <c r="F95" i="16"/>
  <c r="G95" i="16"/>
  <c r="H95" i="16"/>
  <c r="I95" i="16"/>
  <c r="J95" i="16"/>
  <c r="K95" i="16"/>
  <c r="L95" i="16"/>
  <c r="M95" i="16"/>
  <c r="N95" i="16"/>
  <c r="O95" i="16"/>
  <c r="P95" i="16"/>
  <c r="Q95" i="16"/>
  <c r="R95" i="16"/>
  <c r="S95" i="16"/>
  <c r="T95" i="16"/>
  <c r="U95" i="16"/>
  <c r="V95" i="16"/>
  <c r="W95" i="16"/>
  <c r="X95" i="16"/>
  <c r="Y95" i="16"/>
  <c r="Z95" i="16"/>
  <c r="AA95" i="16"/>
  <c r="AB95" i="16"/>
  <c r="AC95" i="16"/>
  <c r="AD95" i="16"/>
  <c r="AE95" i="16"/>
  <c r="E97" i="16"/>
  <c r="F97" i="16"/>
  <c r="G97" i="16"/>
  <c r="H97" i="16"/>
  <c r="I97" i="16"/>
  <c r="J97" i="16"/>
  <c r="K97" i="16"/>
  <c r="L97" i="16"/>
  <c r="M97" i="16"/>
  <c r="N97" i="16"/>
  <c r="O97" i="16"/>
  <c r="P97" i="16"/>
  <c r="Q97" i="16"/>
  <c r="R97" i="16"/>
  <c r="S97" i="16"/>
  <c r="T97" i="16"/>
  <c r="U97" i="16"/>
  <c r="V97" i="16"/>
  <c r="W97" i="16"/>
  <c r="X97" i="16"/>
  <c r="Y97" i="16"/>
  <c r="Z97" i="16"/>
  <c r="AA97" i="16"/>
  <c r="AB97" i="16"/>
  <c r="AC97" i="16"/>
  <c r="AD97" i="16"/>
  <c r="AE97" i="16"/>
  <c r="E98" i="16"/>
  <c r="F98" i="16"/>
  <c r="G98" i="16"/>
  <c r="H98" i="16"/>
  <c r="I98" i="16"/>
  <c r="J98" i="16"/>
  <c r="K98" i="16"/>
  <c r="L98" i="16"/>
  <c r="M98" i="16"/>
  <c r="N98" i="16"/>
  <c r="O98" i="16"/>
  <c r="P98" i="16"/>
  <c r="Q98" i="16"/>
  <c r="R98" i="16"/>
  <c r="S98" i="16"/>
  <c r="T98" i="16"/>
  <c r="U98" i="16"/>
  <c r="V98" i="16"/>
  <c r="W98" i="16"/>
  <c r="X98" i="16"/>
  <c r="Y98" i="16"/>
  <c r="Z98" i="16"/>
  <c r="AA98" i="16"/>
  <c r="AB98" i="16"/>
  <c r="AC98" i="16"/>
  <c r="AD98" i="16"/>
  <c r="AE98" i="16"/>
  <c r="E99" i="16"/>
  <c r="F99" i="16"/>
  <c r="G99" i="16"/>
  <c r="H99" i="16"/>
  <c r="I99" i="16"/>
  <c r="J99" i="16"/>
  <c r="K99" i="16"/>
  <c r="L99" i="16"/>
  <c r="M99" i="16"/>
  <c r="N99" i="16"/>
  <c r="O99" i="16"/>
  <c r="P99" i="16"/>
  <c r="Q99" i="16"/>
  <c r="R99" i="16"/>
  <c r="S99" i="16"/>
  <c r="T99" i="16"/>
  <c r="U99" i="16"/>
  <c r="V99" i="16"/>
  <c r="W99" i="16"/>
  <c r="X99" i="16"/>
  <c r="Y99" i="16"/>
  <c r="Z99" i="16"/>
  <c r="AA99" i="16"/>
  <c r="AB99" i="16"/>
  <c r="AC99" i="16"/>
  <c r="AD99" i="16"/>
  <c r="AE99" i="16"/>
  <c r="E101" i="16"/>
  <c r="F101" i="16"/>
  <c r="G101" i="16"/>
  <c r="H101" i="16"/>
  <c r="I101" i="16"/>
  <c r="J101" i="16"/>
  <c r="K101" i="16"/>
  <c r="L101" i="16"/>
  <c r="M101" i="16"/>
  <c r="N101" i="16"/>
  <c r="O101" i="16"/>
  <c r="P101" i="16"/>
  <c r="Q101" i="16"/>
  <c r="R101" i="16"/>
  <c r="S101" i="16"/>
  <c r="T101" i="16"/>
  <c r="U101" i="16"/>
  <c r="V101" i="16"/>
  <c r="W101" i="16"/>
  <c r="X101" i="16"/>
  <c r="Y101" i="16"/>
  <c r="Z101" i="16"/>
  <c r="AA101" i="16"/>
  <c r="AB101" i="16"/>
  <c r="AC101" i="16"/>
  <c r="AD101" i="16"/>
  <c r="AE101" i="16"/>
  <c r="E102" i="16"/>
  <c r="F102" i="16"/>
  <c r="G102" i="16"/>
  <c r="H102" i="16"/>
  <c r="I102" i="16"/>
  <c r="J102" i="16"/>
  <c r="K102" i="16"/>
  <c r="L102" i="16"/>
  <c r="M102" i="16"/>
  <c r="N102" i="16"/>
  <c r="O102" i="16"/>
  <c r="P102" i="16"/>
  <c r="Q102" i="16"/>
  <c r="R102" i="16"/>
  <c r="S102" i="16"/>
  <c r="T102" i="16"/>
  <c r="U102" i="16"/>
  <c r="V102" i="16"/>
  <c r="W102" i="16"/>
  <c r="X102" i="16"/>
  <c r="Y102" i="16"/>
  <c r="Z102" i="16"/>
  <c r="AA102" i="16"/>
  <c r="AB102" i="16"/>
  <c r="AC102" i="16"/>
  <c r="AD102" i="16"/>
  <c r="AE102" i="16"/>
  <c r="E103" i="16"/>
  <c r="F103" i="16"/>
  <c r="G103" i="16"/>
  <c r="H103" i="16"/>
  <c r="I103" i="16"/>
  <c r="J103" i="16"/>
  <c r="K103" i="16"/>
  <c r="L103" i="16"/>
  <c r="M103" i="16"/>
  <c r="N103" i="16"/>
  <c r="O103" i="16"/>
  <c r="P103" i="16"/>
  <c r="Q103" i="16"/>
  <c r="R103" i="16"/>
  <c r="S103" i="16"/>
  <c r="T103" i="16"/>
  <c r="U103" i="16"/>
  <c r="V103" i="16"/>
  <c r="W103" i="16"/>
  <c r="X103" i="16"/>
  <c r="Y103" i="16"/>
  <c r="Z103" i="16"/>
  <c r="AA103" i="16"/>
  <c r="AB103" i="16"/>
  <c r="AC103" i="16"/>
  <c r="AD103" i="16"/>
  <c r="AE103" i="16"/>
  <c r="E105" i="16"/>
  <c r="F105" i="16"/>
  <c r="G105" i="16"/>
  <c r="H105" i="16"/>
  <c r="I105" i="16"/>
  <c r="J105" i="16"/>
  <c r="K105" i="16"/>
  <c r="L105" i="16"/>
  <c r="M105" i="16"/>
  <c r="N105" i="16"/>
  <c r="O105" i="16"/>
  <c r="P105" i="16"/>
  <c r="Q105" i="16"/>
  <c r="R105" i="16"/>
  <c r="S105" i="16"/>
  <c r="T105" i="16"/>
  <c r="U105" i="16"/>
  <c r="V105" i="16"/>
  <c r="W105" i="16"/>
  <c r="X105" i="16"/>
  <c r="Y105" i="16"/>
  <c r="Z105" i="16"/>
  <c r="AA105" i="16"/>
  <c r="AB105" i="16"/>
  <c r="AC105" i="16"/>
  <c r="AD105" i="16"/>
  <c r="AE105" i="16"/>
  <c r="E106" i="16"/>
  <c r="F106" i="16"/>
  <c r="G106" i="16"/>
  <c r="H106" i="16"/>
  <c r="I106" i="16"/>
  <c r="J106" i="16"/>
  <c r="K106" i="16"/>
  <c r="L106" i="16"/>
  <c r="M106" i="16"/>
  <c r="N106" i="16"/>
  <c r="O106" i="16"/>
  <c r="P106" i="16"/>
  <c r="Q106" i="16"/>
  <c r="R106" i="16"/>
  <c r="S106" i="16"/>
  <c r="T106" i="16"/>
  <c r="U106" i="16"/>
  <c r="V106" i="16"/>
  <c r="W106" i="16"/>
  <c r="X106" i="16"/>
  <c r="Y106" i="16"/>
  <c r="Z106" i="16"/>
  <c r="AA106" i="16"/>
  <c r="AB106" i="16"/>
  <c r="AC106" i="16"/>
  <c r="AD106" i="16"/>
  <c r="AE106" i="16"/>
  <c r="E107" i="16"/>
  <c r="F107" i="16"/>
  <c r="G107" i="16"/>
  <c r="H107" i="16"/>
  <c r="I107" i="16"/>
  <c r="J107" i="16"/>
  <c r="K107" i="16"/>
  <c r="L107" i="16"/>
  <c r="M107" i="16"/>
  <c r="N107" i="16"/>
  <c r="O107" i="16"/>
  <c r="P107" i="16"/>
  <c r="Q107" i="16"/>
  <c r="R107" i="16"/>
  <c r="S107" i="16"/>
  <c r="T107" i="16"/>
  <c r="U107" i="16"/>
  <c r="V107" i="16"/>
  <c r="W107" i="16"/>
  <c r="X107" i="16"/>
  <c r="Y107" i="16"/>
  <c r="Z107" i="16"/>
  <c r="AA107" i="16"/>
  <c r="AB107" i="16"/>
  <c r="AC107" i="16"/>
  <c r="AD107" i="16"/>
  <c r="AE107" i="16"/>
  <c r="E108" i="16"/>
  <c r="F108" i="16"/>
  <c r="G108" i="16"/>
  <c r="H108" i="16"/>
  <c r="I108" i="16"/>
  <c r="J108" i="16"/>
  <c r="K108" i="16"/>
  <c r="L108" i="16"/>
  <c r="M108" i="16"/>
  <c r="N108" i="16"/>
  <c r="O108" i="16"/>
  <c r="P108" i="16"/>
  <c r="Q108" i="16"/>
  <c r="R108" i="16"/>
  <c r="S108" i="16"/>
  <c r="T108" i="16"/>
  <c r="U108" i="16"/>
  <c r="V108" i="16"/>
  <c r="W108" i="16"/>
  <c r="X108" i="16"/>
  <c r="Y108" i="16"/>
  <c r="Z108" i="16"/>
  <c r="AA108" i="16"/>
  <c r="AB108" i="16"/>
  <c r="AC108" i="16"/>
  <c r="AD108" i="16"/>
  <c r="AE108" i="16"/>
  <c r="E109" i="16"/>
  <c r="F109" i="16"/>
  <c r="G109" i="16"/>
  <c r="H109" i="16"/>
  <c r="I109" i="16"/>
  <c r="J109" i="16"/>
  <c r="K109" i="16"/>
  <c r="L109" i="16"/>
  <c r="M109" i="16"/>
  <c r="N109" i="16"/>
  <c r="O109" i="16"/>
  <c r="P109" i="16"/>
  <c r="Q109" i="16"/>
  <c r="R109" i="16"/>
  <c r="S109" i="16"/>
  <c r="T109" i="16"/>
  <c r="U109" i="16"/>
  <c r="V109" i="16"/>
  <c r="W109" i="16"/>
  <c r="X109" i="16"/>
  <c r="Y109" i="16"/>
  <c r="Z109" i="16"/>
  <c r="AA109" i="16"/>
  <c r="AB109" i="16"/>
  <c r="AC109" i="16"/>
  <c r="AD109" i="16"/>
  <c r="AE109" i="16"/>
  <c r="E111" i="16"/>
  <c r="F111" i="16"/>
  <c r="G111" i="16"/>
  <c r="H111" i="16"/>
  <c r="I111" i="16"/>
  <c r="J111" i="16"/>
  <c r="K111" i="16"/>
  <c r="L111" i="16"/>
  <c r="M111" i="16"/>
  <c r="N111" i="16"/>
  <c r="O111" i="16"/>
  <c r="P111" i="16"/>
  <c r="Q111" i="16"/>
  <c r="R111" i="16"/>
  <c r="S111" i="16"/>
  <c r="T111" i="16"/>
  <c r="U111" i="16"/>
  <c r="V111" i="16"/>
  <c r="W111" i="16"/>
  <c r="X111" i="16"/>
  <c r="Y111" i="16"/>
  <c r="Z111" i="16"/>
  <c r="AA111" i="16"/>
  <c r="AB111" i="16"/>
  <c r="AC111" i="16"/>
  <c r="AD111" i="16"/>
  <c r="AE111" i="16"/>
  <c r="E112" i="16"/>
  <c r="F112" i="16"/>
  <c r="G112" i="16"/>
  <c r="H112" i="16"/>
  <c r="I112" i="16"/>
  <c r="J112" i="16"/>
  <c r="K112" i="16"/>
  <c r="L112" i="16"/>
  <c r="M112" i="16"/>
  <c r="N112" i="16"/>
  <c r="O112" i="16"/>
  <c r="P112" i="16"/>
  <c r="Q112" i="16"/>
  <c r="R112" i="16"/>
  <c r="S112" i="16"/>
  <c r="T112" i="16"/>
  <c r="U112" i="16"/>
  <c r="V112" i="16"/>
  <c r="W112" i="16"/>
  <c r="X112" i="16"/>
  <c r="Y112" i="16"/>
  <c r="Z112" i="16"/>
  <c r="AA112" i="16"/>
  <c r="AB112" i="16"/>
  <c r="AC112" i="16"/>
  <c r="AD112" i="16"/>
  <c r="AE112" i="16"/>
  <c r="E113" i="16"/>
  <c r="F113" i="16"/>
  <c r="G113" i="16"/>
  <c r="H113" i="16"/>
  <c r="I113" i="16"/>
  <c r="J113" i="16"/>
  <c r="K113" i="16"/>
  <c r="L113" i="16"/>
  <c r="M113" i="16"/>
  <c r="N113" i="16"/>
  <c r="O113" i="16"/>
  <c r="P113" i="16"/>
  <c r="Q113" i="16"/>
  <c r="R113" i="16"/>
  <c r="S113" i="16"/>
  <c r="T113" i="16"/>
  <c r="U113" i="16"/>
  <c r="V113" i="16"/>
  <c r="W113" i="16"/>
  <c r="X113" i="16"/>
  <c r="Y113" i="16"/>
  <c r="Z113" i="16"/>
  <c r="AA113" i="16"/>
  <c r="AB113" i="16"/>
  <c r="AC113" i="16"/>
  <c r="AD113" i="16"/>
  <c r="AE113" i="16"/>
  <c r="D82" i="16"/>
  <c r="D83" i="16"/>
  <c r="D84" i="16"/>
  <c r="D85" i="16"/>
  <c r="D86" i="16"/>
  <c r="D87" i="16"/>
  <c r="D88" i="16"/>
  <c r="D91" i="16"/>
  <c r="D92" i="16"/>
  <c r="D93" i="16"/>
  <c r="D95" i="16"/>
  <c r="D97" i="16"/>
  <c r="D98" i="16"/>
  <c r="D99" i="16"/>
  <c r="D101" i="16"/>
  <c r="D102" i="16"/>
  <c r="D103" i="16"/>
  <c r="D105" i="16"/>
  <c r="D106" i="16"/>
  <c r="D107" i="16"/>
  <c r="D108" i="16"/>
  <c r="D109" i="16"/>
  <c r="D111" i="16"/>
  <c r="D112" i="16"/>
  <c r="D113" i="16"/>
  <c r="E81" i="16"/>
  <c r="F81" i="16"/>
  <c r="G81" i="16"/>
  <c r="H81" i="16"/>
  <c r="I81" i="16"/>
  <c r="J81" i="16"/>
  <c r="K81" i="16"/>
  <c r="L81" i="16"/>
  <c r="M81" i="16"/>
  <c r="N81" i="16"/>
  <c r="O81" i="16"/>
  <c r="P81" i="16"/>
  <c r="Q81" i="16"/>
  <c r="R81" i="16"/>
  <c r="S81" i="16"/>
  <c r="T81" i="16"/>
  <c r="U81" i="16"/>
  <c r="V81" i="16"/>
  <c r="W81" i="16"/>
  <c r="X81" i="16"/>
  <c r="Y81" i="16"/>
  <c r="Z81" i="16"/>
  <c r="AA81" i="16"/>
  <c r="AB81" i="16"/>
  <c r="AC81" i="16"/>
  <c r="AD81" i="16"/>
  <c r="AE81" i="16"/>
  <c r="E52" i="16"/>
  <c r="F52" i="16"/>
  <c r="F90" i="16"/>
  <c r="G52" i="16"/>
  <c r="G90" i="16"/>
  <c r="H52" i="16"/>
  <c r="H90" i="16"/>
  <c r="I52" i="16"/>
  <c r="J52" i="16"/>
  <c r="J90" i="16"/>
  <c r="K52" i="16"/>
  <c r="K90" i="16"/>
  <c r="L52" i="16"/>
  <c r="L90" i="16"/>
  <c r="M52" i="16"/>
  <c r="N52" i="16"/>
  <c r="N90" i="16"/>
  <c r="O52" i="16"/>
  <c r="O90" i="16"/>
  <c r="P52" i="16"/>
  <c r="P90" i="16"/>
  <c r="Q52" i="16"/>
  <c r="R52" i="16"/>
  <c r="R90" i="16"/>
  <c r="S52" i="16"/>
  <c r="S90" i="16"/>
  <c r="T52" i="16"/>
  <c r="T90" i="16"/>
  <c r="U52" i="16"/>
  <c r="V52" i="16"/>
  <c r="V90" i="16"/>
  <c r="W52" i="16"/>
  <c r="W90" i="16"/>
  <c r="X52" i="16"/>
  <c r="X90" i="16"/>
  <c r="Y52" i="16"/>
  <c r="Z52" i="16"/>
  <c r="Z90" i="16"/>
  <c r="AA52" i="16"/>
  <c r="AA90" i="16"/>
  <c r="AB52" i="16"/>
  <c r="AC52" i="16"/>
  <c r="AD52" i="16"/>
  <c r="AE52" i="16"/>
  <c r="AE90" i="16"/>
  <c r="E56" i="16"/>
  <c r="E94" i="16"/>
  <c r="F56" i="16"/>
  <c r="F94" i="16"/>
  <c r="G56" i="16"/>
  <c r="G94" i="16"/>
  <c r="H56" i="16"/>
  <c r="H94" i="16"/>
  <c r="I56" i="16"/>
  <c r="I94" i="16"/>
  <c r="J56" i="16"/>
  <c r="J94" i="16"/>
  <c r="K56" i="16"/>
  <c r="K94" i="16"/>
  <c r="L56" i="16"/>
  <c r="L94" i="16"/>
  <c r="M56" i="16"/>
  <c r="M94" i="16"/>
  <c r="N56" i="16"/>
  <c r="N94" i="16"/>
  <c r="O56" i="16"/>
  <c r="O94" i="16"/>
  <c r="P56" i="16"/>
  <c r="P94" i="16"/>
  <c r="Q56" i="16"/>
  <c r="Q94" i="16"/>
  <c r="R56" i="16"/>
  <c r="R94" i="16"/>
  <c r="S56" i="16"/>
  <c r="S94" i="16"/>
  <c r="T56" i="16"/>
  <c r="T94" i="16"/>
  <c r="U56" i="16"/>
  <c r="U94" i="16"/>
  <c r="V56" i="16"/>
  <c r="V94" i="16"/>
  <c r="W56" i="16"/>
  <c r="W94" i="16"/>
  <c r="X56" i="16"/>
  <c r="X94" i="16"/>
  <c r="Y56" i="16"/>
  <c r="Y94" i="16"/>
  <c r="Z56" i="16"/>
  <c r="Z94" i="16"/>
  <c r="AA56" i="16"/>
  <c r="AA94" i="16"/>
  <c r="AB56" i="16"/>
  <c r="AC56" i="16"/>
  <c r="AC94" i="16"/>
  <c r="AD56" i="16"/>
  <c r="AE56" i="16"/>
  <c r="AE94" i="16"/>
  <c r="E58" i="16"/>
  <c r="E96" i="16"/>
  <c r="F58" i="16"/>
  <c r="F96" i="16"/>
  <c r="G58" i="16"/>
  <c r="G96" i="16"/>
  <c r="H58" i="16"/>
  <c r="H96" i="16"/>
  <c r="I58" i="16"/>
  <c r="I96" i="16"/>
  <c r="J58" i="16"/>
  <c r="J96" i="16"/>
  <c r="K58" i="16"/>
  <c r="K96" i="16"/>
  <c r="L58" i="16"/>
  <c r="L96" i="16"/>
  <c r="M58" i="16"/>
  <c r="M96" i="16"/>
  <c r="N58" i="16"/>
  <c r="N96" i="16"/>
  <c r="O58" i="16"/>
  <c r="O96" i="16"/>
  <c r="P58" i="16"/>
  <c r="P96" i="16"/>
  <c r="Q58" i="16"/>
  <c r="Q96" i="16"/>
  <c r="R58" i="16"/>
  <c r="R96" i="16"/>
  <c r="S58" i="16"/>
  <c r="S96" i="16"/>
  <c r="T58" i="16"/>
  <c r="T96" i="16"/>
  <c r="U58" i="16"/>
  <c r="U96" i="16"/>
  <c r="V58" i="16"/>
  <c r="V96" i="16"/>
  <c r="W58" i="16"/>
  <c r="W96" i="16"/>
  <c r="X58" i="16"/>
  <c r="X96" i="16"/>
  <c r="Y58" i="16"/>
  <c r="Y96" i="16"/>
  <c r="Z58" i="16"/>
  <c r="Z96" i="16"/>
  <c r="AA58" i="16"/>
  <c r="AA96" i="16"/>
  <c r="AB58" i="16"/>
  <c r="AC58" i="16"/>
  <c r="AC96" i="16"/>
  <c r="AD58" i="16"/>
  <c r="AE58" i="16"/>
  <c r="AE96" i="16"/>
  <c r="E62" i="16"/>
  <c r="E100" i="16"/>
  <c r="F62" i="16"/>
  <c r="F100" i="16"/>
  <c r="G62" i="16"/>
  <c r="G100" i="16"/>
  <c r="H62" i="16"/>
  <c r="H100" i="16"/>
  <c r="I62" i="16"/>
  <c r="I100" i="16"/>
  <c r="J62" i="16"/>
  <c r="J100" i="16"/>
  <c r="K62" i="16"/>
  <c r="K100" i="16"/>
  <c r="L62" i="16"/>
  <c r="L100" i="16"/>
  <c r="M62" i="16"/>
  <c r="M100" i="16"/>
  <c r="N62" i="16"/>
  <c r="N100" i="16"/>
  <c r="O62" i="16"/>
  <c r="O100" i="16"/>
  <c r="P62" i="16"/>
  <c r="P100" i="16"/>
  <c r="Q62" i="16"/>
  <c r="Q100" i="16"/>
  <c r="R62" i="16"/>
  <c r="R100" i="16"/>
  <c r="S62" i="16"/>
  <c r="S100" i="16"/>
  <c r="T62" i="16"/>
  <c r="T100" i="16"/>
  <c r="U62" i="16"/>
  <c r="U100" i="16"/>
  <c r="V62" i="16"/>
  <c r="V100" i="16"/>
  <c r="W62" i="16"/>
  <c r="W100" i="16"/>
  <c r="X62" i="16"/>
  <c r="X100" i="16"/>
  <c r="Y62" i="16"/>
  <c r="Y100" i="16"/>
  <c r="Z62" i="16"/>
  <c r="Z100" i="16"/>
  <c r="AA62" i="16"/>
  <c r="AA100" i="16"/>
  <c r="AB62" i="16"/>
  <c r="AB100" i="16"/>
  <c r="AC62" i="16"/>
  <c r="AC100" i="16"/>
  <c r="AD62" i="16"/>
  <c r="AD100" i="16"/>
  <c r="AE62" i="16"/>
  <c r="AE100" i="16"/>
  <c r="E67" i="16"/>
  <c r="E104" i="16"/>
  <c r="F67" i="16"/>
  <c r="F104" i="16"/>
  <c r="G67" i="16"/>
  <c r="G104" i="16"/>
  <c r="H67" i="16"/>
  <c r="H104" i="16"/>
  <c r="I67" i="16"/>
  <c r="I104" i="16"/>
  <c r="J67" i="16"/>
  <c r="J104" i="16"/>
  <c r="K67" i="16"/>
  <c r="K104" i="16"/>
  <c r="L67" i="16"/>
  <c r="L104" i="16"/>
  <c r="M67" i="16"/>
  <c r="M104" i="16"/>
  <c r="N67" i="16"/>
  <c r="N104" i="16"/>
  <c r="O67" i="16"/>
  <c r="O104" i="16"/>
  <c r="P67" i="16"/>
  <c r="P104" i="16"/>
  <c r="Q67" i="16"/>
  <c r="Q104" i="16"/>
  <c r="R67" i="16"/>
  <c r="R104" i="16"/>
  <c r="S67" i="16"/>
  <c r="S104" i="16"/>
  <c r="T67" i="16"/>
  <c r="T104" i="16"/>
  <c r="U67" i="16"/>
  <c r="U104" i="16"/>
  <c r="V67" i="16"/>
  <c r="V104" i="16"/>
  <c r="W67" i="16"/>
  <c r="W104" i="16"/>
  <c r="X67" i="16"/>
  <c r="X104" i="16"/>
  <c r="Y67" i="16"/>
  <c r="Y104" i="16"/>
  <c r="Z67" i="16"/>
  <c r="Z104" i="16"/>
  <c r="AA67" i="16"/>
  <c r="AA104" i="16"/>
  <c r="AB67" i="16"/>
  <c r="AB104" i="16"/>
  <c r="AC67" i="16"/>
  <c r="AC104" i="16"/>
  <c r="AD67" i="16"/>
  <c r="AD104" i="16"/>
  <c r="AE67" i="16"/>
  <c r="AE104" i="16"/>
  <c r="E74" i="16"/>
  <c r="E110" i="16"/>
  <c r="F74" i="16"/>
  <c r="F110" i="16"/>
  <c r="G74" i="16"/>
  <c r="G110" i="16"/>
  <c r="H74" i="16"/>
  <c r="H110" i="16"/>
  <c r="I74" i="16"/>
  <c r="I110" i="16"/>
  <c r="J74" i="16"/>
  <c r="J110" i="16"/>
  <c r="K74" i="16"/>
  <c r="K110" i="16"/>
  <c r="L74" i="16"/>
  <c r="L110" i="16"/>
  <c r="M74" i="16"/>
  <c r="M110" i="16"/>
  <c r="N74" i="16"/>
  <c r="N110" i="16"/>
  <c r="O74" i="16"/>
  <c r="O110" i="16"/>
  <c r="P74" i="16"/>
  <c r="P110" i="16"/>
  <c r="Q74" i="16"/>
  <c r="Q110" i="16"/>
  <c r="R74" i="16"/>
  <c r="R110" i="16"/>
  <c r="S74" i="16"/>
  <c r="S110" i="16"/>
  <c r="T74" i="16"/>
  <c r="T110" i="16"/>
  <c r="U74" i="16"/>
  <c r="U110" i="16"/>
  <c r="V74" i="16"/>
  <c r="V110" i="16"/>
  <c r="W74" i="16"/>
  <c r="W110" i="16"/>
  <c r="X74" i="16"/>
  <c r="X110" i="16"/>
  <c r="Y74" i="16"/>
  <c r="Y110" i="16"/>
  <c r="Z74" i="16"/>
  <c r="Z110" i="16"/>
  <c r="AA74" i="16"/>
  <c r="AA110" i="16"/>
  <c r="AB74" i="16"/>
  <c r="AB110" i="16"/>
  <c r="AC74" i="16"/>
  <c r="AC110" i="16"/>
  <c r="AD74" i="16"/>
  <c r="AD110" i="16"/>
  <c r="AE74" i="16"/>
  <c r="AE110" i="16"/>
  <c r="D74" i="16"/>
  <c r="D110" i="16"/>
  <c r="D67" i="16"/>
  <c r="D104" i="16"/>
  <c r="D62" i="16"/>
  <c r="D100" i="16"/>
  <c r="D58" i="16"/>
  <c r="D96" i="16"/>
  <c r="D56" i="16"/>
  <c r="D94" i="16"/>
  <c r="D52" i="16"/>
  <c r="D90" i="16"/>
  <c r="D81" i="16"/>
  <c r="E31" i="16"/>
  <c r="F31" i="16"/>
  <c r="G31" i="16"/>
  <c r="H31" i="16"/>
  <c r="I31" i="16"/>
  <c r="J31" i="16"/>
  <c r="K31" i="16"/>
  <c r="L31" i="16"/>
  <c r="M31" i="16"/>
  <c r="N31" i="16"/>
  <c r="O31" i="16"/>
  <c r="P31" i="16"/>
  <c r="Q31" i="16"/>
  <c r="R31" i="16"/>
  <c r="S31" i="16"/>
  <c r="T31" i="16"/>
  <c r="U31" i="16"/>
  <c r="V31" i="16"/>
  <c r="W31" i="16"/>
  <c r="X31" i="16"/>
  <c r="Y31" i="16"/>
  <c r="Z31" i="16"/>
  <c r="AA31" i="16"/>
  <c r="AB31" i="16"/>
  <c r="AC31" i="16"/>
  <c r="AD31" i="16"/>
  <c r="AE31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Q32" i="16"/>
  <c r="R32" i="16"/>
  <c r="S32" i="16"/>
  <c r="T32" i="16"/>
  <c r="U32" i="16"/>
  <c r="V32" i="16"/>
  <c r="W32" i="16"/>
  <c r="X32" i="16"/>
  <c r="Y32" i="16"/>
  <c r="Z32" i="16"/>
  <c r="AA32" i="16"/>
  <c r="AB32" i="16"/>
  <c r="AC32" i="16"/>
  <c r="AD32" i="16"/>
  <c r="AE32" i="16"/>
  <c r="E33" i="16"/>
  <c r="F33" i="16"/>
  <c r="G33" i="16"/>
  <c r="H33" i="16"/>
  <c r="I33" i="16"/>
  <c r="J33" i="16"/>
  <c r="K33" i="16"/>
  <c r="L33" i="16"/>
  <c r="M33" i="16"/>
  <c r="N33" i="16"/>
  <c r="O33" i="16"/>
  <c r="P33" i="16"/>
  <c r="Q33" i="16"/>
  <c r="R33" i="16"/>
  <c r="S33" i="16"/>
  <c r="T33" i="16"/>
  <c r="U33" i="16"/>
  <c r="V33" i="16"/>
  <c r="W33" i="16"/>
  <c r="X33" i="16"/>
  <c r="Y33" i="16"/>
  <c r="Z33" i="16"/>
  <c r="AA33" i="16"/>
  <c r="AB33" i="16"/>
  <c r="AC33" i="16"/>
  <c r="AD33" i="16"/>
  <c r="AE33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U34" i="16"/>
  <c r="V34" i="16"/>
  <c r="W34" i="16"/>
  <c r="X34" i="16"/>
  <c r="Y34" i="16"/>
  <c r="Z34" i="16"/>
  <c r="AA34" i="16"/>
  <c r="AB34" i="16"/>
  <c r="AC34" i="16"/>
  <c r="AD34" i="16"/>
  <c r="AE34" i="16"/>
  <c r="E35" i="16"/>
  <c r="F35" i="16"/>
  <c r="G35" i="16"/>
  <c r="H35" i="16"/>
  <c r="I35" i="16"/>
  <c r="J35" i="16"/>
  <c r="K35" i="16"/>
  <c r="L35" i="16"/>
  <c r="M35" i="16"/>
  <c r="N35" i="16"/>
  <c r="O35" i="16"/>
  <c r="P35" i="16"/>
  <c r="Q35" i="16"/>
  <c r="R35" i="16"/>
  <c r="S35" i="16"/>
  <c r="T35" i="16"/>
  <c r="U35" i="16"/>
  <c r="V35" i="16"/>
  <c r="W35" i="16"/>
  <c r="X35" i="16"/>
  <c r="Y35" i="16"/>
  <c r="Z35" i="16"/>
  <c r="AA35" i="16"/>
  <c r="AB35" i="16"/>
  <c r="AC35" i="16"/>
  <c r="AD35" i="16"/>
  <c r="AE35" i="16"/>
  <c r="E36" i="16"/>
  <c r="F36" i="16"/>
  <c r="G36" i="16"/>
  <c r="H36" i="16"/>
  <c r="I36" i="16"/>
  <c r="J36" i="16"/>
  <c r="K36" i="16"/>
  <c r="L36" i="16"/>
  <c r="M36" i="16"/>
  <c r="N36" i="16"/>
  <c r="O36" i="16"/>
  <c r="P36" i="16"/>
  <c r="Q36" i="16"/>
  <c r="R36" i="16"/>
  <c r="S36" i="16"/>
  <c r="T36" i="16"/>
  <c r="U36" i="16"/>
  <c r="V36" i="16"/>
  <c r="W36" i="16"/>
  <c r="X36" i="16"/>
  <c r="Y36" i="16"/>
  <c r="Z36" i="16"/>
  <c r="AA36" i="16"/>
  <c r="AB36" i="16"/>
  <c r="AC36" i="16"/>
  <c r="AD36" i="16"/>
  <c r="AE36" i="16"/>
  <c r="D32" i="16"/>
  <c r="D33" i="16"/>
  <c r="D34" i="16"/>
  <c r="D35" i="16"/>
  <c r="D36" i="16"/>
  <c r="D31" i="16"/>
  <c r="E23" i="16"/>
  <c r="F23" i="16"/>
  <c r="G23" i="16"/>
  <c r="H23" i="16"/>
  <c r="I23" i="16"/>
  <c r="J23" i="16"/>
  <c r="K23" i="16"/>
  <c r="L23" i="16"/>
  <c r="M23" i="16"/>
  <c r="N23" i="16"/>
  <c r="O23" i="16"/>
  <c r="P23" i="16"/>
  <c r="Q23" i="16"/>
  <c r="R23" i="16"/>
  <c r="S23" i="16"/>
  <c r="T23" i="16"/>
  <c r="U23" i="16"/>
  <c r="V23" i="16"/>
  <c r="W23" i="16"/>
  <c r="X23" i="16"/>
  <c r="Y23" i="16"/>
  <c r="Z23" i="16"/>
  <c r="AA23" i="16"/>
  <c r="AB23" i="16"/>
  <c r="AC23" i="16"/>
  <c r="AD23" i="16"/>
  <c r="AE23" i="16"/>
  <c r="E24" i="16"/>
  <c r="F24" i="16"/>
  <c r="G24" i="16"/>
  <c r="H24" i="16"/>
  <c r="I24" i="16"/>
  <c r="J24" i="16"/>
  <c r="K24" i="16"/>
  <c r="L24" i="16"/>
  <c r="M24" i="16"/>
  <c r="N24" i="16"/>
  <c r="O24" i="16"/>
  <c r="P24" i="16"/>
  <c r="Q24" i="16"/>
  <c r="R24" i="16"/>
  <c r="S24" i="16"/>
  <c r="T24" i="16"/>
  <c r="U24" i="16"/>
  <c r="V24" i="16"/>
  <c r="W24" i="16"/>
  <c r="X24" i="16"/>
  <c r="Y24" i="16"/>
  <c r="Z24" i="16"/>
  <c r="AA24" i="16"/>
  <c r="AB24" i="16"/>
  <c r="AC24" i="16"/>
  <c r="AD24" i="16"/>
  <c r="AE24" i="16"/>
  <c r="E25" i="16"/>
  <c r="F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U25" i="16"/>
  <c r="V25" i="16"/>
  <c r="W25" i="16"/>
  <c r="X25" i="16"/>
  <c r="Y25" i="16"/>
  <c r="Z25" i="16"/>
  <c r="AA25" i="16"/>
  <c r="AB25" i="16"/>
  <c r="AC25" i="16"/>
  <c r="AD25" i="16"/>
  <c r="AE25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U26" i="16"/>
  <c r="V26" i="16"/>
  <c r="W26" i="16"/>
  <c r="X26" i="16"/>
  <c r="Y26" i="16"/>
  <c r="Z26" i="16"/>
  <c r="AA26" i="16"/>
  <c r="AB26" i="16"/>
  <c r="AC26" i="16"/>
  <c r="AD26" i="16"/>
  <c r="AE26" i="16"/>
  <c r="E27" i="16"/>
  <c r="F27" i="16"/>
  <c r="G27" i="16"/>
  <c r="H27" i="16"/>
  <c r="I27" i="16"/>
  <c r="J27" i="16"/>
  <c r="K27" i="16"/>
  <c r="L27" i="16"/>
  <c r="M27" i="16"/>
  <c r="N27" i="16"/>
  <c r="O27" i="16"/>
  <c r="P27" i="16"/>
  <c r="Q27" i="16"/>
  <c r="R27" i="16"/>
  <c r="S27" i="16"/>
  <c r="T27" i="16"/>
  <c r="U27" i="16"/>
  <c r="V27" i="16"/>
  <c r="W27" i="16"/>
  <c r="X27" i="16"/>
  <c r="Y27" i="16"/>
  <c r="Z27" i="16"/>
  <c r="AA27" i="16"/>
  <c r="AB27" i="16"/>
  <c r="AC27" i="16"/>
  <c r="AD27" i="16"/>
  <c r="AE27" i="16"/>
  <c r="E28" i="16"/>
  <c r="F28" i="16"/>
  <c r="G28" i="16"/>
  <c r="H28" i="16"/>
  <c r="I28" i="16"/>
  <c r="J28" i="16"/>
  <c r="K28" i="16"/>
  <c r="L28" i="16"/>
  <c r="M28" i="16"/>
  <c r="N28" i="16"/>
  <c r="O28" i="16"/>
  <c r="P28" i="16"/>
  <c r="Q28" i="16"/>
  <c r="R28" i="16"/>
  <c r="S28" i="16"/>
  <c r="T28" i="16"/>
  <c r="U28" i="16"/>
  <c r="V28" i="16"/>
  <c r="W28" i="16"/>
  <c r="X28" i="16"/>
  <c r="Y28" i="16"/>
  <c r="Z28" i="16"/>
  <c r="AA28" i="16"/>
  <c r="AB28" i="16"/>
  <c r="AC28" i="16"/>
  <c r="AD28" i="16"/>
  <c r="AE28" i="16"/>
  <c r="E29" i="16"/>
  <c r="F29" i="16"/>
  <c r="G29" i="16"/>
  <c r="H29" i="16"/>
  <c r="I29" i="16"/>
  <c r="J29" i="16"/>
  <c r="K29" i="16"/>
  <c r="L29" i="16"/>
  <c r="M29" i="16"/>
  <c r="N29" i="16"/>
  <c r="O29" i="16"/>
  <c r="P29" i="16"/>
  <c r="Q29" i="16"/>
  <c r="R29" i="16"/>
  <c r="S29" i="16"/>
  <c r="T29" i="16"/>
  <c r="U29" i="16"/>
  <c r="V29" i="16"/>
  <c r="W29" i="16"/>
  <c r="X29" i="16"/>
  <c r="Y29" i="16"/>
  <c r="Z29" i="16"/>
  <c r="AA29" i="16"/>
  <c r="AB29" i="16"/>
  <c r="AC29" i="16"/>
  <c r="AD29" i="16"/>
  <c r="AE29" i="16"/>
  <c r="D24" i="16"/>
  <c r="D25" i="16"/>
  <c r="D26" i="16"/>
  <c r="D27" i="16"/>
  <c r="D28" i="16"/>
  <c r="D29" i="16"/>
  <c r="D23" i="16"/>
  <c r="AE14" i="16"/>
  <c r="AE6" i="16"/>
  <c r="AD14" i="16"/>
  <c r="E14" i="16"/>
  <c r="F14" i="16"/>
  <c r="G14" i="16"/>
  <c r="H14" i="16"/>
  <c r="I14" i="16"/>
  <c r="J14" i="16"/>
  <c r="K14" i="16"/>
  <c r="L14" i="16"/>
  <c r="M14" i="16"/>
  <c r="N14" i="16"/>
  <c r="O14" i="16"/>
  <c r="P14" i="16"/>
  <c r="Q14" i="16"/>
  <c r="R14" i="16"/>
  <c r="S14" i="16"/>
  <c r="T14" i="16"/>
  <c r="U14" i="16"/>
  <c r="V14" i="16"/>
  <c r="W14" i="16"/>
  <c r="X14" i="16"/>
  <c r="Y14" i="16"/>
  <c r="Z14" i="16"/>
  <c r="AA14" i="16"/>
  <c r="AB14" i="16"/>
  <c r="AC14" i="16"/>
  <c r="E6" i="16"/>
  <c r="F6" i="16"/>
  <c r="G6" i="16"/>
  <c r="H6" i="16"/>
  <c r="I6" i="16"/>
  <c r="J6" i="16"/>
  <c r="K6" i="16"/>
  <c r="L6" i="16"/>
  <c r="M6" i="16"/>
  <c r="N6" i="16"/>
  <c r="O6" i="16"/>
  <c r="P6" i="16"/>
  <c r="Q6" i="16"/>
  <c r="R6" i="16"/>
  <c r="S6" i="16"/>
  <c r="T6" i="16"/>
  <c r="U6" i="16"/>
  <c r="V6" i="16"/>
  <c r="W6" i="16"/>
  <c r="X6" i="16"/>
  <c r="Y6" i="16"/>
  <c r="Z6" i="16"/>
  <c r="AA6" i="16"/>
  <c r="AB6" i="16"/>
  <c r="AC6" i="16"/>
  <c r="AD6" i="16"/>
  <c r="D14" i="16"/>
  <c r="D6" i="16"/>
  <c r="AB96" i="16"/>
  <c r="AG58" i="16"/>
  <c r="AB94" i="16"/>
  <c r="AG56" i="16"/>
  <c r="AB90" i="16"/>
  <c r="AG52" i="16"/>
  <c r="AD96" i="16"/>
  <c r="AD90" i="16"/>
  <c r="AD94" i="16"/>
  <c r="P5" i="16"/>
  <c r="AD5" i="16"/>
  <c r="L30" i="16"/>
  <c r="T22" i="16"/>
  <c r="X22" i="16"/>
  <c r="P30" i="16"/>
  <c r="D22" i="16"/>
  <c r="H22" i="16"/>
  <c r="AB22" i="16"/>
  <c r="L22" i="16"/>
  <c r="O30" i="16"/>
  <c r="G30" i="16"/>
  <c r="X30" i="16"/>
  <c r="T30" i="16"/>
  <c r="AC51" i="16"/>
  <c r="AC89" i="16"/>
  <c r="Y51" i="16"/>
  <c r="Y89" i="16"/>
  <c r="U51" i="16"/>
  <c r="U89" i="16"/>
  <c r="Q51" i="16"/>
  <c r="Q89" i="16"/>
  <c r="M51" i="16"/>
  <c r="M89" i="16"/>
  <c r="I51" i="16"/>
  <c r="I89" i="16"/>
  <c r="E51" i="16"/>
  <c r="E89" i="16"/>
  <c r="AB30" i="16"/>
  <c r="P22" i="16"/>
  <c r="S30" i="16"/>
  <c r="K30" i="16"/>
  <c r="H30" i="16"/>
  <c r="D5" i="16"/>
  <c r="AA5" i="16"/>
  <c r="W5" i="16"/>
  <c r="S5" i="16"/>
  <c r="O5" i="16"/>
  <c r="K5" i="16"/>
  <c r="G5" i="16"/>
  <c r="AE22" i="16"/>
  <c r="W22" i="16"/>
  <c r="O22" i="16"/>
  <c r="G22" i="16"/>
  <c r="Z22" i="16"/>
  <c r="R22" i="16"/>
  <c r="F22" i="16"/>
  <c r="Y22" i="16"/>
  <c r="Q22" i="16"/>
  <c r="I22" i="16"/>
  <c r="AA30" i="16"/>
  <c r="AD30" i="16"/>
  <c r="V30" i="16"/>
  <c r="J30" i="16"/>
  <c r="AC30" i="16"/>
  <c r="U30" i="16"/>
  <c r="I30" i="16"/>
  <c r="V5" i="16"/>
  <c r="R5" i="16"/>
  <c r="N5" i="16"/>
  <c r="J5" i="16"/>
  <c r="F5" i="16"/>
  <c r="AB5" i="16"/>
  <c r="X5" i="16"/>
  <c r="T5" i="16"/>
  <c r="L5" i="16"/>
  <c r="H5" i="16"/>
  <c r="AA22" i="16"/>
  <c r="AH21" i="16"/>
  <c r="S22" i="16"/>
  <c r="K22" i="16"/>
  <c r="AD22" i="16"/>
  <c r="V22" i="16"/>
  <c r="N22" i="16"/>
  <c r="J22" i="16"/>
  <c r="J21" i="16"/>
  <c r="AC22" i="16"/>
  <c r="AC21" i="16"/>
  <c r="U22" i="16"/>
  <c r="U21" i="16"/>
  <c r="M22" i="16"/>
  <c r="E22" i="16"/>
  <c r="AE30" i="16"/>
  <c r="W30" i="16"/>
  <c r="Z30" i="16"/>
  <c r="R30" i="16"/>
  <c r="N30" i="16"/>
  <c r="F30" i="16"/>
  <c r="Y30" i="16"/>
  <c r="Q30" i="16"/>
  <c r="M30" i="16"/>
  <c r="E30" i="16"/>
  <c r="Z5" i="16"/>
  <c r="AC5" i="16"/>
  <c r="Y5" i="16"/>
  <c r="U5" i="16"/>
  <c r="Q5" i="16"/>
  <c r="M5" i="16"/>
  <c r="I5" i="16"/>
  <c r="E5" i="16"/>
  <c r="AC90" i="16"/>
  <c r="Y90" i="16"/>
  <c r="Q90" i="16"/>
  <c r="I90" i="16"/>
  <c r="U90" i="16"/>
  <c r="M90" i="16"/>
  <c r="E90" i="16"/>
  <c r="AE51" i="16"/>
  <c r="AB51" i="16"/>
  <c r="X51" i="16"/>
  <c r="T51" i="16"/>
  <c r="P51" i="16"/>
  <c r="L51" i="16"/>
  <c r="H51" i="16"/>
  <c r="AA51" i="16"/>
  <c r="AG51" i="16"/>
  <c r="W51" i="16"/>
  <c r="S51" i="16"/>
  <c r="S89" i="16"/>
  <c r="O51" i="16"/>
  <c r="K51" i="16"/>
  <c r="G51" i="16"/>
  <c r="AD51" i="16"/>
  <c r="AD89" i="16"/>
  <c r="Z51" i="16"/>
  <c r="V51" i="16"/>
  <c r="R51" i="16"/>
  <c r="R89" i="16"/>
  <c r="N51" i="16"/>
  <c r="N89" i="16"/>
  <c r="J51" i="16"/>
  <c r="F51" i="16"/>
  <c r="U41" i="16"/>
  <c r="U80" i="16"/>
  <c r="E41" i="16"/>
  <c r="E80" i="16"/>
  <c r="D51" i="16"/>
  <c r="D30" i="16"/>
  <c r="AE5" i="16"/>
  <c r="P21" i="16"/>
  <c r="Z21" i="16"/>
  <c r="T21" i="16"/>
  <c r="L21" i="16"/>
  <c r="I41" i="16"/>
  <c r="I80" i="16"/>
  <c r="D21" i="16"/>
  <c r="Y41" i="16"/>
  <c r="Y80" i="16"/>
  <c r="AD41" i="16"/>
  <c r="AD80" i="16"/>
  <c r="K21" i="16"/>
  <c r="R21" i="16"/>
  <c r="X21" i="16"/>
  <c r="E21" i="16"/>
  <c r="W21" i="16"/>
  <c r="AA21" i="16"/>
  <c r="AG21" i="16"/>
  <c r="G21" i="16"/>
  <c r="N21" i="16"/>
  <c r="S21" i="16"/>
  <c r="I21" i="16"/>
  <c r="Q21" i="16"/>
  <c r="AE21" i="16"/>
  <c r="H21" i="16"/>
  <c r="S41" i="16"/>
  <c r="S80" i="16"/>
  <c r="V21" i="16"/>
  <c r="M41" i="16"/>
  <c r="M80" i="16"/>
  <c r="AC41" i="16"/>
  <c r="AC80" i="16"/>
  <c r="M21" i="16"/>
  <c r="O21" i="16"/>
  <c r="Y21" i="16"/>
  <c r="Q41" i="16"/>
  <c r="Q80" i="16"/>
  <c r="N41" i="16"/>
  <c r="N80" i="16"/>
  <c r="AD21" i="16"/>
  <c r="AM31" i="16"/>
  <c r="F21" i="16"/>
  <c r="AB21" i="16"/>
  <c r="G41" i="16"/>
  <c r="G80" i="16"/>
  <c r="G89" i="16"/>
  <c r="W41" i="16"/>
  <c r="W80" i="16"/>
  <c r="W89" i="16"/>
  <c r="P41" i="16"/>
  <c r="P80" i="16"/>
  <c r="P89" i="16"/>
  <c r="AE41" i="16"/>
  <c r="AE80" i="16"/>
  <c r="AE89" i="16"/>
  <c r="D41" i="16"/>
  <c r="D80" i="16"/>
  <c r="D89" i="16"/>
  <c r="F41" i="16"/>
  <c r="F80" i="16"/>
  <c r="F89" i="16"/>
  <c r="V41" i="16"/>
  <c r="V80" i="16"/>
  <c r="V89" i="16"/>
  <c r="K41" i="16"/>
  <c r="K80" i="16"/>
  <c r="K89" i="16"/>
  <c r="AA41" i="16"/>
  <c r="AA80" i="16"/>
  <c r="AA89" i="16"/>
  <c r="AH89" i="16"/>
  <c r="T41" i="16"/>
  <c r="T80" i="16"/>
  <c r="T89" i="16"/>
  <c r="R41" i="16"/>
  <c r="R80" i="16"/>
  <c r="J41" i="16"/>
  <c r="J80" i="16"/>
  <c r="J89" i="16"/>
  <c r="Z41" i="16"/>
  <c r="Z80" i="16"/>
  <c r="Z89" i="16"/>
  <c r="O41" i="16"/>
  <c r="O80" i="16"/>
  <c r="O89" i="16"/>
  <c r="H41" i="16"/>
  <c r="H80" i="16"/>
  <c r="H89" i="16"/>
  <c r="X41" i="16"/>
  <c r="X80" i="16"/>
  <c r="X89" i="16"/>
  <c r="L41" i="16"/>
  <c r="L80" i="16"/>
  <c r="L89" i="16"/>
  <c r="AB41" i="16"/>
  <c r="AB80" i="16"/>
  <c r="AB89" i="16"/>
  <c r="U45" i="15"/>
  <c r="V45" i="15"/>
  <c r="W45" i="15"/>
  <c r="X45" i="15"/>
  <c r="Y45" i="15"/>
  <c r="Z45" i="15"/>
  <c r="AA45" i="15"/>
  <c r="AB45" i="15"/>
  <c r="AC45" i="15"/>
  <c r="AD45" i="15"/>
  <c r="AE45" i="15"/>
  <c r="AF45" i="15"/>
  <c r="AG45" i="15"/>
  <c r="AH45" i="15"/>
  <c r="AI45" i="15"/>
  <c r="AJ45" i="15"/>
  <c r="T45" i="15"/>
  <c r="U41" i="15"/>
  <c r="V41" i="15"/>
  <c r="W41" i="15"/>
  <c r="X41" i="15"/>
  <c r="Y41" i="15"/>
  <c r="Z41" i="15"/>
  <c r="AA41" i="15"/>
  <c r="AB41" i="15"/>
  <c r="AC41" i="15"/>
  <c r="AD41" i="15"/>
  <c r="AE41" i="15"/>
  <c r="AF41" i="15"/>
  <c r="AG41" i="15"/>
  <c r="AH41" i="15"/>
  <c r="AI41" i="15"/>
  <c r="AJ41" i="15"/>
  <c r="U42" i="15"/>
  <c r="V42" i="15"/>
  <c r="W42" i="15"/>
  <c r="X42" i="15"/>
  <c r="Y42" i="15"/>
  <c r="Z42" i="15"/>
  <c r="AA42" i="15"/>
  <c r="AB42" i="15"/>
  <c r="AC42" i="15"/>
  <c r="AD42" i="15"/>
  <c r="AE42" i="15"/>
  <c r="AF42" i="15"/>
  <c r="AG42" i="15"/>
  <c r="AH42" i="15"/>
  <c r="AI42" i="15"/>
  <c r="AJ42" i="15"/>
  <c r="U43" i="15"/>
  <c r="V43" i="15"/>
  <c r="W43" i="15"/>
  <c r="X43" i="15"/>
  <c r="Y43" i="15"/>
  <c r="Z43" i="15"/>
  <c r="AA43" i="15"/>
  <c r="AB43" i="15"/>
  <c r="AC43" i="15"/>
  <c r="AD43" i="15"/>
  <c r="AE43" i="15"/>
  <c r="AF43" i="15"/>
  <c r="AG43" i="15"/>
  <c r="AH43" i="15"/>
  <c r="AI43" i="15"/>
  <c r="AJ43" i="15"/>
  <c r="U44" i="15"/>
  <c r="V44" i="15"/>
  <c r="W44" i="15"/>
  <c r="X44" i="15"/>
  <c r="Y44" i="15"/>
  <c r="Z44" i="15"/>
  <c r="AA44" i="15"/>
  <c r="AB44" i="15"/>
  <c r="AC44" i="15"/>
  <c r="AD44" i="15"/>
  <c r="AE44" i="15"/>
  <c r="AF44" i="15"/>
  <c r="AG44" i="15"/>
  <c r="AH44" i="15"/>
  <c r="AI44" i="15"/>
  <c r="AJ44" i="15"/>
  <c r="T41" i="15"/>
  <c r="T42" i="15"/>
  <c r="T43" i="15"/>
  <c r="T44" i="15"/>
  <c r="U28" i="15"/>
  <c r="V28" i="15"/>
  <c r="W28" i="15"/>
  <c r="X28" i="15"/>
  <c r="Y28" i="15"/>
  <c r="Z28" i="15"/>
  <c r="AA28" i="15"/>
  <c r="AB28" i="15"/>
  <c r="AC28" i="15"/>
  <c r="AD28" i="15"/>
  <c r="AE28" i="15"/>
  <c r="AF28" i="15"/>
  <c r="AG28" i="15"/>
  <c r="AH28" i="15"/>
  <c r="AI28" i="15"/>
  <c r="AJ28" i="15"/>
  <c r="T28" i="15"/>
  <c r="U16" i="15"/>
  <c r="V16" i="15"/>
  <c r="W16" i="15"/>
  <c r="X16" i="15"/>
  <c r="Y16" i="15"/>
  <c r="Z16" i="15"/>
  <c r="AA16" i="15"/>
  <c r="AB16" i="15"/>
  <c r="AC16" i="15"/>
  <c r="AD16" i="15"/>
  <c r="AE16" i="15"/>
  <c r="AF16" i="15"/>
  <c r="AG16" i="15"/>
  <c r="AH16" i="15"/>
  <c r="AI16" i="15"/>
  <c r="AJ16" i="15"/>
  <c r="T16" i="15"/>
  <c r="U4" i="15"/>
  <c r="V4" i="15"/>
  <c r="W4" i="15"/>
  <c r="X4" i="15"/>
  <c r="Y4" i="15"/>
  <c r="Z4" i="15"/>
  <c r="AA4" i="15"/>
  <c r="AB4" i="15"/>
  <c r="AC4" i="15"/>
  <c r="AD4" i="15"/>
  <c r="AE4" i="15"/>
  <c r="AF4" i="15"/>
  <c r="AG4" i="15"/>
  <c r="AH4" i="15"/>
  <c r="AI4" i="15"/>
  <c r="AJ4" i="15"/>
  <c r="T4" i="15"/>
  <c r="AI40" i="15"/>
  <c r="AE40" i="15"/>
  <c r="AA40" i="15"/>
  <c r="W40" i="15"/>
  <c r="T40" i="15"/>
  <c r="U40" i="15"/>
  <c r="AM32" i="16"/>
  <c r="AG40" i="15"/>
  <c r="AC40" i="15"/>
  <c r="AJ40" i="15"/>
  <c r="AF40" i="15"/>
  <c r="AB40" i="15"/>
  <c r="X40" i="15"/>
  <c r="AH40" i="15"/>
  <c r="AD40" i="15"/>
  <c r="Z40" i="15"/>
  <c r="V40" i="15"/>
  <c r="Y40" i="15"/>
  <c r="J26" i="12"/>
  <c r="L28" i="12"/>
  <c r="K28" i="12"/>
  <c r="J28" i="12"/>
  <c r="L27" i="12"/>
  <c r="K27" i="12"/>
  <c r="J27" i="12"/>
  <c r="L26" i="12"/>
  <c r="K26" i="12"/>
  <c r="L25" i="12"/>
  <c r="K25" i="12"/>
  <c r="J25" i="12"/>
  <c r="L24" i="12"/>
  <c r="K24" i="12"/>
  <c r="J24" i="12"/>
  <c r="L23" i="12"/>
  <c r="K23" i="12"/>
  <c r="J23" i="12"/>
  <c r="L22" i="12"/>
  <c r="K22" i="12"/>
  <c r="J22" i="12"/>
  <c r="E25" i="12"/>
  <c r="F25" i="12"/>
  <c r="E26" i="12"/>
  <c r="F26" i="12"/>
  <c r="E27" i="12"/>
  <c r="F27" i="12"/>
  <c r="E28" i="12"/>
  <c r="F28" i="12"/>
  <c r="D28" i="12"/>
  <c r="D27" i="12"/>
  <c r="D26" i="12"/>
  <c r="D25" i="12"/>
  <c r="E22" i="12"/>
  <c r="F22" i="12"/>
  <c r="E23" i="12"/>
  <c r="F23" i="12"/>
  <c r="E24" i="12"/>
  <c r="F24" i="12"/>
  <c r="D23" i="12"/>
  <c r="D24" i="12"/>
  <c r="D22" i="12"/>
  <c r="Q14" i="15"/>
  <c r="Q15" i="15"/>
  <c r="M14" i="15"/>
  <c r="M15" i="15"/>
  <c r="I14" i="15"/>
  <c r="I15" i="15"/>
  <c r="E14" i="15"/>
  <c r="E15" i="15"/>
  <c r="R26" i="15"/>
  <c r="R27" i="15"/>
  <c r="N26" i="15"/>
  <c r="N27" i="15"/>
  <c r="J26" i="15"/>
  <c r="J27" i="15"/>
  <c r="F26" i="15"/>
  <c r="F27" i="15"/>
  <c r="P14" i="15"/>
  <c r="P15" i="15"/>
  <c r="L14" i="15"/>
  <c r="L15" i="15"/>
  <c r="H14" i="15"/>
  <c r="H15" i="15"/>
  <c r="D14" i="15"/>
  <c r="D15" i="15"/>
  <c r="Q26" i="15"/>
  <c r="Q27" i="15"/>
  <c r="M26" i="15"/>
  <c r="M27" i="15"/>
  <c r="I26" i="15"/>
  <c r="I27" i="15"/>
  <c r="E26" i="15"/>
  <c r="E27" i="15"/>
  <c r="S14" i="15"/>
  <c r="S15" i="15"/>
  <c r="O14" i="15"/>
  <c r="O15" i="15"/>
  <c r="K14" i="15"/>
  <c r="K15" i="15"/>
  <c r="G14" i="15"/>
  <c r="G15" i="15"/>
  <c r="C14" i="15"/>
  <c r="C15" i="15"/>
  <c r="P26" i="15"/>
  <c r="P27" i="15"/>
  <c r="L26" i="15"/>
  <c r="L27" i="15"/>
  <c r="H26" i="15"/>
  <c r="H27" i="15"/>
  <c r="D26" i="15"/>
  <c r="D27" i="15"/>
  <c r="R14" i="15"/>
  <c r="R15" i="15"/>
  <c r="N14" i="15"/>
  <c r="N15" i="15"/>
  <c r="J14" i="15"/>
  <c r="J15" i="15"/>
  <c r="F14" i="15"/>
  <c r="F15" i="15"/>
  <c r="S26" i="15"/>
  <c r="S27" i="15"/>
  <c r="O26" i="15"/>
  <c r="O27" i="15"/>
  <c r="K26" i="15"/>
  <c r="K27" i="15"/>
  <c r="G26" i="15"/>
  <c r="G27" i="15"/>
  <c r="C26" i="15"/>
  <c r="C27" i="15"/>
  <c r="Q4" i="12"/>
  <c r="R4" i="12"/>
  <c r="Q5" i="12"/>
  <c r="R5" i="12"/>
  <c r="Q6" i="12"/>
  <c r="R6" i="12"/>
  <c r="Q7" i="12"/>
  <c r="R7" i="12"/>
  <c r="Q8" i="12"/>
  <c r="R8" i="12"/>
  <c r="Q9" i="12"/>
  <c r="R9" i="12"/>
  <c r="Q10" i="12"/>
  <c r="R10" i="12"/>
  <c r="Q11" i="12"/>
  <c r="R11" i="12"/>
  <c r="Q12" i="12"/>
  <c r="R12" i="12"/>
  <c r="Q13" i="12"/>
  <c r="R13" i="12"/>
  <c r="Q14" i="12"/>
  <c r="R14" i="12"/>
  <c r="Q15" i="12"/>
  <c r="R15" i="12"/>
  <c r="Q16" i="12"/>
  <c r="R16" i="12"/>
  <c r="Q17" i="12"/>
  <c r="R17" i="12"/>
  <c r="Q18" i="12"/>
  <c r="R18" i="12"/>
  <c r="Q19" i="12"/>
  <c r="R19" i="12"/>
  <c r="Q20" i="12"/>
  <c r="R20" i="12"/>
  <c r="Q21" i="12"/>
  <c r="R21" i="12"/>
  <c r="P5" i="12"/>
  <c r="P6" i="12"/>
  <c r="P7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4" i="12"/>
  <c r="I41" i="6"/>
  <c r="I60" i="6"/>
  <c r="I61" i="6"/>
  <c r="I62" i="6"/>
  <c r="I63" i="6"/>
  <c r="I64" i="6"/>
  <c r="I65" i="6"/>
  <c r="I66" i="6"/>
  <c r="I67" i="6"/>
  <c r="I68" i="6"/>
  <c r="I72" i="6"/>
  <c r="I73" i="6"/>
  <c r="K41" i="6"/>
  <c r="K63" i="6"/>
  <c r="E33" i="12"/>
  <c r="F33" i="12"/>
  <c r="E34" i="12"/>
  <c r="F34" i="12"/>
  <c r="E35" i="12"/>
  <c r="F35" i="12"/>
  <c r="D34" i="12"/>
  <c r="D35" i="12"/>
  <c r="D33" i="12"/>
  <c r="H60" i="6"/>
  <c r="O158" i="5"/>
  <c r="P158" i="5"/>
  <c r="Q158" i="5"/>
  <c r="R158" i="5"/>
  <c r="S158" i="5"/>
  <c r="T158" i="5"/>
  <c r="U158" i="5"/>
  <c r="V158" i="5"/>
  <c r="Q27" i="12"/>
  <c r="R26" i="12"/>
  <c r="Q25" i="12"/>
  <c r="R27" i="12"/>
  <c r="Q28" i="12"/>
  <c r="R28" i="12"/>
  <c r="R25" i="12"/>
  <c r="L38" i="15"/>
  <c r="L39" i="15"/>
  <c r="S38" i="15"/>
  <c r="S39" i="15"/>
  <c r="G38" i="15"/>
  <c r="G39" i="15"/>
  <c r="N38" i="15"/>
  <c r="N39" i="15"/>
  <c r="P38" i="15"/>
  <c r="P39" i="15"/>
  <c r="H38" i="15"/>
  <c r="H39" i="15"/>
  <c r="D38" i="15"/>
  <c r="D39" i="15"/>
  <c r="O38" i="15"/>
  <c r="O39" i="15"/>
  <c r="K38" i="15"/>
  <c r="K39" i="15"/>
  <c r="C38" i="15"/>
  <c r="C39" i="15"/>
  <c r="R38" i="15"/>
  <c r="R39" i="15"/>
  <c r="J38" i="15"/>
  <c r="J39" i="15"/>
  <c r="F38" i="15"/>
  <c r="F39" i="15"/>
  <c r="Q38" i="15"/>
  <c r="Q39" i="15"/>
  <c r="M38" i="15"/>
  <c r="M39" i="15"/>
  <c r="I38" i="15"/>
  <c r="I39" i="15"/>
  <c r="E38" i="15"/>
  <c r="E39" i="15"/>
  <c r="P27" i="12"/>
  <c r="Q26" i="12"/>
  <c r="Q24" i="12"/>
  <c r="P28" i="12"/>
  <c r="P23" i="12"/>
  <c r="R24" i="12"/>
  <c r="Q23" i="12"/>
  <c r="P22" i="12"/>
  <c r="R23" i="12"/>
  <c r="P24" i="12"/>
  <c r="Q22" i="12"/>
  <c r="P26" i="12"/>
  <c r="R22" i="12"/>
  <c r="P25" i="12"/>
  <c r="AF199" i="5"/>
  <c r="AE199" i="5"/>
  <c r="AD199" i="5"/>
  <c r="AC199" i="5"/>
  <c r="AB199" i="5"/>
  <c r="AA199" i="5"/>
  <c r="Z199" i="5"/>
  <c r="Y199" i="5"/>
  <c r="X199" i="5"/>
  <c r="W199" i="5"/>
  <c r="V199" i="5"/>
  <c r="U199" i="5"/>
  <c r="T199" i="5"/>
  <c r="S199" i="5"/>
  <c r="R199" i="5"/>
  <c r="Q199" i="5"/>
  <c r="P199" i="5"/>
  <c r="AF197" i="5"/>
  <c r="AF67" i="5" s="1"/>
  <c r="AE197" i="5"/>
  <c r="AD197" i="5"/>
  <c r="AC197" i="5"/>
  <c r="AB197" i="5"/>
  <c r="AA197" i="5"/>
  <c r="Z197" i="5"/>
  <c r="Y197" i="5"/>
  <c r="X197" i="5"/>
  <c r="W197" i="5"/>
  <c r="V197" i="5"/>
  <c r="U197" i="5"/>
  <c r="AY45" i="5" s="1"/>
  <c r="T197" i="5"/>
  <c r="S197" i="5"/>
  <c r="R197" i="5"/>
  <c r="Q197" i="5"/>
  <c r="P197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J3" i="3"/>
  <c r="I3" i="3" s="1"/>
  <c r="H3" i="3" s="1"/>
  <c r="G3" i="3" s="1"/>
  <c r="F3" i="3" s="1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AF63" i="5"/>
  <c r="U46" i="5"/>
  <c r="U56" i="5" s="1"/>
  <c r="S10" i="18" s="1"/>
  <c r="R80" i="6"/>
  <c r="U45" i="5"/>
  <c r="R79" i="6"/>
  <c r="U41" i="5"/>
  <c r="R76" i="6" s="1"/>
  <c r="AZ45" i="5"/>
  <c r="E112" i="12"/>
  <c r="E108" i="12"/>
  <c r="E111" i="12"/>
  <c r="E113" i="12"/>
  <c r="E115" i="12"/>
  <c r="E109" i="12"/>
  <c r="E107" i="12"/>
  <c r="E110" i="12"/>
  <c r="E114" i="12"/>
  <c r="R83" i="6"/>
  <c r="R85" i="6"/>
  <c r="U43" i="5"/>
  <c r="R78" i="6" s="1"/>
  <c r="S16" i="18"/>
  <c r="T46" i="5"/>
  <c r="H41" i="6"/>
  <c r="H61" i="6"/>
  <c r="H62" i="6"/>
  <c r="H63" i="6"/>
  <c r="H64" i="6"/>
  <c r="H65" i="6"/>
  <c r="H66" i="6"/>
  <c r="H67" i="6"/>
  <c r="H72" i="6"/>
  <c r="H73" i="6"/>
  <c r="Q78" i="6"/>
  <c r="S65" i="5"/>
  <c r="S43" i="5" s="1"/>
  <c r="P78" i="6" s="1"/>
  <c r="S46" i="5"/>
  <c r="E106" i="12"/>
  <c r="F155" i="5"/>
  <c r="J155" i="5"/>
  <c r="N155" i="5"/>
  <c r="R155" i="5"/>
  <c r="V155" i="5"/>
  <c r="H155" i="5"/>
  <c r="L155" i="5"/>
  <c r="P155" i="5"/>
  <c r="M155" i="5"/>
  <c r="G155" i="5"/>
  <c r="K155" i="5"/>
  <c r="O155" i="5"/>
  <c r="S155" i="5"/>
  <c r="T155" i="5"/>
  <c r="I155" i="5"/>
  <c r="Q155" i="5"/>
  <c r="U155" i="5"/>
  <c r="D37" i="12"/>
  <c r="E37" i="12"/>
  <c r="F37" i="12"/>
  <c r="D38" i="12"/>
  <c r="E38" i="12"/>
  <c r="F38" i="12"/>
  <c r="D39" i="12"/>
  <c r="F39" i="12"/>
  <c r="E39" i="12"/>
  <c r="E63" i="6"/>
  <c r="E66" i="6"/>
  <c r="E67" i="6"/>
  <c r="S68" i="11" s="1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S5" i="4"/>
  <c r="R5" i="4" s="1"/>
  <c r="Q5" i="4" s="1"/>
  <c r="P5" i="4" s="1"/>
  <c r="O5" i="4" s="1"/>
  <c r="N5" i="4" s="1"/>
  <c r="M5" i="4" s="1"/>
  <c r="L5" i="4" s="1"/>
  <c r="K5" i="4" s="1"/>
  <c r="J5" i="4" s="1"/>
  <c r="I5" i="4" s="1"/>
  <c r="H5" i="4" s="1"/>
  <c r="G5" i="4" s="1"/>
  <c r="F5" i="4" s="1"/>
  <c r="T5" i="4"/>
  <c r="U5" i="4"/>
  <c r="V5" i="4"/>
  <c r="W5" i="4"/>
  <c r="X5" i="4"/>
  <c r="Y5" i="4"/>
  <c r="Z5" i="4"/>
  <c r="AA5" i="4"/>
  <c r="AB5" i="4"/>
  <c r="AC5" i="4"/>
  <c r="AD5" i="4"/>
  <c r="AE5" i="4"/>
  <c r="AF5" i="4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S7" i="3"/>
  <c r="R7" i="3"/>
  <c r="Q7" i="3" s="1"/>
  <c r="P7" i="3" s="1"/>
  <c r="O7" i="3" s="1"/>
  <c r="N7" i="3" s="1"/>
  <c r="M7" i="3" s="1"/>
  <c r="L7" i="3" s="1"/>
  <c r="K7" i="3" s="1"/>
  <c r="J7" i="3" s="1"/>
  <c r="I7" i="3" s="1"/>
  <c r="H7" i="3" s="1"/>
  <c r="G7" i="3" s="1"/>
  <c r="F7" i="3" s="1"/>
  <c r="S6" i="3"/>
  <c r="S5" i="3"/>
  <c r="R5" i="3" s="1"/>
  <c r="Q5" i="3" s="1"/>
  <c r="S4" i="3"/>
  <c r="R4" i="3" s="1"/>
  <c r="Q4" i="3" s="1"/>
  <c r="P4" i="3" s="1"/>
  <c r="O4" i="3" s="1"/>
  <c r="N4" i="3" s="1"/>
  <c r="M4" i="3" s="1"/>
  <c r="L4" i="3" s="1"/>
  <c r="K4" i="3" s="1"/>
  <c r="J4" i="3" s="1"/>
  <c r="I4" i="3" s="1"/>
  <c r="H4" i="3" s="1"/>
  <c r="G4" i="3" s="1"/>
  <c r="F4" i="3" s="1"/>
  <c r="S3" i="3"/>
  <c r="R3" i="3" s="1"/>
  <c r="L19" i="5"/>
  <c r="M19" i="5"/>
  <c r="N19" i="5"/>
  <c r="O19" i="5"/>
  <c r="P19" i="5"/>
  <c r="Q19" i="5"/>
  <c r="R19" i="5"/>
  <c r="S19" i="5"/>
  <c r="T19" i="5"/>
  <c r="U19" i="5"/>
  <c r="V19" i="5"/>
  <c r="L20" i="5"/>
  <c r="M20" i="5"/>
  <c r="N20" i="5"/>
  <c r="O20" i="5"/>
  <c r="P20" i="5"/>
  <c r="Q20" i="5"/>
  <c r="R20" i="5"/>
  <c r="S20" i="5"/>
  <c r="T20" i="5"/>
  <c r="U20" i="5"/>
  <c r="V20" i="5"/>
  <c r="L16" i="5"/>
  <c r="M16" i="5"/>
  <c r="N16" i="5"/>
  <c r="O16" i="5"/>
  <c r="P16" i="5"/>
  <c r="Q16" i="5"/>
  <c r="R16" i="5"/>
  <c r="S16" i="5"/>
  <c r="T16" i="5"/>
  <c r="U16" i="5"/>
  <c r="V16" i="5"/>
  <c r="L17" i="5"/>
  <c r="M17" i="5"/>
  <c r="N17" i="5"/>
  <c r="O17" i="5"/>
  <c r="P17" i="5"/>
  <c r="Q17" i="5"/>
  <c r="R17" i="5"/>
  <c r="S17" i="5"/>
  <c r="T17" i="5"/>
  <c r="U17" i="5"/>
  <c r="V17" i="5"/>
  <c r="R46" i="5"/>
  <c r="R56" i="5" s="1"/>
  <c r="P10" i="18" s="1"/>
  <c r="P16" i="18" s="1"/>
  <c r="AG4" i="4"/>
  <c r="I20" i="5"/>
  <c r="J19" i="5"/>
  <c r="J16" i="5"/>
  <c r="I17" i="5"/>
  <c r="K16" i="5"/>
  <c r="K20" i="5"/>
  <c r="S67" i="11"/>
  <c r="L68" i="11"/>
  <c r="AG4" i="3"/>
  <c r="AG5" i="4"/>
  <c r="J20" i="5"/>
  <c r="AG5" i="3"/>
  <c r="K19" i="5"/>
  <c r="I16" i="5"/>
  <c r="K17" i="5"/>
  <c r="J17" i="5"/>
  <c r="I19" i="5"/>
  <c r="M43" i="5"/>
  <c r="E241" i="5"/>
  <c r="F242" i="5"/>
  <c r="E242" i="5"/>
  <c r="L241" i="5"/>
  <c r="I242" i="5"/>
  <c r="G240" i="5"/>
  <c r="L242" i="5"/>
  <c r="K241" i="5"/>
  <c r="J241" i="5"/>
  <c r="D242" i="5"/>
  <c r="M242" i="5"/>
  <c r="S242" i="5"/>
  <c r="P241" i="5"/>
  <c r="S241" i="5"/>
  <c r="H242" i="5"/>
  <c r="Q242" i="5"/>
  <c r="H241" i="5"/>
  <c r="D240" i="5"/>
  <c r="R240" i="5"/>
  <c r="F240" i="5"/>
  <c r="I241" i="5"/>
  <c r="K242" i="5"/>
  <c r="K240" i="5"/>
  <c r="U242" i="5"/>
  <c r="T241" i="5"/>
  <c r="U241" i="5"/>
  <c r="V241" i="5"/>
  <c r="L240" i="5"/>
  <c r="R241" i="5"/>
  <c r="J242" i="5"/>
  <c r="R242" i="5"/>
  <c r="Q240" i="5"/>
  <c r="O241" i="5"/>
  <c r="F241" i="5"/>
  <c r="H240" i="5"/>
  <c r="G241" i="5"/>
  <c r="P240" i="5"/>
  <c r="M240" i="5"/>
  <c r="Q241" i="5"/>
  <c r="T242" i="5"/>
  <c r="G242" i="5"/>
  <c r="O240" i="5"/>
  <c r="V242" i="5"/>
  <c r="D241" i="5"/>
  <c r="E240" i="5"/>
  <c r="S240" i="5"/>
  <c r="V240" i="5"/>
  <c r="I240" i="5"/>
  <c r="M241" i="5"/>
  <c r="U240" i="5"/>
  <c r="P242" i="5"/>
  <c r="J240" i="5"/>
  <c r="T240" i="5"/>
  <c r="O242" i="5"/>
  <c r="AH3" i="3" l="1"/>
  <c r="AB95" i="6"/>
  <c r="AD4" i="11"/>
  <c r="Y4" i="11"/>
  <c r="P68" i="11"/>
  <c r="K68" i="11"/>
  <c r="F68" i="11"/>
  <c r="P67" i="11"/>
  <c r="R67" i="11"/>
  <c r="J6" i="11"/>
  <c r="E5" i="11"/>
  <c r="U4" i="11"/>
  <c r="O30" i="11"/>
  <c r="M21" i="11"/>
  <c r="T13" i="11"/>
  <c r="W90" i="6"/>
  <c r="AT33" i="11"/>
  <c r="AT40" i="11" s="1"/>
  <c r="AK6" i="11"/>
  <c r="AB71" i="11"/>
  <c r="AD21" i="11"/>
  <c r="M68" i="11"/>
  <c r="AF12" i="11"/>
  <c r="V15" i="11"/>
  <c r="E116" i="12"/>
  <c r="E15" i="11"/>
  <c r="P71" i="11"/>
  <c r="Q6" i="11"/>
  <c r="I21" i="11"/>
  <c r="I24" i="11"/>
  <c r="I6" i="11"/>
  <c r="V71" i="11"/>
  <c r="U91" i="6"/>
  <c r="Z91" i="6"/>
  <c r="AW71" i="11"/>
  <c r="AF63" i="11"/>
  <c r="AF91" i="11" s="1"/>
  <c r="M15" i="11"/>
  <c r="K21" i="11"/>
  <c r="I30" i="11"/>
  <c r="I15" i="11"/>
  <c r="F5" i="11"/>
  <c r="AN41" i="11"/>
  <c r="AN103" i="11" s="1"/>
  <c r="V41" i="11"/>
  <c r="V103" i="11" s="1"/>
  <c r="AL30" i="11"/>
  <c r="AV42" i="11"/>
  <c r="AV87" i="11" s="1"/>
  <c r="T68" i="11"/>
  <c r="J67" i="11"/>
  <c r="N5" i="11"/>
  <c r="AF6" i="11"/>
  <c r="Q16" i="11"/>
  <c r="P18" i="11"/>
  <c r="O18" i="11"/>
  <c r="L21" i="11"/>
  <c r="L18" i="11"/>
  <c r="AT24" i="11"/>
  <c r="K16" i="11"/>
  <c r="X24" i="11"/>
  <c r="F6" i="11"/>
  <c r="E65" i="11"/>
  <c r="AC92" i="6"/>
  <c r="BB32" i="11"/>
  <c r="BB39" i="11" s="1"/>
  <c r="G67" i="11"/>
  <c r="T6" i="11"/>
  <c r="L6" i="11"/>
  <c r="AZ21" i="11"/>
  <c r="R15" i="11"/>
  <c r="AH71" i="11"/>
  <c r="AY21" i="11"/>
  <c r="Y90" i="6"/>
  <c r="G64" i="11"/>
  <c r="BA68" i="11"/>
  <c r="Q30" i="11"/>
  <c r="BB31" i="11"/>
  <c r="T24" i="11"/>
  <c r="AJ12" i="11"/>
  <c r="S6" i="11"/>
  <c r="Q18" i="11"/>
  <c r="AY24" i="11"/>
  <c r="P9" i="11"/>
  <c r="AW24" i="11"/>
  <c r="N30" i="11"/>
  <c r="N15" i="11"/>
  <c r="K24" i="11"/>
  <c r="Y22" i="11"/>
  <c r="H5" i="11"/>
  <c r="G15" i="11"/>
  <c r="AL4" i="11"/>
  <c r="Q73" i="6"/>
  <c r="AP74" i="11" s="1"/>
  <c r="AP99" i="11" s="1"/>
  <c r="J33" i="5"/>
  <c r="L43" i="5"/>
  <c r="K65" i="5"/>
  <c r="L73" i="5"/>
  <c r="J54" i="18" s="1"/>
  <c r="AD5" i="18"/>
  <c r="AG51" i="5"/>
  <c r="Q85" i="6"/>
  <c r="AX45" i="5"/>
  <c r="Y54" i="18"/>
  <c r="AA65" i="5"/>
  <c r="AD54" i="18"/>
  <c r="AF65" i="5"/>
  <c r="AC93" i="6" s="1"/>
  <c r="AC95" i="6" s="1"/>
  <c r="R73" i="6"/>
  <c r="I74" i="11" s="1"/>
  <c r="I99" i="11" s="1"/>
  <c r="H13" i="15" s="1"/>
  <c r="K33" i="5"/>
  <c r="W55" i="5"/>
  <c r="U9" i="18" s="1"/>
  <c r="P5" i="3"/>
  <c r="O5" i="3" s="1"/>
  <c r="N5" i="3" s="1"/>
  <c r="M5" i="3" s="1"/>
  <c r="L5" i="3" s="1"/>
  <c r="K5" i="3" s="1"/>
  <c r="J5" i="3" s="1"/>
  <c r="I5" i="3" s="1"/>
  <c r="H5" i="3" s="1"/>
  <c r="G5" i="3" s="1"/>
  <c r="F5" i="3" s="1"/>
  <c r="U73" i="5"/>
  <c r="S54" i="18" s="1"/>
  <c r="U55" i="5"/>
  <c r="S9" i="18" s="1"/>
  <c r="T45" i="5"/>
  <c r="AF64" i="5"/>
  <c r="Y55" i="5"/>
  <c r="W9" i="18" s="1"/>
  <c r="V79" i="6"/>
  <c r="V91" i="6" s="1"/>
  <c r="W54" i="18"/>
  <c r="Y65" i="5"/>
  <c r="AA8" i="18"/>
  <c r="AC43" i="5"/>
  <c r="Z78" i="6" s="1"/>
  <c r="AC38" i="6"/>
  <c r="AF55" i="5"/>
  <c r="AA15" i="11"/>
  <c r="F108" i="5"/>
  <c r="M15" i="6" s="1"/>
  <c r="D16" i="11" s="1"/>
  <c r="V123" i="5"/>
  <c r="AC27" i="6" s="1"/>
  <c r="V108" i="5"/>
  <c r="AC15" i="6" s="1"/>
  <c r="AK16" i="11" s="1"/>
  <c r="T123" i="5"/>
  <c r="AA27" i="6" s="1"/>
  <c r="R28" i="11" s="1"/>
  <c r="T108" i="5"/>
  <c r="AA15" i="6" s="1"/>
  <c r="R16" i="11" s="1"/>
  <c r="R113" i="5"/>
  <c r="Y19" i="6" s="1"/>
  <c r="P113" i="5"/>
  <c r="W19" i="6" s="1"/>
  <c r="N20" i="11" s="1"/>
  <c r="M123" i="5"/>
  <c r="T27" i="6" s="1"/>
  <c r="K28" i="11" s="1"/>
  <c r="M101" i="5"/>
  <c r="T10" i="6" s="1"/>
  <c r="K11" i="11" s="1"/>
  <c r="L108" i="5"/>
  <c r="S15" i="6" s="1"/>
  <c r="J16" i="11" s="1"/>
  <c r="S73" i="5"/>
  <c r="Q54" i="18" s="1"/>
  <c r="R93" i="6"/>
  <c r="R95" i="6" s="1"/>
  <c r="T41" i="5"/>
  <c r="W225" i="5"/>
  <c r="W232" i="5"/>
  <c r="V53" i="5"/>
  <c r="T7" i="18" s="1"/>
  <c r="U42" i="5"/>
  <c r="AY42" i="5"/>
  <c r="Q83" i="6" s="1"/>
  <c r="AA55" i="5"/>
  <c r="Y9" i="18" s="1"/>
  <c r="X79" i="6"/>
  <c r="X91" i="6" s="1"/>
  <c r="S93" i="6"/>
  <c r="S95" i="6" s="1"/>
  <c r="W65" i="5"/>
  <c r="U54" i="18"/>
  <c r="AB54" i="18"/>
  <c r="AD65" i="5"/>
  <c r="AA93" i="6" s="1"/>
  <c r="AC75" i="6"/>
  <c r="U73" i="6"/>
  <c r="L74" i="11" s="1"/>
  <c r="L99" i="11" s="1"/>
  <c r="L98" i="11" s="1"/>
  <c r="K12" i="15" s="1"/>
  <c r="O33" i="5"/>
  <c r="F101" i="5"/>
  <c r="M10" i="6" s="1"/>
  <c r="AL11" i="11" s="1"/>
  <c r="S113" i="5"/>
  <c r="Z19" i="6" s="1"/>
  <c r="Q20" i="11" s="1"/>
  <c r="N123" i="5"/>
  <c r="U27" i="6" s="1"/>
  <c r="AC28" i="11" s="1"/>
  <c r="N108" i="5"/>
  <c r="U15" i="6" s="1"/>
  <c r="L16" i="11" s="1"/>
  <c r="L101" i="5"/>
  <c r="S10" i="6" s="1"/>
  <c r="J11" i="11" s="1"/>
  <c r="AP15" i="11"/>
  <c r="Y15" i="11"/>
  <c r="I11" i="20"/>
  <c r="I31" i="20" s="1"/>
  <c r="I38" i="20" s="1"/>
  <c r="P5" i="6"/>
  <c r="G6" i="11" s="1"/>
  <c r="S56" i="5"/>
  <c r="Q10" i="18" s="1"/>
  <c r="Q16" i="18" s="1"/>
  <c r="P80" i="6"/>
  <c r="P92" i="6" s="1"/>
  <c r="T56" i="5"/>
  <c r="R10" i="18" s="1"/>
  <c r="R16" i="18" s="1"/>
  <c r="Q80" i="6"/>
  <c r="Q92" i="6" s="1"/>
  <c r="P73" i="6"/>
  <c r="X74" i="11" s="1"/>
  <c r="X99" i="11" s="1"/>
  <c r="I33" i="5"/>
  <c r="H33" i="5" s="1"/>
  <c r="G33" i="5" s="1"/>
  <c r="O73" i="6"/>
  <c r="W74" i="11" s="1"/>
  <c r="BA15" i="11"/>
  <c r="AJ15" i="11"/>
  <c r="G123" i="5"/>
  <c r="N27" i="6" s="1"/>
  <c r="E28" i="11" s="1"/>
  <c r="H108" i="5"/>
  <c r="O15" i="6" s="1"/>
  <c r="W16" i="11" s="1"/>
  <c r="H123" i="5"/>
  <c r="O27" i="6" s="1"/>
  <c r="AN28" i="11" s="1"/>
  <c r="J101" i="5"/>
  <c r="Q10" i="6" s="1"/>
  <c r="H11" i="11" s="1"/>
  <c r="G101" i="5"/>
  <c r="N10" i="6" s="1"/>
  <c r="E11" i="11" s="1"/>
  <c r="J108" i="5"/>
  <c r="Q15" i="6" s="1"/>
  <c r="Y16" i="11" s="1"/>
  <c r="J123" i="5"/>
  <c r="Q27" i="6" s="1"/>
  <c r="H28" i="11" s="1"/>
  <c r="K108" i="5"/>
  <c r="R15" i="6" s="1"/>
  <c r="I16" i="11" s="1"/>
  <c r="M113" i="5"/>
  <c r="T19" i="6" s="1"/>
  <c r="AS20" i="11" s="1"/>
  <c r="N101" i="5"/>
  <c r="U10" i="6" s="1"/>
  <c r="O113" i="5"/>
  <c r="V19" i="6" s="1"/>
  <c r="M20" i="11" s="1"/>
  <c r="P108" i="5"/>
  <c r="W15" i="6" s="1"/>
  <c r="N16" i="11" s="1"/>
  <c r="G108" i="5"/>
  <c r="N15" i="6" s="1"/>
  <c r="V16" i="11" s="1"/>
  <c r="I123" i="5"/>
  <c r="P27" i="6" s="1"/>
  <c r="X28" i="11" s="1"/>
  <c r="K123" i="5"/>
  <c r="R27" i="6" s="1"/>
  <c r="I28" i="11" s="1"/>
  <c r="Q113" i="5"/>
  <c r="X19" i="6" s="1"/>
  <c r="AW20" i="11" s="1"/>
  <c r="R108" i="5"/>
  <c r="Y15" i="6" s="1"/>
  <c r="AG16" i="11" s="1"/>
  <c r="S123" i="5"/>
  <c r="Z27" i="6" s="1"/>
  <c r="Q28" i="11" s="1"/>
  <c r="T101" i="5"/>
  <c r="AA10" i="6" s="1"/>
  <c r="AI11" i="11" s="1"/>
  <c r="U108" i="5"/>
  <c r="AB15" i="6" s="1"/>
  <c r="BA16" i="11" s="1"/>
  <c r="V101" i="5"/>
  <c r="AC10" i="6" s="1"/>
  <c r="BB11" i="11" s="1"/>
  <c r="I101" i="5"/>
  <c r="P10" i="6" s="1"/>
  <c r="G11" i="11" s="1"/>
  <c r="L113" i="5"/>
  <c r="S19" i="6" s="1"/>
  <c r="AR20" i="11" s="1"/>
  <c r="N113" i="5"/>
  <c r="U19" i="6" s="1"/>
  <c r="L20" i="11" s="1"/>
  <c r="O101" i="5"/>
  <c r="V10" i="6" s="1"/>
  <c r="AU11" i="11" s="1"/>
  <c r="Q108" i="5"/>
  <c r="X15" i="6" s="1"/>
  <c r="AF16" i="11" s="1"/>
  <c r="R123" i="5"/>
  <c r="Y27" i="6" s="1"/>
  <c r="AG28" i="11" s="1"/>
  <c r="S101" i="5"/>
  <c r="Z10" i="6" s="1"/>
  <c r="Q11" i="11" s="1"/>
  <c r="T113" i="5"/>
  <c r="AA19" i="6" s="1"/>
  <c r="AI20" i="11" s="1"/>
  <c r="U123" i="5"/>
  <c r="AB27" i="6" s="1"/>
  <c r="V113" i="5"/>
  <c r="AC19" i="6" s="1"/>
  <c r="BB20" i="11" s="1"/>
  <c r="P93" i="6"/>
  <c r="P95" i="6" s="1"/>
  <c r="M73" i="5"/>
  <c r="K54" i="18" s="1"/>
  <c r="N43" i="5"/>
  <c r="N73" i="5"/>
  <c r="L54" i="18" s="1"/>
  <c r="Q46" i="5"/>
  <c r="O80" i="6"/>
  <c r="O92" i="6" s="1"/>
  <c r="R65" i="5"/>
  <c r="Q3" i="3"/>
  <c r="P3" i="3" s="1"/>
  <c r="O3" i="3" s="1"/>
  <c r="N3" i="3" s="1"/>
  <c r="M3" i="3" s="1"/>
  <c r="L3" i="3" s="1"/>
  <c r="T73" i="5"/>
  <c r="R54" i="18" s="1"/>
  <c r="Q93" i="6"/>
  <c r="Q95" i="6" s="1"/>
  <c r="W237" i="5"/>
  <c r="AB79" i="6"/>
  <c r="AB91" i="6" s="1"/>
  <c r="W79" i="6"/>
  <c r="W91" i="6" s="1"/>
  <c r="X55" i="5"/>
  <c r="V9" i="18" s="1"/>
  <c r="W93" i="6"/>
  <c r="V43" i="5"/>
  <c r="S78" i="6" s="1"/>
  <c r="S90" i="6" s="1"/>
  <c r="X65" i="5"/>
  <c r="AC65" i="5"/>
  <c r="Z93" i="6" s="1"/>
  <c r="Z95" i="6" s="1"/>
  <c r="L32" i="5"/>
  <c r="AI18" i="11"/>
  <c r="U101" i="5"/>
  <c r="AB10" i="6" s="1"/>
  <c r="S11" i="11" s="1"/>
  <c r="Q101" i="5"/>
  <c r="X10" i="6" s="1"/>
  <c r="AW11" i="11" s="1"/>
  <c r="O123" i="5"/>
  <c r="V27" i="6" s="1"/>
  <c r="AD28" i="11" s="1"/>
  <c r="O108" i="5"/>
  <c r="V15" i="6" s="1"/>
  <c r="M16" i="11" s="1"/>
  <c r="I108" i="5"/>
  <c r="P15" i="6" s="1"/>
  <c r="AO16" i="11" s="1"/>
  <c r="H101" i="5"/>
  <c r="O10" i="6" s="1"/>
  <c r="F11" i="11" s="1"/>
  <c r="L157" i="5"/>
  <c r="T41" i="6"/>
  <c r="K42" i="11" s="1"/>
  <c r="K87" i="11" s="1"/>
  <c r="M177" i="5"/>
  <c r="M176" i="5" s="1"/>
  <c r="K13" i="20"/>
  <c r="K34" i="20" s="1"/>
  <c r="K41" i="20" s="1"/>
  <c r="R4" i="6"/>
  <c r="I5" i="11" s="1"/>
  <c r="R4" i="4"/>
  <c r="Q4" i="4" s="1"/>
  <c r="P4" i="4" s="1"/>
  <c r="O4" i="4" s="1"/>
  <c r="N4" i="4" s="1"/>
  <c r="M4" i="4" s="1"/>
  <c r="L4" i="4" s="1"/>
  <c r="K4" i="4" s="1"/>
  <c r="J4" i="4" s="1"/>
  <c r="I4" i="4" s="1"/>
  <c r="H4" i="4" s="1"/>
  <c r="G4" i="4" s="1"/>
  <c r="F4" i="4" s="1"/>
  <c r="AZ41" i="5"/>
  <c r="R82" i="6" s="1"/>
  <c r="R88" i="6" s="1"/>
  <c r="AD55" i="5"/>
  <c r="AB9" i="18" s="1"/>
  <c r="AZ43" i="5"/>
  <c r="R84" i="6" s="1"/>
  <c r="R90" i="6" s="1"/>
  <c r="AF52" i="5"/>
  <c r="AG53" i="5" s="1"/>
  <c r="Q63" i="11"/>
  <c r="Q91" i="11" s="1"/>
  <c r="Z71" i="11"/>
  <c r="X189" i="5"/>
  <c r="X187" i="5" s="1"/>
  <c r="AL12" i="11"/>
  <c r="G116" i="5"/>
  <c r="N22" i="6" s="1"/>
  <c r="G126" i="5"/>
  <c r="N30" i="6" s="1"/>
  <c r="V31" i="11" s="1"/>
  <c r="H111" i="5"/>
  <c r="O18" i="6" s="1"/>
  <c r="F19" i="11" s="1"/>
  <c r="J104" i="5"/>
  <c r="Q13" i="6" s="1"/>
  <c r="H14" i="11" s="1"/>
  <c r="J116" i="5"/>
  <c r="Q22" i="6" s="1"/>
  <c r="AP23" i="11" s="1"/>
  <c r="L125" i="5"/>
  <c r="S29" i="6" s="1"/>
  <c r="S35" i="6" s="1"/>
  <c r="G102" i="5"/>
  <c r="N11" i="6" s="1"/>
  <c r="AM12" i="11" s="1"/>
  <c r="H125" i="5"/>
  <c r="O29" i="6" s="1"/>
  <c r="F30" i="11" s="1"/>
  <c r="I109" i="5"/>
  <c r="P16" i="6" s="1"/>
  <c r="G17" i="11" s="1"/>
  <c r="G103" i="5"/>
  <c r="N12" i="6" s="1"/>
  <c r="V13" i="11" s="1"/>
  <c r="G115" i="5"/>
  <c r="N21" i="6" s="1"/>
  <c r="AM22" i="11" s="1"/>
  <c r="G124" i="5"/>
  <c r="N28" i="6" s="1"/>
  <c r="AM29" i="11" s="1"/>
  <c r="H106" i="5"/>
  <c r="O14" i="6" s="1"/>
  <c r="H115" i="5"/>
  <c r="O21" i="6" s="1"/>
  <c r="F22" i="11" s="1"/>
  <c r="I124" i="5"/>
  <c r="P28" i="6" s="1"/>
  <c r="AO29" i="11" s="1"/>
  <c r="J103" i="5"/>
  <c r="Q12" i="6" s="1"/>
  <c r="AP13" i="11" s="1"/>
  <c r="J110" i="5"/>
  <c r="Q17" i="6" s="1"/>
  <c r="Y18" i="11" s="1"/>
  <c r="AJ9" i="11"/>
  <c r="J125" i="5"/>
  <c r="Q29" i="6" s="1"/>
  <c r="Y30" i="11" s="1"/>
  <c r="J109" i="5"/>
  <c r="Q16" i="6" s="1"/>
  <c r="H17" i="11" s="1"/>
  <c r="I104" i="5"/>
  <c r="P13" i="6" s="1"/>
  <c r="AO14" i="11" s="1"/>
  <c r="I102" i="5"/>
  <c r="P11" i="6" s="1"/>
  <c r="AO12" i="11" s="1"/>
  <c r="I115" i="5"/>
  <c r="P21" i="6" s="1"/>
  <c r="X22" i="11" s="1"/>
  <c r="I103" i="5"/>
  <c r="P12" i="6" s="1"/>
  <c r="AO13" i="11" s="1"/>
  <c r="H102" i="5"/>
  <c r="O11" i="6" s="1"/>
  <c r="W12" i="11" s="1"/>
  <c r="H103" i="5"/>
  <c r="O12" i="6" s="1"/>
  <c r="F13" i="11" s="1"/>
  <c r="G109" i="5"/>
  <c r="N16" i="6" s="1"/>
  <c r="E17" i="11" s="1"/>
  <c r="O109" i="12"/>
  <c r="O116" i="12" s="1"/>
  <c r="O122" i="12" s="1"/>
  <c r="M31" i="11"/>
  <c r="P17" i="11"/>
  <c r="H15" i="11"/>
  <c r="T65" i="11"/>
  <c r="H65" i="11"/>
  <c r="R65" i="11"/>
  <c r="K65" i="11"/>
  <c r="I65" i="11"/>
  <c r="AZ66" i="11"/>
  <c r="V66" i="11"/>
  <c r="AV73" i="11"/>
  <c r="AV97" i="11" s="1"/>
  <c r="AV96" i="11" s="1"/>
  <c r="M34" i="15" s="1"/>
  <c r="H4" i="11"/>
  <c r="F4" i="11"/>
  <c r="I12" i="11"/>
  <c r="M12" i="11"/>
  <c r="Q12" i="11"/>
  <c r="F29" i="11"/>
  <c r="E29" i="11"/>
  <c r="M22" i="11"/>
  <c r="Q22" i="11"/>
  <c r="H22" i="11"/>
  <c r="K13" i="11"/>
  <c r="G13" i="11"/>
  <c r="O13" i="11"/>
  <c r="E13" i="11"/>
  <c r="AL28" i="11"/>
  <c r="T28" i="11"/>
  <c r="I11" i="11"/>
  <c r="E66" i="11"/>
  <c r="S65" i="11"/>
  <c r="R29" i="11"/>
  <c r="M11" i="11"/>
  <c r="D70" i="11"/>
  <c r="Q9" i="11"/>
  <c r="P13" i="11"/>
  <c r="AE22" i="11"/>
  <c r="N28" i="11"/>
  <c r="AE28" i="11"/>
  <c r="M29" i="11"/>
  <c r="AU9" i="11"/>
  <c r="M9" i="11"/>
  <c r="L23" i="11"/>
  <c r="L14" i="11"/>
  <c r="K29" i="11"/>
  <c r="K9" i="11"/>
  <c r="J22" i="11"/>
  <c r="I22" i="11"/>
  <c r="Z22" i="11"/>
  <c r="AQ4" i="11"/>
  <c r="Z4" i="11"/>
  <c r="I4" i="11"/>
  <c r="F65" i="11"/>
  <c r="E72" i="11"/>
  <c r="E94" i="11" s="1"/>
  <c r="AY60" i="11"/>
  <c r="AQ60" i="11"/>
  <c r="G60" i="11"/>
  <c r="AL29" i="11"/>
  <c r="U22" i="11"/>
  <c r="U28" i="11"/>
  <c r="T70" i="11"/>
  <c r="H70" i="11"/>
  <c r="AT73" i="11"/>
  <c r="AT97" i="11" s="1"/>
  <c r="AX73" i="11"/>
  <c r="AX97" i="11" s="1"/>
  <c r="AX96" i="11" s="1"/>
  <c r="O34" i="15" s="1"/>
  <c r="M7" i="11"/>
  <c r="F7" i="11"/>
  <c r="O14" i="11"/>
  <c r="O21" i="14" s="1"/>
  <c r="I14" i="11"/>
  <c r="AI68" i="11"/>
  <c r="AK68" i="11"/>
  <c r="AJ67" i="11"/>
  <c r="AK67" i="11"/>
  <c r="E64" i="11"/>
  <c r="T22" i="11"/>
  <c r="P12" i="11"/>
  <c r="M4" i="11"/>
  <c r="H29" i="11"/>
  <c r="Z63" i="11"/>
  <c r="Z91" i="11" s="1"/>
  <c r="AD63" i="11"/>
  <c r="AD91" i="11" s="1"/>
  <c r="BB66" i="11"/>
  <c r="T14" i="11"/>
  <c r="BA66" i="11"/>
  <c r="S7" i="11"/>
  <c r="R72" i="11"/>
  <c r="R94" i="11" s="1"/>
  <c r="Q10" i="11"/>
  <c r="Q38" i="11" s="1"/>
  <c r="K10" i="11"/>
  <c r="K38" i="11" s="1"/>
  <c r="J29" i="11"/>
  <c r="AV9" i="11"/>
  <c r="AL22" i="11"/>
  <c r="AS74" i="11"/>
  <c r="AS99" i="11" s="1"/>
  <c r="AS98" i="11" s="1"/>
  <c r="J36" i="15" s="1"/>
  <c r="I59" i="11"/>
  <c r="Z37" i="6"/>
  <c r="AP68" i="11"/>
  <c r="F69" i="11"/>
  <c r="F16" i="11"/>
  <c r="AJ66" i="11"/>
  <c r="D7" i="11"/>
  <c r="BA9" i="11"/>
  <c r="R13" i="11"/>
  <c r="AZ4" i="11"/>
  <c r="Q31" i="11"/>
  <c r="P22" i="11"/>
  <c r="O9" i="11"/>
  <c r="AE70" i="11"/>
  <c r="AE65" i="11"/>
  <c r="K7" i="11"/>
  <c r="AR11" i="11"/>
  <c r="I13" i="11"/>
  <c r="AF73" i="11"/>
  <c r="AF97" i="11" s="1"/>
  <c r="AF96" i="11" s="1"/>
  <c r="N22" i="15" s="1"/>
  <c r="AK60" i="11"/>
  <c r="AK41" i="11"/>
  <c r="AK103" i="11" s="1"/>
  <c r="AA28" i="11"/>
  <c r="AW19" i="11"/>
  <c r="AW28" i="11"/>
  <c r="J4" i="11"/>
  <c r="AM18" i="11"/>
  <c r="E4" i="11"/>
  <c r="E68" i="11"/>
  <c r="E118" i="12"/>
  <c r="D68" i="11"/>
  <c r="Q8" i="11"/>
  <c r="M8" i="11"/>
  <c r="G8" i="11"/>
  <c r="T17" i="11"/>
  <c r="S15" i="11"/>
  <c r="O28" i="11"/>
  <c r="S66" i="11"/>
  <c r="AA71" i="11"/>
  <c r="AJ22" i="11"/>
  <c r="S23" i="11"/>
  <c r="L5" i="11"/>
  <c r="AS70" i="11"/>
  <c r="AS22" i="11"/>
  <c r="J71" i="11"/>
  <c r="J65" i="11"/>
  <c r="AR10" i="11"/>
  <c r="AR38" i="11" s="1"/>
  <c r="AA12" i="11"/>
  <c r="AQ11" i="11"/>
  <c r="BA67" i="11"/>
  <c r="S67" i="14" s="1"/>
  <c r="AM67" i="11"/>
  <c r="L24" i="11"/>
  <c r="F71" i="11"/>
  <c r="N71" i="11"/>
  <c r="E71" i="11"/>
  <c r="AJ7" i="11"/>
  <c r="R91" i="6"/>
  <c r="U36" i="6"/>
  <c r="S32" i="11"/>
  <c r="S39" i="11" s="1"/>
  <c r="BA32" i="11"/>
  <c r="BA39" i="11" s="1"/>
  <c r="AB38" i="6"/>
  <c r="AZ67" i="11"/>
  <c r="AV67" i="11"/>
  <c r="R71" i="11"/>
  <c r="AJ17" i="11"/>
  <c r="AD31" i="11"/>
  <c r="U31" i="11"/>
  <c r="X30" i="11"/>
  <c r="AC30" i="11"/>
  <c r="J113" i="12"/>
  <c r="AJ33" i="11"/>
  <c r="AB39" i="6"/>
  <c r="AF68" i="11"/>
  <c r="AW68" i="11"/>
  <c r="G72" i="11"/>
  <c r="G94" i="11" s="1"/>
  <c r="T72" i="11"/>
  <c r="T94" i="11" s="1"/>
  <c r="H72" i="11"/>
  <c r="H94" i="11" s="1"/>
  <c r="AJ5" i="11"/>
  <c r="AK5" i="11"/>
  <c r="R6" i="11"/>
  <c r="AI6" i="11"/>
  <c r="AX10" i="11"/>
  <c r="AX38" i="11" s="1"/>
  <c r="P10" i="11"/>
  <c r="P38" i="11" s="1"/>
  <c r="AX4" i="11"/>
  <c r="AX84" i="11" s="1"/>
  <c r="AG4" i="11"/>
  <c r="P4" i="11"/>
  <c r="AV72" i="11"/>
  <c r="AV94" i="11" s="1"/>
  <c r="N72" i="11"/>
  <c r="N94" i="11" s="1"/>
  <c r="AV15" i="11"/>
  <c r="AE15" i="11"/>
  <c r="AU66" i="11"/>
  <c r="AD66" i="11"/>
  <c r="M66" i="11"/>
  <c r="AS6" i="11"/>
  <c r="K6" i="11"/>
  <c r="AQ66" i="11"/>
  <c r="Z66" i="11"/>
  <c r="AO66" i="11"/>
  <c r="G66" i="11"/>
  <c r="X66" i="11"/>
  <c r="X18" i="11"/>
  <c r="Y95" i="6"/>
  <c r="AK64" i="11"/>
  <c r="BB64" i="11"/>
  <c r="AC24" i="11"/>
  <c r="Y12" i="11"/>
  <c r="AB12" i="11"/>
  <c r="U12" i="11"/>
  <c r="AJ28" i="11"/>
  <c r="AF28" i="11"/>
  <c r="T67" i="11"/>
  <c r="F67" i="11"/>
  <c r="N67" i="11"/>
  <c r="E117" i="12"/>
  <c r="H64" i="11"/>
  <c r="O68" i="11"/>
  <c r="E67" i="11"/>
  <c r="R64" i="11"/>
  <c r="S8" i="11"/>
  <c r="S105" i="11" s="1"/>
  <c r="S33" i="11"/>
  <c r="S40" i="11" s="1"/>
  <c r="AI67" i="11"/>
  <c r="AY67" i="11"/>
  <c r="AJ68" i="11"/>
  <c r="R68" i="11"/>
  <c r="P72" i="11"/>
  <c r="P94" i="11" s="1"/>
  <c r="O71" i="11"/>
  <c r="L71" i="11"/>
  <c r="G63" i="11"/>
  <c r="G91" i="11" s="1"/>
  <c r="E63" i="11"/>
  <c r="E91" i="11" s="1"/>
  <c r="AE72" i="11"/>
  <c r="AE94" i="11" s="1"/>
  <c r="AB6" i="11"/>
  <c r="X11" i="11"/>
  <c r="D71" i="11"/>
  <c r="AL65" i="11"/>
  <c r="D65" i="11"/>
  <c r="AS30" i="11"/>
  <c r="AB30" i="11"/>
  <c r="AA13" i="11"/>
  <c r="J13" i="11"/>
  <c r="I69" i="11"/>
  <c r="R36" i="6"/>
  <c r="W31" i="11"/>
  <c r="F31" i="11"/>
  <c r="AO69" i="11"/>
  <c r="AZ69" i="11"/>
  <c r="BA69" i="11"/>
  <c r="G69" i="11"/>
  <c r="BB69" i="11"/>
  <c r="R69" i="11"/>
  <c r="S69" i="11"/>
  <c r="M113" i="12"/>
  <c r="AU59" i="11"/>
  <c r="Y87" i="6"/>
  <c r="Y88" i="6"/>
  <c r="Z92" i="6"/>
  <c r="Z90" i="6"/>
  <c r="AX32" i="11"/>
  <c r="AX39" i="11" s="1"/>
  <c r="AW64" i="11"/>
  <c r="AU33" i="11"/>
  <c r="AU40" i="11" s="1"/>
  <c r="L64" i="11"/>
  <c r="AM64" i="11"/>
  <c r="U6" i="11"/>
  <c r="X6" i="11"/>
  <c r="U72" i="11"/>
  <c r="U94" i="11" s="1"/>
  <c r="BB29" i="11"/>
  <c r="AX12" i="11"/>
  <c r="AF22" i="11"/>
  <c r="AE66" i="11"/>
  <c r="X71" i="11"/>
  <c r="U30" i="11"/>
  <c r="U64" i="11"/>
  <c r="P64" i="11"/>
  <c r="AE67" i="11"/>
  <c r="AE32" i="11"/>
  <c r="AE39" i="11" s="1"/>
  <c r="K64" i="11"/>
  <c r="BB68" i="11"/>
  <c r="V67" i="11"/>
  <c r="AI64" i="11"/>
  <c r="AY8" i="11"/>
  <c r="Q8" i="14" s="1"/>
  <c r="V8" i="11"/>
  <c r="V72" i="11"/>
  <c r="V94" i="11" s="1"/>
  <c r="AA16" i="11"/>
  <c r="BB23" i="11"/>
  <c r="AK14" i="11"/>
  <c r="AY12" i="11"/>
  <c r="Z28" i="11"/>
  <c r="W6" i="11"/>
  <c r="AI66" i="11"/>
  <c r="AK66" i="11"/>
  <c r="AK59" i="11"/>
  <c r="AV10" i="11"/>
  <c r="AV38" i="11" s="1"/>
  <c r="AE18" i="11"/>
  <c r="N13" i="11"/>
  <c r="AV4" i="11"/>
  <c r="M65" i="11"/>
  <c r="M92" i="11" s="1"/>
  <c r="AD10" i="11"/>
  <c r="AD38" i="11" s="1"/>
  <c r="AU4" i="11"/>
  <c r="L11" i="11"/>
  <c r="AS10" i="11"/>
  <c r="AS38" i="11" s="1"/>
  <c r="AP72" i="11"/>
  <c r="AP94" i="11" s="1"/>
  <c r="AP4" i="11"/>
  <c r="AN22" i="11"/>
  <c r="AL13" i="11"/>
  <c r="F74" i="11"/>
  <c r="F99" i="11" s="1"/>
  <c r="F98" i="11" s="1"/>
  <c r="E12" i="15" s="1"/>
  <c r="I73" i="11"/>
  <c r="I97" i="11" s="1"/>
  <c r="D4" i="11"/>
  <c r="D12" i="11"/>
  <c r="D13" i="11"/>
  <c r="M70" i="11"/>
  <c r="X23" i="11"/>
  <c r="W21" i="11"/>
  <c r="Q72" i="11"/>
  <c r="Q94" i="11" s="1"/>
  <c r="AY22" i="11"/>
  <c r="AY6" i="11"/>
  <c r="AE31" i="11"/>
  <c r="AU31" i="11"/>
  <c r="AU12" i="11"/>
  <c r="L72" i="11"/>
  <c r="L94" i="11" s="1"/>
  <c r="L22" i="11"/>
  <c r="AS12" i="11"/>
  <c r="AR69" i="11"/>
  <c r="AR29" i="11"/>
  <c r="AQ22" i="11"/>
  <c r="AN69" i="11"/>
  <c r="AL73" i="11"/>
  <c r="AL97" i="11" s="1"/>
  <c r="AN73" i="11"/>
  <c r="AN97" i="11" s="1"/>
  <c r="AP73" i="11"/>
  <c r="AP97" i="11" s="1"/>
  <c r="K73" i="11"/>
  <c r="K97" i="11" s="1"/>
  <c r="Q74" i="11"/>
  <c r="Q99" i="11" s="1"/>
  <c r="Q98" i="11" s="1"/>
  <c r="P12" i="15" s="1"/>
  <c r="AB74" i="11"/>
  <c r="AB99" i="11" s="1"/>
  <c r="AB98" i="11" s="1"/>
  <c r="J24" i="15" s="1"/>
  <c r="Z41" i="11"/>
  <c r="Z103" i="11" s="1"/>
  <c r="AL19" i="11"/>
  <c r="AL21" i="11"/>
  <c r="T29" i="11"/>
  <c r="I18" i="11"/>
  <c r="J9" i="11"/>
  <c r="U116" i="12"/>
  <c r="U122" i="12" s="1"/>
  <c r="X89" i="6"/>
  <c r="W69" i="11"/>
  <c r="AI69" i="11"/>
  <c r="AK29" i="11"/>
  <c r="AK7" i="11"/>
  <c r="T7" i="11"/>
  <c r="AZ12" i="11"/>
  <c r="AI12" i="11"/>
  <c r="R12" i="11"/>
  <c r="AY63" i="11"/>
  <c r="AY91" i="11" s="1"/>
  <c r="AH63" i="11"/>
  <c r="AH91" i="11" s="1"/>
  <c r="AX72" i="11"/>
  <c r="AX94" i="11" s="1"/>
  <c r="AG72" i="11"/>
  <c r="AG94" i="11" s="1"/>
  <c r="AX30" i="11"/>
  <c r="P30" i="11"/>
  <c r="AX6" i="11"/>
  <c r="AG6" i="11"/>
  <c r="P6" i="11"/>
  <c r="AW29" i="11"/>
  <c r="O29" i="11"/>
  <c r="AW5" i="11"/>
  <c r="AF5" i="11"/>
  <c r="AU23" i="11"/>
  <c r="M23" i="11"/>
  <c r="AU18" i="11"/>
  <c r="M18" i="11"/>
  <c r="AU13" i="11"/>
  <c r="M13" i="11"/>
  <c r="AD6" i="11"/>
  <c r="M6" i="11"/>
  <c r="AT71" i="11"/>
  <c r="AC71" i="11"/>
  <c r="AC66" i="11"/>
  <c r="L66" i="11"/>
  <c r="L92" i="11" s="1"/>
  <c r="AT17" i="11"/>
  <c r="AC17" i="11"/>
  <c r="AR66" i="11"/>
  <c r="AA66" i="11"/>
  <c r="J66" i="11"/>
  <c r="AR24" i="11"/>
  <c r="J24" i="11"/>
  <c r="AQ29" i="11"/>
  <c r="Z29" i="11"/>
  <c r="AO18" i="11"/>
  <c r="G18" i="11"/>
  <c r="AN66" i="11"/>
  <c r="W66" i="11"/>
  <c r="F66" i="11"/>
  <c r="S60" i="11"/>
  <c r="BA60" i="11"/>
  <c r="O60" i="11"/>
  <c r="AF60" i="11"/>
  <c r="L75" i="14"/>
  <c r="L110" i="14" s="1"/>
  <c r="L109" i="14" s="1"/>
  <c r="K30" i="19" s="1"/>
  <c r="K32" i="19" s="1"/>
  <c r="L101" i="11"/>
  <c r="L100" i="11" s="1"/>
  <c r="Q64" i="11"/>
  <c r="AD82" i="6"/>
  <c r="V39" i="6"/>
  <c r="AZ68" i="11"/>
  <c r="AQ64" i="11"/>
  <c r="F63" i="11"/>
  <c r="F91" i="11" s="1"/>
  <c r="N4" i="11"/>
  <c r="M63" i="11"/>
  <c r="M91" i="11" s="1"/>
  <c r="I29" i="11"/>
  <c r="AK31" i="11"/>
  <c r="AJ69" i="11"/>
  <c r="AJ19" i="11"/>
  <c r="AI26" i="11"/>
  <c r="AD18" i="11"/>
  <c r="Z13" i="11"/>
  <c r="U13" i="11"/>
  <c r="X13" i="11"/>
  <c r="AB13" i="11"/>
  <c r="D66" i="11"/>
  <c r="BA18" i="11"/>
  <c r="AJ18" i="11"/>
  <c r="AJ13" i="11"/>
  <c r="BA24" i="11"/>
  <c r="AJ24" i="11"/>
  <c r="S59" i="11"/>
  <c r="BA59" i="11"/>
  <c r="AJ59" i="11"/>
  <c r="AH59" i="11"/>
  <c r="AY59" i="11"/>
  <c r="G59" i="11"/>
  <c r="X59" i="11"/>
  <c r="AO59" i="11"/>
  <c r="S75" i="11"/>
  <c r="S101" i="11" s="1"/>
  <c r="S100" i="11" s="1"/>
  <c r="O75" i="11"/>
  <c r="K75" i="11"/>
  <c r="K101" i="11" s="1"/>
  <c r="K100" i="11" s="1"/>
  <c r="G75" i="11"/>
  <c r="G101" i="11" s="1"/>
  <c r="G100" i="11" s="1"/>
  <c r="O64" i="11"/>
  <c r="S64" i="11"/>
  <c r="I67" i="11"/>
  <c r="O67" i="11"/>
  <c r="R92" i="6"/>
  <c r="E8" i="11"/>
  <c r="Z87" i="6"/>
  <c r="E33" i="11"/>
  <c r="E40" i="11" s="1"/>
  <c r="AC90" i="6"/>
  <c r="AD90" i="6" s="1"/>
  <c r="AB90" i="6"/>
  <c r="V37" i="6"/>
  <c r="P87" i="6"/>
  <c r="D72" i="11"/>
  <c r="D94" i="11" s="1"/>
  <c r="U68" i="11"/>
  <c r="BB67" i="11"/>
  <c r="AJ64" i="11"/>
  <c r="AZ64" i="11"/>
  <c r="AY33" i="11"/>
  <c r="AY40" i="11" s="1"/>
  <c r="AX68" i="11"/>
  <c r="AU67" i="11"/>
  <c r="AC68" i="11"/>
  <c r="AV8" i="11"/>
  <c r="AA67" i="11"/>
  <c r="AR67" i="11"/>
  <c r="AO67" i="11"/>
  <c r="AN68" i="11"/>
  <c r="W68" i="11"/>
  <c r="S18" i="11"/>
  <c r="R21" i="11"/>
  <c r="R28" i="14" s="1"/>
  <c r="L63" i="11"/>
  <c r="L91" i="11" s="1"/>
  <c r="L17" i="11"/>
  <c r="AK69" i="11"/>
  <c r="AK12" i="11"/>
  <c r="AF17" i="11"/>
  <c r="AE25" i="11"/>
  <c r="AC21" i="11"/>
  <c r="Z21" i="11"/>
  <c r="V18" i="11"/>
  <c r="AF18" i="11"/>
  <c r="V6" i="11"/>
  <c r="Z6" i="11"/>
  <c r="AC6" i="11"/>
  <c r="AY29" i="11"/>
  <c r="Q29" i="11"/>
  <c r="AY9" i="11"/>
  <c r="AH9" i="11"/>
  <c r="AH5" i="11"/>
  <c r="Q5" i="11"/>
  <c r="Q84" i="11" s="1"/>
  <c r="AT12" i="11"/>
  <c r="AC12" i="11"/>
  <c r="L12" i="11"/>
  <c r="AS72" i="11"/>
  <c r="AS94" i="11" s="1"/>
  <c r="K72" i="11"/>
  <c r="K94" i="11" s="1"/>
  <c r="AP6" i="11"/>
  <c r="H6" i="11"/>
  <c r="X19" i="11"/>
  <c r="AN16" i="11"/>
  <c r="AN4" i="11"/>
  <c r="W4" i="11"/>
  <c r="J70" i="11"/>
  <c r="J93" i="11" s="1"/>
  <c r="R70" i="11"/>
  <c r="R93" i="11" s="1"/>
  <c r="R90" i="11" s="1"/>
  <c r="Y70" i="11"/>
  <c r="Z70" i="11"/>
  <c r="O70" i="11"/>
  <c r="AM69" i="11"/>
  <c r="E69" i="11"/>
  <c r="AZ65" i="11"/>
  <c r="BA65" i="11"/>
  <c r="BB65" i="11"/>
  <c r="AJ63" i="11"/>
  <c r="AK63" i="11"/>
  <c r="T63" i="11"/>
  <c r="BA63" i="11"/>
  <c r="AI63" i="11"/>
  <c r="R63" i="11"/>
  <c r="S63" i="11"/>
  <c r="V22" i="11"/>
  <c r="AU74" i="11"/>
  <c r="AU99" i="11" s="1"/>
  <c r="AU98" i="11" s="1"/>
  <c r="L36" i="15" s="1"/>
  <c r="AD74" i="11"/>
  <c r="M74" i="11"/>
  <c r="M99" i="11" s="1"/>
  <c r="AA91" i="6"/>
  <c r="J64" i="11"/>
  <c r="F64" i="11"/>
  <c r="AM32" i="11"/>
  <c r="AM39" i="11" s="1"/>
  <c r="V32" i="11"/>
  <c r="V39" i="11" s="1"/>
  <c r="P101" i="11"/>
  <c r="P100" i="11" s="1"/>
  <c r="P75" i="14"/>
  <c r="P110" i="14" s="1"/>
  <c r="P109" i="14" s="1"/>
  <c r="O30" i="19" s="1"/>
  <c r="O32" i="19" s="1"/>
  <c r="H101" i="11"/>
  <c r="H100" i="11" s="1"/>
  <c r="H75" i="14"/>
  <c r="H110" i="14" s="1"/>
  <c r="H109" i="14" s="1"/>
  <c r="G30" i="19" s="1"/>
  <c r="G32" i="19" s="1"/>
  <c r="K98" i="11"/>
  <c r="J12" i="15" s="1"/>
  <c r="T64" i="11"/>
  <c r="AC88" i="6"/>
  <c r="AD88" i="6" s="1"/>
  <c r="N38" i="6"/>
  <c r="AL68" i="11"/>
  <c r="BA64" i="11"/>
  <c r="I64" i="11"/>
  <c r="AA90" i="6"/>
  <c r="V36" i="6"/>
  <c r="L33" i="11"/>
  <c r="L40" i="11" s="1"/>
  <c r="D67" i="11"/>
  <c r="AZ32" i="11"/>
  <c r="AZ39" i="11" s="1"/>
  <c r="AH68" i="11"/>
  <c r="AG32" i="11"/>
  <c r="N68" i="11"/>
  <c r="AD64" i="11"/>
  <c r="AB68" i="11"/>
  <c r="AU8" i="11"/>
  <c r="AQ68" i="11"/>
  <c r="AB8" i="11"/>
  <c r="AO64" i="11"/>
  <c r="X64" i="11"/>
  <c r="V64" i="11"/>
  <c r="T66" i="11"/>
  <c r="R66" i="11"/>
  <c r="O5" i="11"/>
  <c r="N25" i="11"/>
  <c r="M14" i="11"/>
  <c r="K70" i="11"/>
  <c r="K30" i="11"/>
  <c r="I66" i="11"/>
  <c r="G71" i="11"/>
  <c r="I71" i="11"/>
  <c r="M71" i="11"/>
  <c r="H71" i="11"/>
  <c r="K71" i="11"/>
  <c r="Q71" i="11"/>
  <c r="U29" i="11"/>
  <c r="AH29" i="11"/>
  <c r="AG30" i="11"/>
  <c r="AF71" i="11"/>
  <c r="AD14" i="11"/>
  <c r="AD9" i="11"/>
  <c r="AC13" i="11"/>
  <c r="AB70" i="11"/>
  <c r="AA29" i="11"/>
  <c r="V69" i="11"/>
  <c r="Y65" i="11"/>
  <c r="Y92" i="11" s="1"/>
  <c r="AI65" i="11"/>
  <c r="AK65" i="11"/>
  <c r="AB21" i="11"/>
  <c r="U21" i="11"/>
  <c r="V29" i="11"/>
  <c r="Z11" i="11"/>
  <c r="W5" i="11"/>
  <c r="AD5" i="11"/>
  <c r="AW6" i="11"/>
  <c r="O6" i="11"/>
  <c r="O6" i="14" s="1"/>
  <c r="AV71" i="11"/>
  <c r="AE71" i="11"/>
  <c r="AV66" i="11"/>
  <c r="N66" i="11"/>
  <c r="AV29" i="11"/>
  <c r="AE29" i="11"/>
  <c r="N29" i="11"/>
  <c r="AV16" i="11"/>
  <c r="AU27" i="11"/>
  <c r="M34" i="14" s="1"/>
  <c r="M27" i="11"/>
  <c r="AU17" i="11"/>
  <c r="AD17" i="11"/>
  <c r="M17" i="11"/>
  <c r="AU29" i="11"/>
  <c r="AD29" i="11"/>
  <c r="AU6" i="11"/>
  <c r="AQ63" i="11"/>
  <c r="AQ91" i="11" s="1"/>
  <c r="I63" i="11"/>
  <c r="I91" i="11" s="1"/>
  <c r="AQ30" i="11"/>
  <c r="Z30" i="11"/>
  <c r="AN29" i="11"/>
  <c r="W29" i="11"/>
  <c r="AT67" i="11"/>
  <c r="K33" i="11"/>
  <c r="K40" i="11" s="1"/>
  <c r="BB13" i="11"/>
  <c r="AJ11" i="11"/>
  <c r="AZ72" i="11"/>
  <c r="AZ94" i="11" s="1"/>
  <c r="AI72" i="11"/>
  <c r="AI94" i="11" s="1"/>
  <c r="AX71" i="11"/>
  <c r="P71" i="14" s="1"/>
  <c r="AX66" i="11"/>
  <c r="AG66" i="11"/>
  <c r="P66" i="11"/>
  <c r="AX5" i="11"/>
  <c r="AW70" i="11"/>
  <c r="O10" i="11"/>
  <c r="O38" i="11" s="1"/>
  <c r="AF10" i="11"/>
  <c r="AF38" i="11" s="1"/>
  <c r="AW13" i="11"/>
  <c r="AT13" i="11"/>
  <c r="L13" i="11"/>
  <c r="AR71" i="11"/>
  <c r="AR65" i="11"/>
  <c r="AA65" i="11"/>
  <c r="AR26" i="11"/>
  <c r="J26" i="11"/>
  <c r="Z72" i="11"/>
  <c r="Z94" i="11" s="1"/>
  <c r="AO5" i="11"/>
  <c r="G5" i="11"/>
  <c r="X5" i="11"/>
  <c r="AN71" i="11"/>
  <c r="W71" i="11"/>
  <c r="AN5" i="11"/>
  <c r="AM4" i="11"/>
  <c r="V4" i="11"/>
  <c r="Z74" i="11"/>
  <c r="Z99" i="11" s="1"/>
  <c r="Q41" i="11"/>
  <c r="Q103" i="11" s="1"/>
  <c r="AH41" i="11"/>
  <c r="AH103" i="11" s="1"/>
  <c r="AY41" i="11"/>
  <c r="AY103" i="11" s="1"/>
  <c r="E41" i="11"/>
  <c r="E103" i="11" s="1"/>
  <c r="AM41" i="11"/>
  <c r="AM103" i="11" s="1"/>
  <c r="AA60" i="11"/>
  <c r="AG60" i="11"/>
  <c r="AC60" i="11"/>
  <c r="AL6" i="11"/>
  <c r="AN6" i="11"/>
  <c r="N22" i="11"/>
  <c r="J28" i="11"/>
  <c r="S28" i="11"/>
  <c r="M42" i="11"/>
  <c r="M87" i="11" s="1"/>
  <c r="AL70" i="11"/>
  <c r="AK71" i="11"/>
  <c r="AK93" i="11" s="1"/>
  <c r="AK90" i="11" s="1"/>
  <c r="AK19" i="11"/>
  <c r="T30" i="11"/>
  <c r="BB28" i="11"/>
  <c r="BB6" i="11"/>
  <c r="BA71" i="11"/>
  <c r="BA22" i="11"/>
  <c r="S29" i="14" s="1"/>
  <c r="BA28" i="11"/>
  <c r="BA6" i="11"/>
  <c r="AZ71" i="11"/>
  <c r="AZ6" i="11"/>
  <c r="AY71" i="11"/>
  <c r="AH30" i="11"/>
  <c r="P70" i="11"/>
  <c r="AG18" i="11"/>
  <c r="AX13" i="11"/>
  <c r="AV63" i="11"/>
  <c r="AV91" i="11" s="1"/>
  <c r="AU63" i="11"/>
  <c r="AU91" i="11" s="1"/>
  <c r="AU21" i="11"/>
  <c r="M28" i="14" s="1"/>
  <c r="AU5" i="11"/>
  <c r="AT65" i="11"/>
  <c r="L10" i="11"/>
  <c r="L38" i="11" s="1"/>
  <c r="AC23" i="11"/>
  <c r="AT6" i="11"/>
  <c r="AS71" i="11"/>
  <c r="Z18" i="11"/>
  <c r="AQ18" i="11"/>
  <c r="AQ13" i="11"/>
  <c r="AQ6" i="11"/>
  <c r="AP70" i="11"/>
  <c r="AP22" i="11"/>
  <c r="AO71" i="11"/>
  <c r="F18" i="11"/>
  <c r="AM13" i="11"/>
  <c r="AW73" i="11"/>
  <c r="AW97" i="11" s="1"/>
  <c r="O73" i="11"/>
  <c r="O97" i="11" s="1"/>
  <c r="O96" i="11" s="1"/>
  <c r="Q42" i="11"/>
  <c r="Q87" i="11" s="1"/>
  <c r="AH42" i="11"/>
  <c r="AH87" i="11" s="1"/>
  <c r="R48" i="14"/>
  <c r="AK28" i="11"/>
  <c r="AJ16" i="11"/>
  <c r="AD71" i="11"/>
  <c r="AB16" i="11"/>
  <c r="BB70" i="11"/>
  <c r="T9" i="11"/>
  <c r="BA70" i="11"/>
  <c r="BA17" i="11"/>
  <c r="S29" i="11"/>
  <c r="AZ70" i="11"/>
  <c r="AZ93" i="11" s="1"/>
  <c r="AZ90" i="11" s="1"/>
  <c r="AI29" i="11"/>
  <c r="AI9" i="11"/>
  <c r="O72" i="11"/>
  <c r="O94" i="11" s="1"/>
  <c r="AW22" i="11"/>
  <c r="O20" i="11"/>
  <c r="AV22" i="11"/>
  <c r="AV28" i="11"/>
  <c r="AV6" i="11"/>
  <c r="AU71" i="11"/>
  <c r="AU30" i="11"/>
  <c r="AU28" i="11"/>
  <c r="AD7" i="11"/>
  <c r="AC63" i="11"/>
  <c r="AC91" i="11" s="1"/>
  <c r="AT21" i="11"/>
  <c r="AT18" i="11"/>
  <c r="AT9" i="11"/>
  <c r="AS21" i="11"/>
  <c r="AB4" i="11"/>
  <c r="AR17" i="11"/>
  <c r="AA9" i="11"/>
  <c r="AR5" i="11"/>
  <c r="AQ21" i="11"/>
  <c r="H69" i="11"/>
  <c r="H93" i="11" s="1"/>
  <c r="Y7" i="11"/>
  <c r="AO70" i="11"/>
  <c r="G21" i="11"/>
  <c r="X7" i="11"/>
  <c r="F72" i="11"/>
  <c r="F94" i="11" s="1"/>
  <c r="AM71" i="11"/>
  <c r="AM15" i="11"/>
  <c r="AM11" i="11"/>
  <c r="AA41" i="11"/>
  <c r="AR41" i="11"/>
  <c r="AR103" i="11" s="1"/>
  <c r="AD42" i="11"/>
  <c r="AD87" i="11" s="1"/>
  <c r="AU42" i="11"/>
  <c r="AU87" i="11" s="1"/>
  <c r="J60" i="11"/>
  <c r="Y60" i="11"/>
  <c r="F60" i="11"/>
  <c r="S41" i="11"/>
  <c r="S103" i="11" s="1"/>
  <c r="D6" i="11"/>
  <c r="D30" i="11"/>
  <c r="D21" i="11"/>
  <c r="R75" i="11"/>
  <c r="R75" i="14" s="1"/>
  <c r="R110" i="14" s="1"/>
  <c r="R109" i="14" s="1"/>
  <c r="Q30" i="19" s="1"/>
  <c r="N75" i="11"/>
  <c r="N101" i="11" s="1"/>
  <c r="N100" i="11" s="1"/>
  <c r="J75" i="11"/>
  <c r="J101" i="11" s="1"/>
  <c r="J100" i="11" s="1"/>
  <c r="F75" i="11"/>
  <c r="F75" i="14" s="1"/>
  <c r="F110" i="14" s="1"/>
  <c r="F109" i="14" s="1"/>
  <c r="E30" i="19" s="1"/>
  <c r="E32" i="19" s="1"/>
  <c r="AS13" i="11"/>
  <c r="AS16" i="11"/>
  <c r="AS9" i="11"/>
  <c r="AA22" i="11"/>
  <c r="AR15" i="11"/>
  <c r="AR28" i="11"/>
  <c r="AR16" i="11"/>
  <c r="AQ71" i="11"/>
  <c r="Y71" i="11"/>
  <c r="AP65" i="11"/>
  <c r="Y21" i="11"/>
  <c r="AO72" i="11"/>
  <c r="AO94" i="11" s="1"/>
  <c r="X69" i="11"/>
  <c r="AN21" i="11"/>
  <c r="AM72" i="11"/>
  <c r="AM94" i="11" s="1"/>
  <c r="AM66" i="11"/>
  <c r="AM24" i="11"/>
  <c r="AM6" i="11"/>
  <c r="G74" i="11"/>
  <c r="G99" i="11" s="1"/>
  <c r="F13" i="15" s="1"/>
  <c r="N74" i="11"/>
  <c r="N99" i="11" s="1"/>
  <c r="N98" i="11" s="1"/>
  <c r="M12" i="15" s="1"/>
  <c r="AR60" i="11"/>
  <c r="AX59" i="11"/>
  <c r="N59" i="11"/>
  <c r="AP59" i="11"/>
  <c r="F59" i="11"/>
  <c r="R41" i="11"/>
  <c r="J41" i="11"/>
  <c r="J103" i="11" s="1"/>
  <c r="W41" i="11"/>
  <c r="D23" i="11"/>
  <c r="D29" i="11"/>
  <c r="D22" i="11"/>
  <c r="D28" i="11"/>
  <c r="BA42" i="11"/>
  <c r="BA87" i="11" s="1"/>
  <c r="D75" i="11"/>
  <c r="Q75" i="11"/>
  <c r="Q101" i="11" s="1"/>
  <c r="Q100" i="11" s="1"/>
  <c r="M75" i="11"/>
  <c r="M75" i="14" s="1"/>
  <c r="M110" i="14" s="1"/>
  <c r="M109" i="14" s="1"/>
  <c r="L30" i="19" s="1"/>
  <c r="L32" i="19" s="1"/>
  <c r="I75" i="11"/>
  <c r="I101" i="11" s="1"/>
  <c r="I100" i="11" s="1"/>
  <c r="E75" i="11"/>
  <c r="Z17" i="18"/>
  <c r="Z11" i="18" s="1"/>
  <c r="V38" i="6"/>
  <c r="M32" i="11"/>
  <c r="M39" i="11" s="1"/>
  <c r="I9" i="11"/>
  <c r="X65" i="11"/>
  <c r="G65" i="11"/>
  <c r="G92" i="11" s="1"/>
  <c r="AM70" i="11"/>
  <c r="V70" i="11"/>
  <c r="E70" i="11"/>
  <c r="D60" i="11"/>
  <c r="AL60" i="11"/>
  <c r="U60" i="11"/>
  <c r="T41" i="11"/>
  <c r="BB41" i="11"/>
  <c r="BB103" i="11" s="1"/>
  <c r="D5" i="11"/>
  <c r="AL5" i="11"/>
  <c r="U5" i="11"/>
  <c r="D17" i="11"/>
  <c r="U17" i="11"/>
  <c r="AL17" i="11"/>
  <c r="M35" i="6"/>
  <c r="D15" i="11"/>
  <c r="AL15" i="11"/>
  <c r="U15" i="11"/>
  <c r="M34" i="6"/>
  <c r="K8" i="11"/>
  <c r="AA95" i="6"/>
  <c r="N32" i="11"/>
  <c r="N39" i="11" s="1"/>
  <c r="S87" i="6"/>
  <c r="O87" i="6"/>
  <c r="AC67" i="11"/>
  <c r="N63" i="11"/>
  <c r="N91" i="11" s="1"/>
  <c r="AB66" i="11"/>
  <c r="AS66" i="11"/>
  <c r="K66" i="11"/>
  <c r="AR21" i="11"/>
  <c r="AA21" i="11"/>
  <c r="AR12" i="11"/>
  <c r="J12" i="11"/>
  <c r="O41" i="11"/>
  <c r="O103" i="11" s="1"/>
  <c r="AF41" i="11"/>
  <c r="AF103" i="11" s="1"/>
  <c r="AT42" i="11"/>
  <c r="AT87" i="11" s="1"/>
  <c r="L42" i="11"/>
  <c r="L87" i="11" s="1"/>
  <c r="AH6" i="3"/>
  <c r="AC32" i="11"/>
  <c r="AC39" i="11" s="1"/>
  <c r="U38" i="6"/>
  <c r="AT32" i="11"/>
  <c r="L32" i="11"/>
  <c r="L39" i="11" s="1"/>
  <c r="AW63" i="11"/>
  <c r="AW91" i="11" s="1"/>
  <c r="O63" i="11"/>
  <c r="O91" i="11" s="1"/>
  <c r="AW21" i="11"/>
  <c r="AF21" i="11"/>
  <c r="AW12" i="11"/>
  <c r="O12" i="11"/>
  <c r="AW4" i="11"/>
  <c r="O4" i="11"/>
  <c r="W35" i="6"/>
  <c r="M64" i="11"/>
  <c r="H68" i="11"/>
  <c r="AD81" i="6"/>
  <c r="AH4" i="3"/>
  <c r="J8" i="11"/>
  <c r="U67" i="11"/>
  <c r="AL67" i="11"/>
  <c r="Q33" i="11"/>
  <c r="Q40" i="11" s="1"/>
  <c r="Z39" i="6"/>
  <c r="BA8" i="11"/>
  <c r="AY64" i="11"/>
  <c r="AH64" i="11"/>
  <c r="AU64" i="11"/>
  <c r="X32" i="11"/>
  <c r="P38" i="6"/>
  <c r="AO32" i="11"/>
  <c r="AO39" i="11" s="1"/>
  <c r="G32" i="11"/>
  <c r="G39" i="11" s="1"/>
  <c r="AM68" i="11"/>
  <c r="V68" i="11"/>
  <c r="G70" i="11"/>
  <c r="AL69" i="11"/>
  <c r="U69" i="11"/>
  <c r="D69" i="11"/>
  <c r="AL63" i="11"/>
  <c r="AL91" i="11" s="1"/>
  <c r="U63" i="11"/>
  <c r="U91" i="11" s="1"/>
  <c r="AY70" i="11"/>
  <c r="Q70" i="11"/>
  <c r="AY27" i="11"/>
  <c r="AH27" i="11"/>
  <c r="Q7" i="11"/>
  <c r="AH7" i="11"/>
  <c r="T87" i="6"/>
  <c r="X88" i="6"/>
  <c r="Z89" i="6"/>
  <c r="AA87" i="6"/>
  <c r="AB92" i="6"/>
  <c r="Q87" i="6"/>
  <c r="M87" i="6"/>
  <c r="AA92" i="6"/>
  <c r="R87" i="6"/>
  <c r="AL64" i="11"/>
  <c r="D64" i="14" s="1"/>
  <c r="AJ32" i="11"/>
  <c r="AJ39" i="11" s="1"/>
  <c r="D8" i="11"/>
  <c r="AG68" i="11"/>
  <c r="AD67" i="11"/>
  <c r="AT68" i="11"/>
  <c r="AS68" i="11"/>
  <c r="T71" i="11"/>
  <c r="T31" i="11"/>
  <c r="S71" i="11"/>
  <c r="S12" i="11"/>
  <c r="AK23" i="11"/>
  <c r="AJ71" i="11"/>
  <c r="AI71" i="11"/>
  <c r="BA11" i="11"/>
  <c r="AY10" i="11"/>
  <c r="AY38" i="11" s="1"/>
  <c r="AH10" i="11"/>
  <c r="AH38" i="11" s="1"/>
  <c r="AY28" i="11"/>
  <c r="AH28" i="11"/>
  <c r="AU15" i="11"/>
  <c r="AD15" i="11"/>
  <c r="AT63" i="11"/>
  <c r="AT91" i="11" s="1"/>
  <c r="AS65" i="11"/>
  <c r="AS92" i="11" s="1"/>
  <c r="AB65" i="11"/>
  <c r="AB92" i="11" s="1"/>
  <c r="J63" i="11"/>
  <c r="J91" i="11" s="1"/>
  <c r="AR63" i="11"/>
  <c r="AR91" i="11" s="1"/>
  <c r="AA63" i="11"/>
  <c r="AA91" i="11" s="1"/>
  <c r="AO30" i="11"/>
  <c r="G30" i="11"/>
  <c r="AM30" i="11"/>
  <c r="V30" i="11"/>
  <c r="AM73" i="11"/>
  <c r="AM97" i="11" s="1"/>
  <c r="AM96" i="11" s="1"/>
  <c r="E73" i="11"/>
  <c r="E97" i="11" s="1"/>
  <c r="V73" i="11"/>
  <c r="U54" i="5"/>
  <c r="S8" i="18" s="1"/>
  <c r="AE41" i="11"/>
  <c r="AE103" i="11" s="1"/>
  <c r="N41" i="11"/>
  <c r="N103" i="11" s="1"/>
  <c r="AV41" i="11"/>
  <c r="AV103" i="11" s="1"/>
  <c r="D59" i="11"/>
  <c r="U59" i="11"/>
  <c r="AL59" i="11"/>
  <c r="D18" i="11"/>
  <c r="AL18" i="11"/>
  <c r="U18" i="11"/>
  <c r="T42" i="11"/>
  <c r="T87" i="11" s="1"/>
  <c r="AK42" i="11"/>
  <c r="AK87" i="11" s="1"/>
  <c r="BB42" i="11"/>
  <c r="BB87" i="11" s="1"/>
  <c r="Y91" i="6"/>
  <c r="S91" i="6"/>
  <c r="W95" i="6"/>
  <c r="E32" i="11"/>
  <c r="E39" i="11" s="1"/>
  <c r="U39" i="6"/>
  <c r="AB87" i="6"/>
  <c r="BA33" i="11"/>
  <c r="BA40" i="11" s="1"/>
  <c r="AC33" i="11"/>
  <c r="AC40" i="11" s="1"/>
  <c r="L15" i="14" s="1"/>
  <c r="AE8" i="11"/>
  <c r="X67" i="11"/>
  <c r="AO33" i="11"/>
  <c r="AO40" i="11" s="1"/>
  <c r="T23" i="11"/>
  <c r="S26" i="11"/>
  <c r="S13" i="11"/>
  <c r="AJ6" i="11"/>
  <c r="AG13" i="11"/>
  <c r="P20" i="14" s="1"/>
  <c r="AE4" i="11"/>
  <c r="AD23" i="11"/>
  <c r="AA5" i="11"/>
  <c r="BB71" i="11"/>
  <c r="BA12" i="11"/>
  <c r="BA13" i="11"/>
  <c r="AX9" i="11"/>
  <c r="AG9" i="11"/>
  <c r="AS73" i="11"/>
  <c r="AS97" i="11" s="1"/>
  <c r="AS96" i="11" s="1"/>
  <c r="AB73" i="11"/>
  <c r="AB97" i="11" s="1"/>
  <c r="BA74" i="11"/>
  <c r="BA99" i="11" s="1"/>
  <c r="S74" i="11"/>
  <c r="AJ74" i="11"/>
  <c r="AJ99" i="11" s="1"/>
  <c r="R60" i="11"/>
  <c r="AI60" i="11"/>
  <c r="AZ60" i="11"/>
  <c r="N60" i="11"/>
  <c r="AE60" i="11"/>
  <c r="AV60" i="11"/>
  <c r="AZ41" i="11"/>
  <c r="AZ103" i="11" s="1"/>
  <c r="BB9" i="11"/>
  <c r="AK9" i="11"/>
  <c r="N24" i="11"/>
  <c r="AE24" i="11"/>
  <c r="AP31" i="11"/>
  <c r="W30" i="11"/>
  <c r="AN60" i="11"/>
  <c r="W60" i="11"/>
  <c r="R59" i="11"/>
  <c r="AZ59" i="11"/>
  <c r="J59" i="11"/>
  <c r="AA59" i="11"/>
  <c r="AR59" i="11"/>
  <c r="AI41" i="11"/>
  <c r="AI103" i="11" s="1"/>
  <c r="F41" i="11"/>
  <c r="F103" i="11" s="1"/>
  <c r="AZ9" i="11"/>
  <c r="AR22" i="11"/>
  <c r="AP71" i="11"/>
  <c r="T36" i="6"/>
  <c r="Y89" i="6"/>
  <c r="AC89" i="6"/>
  <c r="AD89" i="6" s="1"/>
  <c r="AD85" i="6"/>
  <c r="R32" i="11"/>
  <c r="R39" i="11" s="1"/>
  <c r="AG64" i="11"/>
  <c r="AX64" i="11"/>
  <c r="AU68" i="11"/>
  <c r="AD68" i="11"/>
  <c r="AB64" i="11"/>
  <c r="AS64" i="11"/>
  <c r="Z67" i="11"/>
  <c r="AQ67" i="11"/>
  <c r="K22" i="11"/>
  <c r="AX63" i="11"/>
  <c r="AX91" i="11" s="1"/>
  <c r="P63" i="11"/>
  <c r="P91" i="11" s="1"/>
  <c r="AS29" i="11"/>
  <c r="AB29" i="11"/>
  <c r="AR4" i="11"/>
  <c r="AA4" i="11"/>
  <c r="AQ69" i="11"/>
  <c r="Z69" i="11"/>
  <c r="AP66" i="11"/>
  <c r="H66" i="11"/>
  <c r="Y66" i="11"/>
  <c r="AW32" i="11"/>
  <c r="AW39" i="11" s="1"/>
  <c r="AF32" i="11"/>
  <c r="AF39" i="11" s="1"/>
  <c r="AK30" i="11"/>
  <c r="BB30" i="11"/>
  <c r="BA72" i="11"/>
  <c r="BA94" i="11" s="1"/>
  <c r="S72" i="11"/>
  <c r="S94" i="11" s="1"/>
  <c r="AJ72" i="11"/>
  <c r="AJ94" i="11" s="1"/>
  <c r="BA10" i="11"/>
  <c r="BA38" i="11" s="1"/>
  <c r="AJ10" i="11"/>
  <c r="AJ38" i="11" s="1"/>
  <c r="BA23" i="11"/>
  <c r="BA4" i="11"/>
  <c r="AJ4" i="11"/>
  <c r="AY65" i="11"/>
  <c r="Q65" i="11"/>
  <c r="AY14" i="11"/>
  <c r="Q14" i="11"/>
  <c r="AH14" i="11"/>
  <c r="AE21" i="11"/>
  <c r="AV21" i="11"/>
  <c r="N21" i="11"/>
  <c r="AV7" i="11"/>
  <c r="N7" i="11"/>
  <c r="AN14" i="11"/>
  <c r="W14" i="11"/>
  <c r="I68" i="11"/>
  <c r="T91" i="6"/>
  <c r="AC91" i="6"/>
  <c r="O32" i="11"/>
  <c r="O39" i="11" s="1"/>
  <c r="AA38" i="6"/>
  <c r="P32" i="11"/>
  <c r="P39" i="11" s="1"/>
  <c r="Q68" i="11"/>
  <c r="AY68" i="11"/>
  <c r="AW67" i="11"/>
  <c r="AF67" i="11"/>
  <c r="W67" i="11"/>
  <c r="AN67" i="11"/>
  <c r="F14" i="11"/>
  <c r="AB22" i="11"/>
  <c r="AY18" i="11"/>
  <c r="AH18" i="11"/>
  <c r="AY13" i="11"/>
  <c r="AH13" i="11"/>
  <c r="Q13" i="11"/>
  <c r="AX22" i="11"/>
  <c r="AG22" i="11"/>
  <c r="AX11" i="11"/>
  <c r="AG11" i="11"/>
  <c r="P11" i="11"/>
  <c r="AW65" i="11"/>
  <c r="O65" i="11"/>
  <c r="O92" i="11" s="1"/>
  <c r="AT11" i="11"/>
  <c r="AC11" i="11"/>
  <c r="AC7" i="11"/>
  <c r="L7" i="11"/>
  <c r="AA70" i="11"/>
  <c r="AR70" i="11"/>
  <c r="H18" i="11"/>
  <c r="O74" i="11"/>
  <c r="O99" i="11" s="1"/>
  <c r="AF74" i="11"/>
  <c r="AF99" i="11" s="1"/>
  <c r="N25" i="15" s="1"/>
  <c r="AW74" i="11"/>
  <c r="AW99" i="11" s="1"/>
  <c r="AY73" i="11"/>
  <c r="AY97" i="11" s="1"/>
  <c r="Q73" i="11"/>
  <c r="AH73" i="11"/>
  <c r="AH97" i="11" s="1"/>
  <c r="AH96" i="11" s="1"/>
  <c r="J115" i="12"/>
  <c r="AA68" i="11"/>
  <c r="AR68" i="11"/>
  <c r="AO68" i="11"/>
  <c r="X68" i="11"/>
  <c r="W64" i="11"/>
  <c r="AN64" i="11"/>
  <c r="BB22" i="11"/>
  <c r="AK22" i="11"/>
  <c r="AI22" i="11"/>
  <c r="R22" i="11"/>
  <c r="AV12" i="11"/>
  <c r="N12" i="11"/>
  <c r="AU72" i="11"/>
  <c r="AU94" i="11" s="1"/>
  <c r="M72" i="11"/>
  <c r="M94" i="11" s="1"/>
  <c r="AD72" i="11"/>
  <c r="AD94" i="11" s="1"/>
  <c r="AS15" i="11"/>
  <c r="AB15" i="11"/>
  <c r="K15" i="11"/>
  <c r="AB11" i="11"/>
  <c r="AM16" i="11"/>
  <c r="AD83" i="6"/>
  <c r="AH4" i="4"/>
  <c r="R6" i="3"/>
  <c r="Q6" i="3" s="1"/>
  <c r="P6" i="3" s="1"/>
  <c r="O6" i="3" s="1"/>
  <c r="N6" i="3" s="1"/>
  <c r="M6" i="3" s="1"/>
  <c r="L6" i="3" s="1"/>
  <c r="K6" i="3" s="1"/>
  <c r="J6" i="3" s="1"/>
  <c r="I6" i="3" s="1"/>
  <c r="H6" i="3" s="1"/>
  <c r="G6" i="3" s="1"/>
  <c r="F6" i="3" s="1"/>
  <c r="X38" i="6"/>
  <c r="Y38" i="6"/>
  <c r="AI32" i="11"/>
  <c r="AX67" i="11"/>
  <c r="AG67" i="11"/>
  <c r="Z68" i="11"/>
  <c r="S4" i="11"/>
  <c r="S84" i="11" s="1"/>
  <c r="R4" i="11"/>
  <c r="AI4" i="11"/>
  <c r="AG63" i="11"/>
  <c r="AG91" i="11" s="1"/>
  <c r="AF29" i="11"/>
  <c r="AE12" i="11"/>
  <c r="T21" i="11"/>
  <c r="BB21" i="11"/>
  <c r="AK21" i="11"/>
  <c r="BB7" i="11"/>
  <c r="BB4" i="11"/>
  <c r="T4" i="11"/>
  <c r="BA5" i="11"/>
  <c r="S5" i="11"/>
  <c r="AA36" i="6"/>
  <c r="AZ29" i="11"/>
  <c r="AZ22" i="11"/>
  <c r="AY17" i="11"/>
  <c r="AH17" i="11"/>
  <c r="AY4" i="11"/>
  <c r="AH4" i="11"/>
  <c r="AH84" i="11" s="1"/>
  <c r="AS4" i="11"/>
  <c r="K4" i="11"/>
  <c r="AP21" i="11"/>
  <c r="H21" i="11"/>
  <c r="AP12" i="11"/>
  <c r="H12" i="11"/>
  <c r="N87" i="6"/>
  <c r="AH67" i="11"/>
  <c r="AF64" i="11"/>
  <c r="AD32" i="11"/>
  <c r="AD39" i="11" s="1"/>
  <c r="AW8" i="11"/>
  <c r="AD33" i="11"/>
  <c r="Z64" i="11"/>
  <c r="Y68" i="11"/>
  <c r="V33" i="11"/>
  <c r="V40" i="11" s="1"/>
  <c r="AG12" i="11"/>
  <c r="AX29" i="11"/>
  <c r="AG29" i="11"/>
  <c r="AE30" i="11"/>
  <c r="AV30" i="11"/>
  <c r="M24" i="11"/>
  <c r="AD24" i="11"/>
  <c r="AT29" i="11"/>
  <c r="AC29" i="11"/>
  <c r="AR6" i="11"/>
  <c r="AA6" i="11"/>
  <c r="AN65" i="11"/>
  <c r="AN92" i="11" s="1"/>
  <c r="W65" i="11"/>
  <c r="W92" i="11" s="1"/>
  <c r="AM63" i="11"/>
  <c r="AM91" i="11" s="1"/>
  <c r="V63" i="11"/>
  <c r="V91" i="11" s="1"/>
  <c r="AU73" i="11"/>
  <c r="AU97" i="11" s="1"/>
  <c r="AD73" i="11"/>
  <c r="AD97" i="11" s="1"/>
  <c r="M73" i="11"/>
  <c r="M97" i="11" s="1"/>
  <c r="L11" i="15" s="1"/>
  <c r="M115" i="12"/>
  <c r="L107" i="12"/>
  <c r="AS42" i="11"/>
  <c r="AS87" i="11" s="1"/>
  <c r="AB42" i="11"/>
  <c r="AB87" i="11" s="1"/>
  <c r="AC87" i="6"/>
  <c r="AD87" i="6" s="1"/>
  <c r="T33" i="11"/>
  <c r="T40" i="11" s="1"/>
  <c r="AF19" i="11"/>
  <c r="AK72" i="11"/>
  <c r="AK94" i="11" s="1"/>
  <c r="BB72" i="11"/>
  <c r="BB94" i="11" s="1"/>
  <c r="T5" i="11"/>
  <c r="BB5" i="11"/>
  <c r="R18" i="11"/>
  <c r="AZ18" i="11"/>
  <c r="AZ13" i="11"/>
  <c r="AI13" i="11"/>
  <c r="AY19" i="11"/>
  <c r="AH19" i="11"/>
  <c r="AY16" i="11"/>
  <c r="AH16" i="11"/>
  <c r="AV5" i="11"/>
  <c r="AE5" i="11"/>
  <c r="AU22" i="11"/>
  <c r="AD22" i="11"/>
  <c r="AT66" i="11"/>
  <c r="AT5" i="11"/>
  <c r="AC5" i="11"/>
  <c r="AR13" i="11"/>
  <c r="AQ65" i="11"/>
  <c r="Z65" i="11"/>
  <c r="Z92" i="11" s="1"/>
  <c r="AQ15" i="11"/>
  <c r="Z15" i="11"/>
  <c r="AO65" i="11"/>
  <c r="AO92" i="11" s="1"/>
  <c r="AM65" i="11"/>
  <c r="AM92" i="11" s="1"/>
  <c r="V65" i="11"/>
  <c r="AM5" i="11"/>
  <c r="V5" i="11"/>
  <c r="AO73" i="11"/>
  <c r="AO97" i="11" s="1"/>
  <c r="G73" i="11"/>
  <c r="G97" i="11" s="1"/>
  <c r="G96" i="11" s="1"/>
  <c r="X73" i="11"/>
  <c r="X97" i="11" s="1"/>
  <c r="P41" i="11"/>
  <c r="AG41" i="11"/>
  <c r="AG103" i="11" s="1"/>
  <c r="AX41" i="11"/>
  <c r="AX103" i="11" s="1"/>
  <c r="H41" i="11"/>
  <c r="H103" i="11" s="1"/>
  <c r="AP41" i="11"/>
  <c r="AP103" i="11" s="1"/>
  <c r="Y41" i="11"/>
  <c r="N42" i="11"/>
  <c r="N87" i="11" s="1"/>
  <c r="AE42" i="11"/>
  <c r="AE87" i="11" s="1"/>
  <c r="AV13" i="11"/>
  <c r="AE13" i="11"/>
  <c r="I70" i="11"/>
  <c r="AQ70" i="11"/>
  <c r="AQ12" i="11"/>
  <c r="Z12" i="11"/>
  <c r="Y69" i="11"/>
  <c r="AP69" i="11"/>
  <c r="AP93" i="11" s="1"/>
  <c r="AO21" i="11"/>
  <c r="X21" i="11"/>
  <c r="AN72" i="11"/>
  <c r="AN94" i="11" s="1"/>
  <c r="W72" i="11"/>
  <c r="W94" i="11" s="1"/>
  <c r="T73" i="11"/>
  <c r="T97" i="11" s="1"/>
  <c r="BB73" i="11"/>
  <c r="BB97" i="11" s="1"/>
  <c r="AK73" i="11"/>
  <c r="AK97" i="11" s="1"/>
  <c r="I114" i="12"/>
  <c r="AX42" i="5"/>
  <c r="P83" i="6" s="1"/>
  <c r="T75" i="14"/>
  <c r="T110" i="14" s="1"/>
  <c r="T109" i="14" s="1"/>
  <c r="T101" i="11"/>
  <c r="T100" i="11" s="1"/>
  <c r="AL72" i="11"/>
  <c r="AL94" i="11" s="1"/>
  <c r="AY30" i="11"/>
  <c r="AY5" i="11"/>
  <c r="AX18" i="11"/>
  <c r="AW10" i="11"/>
  <c r="AW38" i="11" s="1"/>
  <c r="AW18" i="11"/>
  <c r="O25" i="14" s="1"/>
  <c r="AV24" i="11"/>
  <c r="O107" i="12"/>
  <c r="H111" i="12"/>
  <c r="K60" i="11"/>
  <c r="AB60" i="11"/>
  <c r="AS60" i="11"/>
  <c r="D41" i="11"/>
  <c r="D103" i="11" s="1"/>
  <c r="AL41" i="11"/>
  <c r="AL103" i="11" s="1"/>
  <c r="Q59" i="11"/>
  <c r="AB36" i="6"/>
  <c r="AY7" i="11"/>
  <c r="Y36" i="6"/>
  <c r="AO74" i="11"/>
  <c r="AO99" i="11" s="1"/>
  <c r="AQ73" i="11"/>
  <c r="AQ97" i="11" s="1"/>
  <c r="Z73" i="11"/>
  <c r="Z97" i="11" s="1"/>
  <c r="AH74" i="11"/>
  <c r="AH99" i="11" s="1"/>
  <c r="AH98" i="11" s="1"/>
  <c r="P24" i="15" s="1"/>
  <c r="AY74" i="11"/>
  <c r="AY99" i="11" s="1"/>
  <c r="P37" i="15" s="1"/>
  <c r="BA73" i="11"/>
  <c r="BA97" i="11" s="1"/>
  <c r="AJ73" i="11"/>
  <c r="AJ97" i="11" s="1"/>
  <c r="M111" i="12"/>
  <c r="O59" i="11"/>
  <c r="AW59" i="11"/>
  <c r="M59" i="11"/>
  <c r="AD59" i="11"/>
  <c r="K59" i="11"/>
  <c r="AB59" i="11"/>
  <c r="AS59" i="11"/>
  <c r="AQ59" i="11"/>
  <c r="Z59" i="11"/>
  <c r="E59" i="11"/>
  <c r="AM59" i="11"/>
  <c r="V59" i="11"/>
  <c r="M41" i="11"/>
  <c r="M103" i="11" s="1"/>
  <c r="AU41" i="11"/>
  <c r="AU103" i="11" s="1"/>
  <c r="AD41" i="11"/>
  <c r="AD103" i="11" s="1"/>
  <c r="I41" i="11"/>
  <c r="AQ41" i="11"/>
  <c r="AQ103" i="11" s="1"/>
  <c r="G112" i="12"/>
  <c r="AC42" i="11"/>
  <c r="AC87" i="11" s="1"/>
  <c r="G223" i="5"/>
  <c r="F221" i="5"/>
  <c r="P222" i="5"/>
  <c r="O223" i="5"/>
  <c r="U222" i="5"/>
  <c r="O222" i="5"/>
  <c r="S223" i="5"/>
  <c r="J221" i="5"/>
  <c r="T223" i="5"/>
  <c r="R221" i="5"/>
  <c r="M223" i="5"/>
  <c r="N241" i="5"/>
  <c r="D222" i="5"/>
  <c r="T222" i="5"/>
  <c r="Q221" i="5"/>
  <c r="N242" i="5"/>
  <c r="N223" i="5" s="1"/>
  <c r="D223" i="5"/>
  <c r="P223" i="5"/>
  <c r="Q222" i="5"/>
  <c r="R223" i="5"/>
  <c r="J222" i="5"/>
  <c r="I221" i="5"/>
  <c r="U223" i="5"/>
  <c r="N240" i="5"/>
  <c r="N221" i="5" s="1"/>
  <c r="D221" i="5"/>
  <c r="K222" i="5"/>
  <c r="S221" i="5"/>
  <c r="M221" i="5"/>
  <c r="J223" i="5"/>
  <c r="L223" i="5"/>
  <c r="V223" i="5"/>
  <c r="P221" i="5"/>
  <c r="H222" i="5"/>
  <c r="G221" i="5"/>
  <c r="U221" i="5"/>
  <c r="K221" i="5"/>
  <c r="R222" i="5"/>
  <c r="I223" i="5"/>
  <c r="V221" i="5"/>
  <c r="G222" i="5"/>
  <c r="Q223" i="5"/>
  <c r="L222" i="5"/>
  <c r="E221" i="5"/>
  <c r="K223" i="5"/>
  <c r="L221" i="5"/>
  <c r="E223" i="5"/>
  <c r="O221" i="5"/>
  <c r="H221" i="5"/>
  <c r="H223" i="5"/>
  <c r="F223" i="5"/>
  <c r="M222" i="5"/>
  <c r="I222" i="5"/>
  <c r="V222" i="5"/>
  <c r="E222" i="5"/>
  <c r="T221" i="5"/>
  <c r="F222" i="5"/>
  <c r="S222" i="5"/>
  <c r="AB67" i="11"/>
  <c r="AS67" i="11"/>
  <c r="K67" i="11"/>
  <c r="Z32" i="11"/>
  <c r="Z39" i="11" s="1"/>
  <c r="AQ32" i="11"/>
  <c r="AQ39" i="11" s="1"/>
  <c r="I32" i="11"/>
  <c r="I39" i="11" s="1"/>
  <c r="AP67" i="11"/>
  <c r="Y67" i="11"/>
  <c r="O38" i="6"/>
  <c r="W32" i="11"/>
  <c r="W39" i="11" s="1"/>
  <c r="AN32" i="11"/>
  <c r="AN39" i="11" s="1"/>
  <c r="AW66" i="11"/>
  <c r="AF66" i="11"/>
  <c r="O66" i="11"/>
  <c r="AW23" i="11"/>
  <c r="O23" i="11"/>
  <c r="AF23" i="11"/>
  <c r="K18" i="11"/>
  <c r="AB18" i="11"/>
  <c r="AS18" i="11"/>
  <c r="AO31" i="11"/>
  <c r="G31" i="11"/>
  <c r="AN17" i="11"/>
  <c r="W17" i="11"/>
  <c r="F17" i="11"/>
  <c r="AL32" i="11"/>
  <c r="AL39" i="11" s="1"/>
  <c r="D32" i="11"/>
  <c r="D39" i="11" s="1"/>
  <c r="U32" i="11"/>
  <c r="U39" i="11" s="1"/>
  <c r="AE68" i="11"/>
  <c r="AV68" i="11"/>
  <c r="AE33" i="11"/>
  <c r="N33" i="11"/>
  <c r="N40" i="11" s="1"/>
  <c r="AV33" i="11"/>
  <c r="AV40" i="11" s="1"/>
  <c r="AB32" i="11"/>
  <c r="T38" i="6"/>
  <c r="AS32" i="11"/>
  <c r="AS39" i="11" s="1"/>
  <c r="AA33" i="11"/>
  <c r="AA40" i="11" s="1"/>
  <c r="J33" i="11"/>
  <c r="J40" i="11" s="1"/>
  <c r="S39" i="6"/>
  <c r="AH66" i="11"/>
  <c r="AY66" i="11"/>
  <c r="Q66" i="11"/>
  <c r="K17" i="11"/>
  <c r="AB17" i="11"/>
  <c r="AS17" i="11"/>
  <c r="X191" i="5"/>
  <c r="X188" i="5"/>
  <c r="H67" i="11"/>
  <c r="AH5" i="3"/>
  <c r="AH5" i="4"/>
  <c r="W39" i="6"/>
  <c r="AY32" i="11"/>
  <c r="AY39" i="11" s="1"/>
  <c r="AH32" i="11"/>
  <c r="Q32" i="11"/>
  <c r="Q39" i="11" s="1"/>
  <c r="AV64" i="11"/>
  <c r="AE64" i="11"/>
  <c r="N64" i="11"/>
  <c r="AR64" i="11"/>
  <c r="AA64" i="11"/>
  <c r="Y64" i="11"/>
  <c r="AP64" i="11"/>
  <c r="Y32" i="11"/>
  <c r="Y39" i="11" s="1"/>
  <c r="H32" i="11"/>
  <c r="H39" i="11" s="1"/>
  <c r="AP32" i="11"/>
  <c r="AP39" i="11" s="1"/>
  <c r="AI70" i="11"/>
  <c r="AH72" i="11"/>
  <c r="AH94" i="11" s="1"/>
  <c r="AY72" i="11"/>
  <c r="AY94" i="11" s="1"/>
  <c r="AT4" i="11"/>
  <c r="L4" i="11"/>
  <c r="AC4" i="11"/>
  <c r="AC84" i="11" s="1"/>
  <c r="J73" i="11"/>
  <c r="AA73" i="11"/>
  <c r="AA97" i="11" s="1"/>
  <c r="AR73" i="11"/>
  <c r="AR97" i="11" s="1"/>
  <c r="AZ30" i="11"/>
  <c r="AI30" i="11"/>
  <c r="R30" i="11"/>
  <c r="AX65" i="11"/>
  <c r="AX92" i="11" s="1"/>
  <c r="AG65" i="11"/>
  <c r="AG92" i="11" s="1"/>
  <c r="P65" i="11"/>
  <c r="AS5" i="11"/>
  <c r="AB5" i="11"/>
  <c r="K5" i="11"/>
  <c r="AP24" i="11"/>
  <c r="Y24" i="11"/>
  <c r="W24" i="11"/>
  <c r="AN24" i="11"/>
  <c r="F24" i="11"/>
  <c r="S97" i="11"/>
  <c r="I98" i="11"/>
  <c r="H12" i="15" s="1"/>
  <c r="AH7" i="3"/>
  <c r="X17" i="18"/>
  <c r="X11" i="18" s="1"/>
  <c r="AA17" i="18" s="1"/>
  <c r="AA11" i="18" s="1"/>
  <c r="Y17" i="18"/>
  <c r="Y11" i="18" s="1"/>
  <c r="K32" i="11"/>
  <c r="K39" i="11" s="1"/>
  <c r="F32" i="11"/>
  <c r="F39" i="11" s="1"/>
  <c r="AR32" i="11"/>
  <c r="AR39" i="11" s="1"/>
  <c r="J32" i="11"/>
  <c r="J39" i="11" s="1"/>
  <c r="AA32" i="11"/>
  <c r="S38" i="6"/>
  <c r="L8" i="11"/>
  <c r="AT8" i="11"/>
  <c r="BB18" i="11"/>
  <c r="T18" i="11"/>
  <c r="AK18" i="11"/>
  <c r="T16" i="11"/>
  <c r="BA30" i="11"/>
  <c r="S30" i="11"/>
  <c r="AJ30" i="11"/>
  <c r="AZ15" i="11"/>
  <c r="AI15" i="11"/>
  <c r="AA34" i="6"/>
  <c r="AZ5" i="11"/>
  <c r="R5" i="11"/>
  <c r="AI5" i="11"/>
  <c r="AV17" i="11"/>
  <c r="N17" i="11"/>
  <c r="AE17" i="11"/>
  <c r="AC64" i="11"/>
  <c r="AT64" i="11"/>
  <c r="AF72" i="11"/>
  <c r="AF94" i="11" s="1"/>
  <c r="AW72" i="11"/>
  <c r="AW94" i="11" s="1"/>
  <c r="G68" i="11"/>
  <c r="L67" i="11"/>
  <c r="W38" i="6"/>
  <c r="AK32" i="11"/>
  <c r="T32" i="11"/>
  <c r="T39" i="11" s="1"/>
  <c r="AL71" i="11"/>
  <c r="U71" i="11"/>
  <c r="AL66" i="11"/>
  <c r="U66" i="11"/>
  <c r="BA29" i="11"/>
  <c r="AJ29" i="11"/>
  <c r="AX21" i="11"/>
  <c r="AG21" i="11"/>
  <c r="AX15" i="11"/>
  <c r="P15" i="11"/>
  <c r="AG15" i="11"/>
  <c r="AW15" i="11"/>
  <c r="O15" i="11"/>
  <c r="AF15" i="11"/>
  <c r="AW7" i="11"/>
  <c r="AF7" i="11"/>
  <c r="AT70" i="11"/>
  <c r="AC70" i="11"/>
  <c r="AT22" i="11"/>
  <c r="AC22" i="11"/>
  <c r="AT15" i="11"/>
  <c r="L15" i="11"/>
  <c r="AC15" i="11"/>
  <c r="AR18" i="11"/>
  <c r="AA18" i="11"/>
  <c r="J18" i="11"/>
  <c r="S34" i="6"/>
  <c r="AP63" i="11"/>
  <c r="AP91" i="11" s="1"/>
  <c r="Y63" i="11"/>
  <c r="Y91" i="11" s="1"/>
  <c r="AN70" i="11"/>
  <c r="F70" i="11"/>
  <c r="R73" i="11"/>
  <c r="AI73" i="11"/>
  <c r="AI97" i="11" s="1"/>
  <c r="AZ73" i="11"/>
  <c r="AZ97" i="11" s="1"/>
  <c r="O114" i="12"/>
  <c r="AS33" i="11"/>
  <c r="AS40" i="11" s="1"/>
  <c r="T39" i="6"/>
  <c r="BB17" i="11"/>
  <c r="AK17" i="11"/>
  <c r="AX70" i="11"/>
  <c r="AG70" i="11"/>
  <c r="AW31" i="11"/>
  <c r="AF31" i="11"/>
  <c r="AT30" i="11"/>
  <c r="L30" i="11"/>
  <c r="Y17" i="11"/>
  <c r="AP29" i="11"/>
  <c r="Y29" i="11"/>
  <c r="AO63" i="11"/>
  <c r="AO91" i="11" s="1"/>
  <c r="X63" i="11"/>
  <c r="X91" i="11" s="1"/>
  <c r="AN27" i="11"/>
  <c r="F27" i="11"/>
  <c r="AI74" i="11"/>
  <c r="AI99" i="11" s="1"/>
  <c r="AZ74" i="11"/>
  <c r="AZ99" i="11" s="1"/>
  <c r="R74" i="11"/>
  <c r="Z88" i="6"/>
  <c r="AB89" i="6"/>
  <c r="AB34" i="6"/>
  <c r="D64" i="11"/>
  <c r="J68" i="11"/>
  <c r="Q67" i="11"/>
  <c r="M67" i="11"/>
  <c r="AD84" i="6"/>
  <c r="D63" i="11"/>
  <c r="AV32" i="11"/>
  <c r="AU32" i="11"/>
  <c r="AC8" i="11"/>
  <c r="J8" i="14" s="1"/>
  <c r="P21" i="11"/>
  <c r="P5" i="11"/>
  <c r="O21" i="11"/>
  <c r="L70" i="11"/>
  <c r="L27" i="11"/>
  <c r="H63" i="11"/>
  <c r="H91" i="11" s="1"/>
  <c r="AG5" i="11"/>
  <c r="BA21" i="11"/>
  <c r="AJ21" i="11"/>
  <c r="S21" i="11"/>
  <c r="AI24" i="11"/>
  <c r="R24" i="11"/>
  <c r="AY23" i="11"/>
  <c r="Q23" i="11"/>
  <c r="AH23" i="11"/>
  <c r="Q21" i="11"/>
  <c r="AH21" i="11"/>
  <c r="AY15" i="11"/>
  <c r="AH15" i="11"/>
  <c r="Q15" i="11"/>
  <c r="AF30" i="11"/>
  <c r="AW30" i="11"/>
  <c r="AV18" i="11"/>
  <c r="N18" i="11"/>
  <c r="AV11" i="11"/>
  <c r="N11" i="11"/>
  <c r="AE11" i="11"/>
  <c r="AU19" i="11"/>
  <c r="M19" i="11"/>
  <c r="AD19" i="11"/>
  <c r="AU16" i="11"/>
  <c r="AD16" i="11"/>
  <c r="AS63" i="11"/>
  <c r="AS91" i="11" s="1"/>
  <c r="AB63" i="11"/>
  <c r="AB91" i="11" s="1"/>
  <c r="K63" i="11"/>
  <c r="K91" i="11" s="1"/>
  <c r="AR72" i="11"/>
  <c r="AR94" i="11" s="1"/>
  <c r="AA72" i="11"/>
  <c r="AA94" i="11" s="1"/>
  <c r="J72" i="11"/>
  <c r="J94" i="11" s="1"/>
  <c r="AQ72" i="11"/>
  <c r="AQ94" i="11" s="1"/>
  <c r="I72" i="11"/>
  <c r="I94" i="11" s="1"/>
  <c r="X4" i="11"/>
  <c r="X84" i="11" s="1"/>
  <c r="AO4" i="11"/>
  <c r="G4" i="11"/>
  <c r="AN18" i="11"/>
  <c r="W18" i="11"/>
  <c r="P107" i="12"/>
  <c r="G114" i="12"/>
  <c r="G107" i="12"/>
  <c r="L110" i="12"/>
  <c r="K109" i="12"/>
  <c r="G109" i="12"/>
  <c r="BB15" i="11"/>
  <c r="T15" i="11"/>
  <c r="AY31" i="11"/>
  <c r="AH31" i="11"/>
  <c r="AX17" i="11"/>
  <c r="AG17" i="11"/>
  <c r="AW9" i="11"/>
  <c r="AF9" i="11"/>
  <c r="AV65" i="11"/>
  <c r="AV92" i="11" s="1"/>
  <c r="N65" i="11"/>
  <c r="N92" i="11" s="1"/>
  <c r="W36" i="6"/>
  <c r="AU65" i="11"/>
  <c r="AU92" i="11" s="1"/>
  <c r="AD65" i="11"/>
  <c r="AD92" i="11" s="1"/>
  <c r="AT72" i="11"/>
  <c r="AT94" i="11" s="1"/>
  <c r="AC72" i="11"/>
  <c r="AC94" i="11" s="1"/>
  <c r="AQ17" i="11"/>
  <c r="Z17" i="11"/>
  <c r="AP16" i="11"/>
  <c r="AP5" i="11"/>
  <c r="Y5" i="11"/>
  <c r="D73" i="11"/>
  <c r="U73" i="11"/>
  <c r="U97" i="11" s="1"/>
  <c r="L73" i="11"/>
  <c r="AC73" i="11"/>
  <c r="AC97" i="11" s="1"/>
  <c r="T74" i="11"/>
  <c r="BB74" i="11"/>
  <c r="BB99" i="11" s="1"/>
  <c r="AK74" i="11"/>
  <c r="AK99" i="11" s="1"/>
  <c r="F107" i="12"/>
  <c r="L108" i="12"/>
  <c r="L118" i="12" s="1"/>
  <c r="L124" i="12" s="1"/>
  <c r="L114" i="12"/>
  <c r="AH33" i="11"/>
  <c r="AH40" i="11" s="1"/>
  <c r="S70" i="11"/>
  <c r="O17" i="11"/>
  <c r="AK15" i="11"/>
  <c r="AJ70" i="11"/>
  <c r="AD12" i="11"/>
  <c r="AC10" i="11"/>
  <c r="AC38" i="11" s="1"/>
  <c r="X17" i="11"/>
  <c r="AZ17" i="11"/>
  <c r="AI17" i="11"/>
  <c r="R17" i="11"/>
  <c r="AX24" i="11"/>
  <c r="AG24" i="11"/>
  <c r="AV70" i="11"/>
  <c r="N70" i="11"/>
  <c r="AU70" i="11"/>
  <c r="AD70" i="11"/>
  <c r="AO15" i="11"/>
  <c r="X15" i="11"/>
  <c r="AN63" i="11"/>
  <c r="AN91" i="11" s="1"/>
  <c r="W63" i="11"/>
  <c r="W91" i="11" s="1"/>
  <c r="AM21" i="11"/>
  <c r="V21" i="11"/>
  <c r="Y74" i="11"/>
  <c r="Y99" i="11" s="1"/>
  <c r="AG74" i="11"/>
  <c r="AG99" i="11" s="1"/>
  <c r="AX74" i="11"/>
  <c r="AX99" i="11" s="1"/>
  <c r="P74" i="11"/>
  <c r="F114" i="12"/>
  <c r="T12" i="11"/>
  <c r="T11" i="11"/>
  <c r="U70" i="11"/>
  <c r="AK13" i="11"/>
  <c r="AK4" i="11"/>
  <c r="AJ26" i="11"/>
  <c r="AH70" i="11"/>
  <c r="AH65" i="11"/>
  <c r="AH92" i="11" s="1"/>
  <c r="AH12" i="11"/>
  <c r="AF70" i="11"/>
  <c r="AF65" i="11"/>
  <c r="AF92" i="11" s="1"/>
  <c r="AF13" i="11"/>
  <c r="AF4" i="11"/>
  <c r="AE63" i="11"/>
  <c r="AE91" i="11" s="1"/>
  <c r="AE6" i="11"/>
  <c r="AD30" i="11"/>
  <c r="AD13" i="11"/>
  <c r="AC65" i="11"/>
  <c r="AC92" i="11" s="1"/>
  <c r="AC18" i="11"/>
  <c r="AB72" i="11"/>
  <c r="AB94" i="11" s="1"/>
  <c r="AA69" i="11"/>
  <c r="AA17" i="11"/>
  <c r="AA24" i="11"/>
  <c r="Z24" i="11"/>
  <c r="Y6" i="11"/>
  <c r="X72" i="11"/>
  <c r="X94" i="11" s="1"/>
  <c r="X70" i="11"/>
  <c r="AU7" i="11"/>
  <c r="F73" i="11"/>
  <c r="W73" i="11"/>
  <c r="W97" i="11" s="1"/>
  <c r="AC74" i="11"/>
  <c r="N73" i="11"/>
  <c r="AE73" i="11"/>
  <c r="AE97" i="11" s="1"/>
  <c r="F108" i="12"/>
  <c r="F118" i="12" s="1"/>
  <c r="F124" i="12" s="1"/>
  <c r="J112" i="12"/>
  <c r="J118" i="12" s="1"/>
  <c r="J124" i="12" s="1"/>
  <c r="K117" i="12"/>
  <c r="K123" i="12" s="1"/>
  <c r="H113" i="12"/>
  <c r="H73" i="11"/>
  <c r="Y73" i="11"/>
  <c r="Y97" i="11" s="1"/>
  <c r="AE74" i="11"/>
  <c r="AE99" i="11" s="1"/>
  <c r="AV74" i="11"/>
  <c r="AV99" i="11" s="1"/>
  <c r="P73" i="11"/>
  <c r="AG73" i="11"/>
  <c r="AG97" i="11" s="1"/>
  <c r="O115" i="12"/>
  <c r="O111" i="12"/>
  <c r="G115" i="12"/>
  <c r="P59" i="11"/>
  <c r="AG59" i="11"/>
  <c r="L59" i="11"/>
  <c r="AC59" i="11"/>
  <c r="H59" i="11"/>
  <c r="Y59" i="11"/>
  <c r="K41" i="11"/>
  <c r="AB41" i="11"/>
  <c r="AB103" i="11" s="1"/>
  <c r="G41" i="11"/>
  <c r="X41" i="11"/>
  <c r="X103" i="11" s="1"/>
  <c r="AL25" i="11"/>
  <c r="D25" i="11"/>
  <c r="S42" i="11"/>
  <c r="S87" i="11" s="1"/>
  <c r="AJ42" i="11"/>
  <c r="AJ87" i="11" s="1"/>
  <c r="AZ42" i="11"/>
  <c r="AZ87" i="11" s="1"/>
  <c r="R42" i="11"/>
  <c r="R87" i="11" s="1"/>
  <c r="O112" i="12"/>
  <c r="O118" i="12" s="1"/>
  <c r="O124" i="12" s="1"/>
  <c r="R115" i="12"/>
  <c r="H115" i="12"/>
  <c r="G113" i="12"/>
  <c r="I110" i="12"/>
  <c r="G106" i="12"/>
  <c r="W59" i="11"/>
  <c r="Q60" i="11"/>
  <c r="AH60" i="11"/>
  <c r="M60" i="11"/>
  <c r="AD60" i="11"/>
  <c r="I60" i="11"/>
  <c r="Z60" i="11"/>
  <c r="E60" i="11"/>
  <c r="V60" i="11"/>
  <c r="BA41" i="11"/>
  <c r="BA103" i="11" s="1"/>
  <c r="AO41" i="11"/>
  <c r="AO103" i="11" s="1"/>
  <c r="R108" i="12"/>
  <c r="Q108" i="12"/>
  <c r="Q118" i="12" s="1"/>
  <c r="Q124" i="12" s="1"/>
  <c r="P118" i="12"/>
  <c r="P124" i="12" s="1"/>
  <c r="K112" i="12"/>
  <c r="K118" i="12" s="1"/>
  <c r="K124" i="12" s="1"/>
  <c r="G108" i="12"/>
  <c r="P111" i="12"/>
  <c r="J111" i="12"/>
  <c r="Q109" i="12"/>
  <c r="Q116" i="12" s="1"/>
  <c r="Q122" i="12" s="1"/>
  <c r="M109" i="12"/>
  <c r="L106" i="12"/>
  <c r="I109" i="12"/>
  <c r="AW60" i="11"/>
  <c r="AV59" i="11"/>
  <c r="AT59" i="11"/>
  <c r="AO60" i="11"/>
  <c r="AN59" i="11"/>
  <c r="AI59" i="11"/>
  <c r="X60" i="11"/>
  <c r="AJ41" i="11"/>
  <c r="AJ103" i="11" s="1"/>
  <c r="T59" i="11"/>
  <c r="BB59" i="11"/>
  <c r="AF42" i="11"/>
  <c r="AF87" i="11" s="1"/>
  <c r="AW42" i="11"/>
  <c r="AW87" i="11" s="1"/>
  <c r="O42" i="11"/>
  <c r="O87" i="11" s="1"/>
  <c r="N44" i="14"/>
  <c r="AT7" i="11"/>
  <c r="S36" i="6"/>
  <c r="F109" i="12"/>
  <c r="M118" i="12"/>
  <c r="M124" i="12" s="1"/>
  <c r="P114" i="12"/>
  <c r="H107" i="12"/>
  <c r="G110" i="12"/>
  <c r="AU60" i="11"/>
  <c r="AM60" i="11"/>
  <c r="AJ60" i="11"/>
  <c r="AF104" i="11"/>
  <c r="AE59" i="11"/>
  <c r="P60" i="11"/>
  <c r="AX60" i="11"/>
  <c r="L60" i="11"/>
  <c r="AT60" i="11"/>
  <c r="H60" i="11"/>
  <c r="AP60" i="11"/>
  <c r="AW41" i="11"/>
  <c r="AW103" i="11" s="1"/>
  <c r="AS41" i="11"/>
  <c r="AS103" i="11" s="1"/>
  <c r="L41" i="11"/>
  <c r="AC41" i="11"/>
  <c r="AC103" i="11" s="1"/>
  <c r="AT41" i="11"/>
  <c r="AT103" i="11" s="1"/>
  <c r="AI42" i="11"/>
  <c r="AI87" i="11" s="1"/>
  <c r="BB60" i="11"/>
  <c r="T60" i="11"/>
  <c r="M36" i="6"/>
  <c r="D27" i="11"/>
  <c r="R109" i="12"/>
  <c r="N109" i="12"/>
  <c r="M106" i="12"/>
  <c r="K110" i="12"/>
  <c r="J109" i="12"/>
  <c r="P42" i="11"/>
  <c r="P87" i="11" s="1"/>
  <c r="AG42" i="11"/>
  <c r="AG87" i="11" s="1"/>
  <c r="AX42" i="11"/>
  <c r="AX87" i="11" s="1"/>
  <c r="U41" i="11"/>
  <c r="R112" i="12"/>
  <c r="I108" i="12"/>
  <c r="I118" i="12" s="1"/>
  <c r="I124" i="12" s="1"/>
  <c r="N108" i="12"/>
  <c r="N118" i="12" s="1"/>
  <c r="N124" i="12" s="1"/>
  <c r="H112" i="12"/>
  <c r="H118" i="12" s="1"/>
  <c r="H124" i="12" s="1"/>
  <c r="F115" i="12"/>
  <c r="F113" i="12"/>
  <c r="Q111" i="12"/>
  <c r="M114" i="12"/>
  <c r="I111" i="12"/>
  <c r="R107" i="12"/>
  <c r="N115" i="12"/>
  <c r="N113" i="12"/>
  <c r="J107" i="12"/>
  <c r="F111" i="12"/>
  <c r="Q115" i="12"/>
  <c r="Q113" i="12"/>
  <c r="M107" i="12"/>
  <c r="I115" i="12"/>
  <c r="I113" i="12"/>
  <c r="F110" i="12"/>
  <c r="R106" i="12"/>
  <c r="J110" i="12"/>
  <c r="L109" i="12"/>
  <c r="H109" i="12"/>
  <c r="H116" i="12" s="1"/>
  <c r="H122" i="12" s="1"/>
  <c r="N106" i="12"/>
  <c r="F106" i="12"/>
  <c r="N110" i="12"/>
  <c r="R110" i="12"/>
  <c r="J106" i="12"/>
  <c r="P109" i="12"/>
  <c r="P116" i="12" s="1"/>
  <c r="P122" i="12" s="1"/>
  <c r="T118" i="12"/>
  <c r="T124" i="12" s="1"/>
  <c r="U117" i="12"/>
  <c r="U123" i="12" s="1"/>
  <c r="U118" i="12"/>
  <c r="U124" i="12" s="1"/>
  <c r="T117" i="12"/>
  <c r="T123" i="12" s="1"/>
  <c r="S116" i="12"/>
  <c r="S122" i="12" s="1"/>
  <c r="T116" i="12"/>
  <c r="T122" i="12" s="1"/>
  <c r="S118" i="12"/>
  <c r="S124" i="12" s="1"/>
  <c r="S117" i="12"/>
  <c r="S123" i="12" s="1"/>
  <c r="AR14" i="11"/>
  <c r="AA19" i="11"/>
  <c r="J31" i="11"/>
  <c r="AR7" i="11"/>
  <c r="AR31" i="11"/>
  <c r="AA31" i="11"/>
  <c r="J7" i="11"/>
  <c r="J14" i="11"/>
  <c r="J19" i="11"/>
  <c r="AR19" i="11"/>
  <c r="AA14" i="11"/>
  <c r="J23" i="11"/>
  <c r="E27" i="11"/>
  <c r="AM7" i="11"/>
  <c r="AM31" i="11"/>
  <c r="V7" i="11"/>
  <c r="V14" i="11"/>
  <c r="E7" i="11"/>
  <c r="AM14" i="11"/>
  <c r="AM19" i="11"/>
  <c r="E14" i="11"/>
  <c r="D19" i="11"/>
  <c r="AT23" i="11"/>
  <c r="AH8" i="11"/>
  <c r="AD8" i="11"/>
  <c r="BB14" i="11"/>
  <c r="Y27" i="11"/>
  <c r="BB27" i="11"/>
  <c r="BB19" i="11"/>
  <c r="AQ27" i="11"/>
  <c r="AM27" i="11"/>
  <c r="AJ40" i="11"/>
  <c r="AU10" i="11"/>
  <c r="AU38" i="11" s="1"/>
  <c r="J113" i="5"/>
  <c r="Q19" i="6" s="1"/>
  <c r="H20" i="11" s="1"/>
  <c r="Q8" i="6"/>
  <c r="H9" i="11" s="1"/>
  <c r="I98" i="5"/>
  <c r="I113" i="5" s="1"/>
  <c r="P19" i="6" s="1"/>
  <c r="X20" i="11" s="1"/>
  <c r="AR9" i="11"/>
  <c r="S20" i="11"/>
  <c r="Q24" i="11"/>
  <c r="P24" i="11"/>
  <c r="H24" i="11"/>
  <c r="U26" i="11"/>
  <c r="AB24" i="11"/>
  <c r="AZ24" i="11"/>
  <c r="AU24" i="11"/>
  <c r="AQ24" i="11"/>
  <c r="AO24" i="11"/>
  <c r="AK24" i="11"/>
  <c r="BB24" i="11"/>
  <c r="AS24" i="11"/>
  <c r="T25" i="11"/>
  <c r="L25" i="11"/>
  <c r="K25" i="11"/>
  <c r="AA20" i="11"/>
  <c r="AB20" i="11"/>
  <c r="T26" i="11"/>
  <c r="AH24" i="11"/>
  <c r="AC25" i="11"/>
  <c r="Y25" i="11"/>
  <c r="X25" i="11"/>
  <c r="AA33" i="6"/>
  <c r="Y35" i="6"/>
  <c r="O24" i="11"/>
  <c r="AA25" i="11"/>
  <c r="U35" i="6"/>
  <c r="E24" i="11"/>
  <c r="P25" i="11"/>
  <c r="J25" i="11"/>
  <c r="H25" i="11"/>
  <c r="G25" i="11"/>
  <c r="AG25" i="11"/>
  <c r="AF24" i="11"/>
  <c r="AA26" i="11"/>
  <c r="AZ10" i="11"/>
  <c r="AZ38" i="11" s="1"/>
  <c r="AX20" i="11"/>
  <c r="P20" i="11"/>
  <c r="AG20" i="11"/>
  <c r="H98" i="5"/>
  <c r="P8" i="6"/>
  <c r="BA20" i="11"/>
  <c r="AJ20" i="11"/>
  <c r="AY20" i="11"/>
  <c r="AH20" i="11"/>
  <c r="AF20" i="11"/>
  <c r="AT20" i="11"/>
  <c r="Z20" i="11"/>
  <c r="I20" i="11"/>
  <c r="AQ20" i="11"/>
  <c r="AQ9" i="11"/>
  <c r="Z9" i="11"/>
  <c r="W33" i="6"/>
  <c r="R10" i="11"/>
  <c r="R9" i="11"/>
  <c r="N9" i="11"/>
  <c r="L9" i="11"/>
  <c r="K20" i="11"/>
  <c r="J10" i="11"/>
  <c r="J38" i="11" s="1"/>
  <c r="AE9" i="11"/>
  <c r="AC9" i="11"/>
  <c r="AB9" i="11"/>
  <c r="AA10" i="11"/>
  <c r="AA38" i="11" s="1"/>
  <c r="AT10" i="11"/>
  <c r="AT38" i="11" s="1"/>
  <c r="S37" i="6"/>
  <c r="M10" i="11"/>
  <c r="M38" i="11" s="1"/>
  <c r="AI10" i="11"/>
  <c r="AI38" i="11" s="1"/>
  <c r="AK10" i="11"/>
  <c r="AK38" i="11" s="1"/>
  <c r="T10" i="11"/>
  <c r="AC37" i="6"/>
  <c r="BB10" i="11"/>
  <c r="BB38" i="11" s="1"/>
  <c r="Q9" i="6"/>
  <c r="AB37" i="6"/>
  <c r="S10" i="11"/>
  <c r="N10" i="11"/>
  <c r="R9" i="6"/>
  <c r="W37" i="6"/>
  <c r="AG10" i="11"/>
  <c r="AG38" i="11" s="1"/>
  <c r="AE10" i="11"/>
  <c r="AE38" i="11" s="1"/>
  <c r="AB10" i="11"/>
  <c r="AB38" i="11" s="1"/>
  <c r="R35" i="6"/>
  <c r="AJ25" i="11"/>
  <c r="AB35" i="6"/>
  <c r="U25" i="11"/>
  <c r="AM25" i="11"/>
  <c r="T35" i="6"/>
  <c r="E25" i="11"/>
  <c r="S25" i="11"/>
  <c r="AB25" i="11"/>
  <c r="S27" i="11"/>
  <c r="P27" i="11"/>
  <c r="AC36" i="6"/>
  <c r="Q27" i="11"/>
  <c r="J27" i="11"/>
  <c r="Z36" i="6"/>
  <c r="O27" i="11"/>
  <c r="AK27" i="11"/>
  <c r="X36" i="6"/>
  <c r="T27" i="11"/>
  <c r="AF27" i="11"/>
  <c r="W34" i="6"/>
  <c r="AF26" i="11"/>
  <c r="F26" i="11"/>
  <c r="W26" i="11"/>
  <c r="O34" i="6"/>
  <c r="Z35" i="6"/>
  <c r="Q25" i="11"/>
  <c r="O25" i="11"/>
  <c r="AF25" i="11"/>
  <c r="X35" i="6"/>
  <c r="AI25" i="11"/>
  <c r="AH25" i="11"/>
  <c r="R25" i="11"/>
  <c r="M25" i="11"/>
  <c r="AD25" i="11"/>
  <c r="V35" i="6"/>
  <c r="AA35" i="6"/>
  <c r="AK25" i="11"/>
  <c r="AC35" i="6"/>
  <c r="AN25" i="11"/>
  <c r="Z25" i="11"/>
  <c r="F25" i="11"/>
  <c r="I25" i="11"/>
  <c r="AB26" i="11"/>
  <c r="L26" i="11"/>
  <c r="AK26" i="11"/>
  <c r="AC34" i="6"/>
  <c r="M26" i="11"/>
  <c r="AE26" i="11"/>
  <c r="U34" i="6"/>
  <c r="N26" i="11"/>
  <c r="AC26" i="11"/>
  <c r="T34" i="6"/>
  <c r="Q26" i="11"/>
  <c r="O26" i="11"/>
  <c r="AG26" i="11"/>
  <c r="AD26" i="11"/>
  <c r="Z34" i="6"/>
  <c r="Y34" i="6"/>
  <c r="R26" i="11"/>
  <c r="K26" i="11"/>
  <c r="AH26" i="11"/>
  <c r="X34" i="6"/>
  <c r="V34" i="6"/>
  <c r="P26" i="11"/>
  <c r="H26" i="11"/>
  <c r="Y26" i="11"/>
  <c r="I26" i="11"/>
  <c r="Z26" i="11"/>
  <c r="V26" i="11"/>
  <c r="E26" i="11"/>
  <c r="R34" i="6"/>
  <c r="G26" i="11"/>
  <c r="X26" i="11"/>
  <c r="AI8" i="11"/>
  <c r="AZ33" i="11"/>
  <c r="AZ40" i="11" s="1"/>
  <c r="AZ8" i="11"/>
  <c r="R8" i="11"/>
  <c r="AI33" i="11"/>
  <c r="AL8" i="11"/>
  <c r="AL33" i="11"/>
  <c r="AL40" i="11" s="1"/>
  <c r="D33" i="11"/>
  <c r="D40" i="11" s="1"/>
  <c r="U33" i="11"/>
  <c r="Y8" i="11"/>
  <c r="AP33" i="11"/>
  <c r="AP40" i="11" s="1"/>
  <c r="Y33" i="11"/>
  <c r="AP8" i="11"/>
  <c r="AZ14" i="11"/>
  <c r="AZ31" i="11"/>
  <c r="AI7" i="11"/>
  <c r="AI23" i="11"/>
  <c r="AZ27" i="11"/>
  <c r="AI27" i="11"/>
  <c r="AZ7" i="11"/>
  <c r="AI19" i="11"/>
  <c r="R27" i="11"/>
  <c r="AZ23" i="11"/>
  <c r="AI31" i="11"/>
  <c r="R14" i="11"/>
  <c r="R31" i="11"/>
  <c r="AZ19" i="11"/>
  <c r="AI14" i="11"/>
  <c r="R7" i="11"/>
  <c r="R19" i="11"/>
  <c r="H8" i="11"/>
  <c r="U8" i="11"/>
  <c r="AN8" i="11"/>
  <c r="W33" i="11"/>
  <c r="AN33" i="11"/>
  <c r="AN40" i="11" s="1"/>
  <c r="F33" i="11"/>
  <c r="F40" i="11" s="1"/>
  <c r="F8" i="11"/>
  <c r="W8" i="11"/>
  <c r="X8" i="11"/>
  <c r="X33" i="11"/>
  <c r="AO8" i="11"/>
  <c r="G33" i="11"/>
  <c r="G40" i="11" s="1"/>
  <c r="R23" i="11"/>
  <c r="AS14" i="11"/>
  <c r="AS31" i="11"/>
  <c r="AB27" i="11"/>
  <c r="AS27" i="11"/>
  <c r="AB14" i="11"/>
  <c r="AB31" i="11"/>
  <c r="AS7" i="11"/>
  <c r="K14" i="11"/>
  <c r="K31" i="11"/>
  <c r="AS23" i="11"/>
  <c r="AB7" i="11"/>
  <c r="K19" i="11"/>
  <c r="AS19" i="11"/>
  <c r="AB19" i="11"/>
  <c r="K23" i="11"/>
  <c r="AB23" i="11"/>
  <c r="K27" i="11"/>
  <c r="AQ23" i="11"/>
  <c r="Z19" i="11"/>
  <c r="AQ7" i="11"/>
  <c r="AQ19" i="11"/>
  <c r="Z7" i="11"/>
  <c r="Z23" i="11"/>
  <c r="I7" i="11"/>
  <c r="I23" i="11"/>
  <c r="AQ31" i="11"/>
  <c r="Z14" i="11"/>
  <c r="I27" i="11"/>
  <c r="AQ14" i="11"/>
  <c r="I19" i="11"/>
  <c r="Z27" i="11"/>
  <c r="I31" i="11"/>
  <c r="Z31" i="11"/>
  <c r="AK8" i="11"/>
  <c r="BB33" i="11"/>
  <c r="BB40" i="11" s="1"/>
  <c r="BB8" i="11"/>
  <c r="T8" i="11"/>
  <c r="AK33" i="11"/>
  <c r="AF8" i="11"/>
  <c r="AF33" i="11"/>
  <c r="O33" i="11"/>
  <c r="O40" i="11" s="1"/>
  <c r="O8" i="11"/>
  <c r="AW33" i="11"/>
  <c r="AW40" i="11" s="1"/>
  <c r="AQ8" i="11"/>
  <c r="Z33" i="11"/>
  <c r="Z8" i="11"/>
  <c r="AQ33" i="11"/>
  <c r="AQ40" i="11" s="1"/>
  <c r="I33" i="11"/>
  <c r="I40" i="11" s="1"/>
  <c r="I8" i="11"/>
  <c r="AX14" i="11"/>
  <c r="AX31" i="11"/>
  <c r="AG14" i="11"/>
  <c r="AG31" i="11"/>
  <c r="AX27" i="11"/>
  <c r="AG19" i="11"/>
  <c r="AX7" i="11"/>
  <c r="AG27" i="11"/>
  <c r="P19" i="11"/>
  <c r="AX23" i="11"/>
  <c r="AG7" i="11"/>
  <c r="P7" i="11"/>
  <c r="P23" i="11"/>
  <c r="P31" i="11"/>
  <c r="AX19" i="11"/>
  <c r="AG23" i="11"/>
  <c r="P14" i="11"/>
  <c r="H33" i="11"/>
  <c r="H40" i="11" s="1"/>
  <c r="R33" i="11"/>
  <c r="R40" i="11" s="1"/>
  <c r="AG8" i="11"/>
  <c r="AX33" i="11"/>
  <c r="AX40" i="11" s="1"/>
  <c r="P33" i="11"/>
  <c r="P40" i="11" s="1"/>
  <c r="AX8" i="11"/>
  <c r="P8" i="11"/>
  <c r="AG33" i="11"/>
  <c r="AS8" i="11"/>
  <c r="AB33" i="11"/>
  <c r="AM8" i="11"/>
  <c r="AM33" i="11"/>
  <c r="AM40" i="11" s="1"/>
  <c r="AV14" i="11"/>
  <c r="AV31" i="11"/>
  <c r="AE7" i="11"/>
  <c r="AE23" i="11"/>
  <c r="AV27" i="11"/>
  <c r="AE27" i="11"/>
  <c r="AV23" i="11"/>
  <c r="N27" i="11"/>
  <c r="AV19" i="11"/>
  <c r="AE14" i="11"/>
  <c r="N14" i="11"/>
  <c r="N31" i="11"/>
  <c r="Y14" i="11"/>
  <c r="Y31" i="11"/>
  <c r="H27" i="11"/>
  <c r="AP7" i="11"/>
  <c r="AP19" i="11"/>
  <c r="Y19" i="11"/>
  <c r="H31" i="11"/>
  <c r="AP14" i="11"/>
  <c r="Y23" i="11"/>
  <c r="H7" i="11"/>
  <c r="N23" i="11"/>
  <c r="AE19" i="11"/>
  <c r="V19" i="11"/>
  <c r="V27" i="11"/>
  <c r="E19" i="11"/>
  <c r="M33" i="11"/>
  <c r="M40" i="11" s="1"/>
  <c r="AA8" i="11"/>
  <c r="AR33" i="11"/>
  <c r="AR40" i="11" s="1"/>
  <c r="N19" i="11"/>
  <c r="D14" i="11"/>
  <c r="D31" i="11"/>
  <c r="AL7" i="11"/>
  <c r="AL14" i="11"/>
  <c r="AL23" i="11"/>
  <c r="AL31" i="11"/>
  <c r="U19" i="11"/>
  <c r="U7" i="11"/>
  <c r="U23" i="11"/>
  <c r="AL27" i="11"/>
  <c r="U14" i="11"/>
  <c r="BA7" i="11"/>
  <c r="BA19" i="11"/>
  <c r="AJ27" i="11"/>
  <c r="BA14" i="11"/>
  <c r="BA31" i="11"/>
  <c r="AJ14" i="11"/>
  <c r="AJ31" i="11"/>
  <c r="AJ23" i="11"/>
  <c r="S14" i="11"/>
  <c r="S31" i="11"/>
  <c r="BA27" i="11"/>
  <c r="S19" i="11"/>
  <c r="AP27" i="11"/>
  <c r="AT14" i="11"/>
  <c r="AT31" i="11"/>
  <c r="AC14" i="11"/>
  <c r="AC31" i="11"/>
  <c r="AT27" i="11"/>
  <c r="AC19" i="11"/>
  <c r="AN23" i="11"/>
  <c r="W7" i="11"/>
  <c r="W23" i="11"/>
  <c r="AN7" i="11"/>
  <c r="W27" i="11"/>
  <c r="AT19" i="11"/>
  <c r="AR27" i="11"/>
  <c r="AA7" i="11"/>
  <c r="AA23" i="11"/>
  <c r="AR23" i="11"/>
  <c r="AA27" i="11"/>
  <c r="AO23" i="11"/>
  <c r="X27" i="11"/>
  <c r="G7" i="11"/>
  <c r="G23" i="11"/>
  <c r="AO7" i="11"/>
  <c r="AO19" i="11"/>
  <c r="X14" i="11"/>
  <c r="X31" i="11"/>
  <c r="G27" i="11"/>
  <c r="AN31" i="11"/>
  <c r="G37" i="18"/>
  <c r="X59" i="18"/>
  <c r="E34" i="18"/>
  <c r="E40" i="18" s="1"/>
  <c r="AA35" i="18"/>
  <c r="H59" i="18"/>
  <c r="Q35" i="18"/>
  <c r="AB35" i="18"/>
  <c r="T59" i="18"/>
  <c r="U59" i="18"/>
  <c r="K37" i="18"/>
  <c r="U40" i="18"/>
  <c r="E33" i="18"/>
  <c r="E39" i="18" s="1"/>
  <c r="E31" i="18"/>
  <c r="E37" i="18" s="1"/>
  <c r="AC34" i="18"/>
  <c r="AC40" i="18" s="1"/>
  <c r="T40" i="18"/>
  <c r="H37" i="18"/>
  <c r="Y35" i="18"/>
  <c r="V40" i="18"/>
  <c r="I38" i="18"/>
  <c r="O37" i="18"/>
  <c r="M36" i="18"/>
  <c r="E36" i="18"/>
  <c r="L35" i="18"/>
  <c r="L59" i="18"/>
  <c r="M40" i="18"/>
  <c r="I40" i="18"/>
  <c r="I30" i="18"/>
  <c r="I36" i="18" s="1"/>
  <c r="Z40" i="18"/>
  <c r="V59" i="18"/>
  <c r="S58" i="18"/>
  <c r="S59" i="18" s="1"/>
  <c r="S29" i="18"/>
  <c r="S35" i="18" s="1"/>
  <c r="N38" i="18"/>
  <c r="J38" i="18"/>
  <c r="F38" i="18"/>
  <c r="H29" i="18"/>
  <c r="H35" i="18" s="1"/>
  <c r="AA34" i="18"/>
  <c r="AA40" i="18" s="1"/>
  <c r="Z29" i="18"/>
  <c r="Z35" i="18" s="1"/>
  <c r="W58" i="18"/>
  <c r="W59" i="18" s="1"/>
  <c r="AA58" i="18"/>
  <c r="AA59" i="18" s="1"/>
  <c r="AC35" i="18"/>
  <c r="AB59" i="18"/>
  <c r="AB40" i="18"/>
  <c r="Z59" i="18"/>
  <c r="W34" i="18"/>
  <c r="W40" i="18" s="1"/>
  <c r="P33" i="18"/>
  <c r="P39" i="18" s="1"/>
  <c r="L34" i="18"/>
  <c r="L40" i="18" s="1"/>
  <c r="H34" i="18"/>
  <c r="H40" i="18" s="1"/>
  <c r="E32" i="18"/>
  <c r="E38" i="18" s="1"/>
  <c r="J31" i="18"/>
  <c r="J37" i="18" s="1"/>
  <c r="F31" i="18"/>
  <c r="F37" i="18" s="1"/>
  <c r="M29" i="18"/>
  <c r="M35" i="18" s="1"/>
  <c r="I29" i="18"/>
  <c r="I35" i="18" s="1"/>
  <c r="E41" i="18"/>
  <c r="E29" i="18"/>
  <c r="E35" i="18" s="1"/>
  <c r="T29" i="18"/>
  <c r="T35" i="18" s="1"/>
  <c r="Q33" i="18"/>
  <c r="Q39" i="18" s="1"/>
  <c r="P29" i="18"/>
  <c r="P35" i="18" s="1"/>
  <c r="W29" i="18"/>
  <c r="W35" i="18" s="1"/>
  <c r="N37" i="18"/>
  <c r="S40" i="18"/>
  <c r="R30" i="18"/>
  <c r="R36" i="18" s="1"/>
  <c r="M38" i="18"/>
  <c r="R58" i="18"/>
  <c r="R59" i="18" s="1"/>
  <c r="Q59" i="18"/>
  <c r="O34" i="18"/>
  <c r="O40" i="18" s="1"/>
  <c r="K34" i="18"/>
  <c r="K40" i="18" s="1"/>
  <c r="G34" i="18"/>
  <c r="G40" i="18" s="1"/>
  <c r="Q30" i="18"/>
  <c r="Q36" i="18" s="1"/>
  <c r="P38" i="18"/>
  <c r="M39" i="18"/>
  <c r="I39" i="18"/>
  <c r="L30" i="18"/>
  <c r="L36" i="18" s="1"/>
  <c r="H30" i="18"/>
  <c r="H36" i="18" s="1"/>
  <c r="R37" i="18"/>
  <c r="Q40" i="18"/>
  <c r="L39" i="18"/>
  <c r="H39" i="18"/>
  <c r="O30" i="18"/>
  <c r="O36" i="18" s="1"/>
  <c r="K30" i="18"/>
  <c r="K36" i="18" s="1"/>
  <c r="G36" i="18"/>
  <c r="AR84" i="11" l="1"/>
  <c r="X93" i="11"/>
  <c r="J84" i="11"/>
  <c r="AZ20" i="11"/>
  <c r="R27" i="14" s="1"/>
  <c r="AV20" i="11"/>
  <c r="S15" i="14"/>
  <c r="E31" i="11"/>
  <c r="AA93" i="11"/>
  <c r="AF84" i="11"/>
  <c r="AK84" i="11"/>
  <c r="S93" i="11"/>
  <c r="S90" i="11" s="1"/>
  <c r="G84" i="11"/>
  <c r="X90" i="11"/>
  <c r="BB16" i="11"/>
  <c r="L84" i="11"/>
  <c r="AI93" i="11"/>
  <c r="AI90" i="11" s="1"/>
  <c r="P25" i="15"/>
  <c r="Y93" i="11"/>
  <c r="V92" i="11"/>
  <c r="V90" i="11" s="1"/>
  <c r="AY84" i="11"/>
  <c r="T84" i="11"/>
  <c r="E16" i="11"/>
  <c r="E23" i="14" s="1"/>
  <c r="W13" i="11"/>
  <c r="AW92" i="11"/>
  <c r="AY92" i="11"/>
  <c r="Z93" i="11"/>
  <c r="AK11" i="11"/>
  <c r="AR104" i="11"/>
  <c r="AR102" i="11" s="1"/>
  <c r="AE84" i="11"/>
  <c r="AR30" i="11"/>
  <c r="BB93" i="11"/>
  <c r="BB90" i="11" s="1"/>
  <c r="S32" i="15" s="1"/>
  <c r="N10" i="15"/>
  <c r="AT92" i="11"/>
  <c r="AD11" i="11"/>
  <c r="V93" i="11"/>
  <c r="AP84" i="11"/>
  <c r="AU84" i="11"/>
  <c r="AA30" i="11"/>
  <c r="P16" i="11"/>
  <c r="F93" i="11"/>
  <c r="Z90" i="11"/>
  <c r="W22" i="11"/>
  <c r="F84" i="11"/>
  <c r="H92" i="11"/>
  <c r="E92" i="11"/>
  <c r="Q92" i="11"/>
  <c r="AW84" i="11"/>
  <c r="AM93" i="11"/>
  <c r="AV84" i="11"/>
  <c r="M29" i="15" s="1"/>
  <c r="G93" i="11"/>
  <c r="AD84" i="11"/>
  <c r="R20" i="11"/>
  <c r="Y33" i="6"/>
  <c r="AE20" i="11"/>
  <c r="H74" i="11"/>
  <c r="AJ93" i="11"/>
  <c r="AJ90" i="11" s="1"/>
  <c r="H90" i="11"/>
  <c r="Y90" i="11"/>
  <c r="AN11" i="11"/>
  <c r="AT84" i="11"/>
  <c r="K104" i="11"/>
  <c r="K84" i="11"/>
  <c r="BB84" i="11"/>
  <c r="AI84" i="11"/>
  <c r="AN13" i="11"/>
  <c r="AJ84" i="11"/>
  <c r="AQ93" i="11"/>
  <c r="X92" i="11"/>
  <c r="AB84" i="11"/>
  <c r="N29" i="14"/>
  <c r="V84" i="11"/>
  <c r="X12" i="11"/>
  <c r="AA92" i="11"/>
  <c r="AA90" i="11" s="1"/>
  <c r="V11" i="11"/>
  <c r="E18" i="14" s="1"/>
  <c r="W84" i="11"/>
  <c r="J30" i="11"/>
  <c r="J36" i="11" s="1"/>
  <c r="AR93" i="11"/>
  <c r="AX16" i="11"/>
  <c r="P84" i="11"/>
  <c r="E84" i="11"/>
  <c r="AE92" i="11"/>
  <c r="T93" i="11"/>
  <c r="T90" i="11" s="1"/>
  <c r="F92" i="11"/>
  <c r="F90" i="11" s="1"/>
  <c r="E8" i="15" s="1"/>
  <c r="V28" i="11"/>
  <c r="H84" i="11"/>
  <c r="I92" i="11"/>
  <c r="I90" i="11" s="1"/>
  <c r="E22" i="14"/>
  <c r="E88" i="14" s="1"/>
  <c r="AN90" i="11"/>
  <c r="P92" i="11"/>
  <c r="AQ92" i="11"/>
  <c r="AQ90" i="11" s="1"/>
  <c r="AM90" i="11"/>
  <c r="AS84" i="11"/>
  <c r="R84" i="11"/>
  <c r="BA84" i="11"/>
  <c r="AA84" i="11"/>
  <c r="O84" i="11"/>
  <c r="AP92" i="11"/>
  <c r="AP90" i="11" s="1"/>
  <c r="BA93" i="11"/>
  <c r="BA90" i="11" s="1"/>
  <c r="AM28" i="11"/>
  <c r="H29" i="14"/>
  <c r="AM84" i="11"/>
  <c r="D29" i="15" s="1"/>
  <c r="AR92" i="11"/>
  <c r="AR90" i="11" s="1"/>
  <c r="I32" i="15" s="1"/>
  <c r="E93" i="11"/>
  <c r="E90" i="11" s="1"/>
  <c r="AN84" i="11"/>
  <c r="N84" i="11"/>
  <c r="W93" i="11"/>
  <c r="W90" i="11" s="1"/>
  <c r="AN93" i="11"/>
  <c r="AO93" i="11"/>
  <c r="AO90" i="11" s="1"/>
  <c r="F32" i="15" s="1"/>
  <c r="I93" i="11"/>
  <c r="G90" i="11"/>
  <c r="F8" i="15" s="1"/>
  <c r="AG84" i="11"/>
  <c r="J92" i="11"/>
  <c r="J90" i="11" s="1"/>
  <c r="I8" i="15" s="1"/>
  <c r="AZ84" i="11"/>
  <c r="M84" i="11"/>
  <c r="L5" i="15" s="1"/>
  <c r="I84" i="11"/>
  <c r="G12" i="11"/>
  <c r="K92" i="11"/>
  <c r="Y84" i="11"/>
  <c r="AC104" i="11"/>
  <c r="T30" i="14"/>
  <c r="Z104" i="11"/>
  <c r="Z102" i="11" s="1"/>
  <c r="F101" i="11"/>
  <c r="F100" i="11" s="1"/>
  <c r="O26" i="14"/>
  <c r="F104" i="11"/>
  <c r="D6" i="14"/>
  <c r="T6" i="14"/>
  <c r="N36" i="14"/>
  <c r="I5" i="15"/>
  <c r="P16" i="14"/>
  <c r="D4" i="14"/>
  <c r="T68" i="14"/>
  <c r="S68" i="14"/>
  <c r="Q37" i="14"/>
  <c r="E68" i="14"/>
  <c r="J65" i="14"/>
  <c r="G64" i="14"/>
  <c r="AK104" i="11"/>
  <c r="AK102" i="11" s="1"/>
  <c r="N23" i="15"/>
  <c r="P67" i="14"/>
  <c r="P25" i="14"/>
  <c r="L68" i="14"/>
  <c r="Q23" i="14"/>
  <c r="U33" i="6"/>
  <c r="M116" i="12"/>
  <c r="M122" i="12" s="1"/>
  <c r="I19" i="14"/>
  <c r="E65" i="14"/>
  <c r="AZ104" i="11"/>
  <c r="AZ102" i="11" s="1"/>
  <c r="J19" i="14"/>
  <c r="N22" i="14"/>
  <c r="N88" i="14" s="1"/>
  <c r="J20" i="11"/>
  <c r="J27" i="14" s="1"/>
  <c r="AC102" i="11"/>
  <c r="T18" i="14"/>
  <c r="Z5" i="11"/>
  <c r="Z84" i="11" s="1"/>
  <c r="R44" i="14"/>
  <c r="AO22" i="11"/>
  <c r="AM17" i="11"/>
  <c r="AM36" i="11" s="1"/>
  <c r="AA11" i="11"/>
  <c r="J18" i="14" s="1"/>
  <c r="M28" i="11"/>
  <c r="M34" i="11" s="1"/>
  <c r="AX28" i="11"/>
  <c r="I29" i="14"/>
  <c r="P28" i="11"/>
  <c r="F29" i="14"/>
  <c r="AO6" i="11"/>
  <c r="AN19" i="11"/>
  <c r="AN37" i="11" s="1"/>
  <c r="AD20" i="11"/>
  <c r="AD34" i="11" s="1"/>
  <c r="AD85" i="11" s="1"/>
  <c r="P34" i="6"/>
  <c r="AC33" i="6"/>
  <c r="O73" i="14"/>
  <c r="O106" i="14" s="1"/>
  <c r="O105" i="14" s="1"/>
  <c r="I24" i="14"/>
  <c r="AL93" i="11"/>
  <c r="O35" i="15"/>
  <c r="AQ104" i="11"/>
  <c r="V12" i="11"/>
  <c r="O36" i="6"/>
  <c r="AP30" i="11"/>
  <c r="Y28" i="11"/>
  <c r="Q64" i="14"/>
  <c r="K28" i="14"/>
  <c r="AZ28" i="11"/>
  <c r="T44" i="14"/>
  <c r="AQ74" i="11"/>
  <c r="AQ99" i="11" s="1"/>
  <c r="G28" i="11"/>
  <c r="J36" i="14"/>
  <c r="M21" i="14"/>
  <c r="AO11" i="11"/>
  <c r="G18" i="14" s="1"/>
  <c r="T67" i="14"/>
  <c r="R68" i="14"/>
  <c r="O16" i="11"/>
  <c r="O23" i="14" s="1"/>
  <c r="Q6" i="14"/>
  <c r="D11" i="11"/>
  <c r="AS28" i="11"/>
  <c r="AB28" i="11"/>
  <c r="AB34" i="11" s="1"/>
  <c r="S16" i="14"/>
  <c r="G20" i="14"/>
  <c r="E22" i="11"/>
  <c r="F36" i="14"/>
  <c r="H16" i="11"/>
  <c r="H34" i="11" s="1"/>
  <c r="N36" i="6"/>
  <c r="S18" i="14"/>
  <c r="H22" i="14"/>
  <c r="H88" i="14" s="1"/>
  <c r="W19" i="11"/>
  <c r="W37" i="11" s="1"/>
  <c r="N34" i="6"/>
  <c r="G31" i="14"/>
  <c r="M64" i="14"/>
  <c r="H30" i="11"/>
  <c r="H37" i="14" s="1"/>
  <c r="F28" i="11"/>
  <c r="AZ36" i="11"/>
  <c r="X29" i="11"/>
  <c r="E67" i="14"/>
  <c r="I8" i="14"/>
  <c r="AU20" i="11"/>
  <c r="T20" i="11"/>
  <c r="N35" i="6"/>
  <c r="AK20" i="11"/>
  <c r="AK34" i="11" s="1"/>
  <c r="I75" i="14"/>
  <c r="I110" i="14" s="1"/>
  <c r="I109" i="14" s="1"/>
  <c r="H30" i="19" s="1"/>
  <c r="H32" i="19" s="1"/>
  <c r="M7" i="14"/>
  <c r="M37" i="14"/>
  <c r="E28" i="14"/>
  <c r="I22" i="14"/>
  <c r="I88" i="14" s="1"/>
  <c r="M29" i="14"/>
  <c r="O14" i="14"/>
  <c r="F102" i="11"/>
  <c r="J104" i="11"/>
  <c r="J102" i="11" s="1"/>
  <c r="AP28" i="11"/>
  <c r="AO28" i="11"/>
  <c r="F5" i="14"/>
  <c r="O71" i="14"/>
  <c r="R11" i="11"/>
  <c r="P13" i="15"/>
  <c r="AW16" i="11"/>
  <c r="AW34" i="11" s="1"/>
  <c r="E12" i="11"/>
  <c r="E36" i="11" s="1"/>
  <c r="U11" i="11"/>
  <c r="O68" i="14"/>
  <c r="L31" i="14"/>
  <c r="G29" i="11"/>
  <c r="S22" i="14"/>
  <c r="S88" i="14" s="1"/>
  <c r="J34" i="11"/>
  <c r="X43" i="5"/>
  <c r="U78" i="6" s="1"/>
  <c r="U90" i="6" s="1"/>
  <c r="U93" i="6"/>
  <c r="U95" i="6" s="1"/>
  <c r="P46" i="5"/>
  <c r="Q56" i="5"/>
  <c r="O10" i="18" s="1"/>
  <c r="O16" i="18" s="1"/>
  <c r="N80" i="6"/>
  <c r="N92" i="6" s="1"/>
  <c r="R77" i="6"/>
  <c r="R89" i="6" s="1"/>
  <c r="T42" i="5"/>
  <c r="S41" i="5"/>
  <c r="Q76" i="6"/>
  <c r="T55" i="5"/>
  <c r="R9" i="18" s="1"/>
  <c r="S45" i="5"/>
  <c r="Q79" i="6"/>
  <c r="Q91" i="6" s="1"/>
  <c r="F38" i="14"/>
  <c r="X33" i="6"/>
  <c r="P35" i="6"/>
  <c r="S43" i="14"/>
  <c r="M101" i="11"/>
  <c r="M100" i="11" s="1"/>
  <c r="AN74" i="11"/>
  <c r="AN99" i="11" s="1"/>
  <c r="M20" i="14"/>
  <c r="AH11" i="11"/>
  <c r="AH34" i="11" s="1"/>
  <c r="AH85" i="11" s="1"/>
  <c r="U52" i="5"/>
  <c r="S6" i="18" s="1"/>
  <c r="T71" i="14"/>
  <c r="O19" i="14"/>
  <c r="AO17" i="11"/>
  <c r="G24" i="14" s="1"/>
  <c r="J60" i="14"/>
  <c r="K23" i="14"/>
  <c r="I18" i="14"/>
  <c r="M35" i="15"/>
  <c r="S30" i="14"/>
  <c r="E23" i="11"/>
  <c r="E37" i="11" s="1"/>
  <c r="L40" i="14"/>
  <c r="O17" i="15"/>
  <c r="S33" i="6"/>
  <c r="AC20" i="11"/>
  <c r="I104" i="11"/>
  <c r="AO35" i="11"/>
  <c r="AP17" i="11"/>
  <c r="AL92" i="11"/>
  <c r="AL90" i="11" s="1"/>
  <c r="W11" i="11"/>
  <c r="F18" i="14" s="1"/>
  <c r="H13" i="11"/>
  <c r="Y13" i="11"/>
  <c r="AL104" i="11"/>
  <c r="AL102" i="11" s="1"/>
  <c r="R49" i="14"/>
  <c r="AN15" i="11"/>
  <c r="AN35" i="11" s="1"/>
  <c r="F15" i="11"/>
  <c r="F35" i="11" s="1"/>
  <c r="N176" i="5"/>
  <c r="T68" i="6"/>
  <c r="H23" i="11"/>
  <c r="H37" i="11" s="1"/>
  <c r="AG35" i="11"/>
  <c r="Q36" i="6"/>
  <c r="T33" i="6"/>
  <c r="O47" i="14"/>
  <c r="J47" i="14"/>
  <c r="T47" i="14"/>
  <c r="AP104" i="11"/>
  <c r="AP102" i="11" s="1"/>
  <c r="AJ35" i="11"/>
  <c r="P72" i="14"/>
  <c r="P103" i="14" s="1"/>
  <c r="AS11" i="11"/>
  <c r="K18" i="14" s="1"/>
  <c r="AP18" i="11"/>
  <c r="AP35" i="11" s="1"/>
  <c r="J25" i="15"/>
  <c r="S16" i="11"/>
  <c r="S23" i="14" s="1"/>
  <c r="P68" i="14"/>
  <c r="U16" i="11"/>
  <c r="R33" i="6"/>
  <c r="D29" i="14"/>
  <c r="H65" i="14"/>
  <c r="F49" i="14"/>
  <c r="S45" i="14"/>
  <c r="Y11" i="11"/>
  <c r="AY104" i="11"/>
  <c r="AY102" i="11" s="1"/>
  <c r="AZ16" i="11"/>
  <c r="AD6" i="18"/>
  <c r="AG52" i="5"/>
  <c r="P85" i="6"/>
  <c r="AW45" i="5"/>
  <c r="D26" i="14"/>
  <c r="AB33" i="6"/>
  <c r="H51" i="14"/>
  <c r="O20" i="14"/>
  <c r="O24" i="14"/>
  <c r="AY41" i="5"/>
  <c r="Q82" i="6" s="1"/>
  <c r="L37" i="15"/>
  <c r="AN30" i="11"/>
  <c r="F37" i="14" s="1"/>
  <c r="AC16" i="11"/>
  <c r="K68" i="14"/>
  <c r="E13" i="15"/>
  <c r="AL16" i="11"/>
  <c r="T46" i="14"/>
  <c r="J22" i="14"/>
  <c r="J88" i="14" s="1"/>
  <c r="AT28" i="11"/>
  <c r="S44" i="14"/>
  <c r="AE16" i="11"/>
  <c r="AE34" i="11" s="1"/>
  <c r="AF11" i="11"/>
  <c r="AF34" i="11" s="1"/>
  <c r="W28" i="11"/>
  <c r="AP11" i="11"/>
  <c r="J37" i="15"/>
  <c r="AZ11" i="11"/>
  <c r="AQ28" i="11"/>
  <c r="I35" i="14" s="1"/>
  <c r="F12" i="11"/>
  <c r="G16" i="11"/>
  <c r="O11" i="11"/>
  <c r="K13" i="15"/>
  <c r="G14" i="11"/>
  <c r="G21" i="14" s="1"/>
  <c r="M66" i="14"/>
  <c r="M38" i="14"/>
  <c r="AY11" i="11"/>
  <c r="AY34" i="11" s="1"/>
  <c r="AY85" i="11" s="1"/>
  <c r="Z16" i="11"/>
  <c r="I4" i="14"/>
  <c r="N35" i="14"/>
  <c r="AI28" i="11"/>
  <c r="R35" i="14" s="1"/>
  <c r="E66" i="14"/>
  <c r="L28" i="11"/>
  <c r="E5" i="15"/>
  <c r="S41" i="6"/>
  <c r="K157" i="5"/>
  <c r="L33" i="5"/>
  <c r="S73" i="6"/>
  <c r="M33" i="5"/>
  <c r="R43" i="5"/>
  <c r="O78" i="6" s="1"/>
  <c r="Q65" i="5"/>
  <c r="O93" i="6"/>
  <c r="O95" i="6" s="1"/>
  <c r="R73" i="5"/>
  <c r="P54" i="18" s="1"/>
  <c r="W15" i="11"/>
  <c r="T93" i="6"/>
  <c r="T95" i="6" s="1"/>
  <c r="W43" i="5"/>
  <c r="T78" i="6" s="1"/>
  <c r="T90" i="6" s="1"/>
  <c r="AD9" i="18"/>
  <c r="AG55" i="5"/>
  <c r="Y43" i="5"/>
  <c r="V78" i="6" s="1"/>
  <c r="V90" i="6" s="1"/>
  <c r="V93" i="6"/>
  <c r="V95" i="6" s="1"/>
  <c r="AA43" i="5"/>
  <c r="X78" i="6" s="1"/>
  <c r="X90" i="6" s="1"/>
  <c r="X93" i="6"/>
  <c r="X95" i="6" s="1"/>
  <c r="V23" i="11"/>
  <c r="V37" i="11" s="1"/>
  <c r="S8" i="14"/>
  <c r="Q34" i="6"/>
  <c r="V33" i="6"/>
  <c r="Z33" i="6"/>
  <c r="Q35" i="6"/>
  <c r="O35" i="6"/>
  <c r="L30" i="14"/>
  <c r="AM23" i="11"/>
  <c r="AM37" i="11" s="1"/>
  <c r="S75" i="14"/>
  <c r="S110" i="14" s="1"/>
  <c r="S109" i="14" s="1"/>
  <c r="R30" i="19" s="1"/>
  <c r="AW42" i="5"/>
  <c r="AT74" i="11"/>
  <c r="AT99" i="11" s="1"/>
  <c r="AQ5" i="11"/>
  <c r="L37" i="11"/>
  <c r="M13" i="15"/>
  <c r="P36" i="6"/>
  <c r="E5" i="14"/>
  <c r="Q26" i="14"/>
  <c r="R25" i="14"/>
  <c r="P19" i="14"/>
  <c r="Q68" i="14"/>
  <c r="AT16" i="11"/>
  <c r="L23" i="14" s="1"/>
  <c r="N4" i="14"/>
  <c r="AY43" i="5"/>
  <c r="G37" i="14"/>
  <c r="AI16" i="11"/>
  <c r="AI34" i="11" s="1"/>
  <c r="AI85" i="11" s="1"/>
  <c r="G22" i="11"/>
  <c r="E64" i="14"/>
  <c r="I68" i="14"/>
  <c r="Q16" i="14"/>
  <c r="I28" i="14"/>
  <c r="J67" i="14"/>
  <c r="S104" i="11"/>
  <c r="S102" i="11" s="1"/>
  <c r="G25" i="14"/>
  <c r="J31" i="14"/>
  <c r="F69" i="14"/>
  <c r="F101" i="14" s="1"/>
  <c r="D19" i="14"/>
  <c r="X16" i="11"/>
  <c r="AN12" i="11"/>
  <c r="AN36" i="11" s="1"/>
  <c r="D65" i="14"/>
  <c r="S52" i="14"/>
  <c r="AQ16" i="11"/>
  <c r="AQ34" i="11" s="1"/>
  <c r="AQ85" i="11" s="1"/>
  <c r="V17" i="11"/>
  <c r="G32" i="5"/>
  <c r="U53" i="5"/>
  <c r="S7" i="18" s="1"/>
  <c r="AG54" i="5"/>
  <c r="K43" i="5"/>
  <c r="J65" i="5"/>
  <c r="K73" i="5"/>
  <c r="I54" i="18" s="1"/>
  <c r="AL84" i="11"/>
  <c r="D84" i="11"/>
  <c r="C5" i="15" s="1"/>
  <c r="O29" i="14"/>
  <c r="O29" i="15"/>
  <c r="K75" i="14"/>
  <c r="K110" i="14" s="1"/>
  <c r="K109" i="14" s="1"/>
  <c r="J30" i="19" s="1"/>
  <c r="J32" i="19" s="1"/>
  <c r="Q19" i="14"/>
  <c r="M19" i="14"/>
  <c r="J20" i="14"/>
  <c r="Q41" i="14"/>
  <c r="Q115" i="14" s="1"/>
  <c r="Q105" i="11"/>
  <c r="Q29" i="14"/>
  <c r="Q67" i="14"/>
  <c r="M8" i="14"/>
  <c r="T37" i="11"/>
  <c r="T36" i="11"/>
  <c r="J26" i="14"/>
  <c r="R117" i="12"/>
  <c r="R123" i="12" s="1"/>
  <c r="Q75" i="14"/>
  <c r="Q110" i="14" s="1"/>
  <c r="Q109" i="14" s="1"/>
  <c r="P30" i="19" s="1"/>
  <c r="P32" i="19" s="1"/>
  <c r="AL36" i="11"/>
  <c r="Q74" i="14"/>
  <c r="Q108" i="14" s="1"/>
  <c r="Q107" i="14" s="1"/>
  <c r="L25" i="14"/>
  <c r="AD37" i="11"/>
  <c r="N29" i="15"/>
  <c r="P23" i="15"/>
  <c r="W36" i="11"/>
  <c r="L5" i="14"/>
  <c r="R4" i="14"/>
  <c r="N104" i="11"/>
  <c r="N102" i="11" s="1"/>
  <c r="E71" i="14"/>
  <c r="F68" i="14"/>
  <c r="S59" i="14"/>
  <c r="T38" i="14"/>
  <c r="O104" i="11"/>
  <c r="O102" i="11" s="1"/>
  <c r="I66" i="14"/>
  <c r="P4" i="14"/>
  <c r="S14" i="14"/>
  <c r="R45" i="14"/>
  <c r="N71" i="14"/>
  <c r="S46" i="14"/>
  <c r="AT96" i="11"/>
  <c r="K34" i="15" s="1"/>
  <c r="K35" i="15"/>
  <c r="AJ104" i="11"/>
  <c r="D35" i="15"/>
  <c r="N5" i="15"/>
  <c r="AR36" i="11"/>
  <c r="D36" i="14"/>
  <c r="E36" i="14"/>
  <c r="Z35" i="11"/>
  <c r="U36" i="11"/>
  <c r="K13" i="14"/>
  <c r="T26" i="14"/>
  <c r="N75" i="14"/>
  <c r="N110" i="14" s="1"/>
  <c r="N109" i="14" s="1"/>
  <c r="M30" i="19" s="1"/>
  <c r="M32" i="19" s="1"/>
  <c r="AF98" i="11"/>
  <c r="N24" i="15" s="1"/>
  <c r="D14" i="14"/>
  <c r="K74" i="14"/>
  <c r="K108" i="14" s="1"/>
  <c r="K107" i="14" s="1"/>
  <c r="F72" i="14"/>
  <c r="F103" i="14" s="1"/>
  <c r="H68" i="14"/>
  <c r="H28" i="14"/>
  <c r="P29" i="15"/>
  <c r="R36" i="14"/>
  <c r="L18" i="14"/>
  <c r="Q25" i="14"/>
  <c r="D92" i="11"/>
  <c r="U104" i="11"/>
  <c r="D5" i="14"/>
  <c r="D35" i="14"/>
  <c r="D37" i="14"/>
  <c r="S24" i="14"/>
  <c r="T70" i="14"/>
  <c r="T102" i="14" s="1"/>
  <c r="E35" i="14"/>
  <c r="T35" i="14"/>
  <c r="J35" i="14"/>
  <c r="T51" i="14"/>
  <c r="J71" i="14"/>
  <c r="M36" i="14"/>
  <c r="M5" i="14"/>
  <c r="M16" i="14"/>
  <c r="E14" i="14"/>
  <c r="E29" i="14"/>
  <c r="L6" i="14"/>
  <c r="E25" i="14"/>
  <c r="R64" i="14"/>
  <c r="E117" i="14"/>
  <c r="S31" i="14"/>
  <c r="E20" i="14"/>
  <c r="BA104" i="11"/>
  <c r="BA102" i="11" s="1"/>
  <c r="M6" i="14"/>
  <c r="R69" i="14"/>
  <c r="R101" i="14" s="1"/>
  <c r="R51" i="14"/>
  <c r="P23" i="14"/>
  <c r="H4" i="14"/>
  <c r="M4" i="14"/>
  <c r="J23" i="14"/>
  <c r="M35" i="14"/>
  <c r="L71" i="14"/>
  <c r="O35" i="14"/>
  <c r="K19" i="14"/>
  <c r="S51" i="14"/>
  <c r="K6" i="14"/>
  <c r="S40" i="14"/>
  <c r="S117" i="14"/>
  <c r="F71" i="14"/>
  <c r="R52" i="14"/>
  <c r="S66" i="14"/>
  <c r="G26" i="14"/>
  <c r="AE35" i="11"/>
  <c r="S47" i="14"/>
  <c r="S5" i="15"/>
  <c r="G67" i="14"/>
  <c r="R71" i="14"/>
  <c r="L13" i="15"/>
  <c r="M98" i="11"/>
  <c r="L12" i="15" s="1"/>
  <c r="K96" i="11"/>
  <c r="K95" i="11" s="1"/>
  <c r="J11" i="15"/>
  <c r="T64" i="14"/>
  <c r="G66" i="14"/>
  <c r="K36" i="11"/>
  <c r="AH104" i="11"/>
  <c r="AH102" i="11" s="1"/>
  <c r="G75" i="14"/>
  <c r="G110" i="14" s="1"/>
  <c r="G109" i="14" s="1"/>
  <c r="F30" i="19" s="1"/>
  <c r="F32" i="19" s="1"/>
  <c r="O36" i="14"/>
  <c r="E39" i="14"/>
  <c r="AY35" i="11"/>
  <c r="AL35" i="11"/>
  <c r="W103" i="11"/>
  <c r="F41" i="14"/>
  <c r="F115" i="14" s="1"/>
  <c r="L63" i="14"/>
  <c r="I6" i="14"/>
  <c r="R6" i="14"/>
  <c r="T49" i="14"/>
  <c r="I74" i="14"/>
  <c r="I108" i="14" s="1"/>
  <c r="H49" i="15" s="1"/>
  <c r="R72" i="14"/>
  <c r="R103" i="14" s="1"/>
  <c r="M18" i="14"/>
  <c r="K71" i="14"/>
  <c r="K37" i="14"/>
  <c r="O5" i="14"/>
  <c r="AG39" i="11"/>
  <c r="P14" i="14" s="1"/>
  <c r="P39" i="14"/>
  <c r="AP96" i="11"/>
  <c r="G34" i="15" s="1"/>
  <c r="G35" i="15"/>
  <c r="H11" i="15"/>
  <c r="I96" i="11"/>
  <c r="G23" i="14"/>
  <c r="N72" i="14"/>
  <c r="N103" i="14" s="1"/>
  <c r="S35" i="14"/>
  <c r="AB36" i="11"/>
  <c r="O34" i="11"/>
  <c r="J75" i="14"/>
  <c r="J110" i="14" s="1"/>
  <c r="J109" i="14" s="1"/>
  <c r="I30" i="19" s="1"/>
  <c r="I32" i="19" s="1"/>
  <c r="J35" i="11"/>
  <c r="J63" i="14"/>
  <c r="J28" i="14"/>
  <c r="S49" i="14"/>
  <c r="O17" i="14"/>
  <c r="N66" i="14"/>
  <c r="H72" i="14"/>
  <c r="H103" i="14" s="1"/>
  <c r="D68" i="14"/>
  <c r="J66" i="14"/>
  <c r="M30" i="14"/>
  <c r="J37" i="14"/>
  <c r="F6" i="14"/>
  <c r="N67" i="14"/>
  <c r="AG104" i="11"/>
  <c r="AG102" i="11" s="1"/>
  <c r="J24" i="14"/>
  <c r="N6" i="14"/>
  <c r="F17" i="15"/>
  <c r="M37" i="11"/>
  <c r="F37" i="11"/>
  <c r="BA35" i="11"/>
  <c r="AS36" i="11"/>
  <c r="G48" i="14"/>
  <c r="J49" i="14"/>
  <c r="AQ35" i="11"/>
  <c r="N37" i="14"/>
  <c r="O64" i="14"/>
  <c r="T16" i="14"/>
  <c r="Q13" i="14"/>
  <c r="T48" i="14"/>
  <c r="G69" i="14"/>
  <c r="G101" i="14" s="1"/>
  <c r="AM35" i="11"/>
  <c r="T45" i="14"/>
  <c r="E4" i="14"/>
  <c r="AT35" i="11"/>
  <c r="M24" i="14"/>
  <c r="F23" i="14"/>
  <c r="P5" i="15"/>
  <c r="S25" i="14"/>
  <c r="D20" i="14"/>
  <c r="E35" i="15"/>
  <c r="AN96" i="11"/>
  <c r="E34" i="15" s="1"/>
  <c r="AK37" i="11"/>
  <c r="AJ36" i="11"/>
  <c r="P13" i="14"/>
  <c r="N27" i="14"/>
  <c r="BA34" i="11"/>
  <c r="BA85" i="11" s="1"/>
  <c r="J16" i="14"/>
  <c r="T21" i="14"/>
  <c r="I44" i="14"/>
  <c r="F47" i="14"/>
  <c r="AU104" i="11"/>
  <c r="AU102" i="11" s="1"/>
  <c r="AO104" i="11"/>
  <c r="AO102" i="11" s="1"/>
  <c r="D70" i="14"/>
  <c r="T19" i="14"/>
  <c r="L29" i="14"/>
  <c r="J64" i="14"/>
  <c r="AS104" i="11"/>
  <c r="AS102" i="11" s="1"/>
  <c r="J6" i="14"/>
  <c r="P36" i="14"/>
  <c r="Q24" i="14"/>
  <c r="T7" i="14"/>
  <c r="O67" i="14"/>
  <c r="N11" i="15"/>
  <c r="R17" i="15"/>
  <c r="K36" i="14"/>
  <c r="AA104" i="11"/>
  <c r="N60" i="14"/>
  <c r="E37" i="14"/>
  <c r="Q35" i="14"/>
  <c r="M67" i="14"/>
  <c r="D24" i="14"/>
  <c r="D60" i="14"/>
  <c r="S48" i="14"/>
  <c r="T52" i="14"/>
  <c r="F28" i="14"/>
  <c r="J29" i="14"/>
  <c r="D28" i="14"/>
  <c r="AU36" i="11"/>
  <c r="AV35" i="11"/>
  <c r="Q34" i="11"/>
  <c r="H70" i="14"/>
  <c r="I25" i="14"/>
  <c r="S6" i="14"/>
  <c r="R46" i="14"/>
  <c r="N32" i="14"/>
  <c r="F4" i="14"/>
  <c r="L19" i="14"/>
  <c r="E105" i="11"/>
  <c r="I20" i="14"/>
  <c r="S69" i="14"/>
  <c r="S101" i="14" s="1"/>
  <c r="P6" i="14"/>
  <c r="P37" i="14"/>
  <c r="R19" i="14"/>
  <c r="T36" i="14"/>
  <c r="C35" i="15"/>
  <c r="AL96" i="11"/>
  <c r="C34" i="15" s="1"/>
  <c r="R67" i="14"/>
  <c r="E72" i="14"/>
  <c r="E103" i="14" s="1"/>
  <c r="T66" i="14"/>
  <c r="Q63" i="14"/>
  <c r="AD35" i="11"/>
  <c r="R101" i="11"/>
  <c r="R100" i="11" s="1"/>
  <c r="J35" i="15"/>
  <c r="AE89" i="6"/>
  <c r="AT39" i="11"/>
  <c r="L14" i="14" s="1"/>
  <c r="L39" i="14"/>
  <c r="Q42" i="14"/>
  <c r="Q94" i="14" s="1"/>
  <c r="G5" i="14"/>
  <c r="AT36" i="11"/>
  <c r="H8" i="14"/>
  <c r="AK36" i="11"/>
  <c r="G74" i="14"/>
  <c r="G108" i="14" s="1"/>
  <c r="G107" i="14" s="1"/>
  <c r="BA96" i="11"/>
  <c r="R35" i="15"/>
  <c r="AJ98" i="11"/>
  <c r="R24" i="15" s="1"/>
  <c r="R25" i="15"/>
  <c r="E75" i="14"/>
  <c r="E110" i="14" s="1"/>
  <c r="E109" i="14" s="1"/>
  <c r="D30" i="19" s="1"/>
  <c r="D32" i="19" s="1"/>
  <c r="E101" i="11"/>
  <c r="E100" i="11" s="1"/>
  <c r="D101" i="11"/>
  <c r="D100" i="11" s="1"/>
  <c r="D75" i="14"/>
  <c r="D110" i="14" s="1"/>
  <c r="D109" i="14" s="1"/>
  <c r="C30" i="19" s="1"/>
  <c r="C32" i="19" s="1"/>
  <c r="R103" i="11"/>
  <c r="R41" i="14"/>
  <c r="R115" i="14" s="1"/>
  <c r="S50" i="14"/>
  <c r="F48" i="14"/>
  <c r="I70" i="14"/>
  <c r="AA103" i="11"/>
  <c r="J41" i="14"/>
  <c r="J115" i="14" s="1"/>
  <c r="AW96" i="11"/>
  <c r="N34" i="15" s="1"/>
  <c r="N35" i="15"/>
  <c r="N8" i="14"/>
  <c r="Y9" i="11"/>
  <c r="AP9" i="11"/>
  <c r="N48" i="14"/>
  <c r="AE88" i="6"/>
  <c r="T37" i="14"/>
  <c r="AU35" i="11"/>
  <c r="D67" i="14"/>
  <c r="AD99" i="11"/>
  <c r="M74" i="14"/>
  <c r="M108" i="14" s="1"/>
  <c r="M107" i="14" s="1"/>
  <c r="S63" i="14"/>
  <c r="T63" i="14"/>
  <c r="S65" i="14"/>
  <c r="E6" i="14"/>
  <c r="L28" i="14"/>
  <c r="L24" i="14"/>
  <c r="M63" i="14"/>
  <c r="L66" i="14"/>
  <c r="F34" i="14"/>
  <c r="U84" i="11"/>
  <c r="C17" i="15" s="1"/>
  <c r="E40" i="14"/>
  <c r="AJ34" i="11"/>
  <c r="Q33" i="6"/>
  <c r="M42" i="14"/>
  <c r="M94" i="14" s="1"/>
  <c r="R47" i="14"/>
  <c r="H47" i="14"/>
  <c r="AX104" i="11"/>
  <c r="AX102" i="11" s="1"/>
  <c r="O45" i="14"/>
  <c r="J48" i="14"/>
  <c r="M48" i="14"/>
  <c r="M73" i="14"/>
  <c r="M106" i="14" s="1"/>
  <c r="M105" i="14" s="1"/>
  <c r="H6" i="14"/>
  <c r="Q15" i="14"/>
  <c r="K45" i="14"/>
  <c r="H69" i="14"/>
  <c r="H101" i="14" s="1"/>
  <c r="AE90" i="6"/>
  <c r="K73" i="14"/>
  <c r="K106" i="14" s="1"/>
  <c r="K105" i="14" s="1"/>
  <c r="N20" i="14"/>
  <c r="T72" i="14"/>
  <c r="T103" i="14" s="1"/>
  <c r="K4" i="14"/>
  <c r="G98" i="11"/>
  <c r="F12" i="15" s="1"/>
  <c r="T29" i="14"/>
  <c r="J70" i="14"/>
  <c r="Q71" i="14"/>
  <c r="F60" i="14"/>
  <c r="N31" i="14"/>
  <c r="I63" i="14"/>
  <c r="T65" i="14"/>
  <c r="O101" i="11"/>
  <c r="O100" i="11" s="1"/>
  <c r="O75" i="14"/>
  <c r="O110" i="14" s="1"/>
  <c r="O109" i="14" s="1"/>
  <c r="N30" i="19" s="1"/>
  <c r="N32" i="19" s="1"/>
  <c r="G59" i="14"/>
  <c r="G104" i="11"/>
  <c r="K20" i="14"/>
  <c r="P36" i="11"/>
  <c r="E50" i="14"/>
  <c r="R118" i="12"/>
  <c r="R124" i="12" s="1"/>
  <c r="T43" i="14"/>
  <c r="AU37" i="11"/>
  <c r="O28" i="14"/>
  <c r="L8" i="14"/>
  <c r="J5" i="15"/>
  <c r="AI35" i="11"/>
  <c r="S29" i="15"/>
  <c r="BB36" i="11"/>
  <c r="P18" i="14"/>
  <c r="AX35" i="11"/>
  <c r="K29" i="14"/>
  <c r="S72" i="14"/>
  <c r="S103" i="14" s="1"/>
  <c r="H71" i="14"/>
  <c r="H25" i="15"/>
  <c r="Z98" i="11"/>
  <c r="H24" i="15" s="1"/>
  <c r="R65" i="14"/>
  <c r="M71" i="14"/>
  <c r="K70" i="14"/>
  <c r="R63" i="14"/>
  <c r="F66" i="14"/>
  <c r="M25" i="14"/>
  <c r="X35" i="11"/>
  <c r="V35" i="11"/>
  <c r="M35" i="11"/>
  <c r="Y20" i="11"/>
  <c r="T34" i="11"/>
  <c r="T85" i="11" s="1"/>
  <c r="G36" i="11"/>
  <c r="E31" i="14"/>
  <c r="AC36" i="11"/>
  <c r="O8" i="14"/>
  <c r="H48" i="14"/>
  <c r="I48" i="14"/>
  <c r="N43" i="14"/>
  <c r="E41" i="14"/>
  <c r="E115" i="14" s="1"/>
  <c r="L60" i="14"/>
  <c r="AN104" i="11"/>
  <c r="AN102" i="11" s="1"/>
  <c r="N49" i="14"/>
  <c r="Y104" i="11"/>
  <c r="T20" i="14"/>
  <c r="G22" i="14"/>
  <c r="G88" i="14" s="1"/>
  <c r="BB35" i="11"/>
  <c r="S39" i="14"/>
  <c r="O59" i="14"/>
  <c r="Q5" i="14"/>
  <c r="N5" i="14"/>
  <c r="I64" i="14"/>
  <c r="F64" i="14"/>
  <c r="J68" i="14"/>
  <c r="F67" i="14"/>
  <c r="I69" i="14"/>
  <c r="I101" i="14" s="1"/>
  <c r="J5" i="14"/>
  <c r="L67" i="14"/>
  <c r="P66" i="14"/>
  <c r="I37" i="14"/>
  <c r="I71" i="14"/>
  <c r="E69" i="14"/>
  <c r="E101" i="14" s="1"/>
  <c r="S64" i="14"/>
  <c r="I36" i="14"/>
  <c r="G19" i="14"/>
  <c r="L20" i="14"/>
  <c r="N23" i="14"/>
  <c r="Q36" i="14"/>
  <c r="G71" i="14"/>
  <c r="R66" i="14"/>
  <c r="T69" i="14"/>
  <c r="T101" i="14" s="1"/>
  <c r="I73" i="14"/>
  <c r="I106" i="14" s="1"/>
  <c r="H47" i="15" s="1"/>
  <c r="S74" i="14"/>
  <c r="S108" i="14" s="1"/>
  <c r="S99" i="11"/>
  <c r="BA36" i="11"/>
  <c r="T42" i="14"/>
  <c r="T94" i="14" s="1"/>
  <c r="D104" i="11"/>
  <c r="D102" i="11" s="1"/>
  <c r="V97" i="11"/>
  <c r="E73" i="14"/>
  <c r="E106" i="14" s="1"/>
  <c r="E105" i="14" s="1"/>
  <c r="S19" i="14"/>
  <c r="D69" i="14"/>
  <c r="D101" i="14" s="1"/>
  <c r="D93" i="11"/>
  <c r="T103" i="11"/>
  <c r="T41" i="14"/>
  <c r="T115" i="14" s="1"/>
  <c r="E70" i="14"/>
  <c r="S20" i="14"/>
  <c r="S35" i="11"/>
  <c r="D22" i="14"/>
  <c r="D88" i="14" s="1"/>
  <c r="D35" i="11"/>
  <c r="Q40" i="14"/>
  <c r="M31" i="14"/>
  <c r="S34" i="11"/>
  <c r="S85" i="11" s="1"/>
  <c r="M117" i="12"/>
  <c r="M123" i="12" s="1"/>
  <c r="O44" i="14"/>
  <c r="L34" i="14"/>
  <c r="Q17" i="14"/>
  <c r="Q86" i="14" s="1"/>
  <c r="G20" i="11"/>
  <c r="AO20" i="11"/>
  <c r="G27" i="14" s="1"/>
  <c r="D59" i="14"/>
  <c r="K52" i="14"/>
  <c r="AF102" i="11"/>
  <c r="N41" i="14"/>
  <c r="N115" i="14" s="1"/>
  <c r="M49" i="14"/>
  <c r="AY98" i="11"/>
  <c r="P36" i="15" s="1"/>
  <c r="S30" i="19"/>
  <c r="K44" i="14"/>
  <c r="E63" i="14"/>
  <c r="T28" i="14"/>
  <c r="R60" i="14"/>
  <c r="R104" i="11"/>
  <c r="R37" i="15"/>
  <c r="BA98" i="11"/>
  <c r="R36" i="15" s="1"/>
  <c r="K65" i="14"/>
  <c r="G65" i="14"/>
  <c r="U35" i="11"/>
  <c r="M59" i="14"/>
  <c r="T8" i="14"/>
  <c r="G117" i="14"/>
  <c r="D8" i="14"/>
  <c r="Q29" i="15"/>
  <c r="D117" i="14"/>
  <c r="S42" i="14"/>
  <c r="S94" i="14" s="1"/>
  <c r="AY36" i="11"/>
  <c r="J59" i="14"/>
  <c r="AI104" i="11"/>
  <c r="AI102" i="11" s="1"/>
  <c r="AV104" i="11"/>
  <c r="AV102" i="11" s="1"/>
  <c r="H46" i="14"/>
  <c r="G118" i="12"/>
  <c r="G124" i="12" s="1"/>
  <c r="AW36" i="11"/>
  <c r="I14" i="14"/>
  <c r="N222" i="5"/>
  <c r="W241" i="5"/>
  <c r="Q104" i="11"/>
  <c r="Q102" i="11" s="1"/>
  <c r="Q59" i="14"/>
  <c r="AQ36" i="11"/>
  <c r="Y103" i="11"/>
  <c r="Y102" i="11" s="1"/>
  <c r="H41" i="14"/>
  <c r="H115" i="14" s="1"/>
  <c r="AS35" i="11"/>
  <c r="AY37" i="11"/>
  <c r="H66" i="14"/>
  <c r="J4" i="14"/>
  <c r="O63" i="14"/>
  <c r="AX34" i="11"/>
  <c r="P31" i="14"/>
  <c r="L47" i="14"/>
  <c r="P47" i="14"/>
  <c r="N47" i="14"/>
  <c r="G43" i="14"/>
  <c r="G95" i="14" s="1"/>
  <c r="L43" i="14"/>
  <c r="M46" i="14"/>
  <c r="Q46" i="14"/>
  <c r="J44" i="14"/>
  <c r="G45" i="14"/>
  <c r="L45" i="14"/>
  <c r="E49" i="14"/>
  <c r="AM104" i="11"/>
  <c r="AM102" i="11" s="1"/>
  <c r="V104" i="11"/>
  <c r="V102" i="11" s="1"/>
  <c r="AD104" i="11"/>
  <c r="AD102" i="11" s="1"/>
  <c r="I49" i="14"/>
  <c r="O4" i="14"/>
  <c r="Q70" i="14"/>
  <c r="G17" i="15"/>
  <c r="AV34" i="11"/>
  <c r="AV85" i="11" s="1"/>
  <c r="L37" i="14"/>
  <c r="N51" i="14"/>
  <c r="L22" i="14"/>
  <c r="L88" i="14" s="1"/>
  <c r="L105" i="11"/>
  <c r="F31" i="14"/>
  <c r="N117" i="14"/>
  <c r="Q117" i="14"/>
  <c r="N40" i="14"/>
  <c r="K105" i="11"/>
  <c r="E46" i="14"/>
  <c r="E59" i="14"/>
  <c r="L48" i="14"/>
  <c r="Q7" i="14"/>
  <c r="AE36" i="11"/>
  <c r="AV36" i="11"/>
  <c r="J23" i="15"/>
  <c r="AB96" i="11"/>
  <c r="D25" i="14"/>
  <c r="E96" i="11"/>
  <c r="D11" i="15"/>
  <c r="S71" i="14"/>
  <c r="K66" i="14"/>
  <c r="T35" i="11"/>
  <c r="L36" i="11"/>
  <c r="E21" i="14"/>
  <c r="Q48" i="14"/>
  <c r="D49" i="14"/>
  <c r="H43" i="14"/>
  <c r="H95" i="14" s="1"/>
  <c r="O43" i="14"/>
  <c r="O49" i="14"/>
  <c r="AE104" i="11"/>
  <c r="AE102" i="11" s="1"/>
  <c r="M104" i="11"/>
  <c r="M102" i="11" s="1"/>
  <c r="K48" i="14"/>
  <c r="D36" i="11"/>
  <c r="F52" i="14"/>
  <c r="M52" i="14"/>
  <c r="O117" i="12"/>
  <c r="O123" i="12" s="1"/>
  <c r="N52" i="14"/>
  <c r="H49" i="14"/>
  <c r="P49" i="14"/>
  <c r="E51" i="14"/>
  <c r="R20" i="15"/>
  <c r="AH37" i="11"/>
  <c r="M23" i="14"/>
  <c r="N25" i="14"/>
  <c r="O38" i="14"/>
  <c r="T24" i="14"/>
  <c r="F70" i="14"/>
  <c r="R22" i="14"/>
  <c r="R88" i="14" s="1"/>
  <c r="R37" i="14"/>
  <c r="I59" i="14"/>
  <c r="E19" i="14"/>
  <c r="L36" i="14"/>
  <c r="H19" i="14"/>
  <c r="Q4" i="14"/>
  <c r="S5" i="14"/>
  <c r="G68" i="14"/>
  <c r="K17" i="15"/>
  <c r="P29" i="14"/>
  <c r="N28" i="14"/>
  <c r="Q21" i="14"/>
  <c r="D34" i="15"/>
  <c r="M22" i="14"/>
  <c r="M88" i="14" s="1"/>
  <c r="G39" i="14"/>
  <c r="X39" i="11"/>
  <c r="G14" i="14" s="1"/>
  <c r="AD17" i="18"/>
  <c r="AD11" i="18" s="1"/>
  <c r="N19" i="14"/>
  <c r="AY96" i="11"/>
  <c r="P34" i="15" s="1"/>
  <c r="P35" i="15"/>
  <c r="H35" i="11"/>
  <c r="O37" i="11"/>
  <c r="Q51" i="14"/>
  <c r="J117" i="12"/>
  <c r="J123" i="12" s="1"/>
  <c r="M51" i="14"/>
  <c r="AW104" i="11"/>
  <c r="AW102" i="11" s="1"/>
  <c r="AR35" i="11"/>
  <c r="AZ35" i="11"/>
  <c r="AW37" i="11"/>
  <c r="AK96" i="11"/>
  <c r="S22" i="15" s="1"/>
  <c r="S23" i="15"/>
  <c r="G28" i="14"/>
  <c r="AO96" i="11"/>
  <c r="F35" i="15"/>
  <c r="S4" i="14"/>
  <c r="F30" i="14"/>
  <c r="J17" i="15"/>
  <c r="S33" i="14"/>
  <c r="H36" i="11"/>
  <c r="O39" i="14"/>
  <c r="F116" i="12"/>
  <c r="F122" i="12" s="1"/>
  <c r="M44" i="14"/>
  <c r="M45" i="14"/>
  <c r="K50" i="14"/>
  <c r="O50" i="14"/>
  <c r="D45" i="14"/>
  <c r="J51" i="14"/>
  <c r="K47" i="14"/>
  <c r="E47" i="14"/>
  <c r="I45" i="14"/>
  <c r="H60" i="14"/>
  <c r="P60" i="14"/>
  <c r="H44" i="14"/>
  <c r="J52" i="14"/>
  <c r="O51" i="14"/>
  <c r="K49" i="14"/>
  <c r="N45" i="14"/>
  <c r="AQ102" i="11"/>
  <c r="L49" i="14"/>
  <c r="Q45" i="14"/>
  <c r="O74" i="14"/>
  <c r="O108" i="14" s="1"/>
  <c r="O107" i="14" s="1"/>
  <c r="L117" i="12"/>
  <c r="L123" i="12" s="1"/>
  <c r="E44" i="14"/>
  <c r="O16" i="14"/>
  <c r="AX36" i="11"/>
  <c r="Q38" i="14"/>
  <c r="Q22" i="14"/>
  <c r="Q88" i="14" s="1"/>
  <c r="Q28" i="14"/>
  <c r="H36" i="14"/>
  <c r="D46" i="14"/>
  <c r="N24" i="14"/>
  <c r="S73" i="14"/>
  <c r="S106" i="14" s="1"/>
  <c r="S105" i="14" s="1"/>
  <c r="R46" i="15" s="1"/>
  <c r="J98" i="14"/>
  <c r="D72" i="14"/>
  <c r="D103" i="14" s="1"/>
  <c r="F11" i="15"/>
  <c r="AE92" i="6"/>
  <c r="O66" i="14"/>
  <c r="F14" i="14"/>
  <c r="M96" i="11"/>
  <c r="F10" i="15"/>
  <c r="W240" i="5"/>
  <c r="I103" i="11"/>
  <c r="I41" i="14"/>
  <c r="I115" i="14" s="1"/>
  <c r="Z96" i="11"/>
  <c r="H23" i="15"/>
  <c r="K60" i="14"/>
  <c r="S35" i="15"/>
  <c r="BB96" i="11"/>
  <c r="S34" i="15" s="1"/>
  <c r="P103" i="11"/>
  <c r="P41" i="14"/>
  <c r="P115" i="14" s="1"/>
  <c r="I65" i="14"/>
  <c r="L23" i="15"/>
  <c r="AD96" i="11"/>
  <c r="AI39" i="11"/>
  <c r="R14" i="14" s="1"/>
  <c r="R39" i="14"/>
  <c r="K22" i="14"/>
  <c r="K88" i="14" s="1"/>
  <c r="M72" i="14"/>
  <c r="M103" i="14" s="1"/>
  <c r="R29" i="14"/>
  <c r="Q20" i="14"/>
  <c r="R20" i="14"/>
  <c r="L42" i="14"/>
  <c r="L94" i="14" s="1"/>
  <c r="K59" i="14"/>
  <c r="AB104" i="11"/>
  <c r="AB102" i="11" s="1"/>
  <c r="AO98" i="11"/>
  <c r="F36" i="15" s="1"/>
  <c r="F37" i="15"/>
  <c r="F20" i="14"/>
  <c r="K27" i="14"/>
  <c r="M47" i="14"/>
  <c r="Q52" i="14"/>
  <c r="E104" i="11"/>
  <c r="E102" i="11" s="1"/>
  <c r="G73" i="14"/>
  <c r="G106" i="14" s="1"/>
  <c r="G105" i="14" s="1"/>
  <c r="H5" i="14"/>
  <c r="O37" i="14"/>
  <c r="R5" i="14"/>
  <c r="S37" i="14"/>
  <c r="H64" i="14"/>
  <c r="J117" i="14"/>
  <c r="AE87" i="6"/>
  <c r="R23" i="15"/>
  <c r="AJ96" i="11"/>
  <c r="F25" i="15"/>
  <c r="X98" i="11"/>
  <c r="F24" i="15" s="1"/>
  <c r="T5" i="14"/>
  <c r="K42" i="14"/>
  <c r="K94" i="14" s="1"/>
  <c r="AW98" i="11"/>
  <c r="N37" i="15"/>
  <c r="K64" i="14"/>
  <c r="K8" i="14"/>
  <c r="AH35" i="11"/>
  <c r="L35" i="11"/>
  <c r="AF36" i="11"/>
  <c r="O13" i="14"/>
  <c r="AG34" i="11"/>
  <c r="AA35" i="11"/>
  <c r="I17" i="15"/>
  <c r="L38" i="14"/>
  <c r="R29" i="15"/>
  <c r="E38" i="14"/>
  <c r="K117" i="14"/>
  <c r="R8" i="14"/>
  <c r="AC35" i="11"/>
  <c r="AD36" i="11"/>
  <c r="AH36" i="11"/>
  <c r="Q31" i="14"/>
  <c r="N105" i="11"/>
  <c r="I39" i="14"/>
  <c r="G44" i="14"/>
  <c r="I51" i="14"/>
  <c r="H45" i="14"/>
  <c r="L52" i="14"/>
  <c r="G52" i="14"/>
  <c r="K116" i="12"/>
  <c r="K122" i="12" s="1"/>
  <c r="M41" i="14"/>
  <c r="M115" i="14" s="1"/>
  <c r="I116" i="12"/>
  <c r="I122" i="12" s="1"/>
  <c r="L46" i="14"/>
  <c r="F44" i="14"/>
  <c r="G116" i="12"/>
  <c r="G122" i="12" s="1"/>
  <c r="T73" i="14"/>
  <c r="T106" i="14" s="1"/>
  <c r="S47" i="15" s="1"/>
  <c r="P17" i="15"/>
  <c r="L70" i="14"/>
  <c r="N17" i="15"/>
  <c r="AW35" i="11"/>
  <c r="D71" i="14"/>
  <c r="D102" i="14" s="1"/>
  <c r="L117" i="14"/>
  <c r="H14" i="14"/>
  <c r="P63" i="14"/>
  <c r="O60" i="14"/>
  <c r="AQ96" i="11"/>
  <c r="H35" i="15"/>
  <c r="T96" i="11"/>
  <c r="S11" i="15"/>
  <c r="N42" i="14"/>
  <c r="N94" i="14" s="1"/>
  <c r="F23" i="15"/>
  <c r="X96" i="11"/>
  <c r="AU96" i="11"/>
  <c r="L35" i="15"/>
  <c r="AD40" i="11"/>
  <c r="M15" i="14" s="1"/>
  <c r="M40" i="14"/>
  <c r="Q73" i="14"/>
  <c r="Q106" i="14" s="1"/>
  <c r="Q97" i="11"/>
  <c r="N13" i="15"/>
  <c r="O98" i="11"/>
  <c r="O95" i="11" s="1"/>
  <c r="F21" i="14"/>
  <c r="AD91" i="6"/>
  <c r="AE91" i="6"/>
  <c r="F65" i="14"/>
  <c r="I67" i="14"/>
  <c r="M68" i="14"/>
  <c r="P64" i="14"/>
  <c r="AB17" i="18"/>
  <c r="AB11" i="18" s="1"/>
  <c r="AC17" i="18"/>
  <c r="AC11" i="18" s="1"/>
  <c r="Q49" i="14"/>
  <c r="AJ102" i="11"/>
  <c r="G23" i="15"/>
  <c r="Y96" i="11"/>
  <c r="G25" i="15"/>
  <c r="Y98" i="11"/>
  <c r="G24" i="15" s="1"/>
  <c r="S37" i="15"/>
  <c r="BB98" i="11"/>
  <c r="U96" i="11"/>
  <c r="C23" i="15"/>
  <c r="O72" i="14"/>
  <c r="O103" i="14" s="1"/>
  <c r="I35" i="15"/>
  <c r="AR96" i="11"/>
  <c r="F63" i="14"/>
  <c r="G38" i="14"/>
  <c r="M17" i="15"/>
  <c r="L7" i="14"/>
  <c r="AB35" i="11"/>
  <c r="AF35" i="11"/>
  <c r="S36" i="11"/>
  <c r="AU34" i="11"/>
  <c r="AU85" i="11" s="1"/>
  <c r="BB34" i="11"/>
  <c r="AG36" i="11"/>
  <c r="X36" i="11"/>
  <c r="AS34" i="11"/>
  <c r="AS85" i="11" s="1"/>
  <c r="T31" i="14"/>
  <c r="H31" i="14"/>
  <c r="BB37" i="11"/>
  <c r="L116" i="12"/>
  <c r="L122" i="12" s="1"/>
  <c r="N117" i="12"/>
  <c r="N123" i="12" s="1"/>
  <c r="P43" i="14"/>
  <c r="T60" i="14"/>
  <c r="H117" i="12"/>
  <c r="H123" i="12" s="1"/>
  <c r="O42" i="14"/>
  <c r="O94" i="14" s="1"/>
  <c r="X104" i="11"/>
  <c r="X102" i="11" s="1"/>
  <c r="G60" i="14"/>
  <c r="P46" i="14"/>
  <c r="F45" i="14"/>
  <c r="I60" i="14"/>
  <c r="Q60" i="14"/>
  <c r="K103" i="11"/>
  <c r="K102" i="11" s="1"/>
  <c r="K41" i="14"/>
  <c r="K115" i="14" s="1"/>
  <c r="P104" i="11"/>
  <c r="P59" i="14"/>
  <c r="AV98" i="11"/>
  <c r="M37" i="15"/>
  <c r="H73" i="14"/>
  <c r="H106" i="14" s="1"/>
  <c r="H97" i="11"/>
  <c r="L47" i="15"/>
  <c r="E23" i="15"/>
  <c r="W96" i="11"/>
  <c r="L65" i="14"/>
  <c r="AG98" i="11"/>
  <c r="O24" i="15" s="1"/>
  <c r="O25" i="15"/>
  <c r="T74" i="14"/>
  <c r="T108" i="14" s="1"/>
  <c r="T99" i="11"/>
  <c r="D73" i="14"/>
  <c r="D106" i="14" s="1"/>
  <c r="D97" i="11"/>
  <c r="N65" i="14"/>
  <c r="F25" i="14"/>
  <c r="G70" i="14"/>
  <c r="G102" i="14" s="1"/>
  <c r="P28" i="14"/>
  <c r="AV39" i="11"/>
  <c r="N14" i="14" s="1"/>
  <c r="N39" i="14"/>
  <c r="D91" i="11"/>
  <c r="D90" i="11" s="1"/>
  <c r="D63" i="14"/>
  <c r="D98" i="14" s="1"/>
  <c r="Q25" i="15"/>
  <c r="AI98" i="11"/>
  <c r="Q24" i="15" s="1"/>
  <c r="H24" i="14"/>
  <c r="U93" i="11"/>
  <c r="Q35" i="15"/>
  <c r="AZ96" i="11"/>
  <c r="T25" i="14"/>
  <c r="T4" i="14"/>
  <c r="AS95" i="11"/>
  <c r="J33" i="15" s="1"/>
  <c r="J34" i="15"/>
  <c r="P65" i="14"/>
  <c r="I23" i="15"/>
  <c r="AA96" i="11"/>
  <c r="N64" i="14"/>
  <c r="Q39" i="14"/>
  <c r="AH39" i="11"/>
  <c r="Q14" i="14" s="1"/>
  <c r="AH95" i="11"/>
  <c r="P21" i="15" s="1"/>
  <c r="P22" i="15"/>
  <c r="M70" i="14"/>
  <c r="AB39" i="11"/>
  <c r="K14" i="14" s="1"/>
  <c r="K39" i="14"/>
  <c r="K25" i="14"/>
  <c r="W242" i="5"/>
  <c r="L103" i="11"/>
  <c r="L41" i="14"/>
  <c r="L115" i="14" s="1"/>
  <c r="R42" i="14"/>
  <c r="R94" i="14" s="1"/>
  <c r="F74" i="14"/>
  <c r="F108" i="14" s="1"/>
  <c r="W99" i="11"/>
  <c r="N73" i="14"/>
  <c r="N106" i="14" s="1"/>
  <c r="N97" i="11"/>
  <c r="O37" i="15"/>
  <c r="AX98" i="11"/>
  <c r="AU39" i="11"/>
  <c r="M14" i="14" s="1"/>
  <c r="M39" i="14"/>
  <c r="J39" i="14"/>
  <c r="AA39" i="11"/>
  <c r="J14" i="14" s="1"/>
  <c r="J105" i="11"/>
  <c r="I21" i="14"/>
  <c r="J29" i="15"/>
  <c r="Z36" i="11"/>
  <c r="AP20" i="11"/>
  <c r="Y36" i="11"/>
  <c r="R31" i="14"/>
  <c r="H39" i="14"/>
  <c r="N36" i="11"/>
  <c r="D39" i="14"/>
  <c r="P51" i="14"/>
  <c r="Q50" i="14"/>
  <c r="F50" i="14"/>
  <c r="G47" i="14"/>
  <c r="F51" i="14"/>
  <c r="I46" i="14"/>
  <c r="P42" i="14"/>
  <c r="P94" i="14" s="1"/>
  <c r="G51" i="14"/>
  <c r="BB104" i="11"/>
  <c r="BB102" i="11" s="1"/>
  <c r="O48" i="14"/>
  <c r="P45" i="14"/>
  <c r="W104" i="11"/>
  <c r="F59" i="14"/>
  <c r="R59" i="14"/>
  <c r="O41" i="14"/>
  <c r="O115" i="14" s="1"/>
  <c r="AG96" i="11"/>
  <c r="O23" i="15"/>
  <c r="AE98" i="11"/>
  <c r="M24" i="15" s="1"/>
  <c r="M25" i="15"/>
  <c r="E45" i="14"/>
  <c r="K37" i="15"/>
  <c r="AT98" i="11"/>
  <c r="F73" i="14"/>
  <c r="F106" i="14" s="1"/>
  <c r="F97" i="11"/>
  <c r="G72" i="14"/>
  <c r="G103" i="14" s="1"/>
  <c r="K72" i="14"/>
  <c r="K103" i="14" s="1"/>
  <c r="N63" i="14"/>
  <c r="O65" i="14"/>
  <c r="Q65" i="14"/>
  <c r="H74" i="14"/>
  <c r="H108" i="14" s="1"/>
  <c r="H99" i="11"/>
  <c r="K51" i="14"/>
  <c r="AX41" i="5"/>
  <c r="T52" i="5"/>
  <c r="R6" i="18" s="1"/>
  <c r="AC96" i="11"/>
  <c r="K23" i="15"/>
  <c r="L72" i="14"/>
  <c r="L103" i="14" s="1"/>
  <c r="G117" i="12"/>
  <c r="G123" i="12" s="1"/>
  <c r="I72" i="14"/>
  <c r="I103" i="14" s="1"/>
  <c r="M26" i="14"/>
  <c r="N18" i="14"/>
  <c r="Q30" i="14"/>
  <c r="S28" i="14"/>
  <c r="H63" i="14"/>
  <c r="M65" i="14"/>
  <c r="Q23" i="15"/>
  <c r="AI96" i="11"/>
  <c r="J25" i="14"/>
  <c r="P22" i="14"/>
  <c r="P88" i="14" s="1"/>
  <c r="L64" i="14"/>
  <c r="T23" i="14"/>
  <c r="S60" i="14"/>
  <c r="K5" i="14"/>
  <c r="J73" i="14"/>
  <c r="J106" i="14" s="1"/>
  <c r="J97" i="11"/>
  <c r="P70" i="14"/>
  <c r="P102" i="14" s="1"/>
  <c r="N74" i="14"/>
  <c r="N108" i="14" s="1"/>
  <c r="K24" i="14"/>
  <c r="R70" i="14"/>
  <c r="R102" i="14" s="1"/>
  <c r="R100" i="14" s="1"/>
  <c r="N68" i="14"/>
  <c r="K67" i="14"/>
  <c r="N59" i="14"/>
  <c r="H104" i="11"/>
  <c r="H102" i="11" s="1"/>
  <c r="H59" i="14"/>
  <c r="N47" i="15"/>
  <c r="J72" i="14"/>
  <c r="J103" i="14" s="1"/>
  <c r="AZ98" i="11"/>
  <c r="Q36" i="15" s="1"/>
  <c r="Q37" i="15"/>
  <c r="K5" i="15"/>
  <c r="L4" i="14"/>
  <c r="AK35" i="11"/>
  <c r="AI36" i="11"/>
  <c r="W35" i="11"/>
  <c r="AF37" i="11"/>
  <c r="I31" i="14"/>
  <c r="AE40" i="11"/>
  <c r="N15" i="14" s="1"/>
  <c r="F39" i="14"/>
  <c r="J38" i="14"/>
  <c r="Q47" i="14"/>
  <c r="P50" i="14"/>
  <c r="J50" i="14"/>
  <c r="D51" i="14"/>
  <c r="D41" i="14"/>
  <c r="D115" i="14" s="1"/>
  <c r="U103" i="11"/>
  <c r="T59" i="14"/>
  <c r="T104" i="11"/>
  <c r="AT104" i="11"/>
  <c r="AT102" i="11" s="1"/>
  <c r="O52" i="14"/>
  <c r="E60" i="14"/>
  <c r="M60" i="14"/>
  <c r="G41" i="14"/>
  <c r="G115" i="14" s="1"/>
  <c r="G103" i="11"/>
  <c r="S41" i="14"/>
  <c r="S115" i="14" s="1"/>
  <c r="L59" i="14"/>
  <c r="L104" i="11"/>
  <c r="P97" i="11"/>
  <c r="P73" i="14"/>
  <c r="P106" i="14" s="1"/>
  <c r="AN98" i="11"/>
  <c r="E37" i="15"/>
  <c r="AV42" i="5"/>
  <c r="O83" i="6"/>
  <c r="M23" i="15"/>
  <c r="AE96" i="11"/>
  <c r="L74" i="14"/>
  <c r="L108" i="14" s="1"/>
  <c r="AC99" i="11"/>
  <c r="J69" i="14"/>
  <c r="J101" i="14" s="1"/>
  <c r="O70" i="14"/>
  <c r="O102" i="14" s="1"/>
  <c r="P74" i="14"/>
  <c r="P108" i="14" s="1"/>
  <c r="P99" i="11"/>
  <c r="G37" i="15"/>
  <c r="AP98" i="11"/>
  <c r="N70" i="14"/>
  <c r="R24" i="14"/>
  <c r="S70" i="14"/>
  <c r="AK98" i="11"/>
  <c r="S25" i="15"/>
  <c r="L73" i="14"/>
  <c r="L106" i="14" s="1"/>
  <c r="L97" i="11"/>
  <c r="P24" i="14"/>
  <c r="T22" i="14"/>
  <c r="T88" i="14" s="1"/>
  <c r="F46" i="14"/>
  <c r="J46" i="14"/>
  <c r="P117" i="12"/>
  <c r="P123" i="12" s="1"/>
  <c r="G4" i="14"/>
  <c r="K63" i="14"/>
  <c r="P5" i="14"/>
  <c r="R74" i="14"/>
  <c r="R108" i="14" s="1"/>
  <c r="R99" i="11"/>
  <c r="R73" i="14"/>
  <c r="R106" i="14" s="1"/>
  <c r="R97" i="11"/>
  <c r="O22" i="14"/>
  <c r="O88" i="14" s="1"/>
  <c r="S36" i="14"/>
  <c r="U92" i="11"/>
  <c r="D66" i="14"/>
  <c r="T39" i="14"/>
  <c r="AK39" i="11"/>
  <c r="T14" i="14" s="1"/>
  <c r="Q72" i="14"/>
  <c r="Q103" i="14" s="1"/>
  <c r="S96" i="11"/>
  <c r="R11" i="15"/>
  <c r="O7" i="14"/>
  <c r="G63" i="14"/>
  <c r="W163" i="5"/>
  <c r="V163" i="5" s="1"/>
  <c r="W162" i="5"/>
  <c r="V162" i="5" s="1"/>
  <c r="Q66" i="14"/>
  <c r="F24" i="14"/>
  <c r="O30" i="14"/>
  <c r="H67" i="14"/>
  <c r="R43" i="14"/>
  <c r="I47" i="14"/>
  <c r="K43" i="14"/>
  <c r="F43" i="14"/>
  <c r="J43" i="14"/>
  <c r="I52" i="14"/>
  <c r="H50" i="14"/>
  <c r="N50" i="14"/>
  <c r="M50" i="14"/>
  <c r="E52" i="14"/>
  <c r="T50" i="14"/>
  <c r="G49" i="14"/>
  <c r="D52" i="14"/>
  <c r="P48" i="14"/>
  <c r="L44" i="14"/>
  <c r="R50" i="14"/>
  <c r="D48" i="14"/>
  <c r="P52" i="14"/>
  <c r="G50" i="14"/>
  <c r="L50" i="14"/>
  <c r="D50" i="14"/>
  <c r="E48" i="14"/>
  <c r="Q44" i="14"/>
  <c r="I50" i="14"/>
  <c r="J45" i="14"/>
  <c r="I117" i="12"/>
  <c r="I123" i="12" s="1"/>
  <c r="D44" i="14"/>
  <c r="P44" i="14"/>
  <c r="H52" i="14"/>
  <c r="F117" i="12"/>
  <c r="F123" i="12" s="1"/>
  <c r="Q117" i="12"/>
  <c r="Q123" i="12" s="1"/>
  <c r="L51" i="14"/>
  <c r="G46" i="14"/>
  <c r="O46" i="14"/>
  <c r="I43" i="14"/>
  <c r="N116" i="12"/>
  <c r="N122" i="12" s="1"/>
  <c r="D47" i="14"/>
  <c r="E43" i="14"/>
  <c r="E95" i="14" s="1"/>
  <c r="M43" i="14"/>
  <c r="Q43" i="14"/>
  <c r="J116" i="12"/>
  <c r="J122" i="12" s="1"/>
  <c r="D43" i="14"/>
  <c r="D95" i="14" s="1"/>
  <c r="K46" i="14"/>
  <c r="R116" i="12"/>
  <c r="R122" i="12" s="1"/>
  <c r="K31" i="14"/>
  <c r="J33" i="14"/>
  <c r="D33" i="14"/>
  <c r="E34" i="14"/>
  <c r="AR34" i="11"/>
  <c r="AO37" i="11"/>
  <c r="H26" i="14"/>
  <c r="I26" i="14"/>
  <c r="K7" i="14"/>
  <c r="P8" i="14"/>
  <c r="J37" i="11"/>
  <c r="D5" i="15"/>
  <c r="E7" i="14"/>
  <c r="J21" i="14"/>
  <c r="AR37" i="11"/>
  <c r="G8" i="14"/>
  <c r="L17" i="14"/>
  <c r="J34" i="14"/>
  <c r="N30" i="14"/>
  <c r="E15" i="14"/>
  <c r="P32" i="14"/>
  <c r="P30" i="14"/>
  <c r="P26" i="14"/>
  <c r="M13" i="14"/>
  <c r="T34" i="14"/>
  <c r="AG37" i="11"/>
  <c r="L13" i="14"/>
  <c r="J13" i="14"/>
  <c r="M17" i="14"/>
  <c r="M86" i="14" s="1"/>
  <c r="P34" i="11"/>
  <c r="D32" i="14"/>
  <c r="J17" i="14"/>
  <c r="H32" i="14"/>
  <c r="J32" i="14"/>
  <c r="K32" i="14"/>
  <c r="AA36" i="11"/>
  <c r="G32" i="14"/>
  <c r="I27" i="14"/>
  <c r="L32" i="14"/>
  <c r="O31" i="14"/>
  <c r="O27" i="14"/>
  <c r="N33" i="14"/>
  <c r="K17" i="14"/>
  <c r="R17" i="14"/>
  <c r="R38" i="11"/>
  <c r="R13" i="14" s="1"/>
  <c r="Q27" i="14"/>
  <c r="G98" i="5"/>
  <c r="O8" i="6"/>
  <c r="H113" i="5"/>
  <c r="O19" i="6" s="1"/>
  <c r="L16" i="14"/>
  <c r="K16" i="14"/>
  <c r="K34" i="11"/>
  <c r="I16" i="14"/>
  <c r="Z34" i="11"/>
  <c r="N34" i="11"/>
  <c r="N16" i="14"/>
  <c r="S27" i="14"/>
  <c r="I34" i="11"/>
  <c r="P27" i="14"/>
  <c r="R16" i="14"/>
  <c r="R34" i="11"/>
  <c r="P33" i="6"/>
  <c r="X9" i="11"/>
  <c r="AO9" i="11"/>
  <c r="G9" i="11"/>
  <c r="I10" i="11"/>
  <c r="AQ10" i="11"/>
  <c r="AQ38" i="11" s="1"/>
  <c r="Z10" i="11"/>
  <c r="Z38" i="11" s="1"/>
  <c r="R37" i="6"/>
  <c r="P17" i="14"/>
  <c r="N38" i="11"/>
  <c r="N13" i="14" s="1"/>
  <c r="N17" i="14"/>
  <c r="P9" i="6"/>
  <c r="S17" i="14"/>
  <c r="S38" i="11"/>
  <c r="S13" i="14" s="1"/>
  <c r="Q37" i="6"/>
  <c r="AP10" i="11"/>
  <c r="AP38" i="11" s="1"/>
  <c r="Y10" i="11"/>
  <c r="Y38" i="11" s="1"/>
  <c r="H10" i="11"/>
  <c r="T38" i="11"/>
  <c r="T13" i="14" s="1"/>
  <c r="T17" i="14"/>
  <c r="E32" i="14"/>
  <c r="S32" i="14"/>
  <c r="G34" i="14"/>
  <c r="AA37" i="11"/>
  <c r="X37" i="11"/>
  <c r="Q37" i="11"/>
  <c r="Q34" i="14"/>
  <c r="AT37" i="11"/>
  <c r="O34" i="14"/>
  <c r="AX37" i="11"/>
  <c r="K34" i="14"/>
  <c r="P34" i="14"/>
  <c r="I34" i="14"/>
  <c r="F33" i="14"/>
  <c r="O36" i="11"/>
  <c r="O32" i="14"/>
  <c r="Q36" i="11"/>
  <c r="Q32" i="14"/>
  <c r="M36" i="11"/>
  <c r="M32" i="14"/>
  <c r="R36" i="11"/>
  <c r="R32" i="14"/>
  <c r="T32" i="14"/>
  <c r="I36" i="11"/>
  <c r="I32" i="14"/>
  <c r="F32" i="14"/>
  <c r="L33" i="14"/>
  <c r="N35" i="11"/>
  <c r="T33" i="14"/>
  <c r="P35" i="11"/>
  <c r="P10" i="14" s="1"/>
  <c r="P33" i="14"/>
  <c r="O35" i="11"/>
  <c r="O33" i="14"/>
  <c r="R33" i="14"/>
  <c r="R35" i="11"/>
  <c r="Q35" i="11"/>
  <c r="Q33" i="14"/>
  <c r="M33" i="14"/>
  <c r="K33" i="14"/>
  <c r="K35" i="11"/>
  <c r="H33" i="14"/>
  <c r="G33" i="14"/>
  <c r="G35" i="11"/>
  <c r="I35" i="11"/>
  <c r="I33" i="14"/>
  <c r="E33" i="14"/>
  <c r="E35" i="11"/>
  <c r="D34" i="14"/>
  <c r="N21" i="14"/>
  <c r="N37" i="11"/>
  <c r="N7" i="14"/>
  <c r="J15" i="14"/>
  <c r="AF40" i="11"/>
  <c r="O15" i="14" s="1"/>
  <c r="O40" i="14"/>
  <c r="F40" i="14"/>
  <c r="W40" i="11"/>
  <c r="F15" i="14" s="1"/>
  <c r="H105" i="11"/>
  <c r="H117" i="14"/>
  <c r="R7" i="14"/>
  <c r="R37" i="11"/>
  <c r="R21" i="14"/>
  <c r="Y40" i="11"/>
  <c r="H15" i="14" s="1"/>
  <c r="H40" i="14"/>
  <c r="R40" i="14"/>
  <c r="AI40" i="11"/>
  <c r="R15" i="14" s="1"/>
  <c r="G30" i="14"/>
  <c r="F7" i="14"/>
  <c r="S38" i="14"/>
  <c r="AJ37" i="11"/>
  <c r="D30" i="14"/>
  <c r="H30" i="14"/>
  <c r="E26" i="14"/>
  <c r="AP37" i="11"/>
  <c r="Y37" i="11"/>
  <c r="AE37" i="11"/>
  <c r="AB40" i="11"/>
  <c r="K15" i="14" s="1"/>
  <c r="K40" i="14"/>
  <c r="M5" i="15"/>
  <c r="P40" i="14"/>
  <c r="AG40" i="11"/>
  <c r="P15" i="14" s="1"/>
  <c r="D105" i="11"/>
  <c r="P7" i="14"/>
  <c r="I37" i="11"/>
  <c r="T117" i="14"/>
  <c r="T105" i="11"/>
  <c r="AQ37" i="11"/>
  <c r="I30" i="14"/>
  <c r="K38" i="14"/>
  <c r="AB37" i="11"/>
  <c r="AS37" i="11"/>
  <c r="R30" i="14"/>
  <c r="F117" i="14"/>
  <c r="F105" i="11"/>
  <c r="AI37" i="11"/>
  <c r="Q17" i="15"/>
  <c r="R105" i="11"/>
  <c r="R117" i="14"/>
  <c r="T40" i="14"/>
  <c r="AK40" i="11"/>
  <c r="T15" i="14" s="1"/>
  <c r="G7" i="14"/>
  <c r="AC37" i="11"/>
  <c r="L21" i="14"/>
  <c r="S37" i="11"/>
  <c r="S21" i="14"/>
  <c r="D38" i="14"/>
  <c r="N26" i="14"/>
  <c r="M105" i="11"/>
  <c r="M117" i="14"/>
  <c r="H38" i="14"/>
  <c r="G29" i="15"/>
  <c r="AV37" i="11"/>
  <c r="S7" i="14"/>
  <c r="P117" i="14"/>
  <c r="P105" i="11"/>
  <c r="O105" i="11"/>
  <c r="O117" i="14"/>
  <c r="I38" i="14"/>
  <c r="I7" i="14"/>
  <c r="K26" i="14"/>
  <c r="K37" i="11"/>
  <c r="K21" i="14"/>
  <c r="X40" i="11"/>
  <c r="G15" i="14" s="1"/>
  <c r="G40" i="14"/>
  <c r="G105" i="11"/>
  <c r="F8" i="14"/>
  <c r="S34" i="14"/>
  <c r="AL37" i="11"/>
  <c r="P37" i="11"/>
  <c r="P21" i="14"/>
  <c r="J30" i="14"/>
  <c r="L26" i="14"/>
  <c r="S26" i="14"/>
  <c r="BA37" i="11"/>
  <c r="U37" i="11"/>
  <c r="D37" i="11"/>
  <c r="D21" i="14"/>
  <c r="J7" i="14"/>
  <c r="H7" i="14"/>
  <c r="H21" i="14"/>
  <c r="H34" i="14"/>
  <c r="N38" i="14"/>
  <c r="N34" i="14"/>
  <c r="R5" i="15"/>
  <c r="J40" i="14"/>
  <c r="P38" i="14"/>
  <c r="I117" i="14"/>
  <c r="I105" i="11"/>
  <c r="Z40" i="11"/>
  <c r="I15" i="14" s="1"/>
  <c r="I40" i="14"/>
  <c r="Z37" i="11"/>
  <c r="K30" i="14"/>
  <c r="D7" i="14"/>
  <c r="E8" i="14"/>
  <c r="R26" i="14"/>
  <c r="R38" i="14"/>
  <c r="R34" i="14"/>
  <c r="AZ37" i="11"/>
  <c r="D40" i="14"/>
  <c r="U40" i="11"/>
  <c r="D15" i="14" s="1"/>
  <c r="E47" i="18"/>
  <c r="O85" i="11" l="1"/>
  <c r="L29" i="15"/>
  <c r="R95" i="14"/>
  <c r="AX85" i="11"/>
  <c r="E29" i="15"/>
  <c r="D17" i="15"/>
  <c r="L17" i="15"/>
  <c r="H10" i="15"/>
  <c r="I95" i="11"/>
  <c r="AZ34" i="11"/>
  <c r="AZ85" i="11" s="1"/>
  <c r="AF85" i="11"/>
  <c r="AB85" i="11"/>
  <c r="O89" i="14"/>
  <c r="G95" i="11"/>
  <c r="F9" i="15" s="1"/>
  <c r="R85" i="11"/>
  <c r="P85" i="11"/>
  <c r="Q85" i="11"/>
  <c r="C29" i="15"/>
  <c r="S95" i="14"/>
  <c r="J85" i="11"/>
  <c r="H17" i="15"/>
  <c r="K85" i="11"/>
  <c r="AR85" i="11"/>
  <c r="J95" i="14"/>
  <c r="X34" i="11"/>
  <c r="N85" i="11"/>
  <c r="J11" i="14"/>
  <c r="Q95" i="14"/>
  <c r="F95" i="14"/>
  <c r="P95" i="14"/>
  <c r="S10" i="15"/>
  <c r="M95" i="11"/>
  <c r="I29" i="15"/>
  <c r="O98" i="14"/>
  <c r="T95" i="14"/>
  <c r="AJ85" i="11"/>
  <c r="S17" i="15"/>
  <c r="L35" i="14"/>
  <c r="AE85" i="11"/>
  <c r="G29" i="14"/>
  <c r="AO84" i="11"/>
  <c r="F29" i="15" s="1"/>
  <c r="Z85" i="11"/>
  <c r="M95" i="14"/>
  <c r="I95" i="14"/>
  <c r="K95" i="14"/>
  <c r="BB85" i="11"/>
  <c r="AG85" i="11"/>
  <c r="O95" i="14"/>
  <c r="K29" i="15"/>
  <c r="L95" i="14"/>
  <c r="V36" i="11"/>
  <c r="F26" i="14"/>
  <c r="AW85" i="11"/>
  <c r="AK85" i="11"/>
  <c r="F35" i="14"/>
  <c r="M85" i="11"/>
  <c r="E99" i="14"/>
  <c r="AQ84" i="11"/>
  <c r="P86" i="14"/>
  <c r="Q89" i="14"/>
  <c r="G98" i="14"/>
  <c r="I107" i="14"/>
  <c r="H27" i="19" s="1"/>
  <c r="H29" i="19" s="1"/>
  <c r="L116" i="14"/>
  <c r="M87" i="14"/>
  <c r="K99" i="14"/>
  <c r="D116" i="14"/>
  <c r="D114" i="14" s="1"/>
  <c r="W102" i="11"/>
  <c r="H20" i="15"/>
  <c r="AT34" i="11"/>
  <c r="AT85" i="11" s="1"/>
  <c r="Q98" i="14"/>
  <c r="G6" i="14"/>
  <c r="H99" i="14"/>
  <c r="K102" i="14"/>
  <c r="H9" i="15"/>
  <c r="S8" i="15"/>
  <c r="M98" i="14"/>
  <c r="G20" i="15"/>
  <c r="P35" i="14"/>
  <c r="P92" i="14" s="1"/>
  <c r="E32" i="15"/>
  <c r="G36" i="14"/>
  <c r="D18" i="14"/>
  <c r="G35" i="14"/>
  <c r="D23" i="14"/>
  <c r="D89" i="14" s="1"/>
  <c r="H20" i="14"/>
  <c r="K35" i="14"/>
  <c r="K92" i="14" s="1"/>
  <c r="E24" i="14"/>
  <c r="E89" i="14" s="1"/>
  <c r="R32" i="15"/>
  <c r="Q88" i="6"/>
  <c r="D87" i="14"/>
  <c r="S86" i="14"/>
  <c r="T27" i="14"/>
  <c r="T90" i="14" s="1"/>
  <c r="J87" i="14"/>
  <c r="N102" i="14"/>
  <c r="P99" i="14"/>
  <c r="Q116" i="14"/>
  <c r="Q114" i="14" s="1"/>
  <c r="L92" i="14"/>
  <c r="O86" i="14"/>
  <c r="F20" i="15"/>
  <c r="H18" i="14"/>
  <c r="AO36" i="11"/>
  <c r="G11" i="14" s="1"/>
  <c r="AP36" i="11"/>
  <c r="H11" i="14" s="1"/>
  <c r="AC34" i="11"/>
  <c r="AC85" i="11" s="1"/>
  <c r="H23" i="14"/>
  <c r="P30" i="15"/>
  <c r="F19" i="14"/>
  <c r="F87" i="14" s="1"/>
  <c r="M27" i="14"/>
  <c r="M90" i="14" s="1"/>
  <c r="U102" i="11"/>
  <c r="R98" i="14"/>
  <c r="H102" i="14"/>
  <c r="H100" i="14" s="1"/>
  <c r="G10" i="14"/>
  <c r="F10" i="14"/>
  <c r="N49" i="15"/>
  <c r="L49" i="15"/>
  <c r="I102" i="11"/>
  <c r="AA34" i="11"/>
  <c r="J116" i="14"/>
  <c r="J114" i="14" s="1"/>
  <c r="E98" i="14"/>
  <c r="I5" i="14"/>
  <c r="I84" i="14" s="1"/>
  <c r="S99" i="14"/>
  <c r="AA102" i="11"/>
  <c r="H35" i="14"/>
  <c r="H92" i="14" s="1"/>
  <c r="Q18" i="14"/>
  <c r="R41" i="5"/>
  <c r="P76" i="6"/>
  <c r="G37" i="11"/>
  <c r="G12" i="14" s="1"/>
  <c r="F36" i="11"/>
  <c r="F11" i="14" s="1"/>
  <c r="J49" i="15"/>
  <c r="J47" i="15"/>
  <c r="H25" i="14"/>
  <c r="D11" i="14"/>
  <c r="S10" i="14"/>
  <c r="T100" i="14"/>
  <c r="J102" i="14"/>
  <c r="J100" i="14" s="1"/>
  <c r="Y35" i="11"/>
  <c r="G89" i="14"/>
  <c r="K11" i="14"/>
  <c r="M84" i="14"/>
  <c r="L6" i="19" s="1"/>
  <c r="L8" i="19" s="1"/>
  <c r="D8" i="15"/>
  <c r="T12" i="14"/>
  <c r="J43" i="5"/>
  <c r="I65" i="5"/>
  <c r="J73" i="5"/>
  <c r="H54" i="18" s="1"/>
  <c r="N73" i="6"/>
  <c r="F32" i="5"/>
  <c r="M73" i="6" s="1"/>
  <c r="R41" i="6"/>
  <c r="J157" i="5"/>
  <c r="O18" i="14"/>
  <c r="O87" i="14" s="1"/>
  <c r="F22" i="14"/>
  <c r="F88" i="14" s="1"/>
  <c r="R18" i="14"/>
  <c r="R87" i="14" s="1"/>
  <c r="Q9" i="14"/>
  <c r="AA74" i="11"/>
  <c r="AA99" i="11" s="1"/>
  <c r="AR74" i="11"/>
  <c r="AR99" i="11" s="1"/>
  <c r="J74" i="11"/>
  <c r="O85" i="6"/>
  <c r="AV45" i="5"/>
  <c r="K69" i="11"/>
  <c r="AS69" i="11"/>
  <c r="AS93" i="11" s="1"/>
  <c r="AS90" i="11" s="1"/>
  <c r="AB69" i="11"/>
  <c r="L98" i="14"/>
  <c r="E102" i="14"/>
  <c r="E100" i="14" s="1"/>
  <c r="Q84" i="6"/>
  <c r="Q90" i="6" s="1"/>
  <c r="AX43" i="5"/>
  <c r="T54" i="5"/>
  <c r="R8" i="18" s="1"/>
  <c r="P65" i="5"/>
  <c r="N93" i="6"/>
  <c r="N95" i="6" s="1"/>
  <c r="Q43" i="5"/>
  <c r="N78" i="6" s="1"/>
  <c r="Q73" i="5"/>
  <c r="O54" i="18" s="1"/>
  <c r="O176" i="5"/>
  <c r="U68" i="6"/>
  <c r="S55" i="5"/>
  <c r="Q9" i="18" s="1"/>
  <c r="P79" i="6"/>
  <c r="P91" i="6" s="1"/>
  <c r="R45" i="5"/>
  <c r="Q77" i="6"/>
  <c r="Q89" i="6" s="1"/>
  <c r="S42" i="5"/>
  <c r="T53" i="5"/>
  <c r="R7" i="18" s="1"/>
  <c r="P56" i="5"/>
  <c r="N10" i="18" s="1"/>
  <c r="N16" i="18" s="1"/>
  <c r="M80" i="6"/>
  <c r="M92" i="6" s="1"/>
  <c r="O46" i="5"/>
  <c r="E30" i="14"/>
  <c r="O10" i="14"/>
  <c r="N10" i="14"/>
  <c r="Q11" i="14"/>
  <c r="L27" i="14"/>
  <c r="L90" i="14" s="1"/>
  <c r="F49" i="15"/>
  <c r="N46" i="14"/>
  <c r="N95" i="14" s="1"/>
  <c r="G100" i="14"/>
  <c r="P49" i="15"/>
  <c r="F98" i="14"/>
  <c r="R30" i="15"/>
  <c r="P87" i="14"/>
  <c r="E10" i="14"/>
  <c r="L34" i="11"/>
  <c r="I6" i="15"/>
  <c r="O9" i="14"/>
  <c r="S116" i="14"/>
  <c r="S114" i="14" s="1"/>
  <c r="J89" i="14"/>
  <c r="G8" i="15"/>
  <c r="M102" i="14"/>
  <c r="I105" i="14"/>
  <c r="H24" i="19" s="1"/>
  <c r="H26" i="19" s="1"/>
  <c r="Q102" i="14"/>
  <c r="T87" i="14"/>
  <c r="M12" i="14"/>
  <c r="Q32" i="15"/>
  <c r="R23" i="14"/>
  <c r="R89" i="14" s="1"/>
  <c r="AR42" i="11"/>
  <c r="AR87" i="11" s="1"/>
  <c r="J42" i="11"/>
  <c r="J87" i="11" s="1"/>
  <c r="AA42" i="11"/>
  <c r="AA87" i="11" s="1"/>
  <c r="I23" i="14"/>
  <c r="I89" i="14" s="1"/>
  <c r="L11" i="14"/>
  <c r="R84" i="14"/>
  <c r="Q41" i="15" s="1"/>
  <c r="Q56" i="15" s="1"/>
  <c r="Q62" i="15" s="1"/>
  <c r="O11" i="14"/>
  <c r="K98" i="14"/>
  <c r="N116" i="14"/>
  <c r="N114" i="14" s="1"/>
  <c r="F102" i="14"/>
  <c r="F100" i="14" s="1"/>
  <c r="T10" i="14"/>
  <c r="L18" i="15"/>
  <c r="S9" i="14"/>
  <c r="E20" i="15"/>
  <c r="H32" i="15"/>
  <c r="D84" i="14"/>
  <c r="C6" i="19" s="1"/>
  <c r="C8" i="19" s="1"/>
  <c r="J86" i="14"/>
  <c r="AF95" i="11"/>
  <c r="N21" i="15" s="1"/>
  <c r="F99" i="14"/>
  <c r="O116" i="14"/>
  <c r="O114" i="14" s="1"/>
  <c r="M92" i="14"/>
  <c r="D20" i="15"/>
  <c r="L102" i="14"/>
  <c r="G32" i="15"/>
  <c r="D32" i="15"/>
  <c r="S98" i="14"/>
  <c r="H10" i="14"/>
  <c r="E11" i="14"/>
  <c r="O99" i="14"/>
  <c r="I87" i="14"/>
  <c r="T11" i="14"/>
  <c r="T99" i="14"/>
  <c r="K90" i="14"/>
  <c r="S89" i="14"/>
  <c r="T86" i="14"/>
  <c r="P89" i="14"/>
  <c r="D99" i="14"/>
  <c r="S102" i="14"/>
  <c r="S100" i="14" s="1"/>
  <c r="I20" i="15"/>
  <c r="E116" i="14"/>
  <c r="E114" i="14" s="1"/>
  <c r="H116" i="14"/>
  <c r="H114" i="14" s="1"/>
  <c r="H27" i="14"/>
  <c r="H90" i="14" s="1"/>
  <c r="L99" i="14"/>
  <c r="L30" i="15"/>
  <c r="L9" i="15"/>
  <c r="Q20" i="15"/>
  <c r="Q8" i="15"/>
  <c r="M10" i="14"/>
  <c r="T98" i="14"/>
  <c r="BA95" i="11"/>
  <c r="R33" i="15" s="1"/>
  <c r="T9" i="14"/>
  <c r="M116" i="14"/>
  <c r="M114" i="14" s="1"/>
  <c r="I116" i="14"/>
  <c r="I114" i="14" s="1"/>
  <c r="H8" i="15"/>
  <c r="J99" i="14"/>
  <c r="G87" i="14"/>
  <c r="S87" i="14"/>
  <c r="N84" i="14"/>
  <c r="M6" i="19" s="1"/>
  <c r="M8" i="19" s="1"/>
  <c r="I10" i="14"/>
  <c r="N90" i="14"/>
  <c r="R8" i="15"/>
  <c r="G102" i="11"/>
  <c r="R116" i="14"/>
  <c r="R114" i="14" s="1"/>
  <c r="E92" i="14"/>
  <c r="J10" i="14"/>
  <c r="T84" i="14"/>
  <c r="S41" i="15" s="1"/>
  <c r="S56" i="15" s="1"/>
  <c r="S62" i="15" s="1"/>
  <c r="H16" i="14"/>
  <c r="AQ98" i="11"/>
  <c r="H36" i="15" s="1"/>
  <c r="H37" i="15"/>
  <c r="J10" i="15"/>
  <c r="J9" i="15"/>
  <c r="R99" i="14"/>
  <c r="J30" i="15"/>
  <c r="D47" i="15"/>
  <c r="L89" i="14"/>
  <c r="N89" i="14"/>
  <c r="K10" i="14"/>
  <c r="O84" i="14"/>
  <c r="F47" i="15"/>
  <c r="F116" i="14"/>
  <c r="F114" i="14" s="1"/>
  <c r="C8" i="15"/>
  <c r="G116" i="14"/>
  <c r="G114" i="14" s="1"/>
  <c r="S11" i="14"/>
  <c r="R34" i="15"/>
  <c r="Q87" i="14"/>
  <c r="G99" i="14"/>
  <c r="R102" i="11"/>
  <c r="I98" i="14"/>
  <c r="L10" i="14"/>
  <c r="L25" i="15"/>
  <c r="AD98" i="11"/>
  <c r="L24" i="15" s="1"/>
  <c r="Y34" i="11"/>
  <c r="Y85" i="11" s="1"/>
  <c r="G18" i="15" s="1"/>
  <c r="AY95" i="11"/>
  <c r="P33" i="15" s="1"/>
  <c r="U90" i="11"/>
  <c r="C20" i="15" s="1"/>
  <c r="M89" i="14"/>
  <c r="T105" i="14"/>
  <c r="S46" i="15" s="1"/>
  <c r="I102" i="14"/>
  <c r="I100" i="14" s="1"/>
  <c r="J92" i="14"/>
  <c r="L87" i="14"/>
  <c r="P9" i="14"/>
  <c r="AP34" i="11"/>
  <c r="AP85" i="11" s="1"/>
  <c r="R47" i="15"/>
  <c r="O12" i="14"/>
  <c r="Q84" i="14"/>
  <c r="P41" i="15" s="1"/>
  <c r="P56" i="15" s="1"/>
  <c r="P62" i="15" s="1"/>
  <c r="U109" i="14"/>
  <c r="D10" i="14"/>
  <c r="S20" i="15"/>
  <c r="M30" i="15"/>
  <c r="D100" i="14"/>
  <c r="E87" i="14"/>
  <c r="D10" i="15"/>
  <c r="J22" i="15"/>
  <c r="AB95" i="11"/>
  <c r="J21" i="15" s="1"/>
  <c r="S107" i="14"/>
  <c r="R48" i="15" s="1"/>
  <c r="R49" i="15"/>
  <c r="K87" i="14"/>
  <c r="J90" i="14"/>
  <c r="S84" i="14"/>
  <c r="R41" i="15" s="1"/>
  <c r="R56" i="15" s="1"/>
  <c r="R62" i="15" s="1"/>
  <c r="M18" i="15"/>
  <c r="Q12" i="14"/>
  <c r="AO34" i="11"/>
  <c r="O18" i="15"/>
  <c r="T102" i="11"/>
  <c r="N98" i="14"/>
  <c r="N11" i="14"/>
  <c r="I99" i="14"/>
  <c r="S98" i="11"/>
  <c r="R12" i="15" s="1"/>
  <c r="R13" i="15"/>
  <c r="H84" i="14"/>
  <c r="G6" i="19" s="1"/>
  <c r="G8" i="19" s="1"/>
  <c r="G84" i="14"/>
  <c r="F6" i="19" s="1"/>
  <c r="F8" i="19" s="1"/>
  <c r="N30" i="15"/>
  <c r="J84" i="14"/>
  <c r="I6" i="19" s="1"/>
  <c r="I8" i="19" s="1"/>
  <c r="I11" i="14"/>
  <c r="K84" i="14"/>
  <c r="J6" i="19" s="1"/>
  <c r="J8" i="19" s="1"/>
  <c r="T116" i="14"/>
  <c r="T114" i="14" s="1"/>
  <c r="N18" i="15"/>
  <c r="V96" i="11"/>
  <c r="D23" i="15"/>
  <c r="N12" i="15"/>
  <c r="N9" i="15"/>
  <c r="F22" i="15"/>
  <c r="X95" i="11"/>
  <c r="F21" i="15" s="1"/>
  <c r="L22" i="15"/>
  <c r="K9" i="14"/>
  <c r="Q92" i="14"/>
  <c r="L84" i="14"/>
  <c r="K6" i="19" s="1"/>
  <c r="K8" i="19" s="1"/>
  <c r="J27" i="19"/>
  <c r="J29" i="19" s="1"/>
  <c r="J48" i="15"/>
  <c r="N36" i="15"/>
  <c r="AW95" i="11"/>
  <c r="N33" i="15" s="1"/>
  <c r="K116" i="14"/>
  <c r="K114" i="14" s="1"/>
  <c r="O92" i="14"/>
  <c r="R10" i="14"/>
  <c r="Q90" i="14"/>
  <c r="O90" i="14"/>
  <c r="M9" i="14"/>
  <c r="J91" i="14"/>
  <c r="I30" i="15"/>
  <c r="F89" i="14"/>
  <c r="L10" i="15"/>
  <c r="Q99" i="14"/>
  <c r="P116" i="14"/>
  <c r="P114" i="14" s="1"/>
  <c r="P11" i="14"/>
  <c r="P11" i="15"/>
  <c r="Q96" i="11"/>
  <c r="Q95" i="11" s="1"/>
  <c r="H22" i="15"/>
  <c r="Z95" i="11"/>
  <c r="H21" i="15" s="1"/>
  <c r="J24" i="19"/>
  <c r="J26" i="19" s="1"/>
  <c r="J46" i="15"/>
  <c r="J18" i="15"/>
  <c r="P84" i="14"/>
  <c r="O6" i="19" s="1"/>
  <c r="O8" i="19" s="1"/>
  <c r="N87" i="14"/>
  <c r="H98" i="14"/>
  <c r="K18" i="15"/>
  <c r="S92" i="14"/>
  <c r="G90" i="14"/>
  <c r="R11" i="14"/>
  <c r="T89" i="14"/>
  <c r="M99" i="14"/>
  <c r="N99" i="14"/>
  <c r="P102" i="11"/>
  <c r="Q105" i="14"/>
  <c r="P47" i="15"/>
  <c r="AU95" i="11"/>
  <c r="L33" i="15" s="1"/>
  <c r="L34" i="15"/>
  <c r="H34" i="15"/>
  <c r="AQ95" i="11"/>
  <c r="H33" i="15" s="1"/>
  <c r="P98" i="14"/>
  <c r="AJ95" i="11"/>
  <c r="R21" i="15" s="1"/>
  <c r="R22" i="15"/>
  <c r="F34" i="15"/>
  <c r="AO95" i="11"/>
  <c r="F33" i="15" s="1"/>
  <c r="N6" i="19"/>
  <c r="N8" i="19" s="1"/>
  <c r="N41" i="15"/>
  <c r="N56" i="15" s="1"/>
  <c r="N62" i="15" s="1"/>
  <c r="AE95" i="11"/>
  <c r="M21" i="15" s="1"/>
  <c r="M22" i="15"/>
  <c r="N24" i="19"/>
  <c r="N26" i="19" s="1"/>
  <c r="N46" i="15"/>
  <c r="S52" i="5"/>
  <c r="Q6" i="18" s="1"/>
  <c r="AW41" i="5"/>
  <c r="P82" i="6"/>
  <c r="S36" i="15"/>
  <c r="BB95" i="11"/>
  <c r="S33" i="15" s="1"/>
  <c r="J96" i="11"/>
  <c r="I11" i="15"/>
  <c r="K36" i="15"/>
  <c r="AT95" i="11"/>
  <c r="K33" i="15" s="1"/>
  <c r="N96" i="11"/>
  <c r="N95" i="11" s="1"/>
  <c r="M11" i="15"/>
  <c r="D105" i="14"/>
  <c r="C47" i="15"/>
  <c r="M36" i="15"/>
  <c r="AV95" i="11"/>
  <c r="M33" i="15" s="1"/>
  <c r="K89" i="14"/>
  <c r="P90" i="14"/>
  <c r="AC61" i="6"/>
  <c r="U163" i="5"/>
  <c r="R10" i="15"/>
  <c r="R107" i="14"/>
  <c r="Q48" i="15" s="1"/>
  <c r="Q49" i="15"/>
  <c r="S24" i="15"/>
  <c r="AK95" i="11"/>
  <c r="S21" i="15" s="1"/>
  <c r="P98" i="11"/>
  <c r="O12" i="15" s="1"/>
  <c r="O13" i="15"/>
  <c r="D24" i="19"/>
  <c r="D26" i="19" s="1"/>
  <c r="D46" i="15"/>
  <c r="P105" i="14"/>
  <c r="O47" i="15"/>
  <c r="J105" i="14"/>
  <c r="I47" i="15"/>
  <c r="K22" i="15"/>
  <c r="N105" i="14"/>
  <c r="M47" i="15"/>
  <c r="L102" i="11"/>
  <c r="S13" i="15"/>
  <c r="T98" i="11"/>
  <c r="T95" i="11" s="1"/>
  <c r="E22" i="15"/>
  <c r="G11" i="15"/>
  <c r="H96" i="11"/>
  <c r="I34" i="15"/>
  <c r="AC60" i="6"/>
  <c r="U162" i="5"/>
  <c r="N83" i="6"/>
  <c r="AU42" i="5"/>
  <c r="I22" i="15"/>
  <c r="L24" i="19"/>
  <c r="L26" i="19" s="1"/>
  <c r="L46" i="15"/>
  <c r="T92" i="14"/>
  <c r="R96" i="11"/>
  <c r="Q11" i="15"/>
  <c r="K11" i="15"/>
  <c r="L96" i="11"/>
  <c r="L95" i="11" s="1"/>
  <c r="P107" i="14"/>
  <c r="O49" i="15"/>
  <c r="AC98" i="11"/>
  <c r="K24" i="15" s="1"/>
  <c r="K25" i="15"/>
  <c r="E36" i="15"/>
  <c r="AN95" i="11"/>
  <c r="E33" i="15" s="1"/>
  <c r="P96" i="11"/>
  <c r="O11" i="15"/>
  <c r="F27" i="19"/>
  <c r="F29" i="19" s="1"/>
  <c r="F48" i="15"/>
  <c r="N107" i="14"/>
  <c r="M49" i="15"/>
  <c r="H98" i="11"/>
  <c r="G12" i="15" s="1"/>
  <c r="G13" i="15"/>
  <c r="E11" i="15"/>
  <c r="F96" i="11"/>
  <c r="F95" i="11" s="1"/>
  <c r="F24" i="19"/>
  <c r="F26" i="19" s="1"/>
  <c r="F46" i="15"/>
  <c r="O22" i="15"/>
  <c r="AG95" i="11"/>
  <c r="O21" i="15" s="1"/>
  <c r="O36" i="15"/>
  <c r="AX95" i="11"/>
  <c r="O33" i="15" s="1"/>
  <c r="E25" i="15"/>
  <c r="W98" i="11"/>
  <c r="E24" i="15" s="1"/>
  <c r="T107" i="14"/>
  <c r="S48" i="15" s="1"/>
  <c r="S49" i="15"/>
  <c r="H105" i="14"/>
  <c r="G47" i="15"/>
  <c r="P27" i="19"/>
  <c r="P29" i="19" s="1"/>
  <c r="P48" i="15"/>
  <c r="Y95" i="11"/>
  <c r="G21" i="15" s="1"/>
  <c r="G22" i="15"/>
  <c r="Q13" i="15"/>
  <c r="R98" i="11"/>
  <c r="Q12" i="15" s="1"/>
  <c r="L114" i="14"/>
  <c r="N92" i="14"/>
  <c r="Q18" i="15"/>
  <c r="F92" i="14"/>
  <c r="S90" i="14"/>
  <c r="R105" i="14"/>
  <c r="Q46" i="15" s="1"/>
  <c r="Q47" i="15"/>
  <c r="L105" i="14"/>
  <c r="K47" i="15"/>
  <c r="G36" i="15"/>
  <c r="AP95" i="11"/>
  <c r="G33" i="15" s="1"/>
  <c r="L107" i="14"/>
  <c r="K49" i="15"/>
  <c r="Q22" i="15"/>
  <c r="AI95" i="11"/>
  <c r="Q21" i="15" s="1"/>
  <c r="H107" i="14"/>
  <c r="G49" i="15"/>
  <c r="F105" i="14"/>
  <c r="E47" i="15"/>
  <c r="N27" i="19"/>
  <c r="N29" i="19" s="1"/>
  <c r="N48" i="15"/>
  <c r="L27" i="19"/>
  <c r="L29" i="19" s="1"/>
  <c r="L48" i="15"/>
  <c r="F107" i="14"/>
  <c r="E49" i="15"/>
  <c r="AZ95" i="11"/>
  <c r="Q33" i="15" s="1"/>
  <c r="Q34" i="15"/>
  <c r="C11" i="15"/>
  <c r="D96" i="11"/>
  <c r="C22" i="15"/>
  <c r="N91" i="14"/>
  <c r="H9" i="14"/>
  <c r="N9" i="14"/>
  <c r="E84" i="14"/>
  <c r="D6" i="19" s="1"/>
  <c r="D8" i="19" s="1"/>
  <c r="L86" i="14"/>
  <c r="R92" i="14"/>
  <c r="G91" i="14"/>
  <c r="N86" i="14"/>
  <c r="J12" i="14"/>
  <c r="K86" i="14"/>
  <c r="S91" i="14"/>
  <c r="F91" i="14"/>
  <c r="R9" i="14"/>
  <c r="Q30" i="15"/>
  <c r="L91" i="14"/>
  <c r="M91" i="14"/>
  <c r="I90" i="14"/>
  <c r="E91" i="14"/>
  <c r="H30" i="15"/>
  <c r="G34" i="11"/>
  <c r="G16" i="14"/>
  <c r="W20" i="11"/>
  <c r="AN20" i="11"/>
  <c r="F20" i="11"/>
  <c r="I9" i="14"/>
  <c r="F9" i="11"/>
  <c r="O33" i="6"/>
  <c r="AN9" i="11"/>
  <c r="W9" i="11"/>
  <c r="R86" i="14"/>
  <c r="R90" i="14"/>
  <c r="F98" i="5"/>
  <c r="M8" i="6" s="1"/>
  <c r="N8" i="6"/>
  <c r="G113" i="5"/>
  <c r="N19" i="6" s="1"/>
  <c r="O9" i="6"/>
  <c r="H18" i="15"/>
  <c r="H38" i="11"/>
  <c r="H13" i="14" s="1"/>
  <c r="H17" i="14"/>
  <c r="H86" i="14" s="1"/>
  <c r="G10" i="11"/>
  <c r="P37" i="6"/>
  <c r="AO10" i="11"/>
  <c r="AO38" i="11" s="1"/>
  <c r="X10" i="11"/>
  <c r="X38" i="11" s="1"/>
  <c r="I17" i="14"/>
  <c r="I86" i="14" s="1"/>
  <c r="I38" i="11"/>
  <c r="I13" i="14" s="1"/>
  <c r="I91" i="14"/>
  <c r="K30" i="15"/>
  <c r="P91" i="14"/>
  <c r="K91" i="14"/>
  <c r="H91" i="14"/>
  <c r="R91" i="14"/>
  <c r="Q91" i="14"/>
  <c r="O91" i="14"/>
  <c r="T91" i="14"/>
  <c r="M11" i="14"/>
  <c r="Q10" i="14"/>
  <c r="O5" i="15"/>
  <c r="R18" i="15"/>
  <c r="E17" i="15"/>
  <c r="Q6" i="15"/>
  <c r="R12" i="14"/>
  <c r="N12" i="14"/>
  <c r="H12" i="14"/>
  <c r="P12" i="14"/>
  <c r="O6" i="15"/>
  <c r="I92" i="14"/>
  <c r="D92" i="14"/>
  <c r="S12" i="14"/>
  <c r="F5" i="15"/>
  <c r="D12" i="14"/>
  <c r="I12" i="14"/>
  <c r="F12" i="14"/>
  <c r="Q5" i="15"/>
  <c r="E12" i="14"/>
  <c r="P18" i="15"/>
  <c r="G5" i="15"/>
  <c r="K12" i="14"/>
  <c r="H5" i="15"/>
  <c r="L12" i="14"/>
  <c r="F84" i="14"/>
  <c r="E6" i="19" s="1"/>
  <c r="E8" i="19" s="1"/>
  <c r="F41" i="18"/>
  <c r="F47" i="18" s="1"/>
  <c r="G41" i="18" s="1"/>
  <c r="G47" i="18" s="1"/>
  <c r="H41" i="18" s="1"/>
  <c r="H47" i="18" s="1"/>
  <c r="J9" i="14" l="1"/>
  <c r="AA85" i="11"/>
  <c r="S95" i="11"/>
  <c r="R9" i="15" s="1"/>
  <c r="X85" i="11"/>
  <c r="O30" i="15"/>
  <c r="S18" i="15"/>
  <c r="O85" i="14"/>
  <c r="J20" i="15"/>
  <c r="AB93" i="11"/>
  <c r="AB90" i="11" s="1"/>
  <c r="G92" i="14"/>
  <c r="U114" i="14"/>
  <c r="I85" i="11"/>
  <c r="H85" i="11"/>
  <c r="K6" i="15"/>
  <c r="L85" i="11"/>
  <c r="K93" i="11"/>
  <c r="K90" i="11" s="1"/>
  <c r="J8" i="15" s="1"/>
  <c r="I41" i="15"/>
  <c r="I56" i="15" s="1"/>
  <c r="I62" i="15" s="1"/>
  <c r="R95" i="11"/>
  <c r="P95" i="11"/>
  <c r="H95" i="11"/>
  <c r="AO85" i="11"/>
  <c r="F30" i="15" s="1"/>
  <c r="S30" i="15"/>
  <c r="G97" i="14"/>
  <c r="F15" i="19" s="1"/>
  <c r="F17" i="19" s="1"/>
  <c r="H29" i="15"/>
  <c r="H48" i="15"/>
  <c r="H87" i="14"/>
  <c r="H6" i="19"/>
  <c r="H8" i="19" s="1"/>
  <c r="H41" i="15"/>
  <c r="H56" i="15" s="1"/>
  <c r="H62" i="15" s="1"/>
  <c r="G9" i="14"/>
  <c r="H89" i="14"/>
  <c r="I18" i="15"/>
  <c r="L41" i="15"/>
  <c r="L56" i="15" s="1"/>
  <c r="L62" i="15" s="1"/>
  <c r="S97" i="14"/>
  <c r="R44" i="15" s="1"/>
  <c r="R59" i="15" s="1"/>
  <c r="R65" i="15" s="1"/>
  <c r="F97" i="14"/>
  <c r="E15" i="19" s="1"/>
  <c r="E17" i="19" s="1"/>
  <c r="T97" i="14"/>
  <c r="S44" i="15" s="1"/>
  <c r="S59" i="15" s="1"/>
  <c r="S65" i="15" s="1"/>
  <c r="J85" i="14"/>
  <c r="I42" i="15" s="1"/>
  <c r="I57" i="15" s="1"/>
  <c r="I63" i="15" s="1"/>
  <c r="J97" i="14"/>
  <c r="I15" i="19" s="1"/>
  <c r="I17" i="19" s="1"/>
  <c r="G41" i="15"/>
  <c r="G56" i="15" s="1"/>
  <c r="G62" i="15" s="1"/>
  <c r="Q85" i="14"/>
  <c r="P9" i="19" s="1"/>
  <c r="P11" i="19" s="1"/>
  <c r="G30" i="15"/>
  <c r="R97" i="14"/>
  <c r="Q44" i="15" s="1"/>
  <c r="Q59" i="15" s="1"/>
  <c r="Q65" i="15" s="1"/>
  <c r="E97" i="14"/>
  <c r="D44" i="15" s="1"/>
  <c r="D59" i="15" s="1"/>
  <c r="D65" i="15" s="1"/>
  <c r="H46" i="15"/>
  <c r="L9" i="14"/>
  <c r="L85" i="14" s="1"/>
  <c r="K9" i="19" s="1"/>
  <c r="K11" i="19" s="1"/>
  <c r="AC69" i="11"/>
  <c r="AT69" i="11"/>
  <c r="L69" i="11"/>
  <c r="L93" i="11" s="1"/>
  <c r="L90" i="11" s="1"/>
  <c r="S54" i="5"/>
  <c r="Q8" i="18" s="1"/>
  <c r="P84" i="6"/>
  <c r="P90" i="6" s="1"/>
  <c r="AW43" i="5"/>
  <c r="I37" i="15"/>
  <c r="AR98" i="11"/>
  <c r="Z42" i="11"/>
  <c r="Z87" i="11" s="1"/>
  <c r="AQ42" i="11"/>
  <c r="AQ87" i="11" s="1"/>
  <c r="I42" i="11"/>
  <c r="I87" i="11" s="1"/>
  <c r="I43" i="5"/>
  <c r="H65" i="5"/>
  <c r="I73" i="5"/>
  <c r="G54" i="18" s="1"/>
  <c r="V74" i="11"/>
  <c r="V99" i="11" s="1"/>
  <c r="AM74" i="11"/>
  <c r="AM99" i="11" s="1"/>
  <c r="E74" i="11"/>
  <c r="P88" i="6"/>
  <c r="J42" i="14"/>
  <c r="J94" i="14" s="1"/>
  <c r="O56" i="5"/>
  <c r="M10" i="18" s="1"/>
  <c r="M16" i="18" s="1"/>
  <c r="N46" i="5"/>
  <c r="R42" i="5"/>
  <c r="P77" i="6"/>
  <c r="P89" i="6" s="1"/>
  <c r="S53" i="5"/>
  <c r="Q7" i="18" s="1"/>
  <c r="K69" i="14"/>
  <c r="K101" i="14" s="1"/>
  <c r="K100" i="14" s="1"/>
  <c r="K97" i="14" s="1"/>
  <c r="J32" i="15"/>
  <c r="J74" i="14"/>
  <c r="J108" i="14" s="1"/>
  <c r="J99" i="11"/>
  <c r="Q41" i="6"/>
  <c r="I157" i="5"/>
  <c r="O76" i="6"/>
  <c r="Q41" i="5"/>
  <c r="S85" i="14"/>
  <c r="R9" i="19" s="1"/>
  <c r="D97" i="14"/>
  <c r="C15" i="19" s="1"/>
  <c r="C17" i="19" s="1"/>
  <c r="T85" i="14"/>
  <c r="S9" i="19" s="1"/>
  <c r="R55" i="5"/>
  <c r="P9" i="18" s="1"/>
  <c r="Q45" i="5"/>
  <c r="O79" i="6"/>
  <c r="O91" i="6" s="1"/>
  <c r="V68" i="6"/>
  <c r="P176" i="5"/>
  <c r="M93" i="6"/>
  <c r="M95" i="6" s="1"/>
  <c r="P43" i="5"/>
  <c r="M78" i="6" s="1"/>
  <c r="P73" i="5"/>
  <c r="N54" i="18" s="1"/>
  <c r="AU45" i="5"/>
  <c r="N85" i="6"/>
  <c r="I25" i="15"/>
  <c r="AA98" i="11"/>
  <c r="AL74" i="11"/>
  <c r="AL99" i="11" s="1"/>
  <c r="D74" i="11"/>
  <c r="U74" i="11"/>
  <c r="U99" i="11" s="1"/>
  <c r="D41" i="15"/>
  <c r="D56" i="15" s="1"/>
  <c r="D62" i="15" s="1"/>
  <c r="C41" i="15"/>
  <c r="C56" i="15" s="1"/>
  <c r="C62" i="15" s="1"/>
  <c r="E44" i="15"/>
  <c r="E59" i="15" s="1"/>
  <c r="E65" i="15" s="1"/>
  <c r="AD95" i="11"/>
  <c r="L21" i="15" s="1"/>
  <c r="M41" i="15"/>
  <c r="M56" i="15" s="1"/>
  <c r="M62" i="15" s="1"/>
  <c r="M85" i="14"/>
  <c r="L9" i="19" s="1"/>
  <c r="L11" i="19" s="1"/>
  <c r="P6" i="19"/>
  <c r="P8" i="19" s="1"/>
  <c r="H97" i="14"/>
  <c r="G44" i="15" s="1"/>
  <c r="G59" i="15" s="1"/>
  <c r="G65" i="15" s="1"/>
  <c r="K85" i="14"/>
  <c r="J42" i="15" s="1"/>
  <c r="J57" i="15" s="1"/>
  <c r="J63" i="15" s="1"/>
  <c r="F41" i="15"/>
  <c r="F56" i="15" s="1"/>
  <c r="F62" i="15" s="1"/>
  <c r="J41" i="15"/>
  <c r="J56" i="15" s="1"/>
  <c r="J62" i="15" s="1"/>
  <c r="I97" i="14"/>
  <c r="D22" i="15"/>
  <c r="F44" i="15"/>
  <c r="F59" i="15" s="1"/>
  <c r="F65" i="15" s="1"/>
  <c r="O41" i="15"/>
  <c r="O56" i="15" s="1"/>
  <c r="O62" i="15" s="1"/>
  <c r="W34" i="11"/>
  <c r="W85" i="11" s="1"/>
  <c r="K41" i="15"/>
  <c r="K56" i="15" s="1"/>
  <c r="K62" i="15" s="1"/>
  <c r="P10" i="15"/>
  <c r="P9" i="15"/>
  <c r="P85" i="14"/>
  <c r="O42" i="15" s="1"/>
  <c r="O57" i="15" s="1"/>
  <c r="O63" i="15" s="1"/>
  <c r="R85" i="14"/>
  <c r="Q42" i="15" s="1"/>
  <c r="Q57" i="15" s="1"/>
  <c r="Q63" i="15" s="1"/>
  <c r="P24" i="19"/>
  <c r="P26" i="19" s="1"/>
  <c r="P46" i="15"/>
  <c r="K27" i="19"/>
  <c r="K29" i="19" s="1"/>
  <c r="K48" i="15"/>
  <c r="K24" i="19"/>
  <c r="K26" i="19" s="1"/>
  <c r="K46" i="15"/>
  <c r="E10" i="15"/>
  <c r="E9" i="15"/>
  <c r="M27" i="19"/>
  <c r="M29" i="19" s="1"/>
  <c r="M48" i="15"/>
  <c r="O9" i="15"/>
  <c r="O10" i="15"/>
  <c r="AB60" i="6"/>
  <c r="T162" i="5"/>
  <c r="G9" i="15"/>
  <c r="G10" i="15"/>
  <c r="S12" i="15"/>
  <c r="S9" i="15"/>
  <c r="E27" i="19"/>
  <c r="E29" i="19" s="1"/>
  <c r="E48" i="15"/>
  <c r="AT42" i="5"/>
  <c r="M83" i="6"/>
  <c r="BB61" i="11"/>
  <c r="BB89" i="11" s="1"/>
  <c r="BB86" i="11" s="1"/>
  <c r="BB83" i="11" s="1"/>
  <c r="T61" i="11"/>
  <c r="AK61" i="11"/>
  <c r="M24" i="19"/>
  <c r="M26" i="19" s="1"/>
  <c r="M46" i="15"/>
  <c r="AB61" i="6"/>
  <c r="T163" i="5"/>
  <c r="C24" i="19"/>
  <c r="C26" i="19" s="1"/>
  <c r="C46" i="15"/>
  <c r="I10" i="15"/>
  <c r="N42" i="15"/>
  <c r="N57" i="15" s="1"/>
  <c r="N63" i="15" s="1"/>
  <c r="N9" i="19"/>
  <c r="N11" i="19" s="1"/>
  <c r="C10" i="15"/>
  <c r="G27" i="19"/>
  <c r="G29" i="19" s="1"/>
  <c r="G48" i="15"/>
  <c r="G24" i="19"/>
  <c r="G26" i="19" s="1"/>
  <c r="G46" i="15"/>
  <c r="O27" i="19"/>
  <c r="O29" i="19" s="1"/>
  <c r="O48" i="15"/>
  <c r="Q10" i="15"/>
  <c r="Q9" i="15"/>
  <c r="W95" i="11"/>
  <c r="E21" i="15" s="1"/>
  <c r="O24" i="19"/>
  <c r="O26" i="19" s="1"/>
  <c r="O46" i="15"/>
  <c r="T62" i="11"/>
  <c r="AK62" i="11"/>
  <c r="BB62" i="11"/>
  <c r="R52" i="5"/>
  <c r="P6" i="18" s="1"/>
  <c r="AV41" i="5"/>
  <c r="O82" i="6"/>
  <c r="O88" i="6" s="1"/>
  <c r="R42" i="15"/>
  <c r="R57" i="15" s="1"/>
  <c r="R63" i="15" s="1"/>
  <c r="E24" i="19"/>
  <c r="E26" i="19" s="1"/>
  <c r="E46" i="15"/>
  <c r="K9" i="15"/>
  <c r="K10" i="15"/>
  <c r="AC95" i="11"/>
  <c r="K21" i="15" s="1"/>
  <c r="I24" i="19"/>
  <c r="I26" i="19" s="1"/>
  <c r="I46" i="15"/>
  <c r="M10" i="15"/>
  <c r="M9" i="15"/>
  <c r="S6" i="15"/>
  <c r="N85" i="14"/>
  <c r="H6" i="15"/>
  <c r="H85" i="14"/>
  <c r="F18" i="15"/>
  <c r="V20" i="11"/>
  <c r="AM20" i="11"/>
  <c r="E20" i="11"/>
  <c r="F34" i="11"/>
  <c r="F16" i="14"/>
  <c r="AM9" i="11"/>
  <c r="AM34" i="11" s="1"/>
  <c r="E9" i="11"/>
  <c r="N33" i="6"/>
  <c r="V9" i="11"/>
  <c r="V34" i="11" s="1"/>
  <c r="AL9" i="11"/>
  <c r="D9" i="11"/>
  <c r="U9" i="11"/>
  <c r="AN34" i="11"/>
  <c r="F27" i="14"/>
  <c r="F90" i="14" s="1"/>
  <c r="G38" i="11"/>
  <c r="G85" i="11" s="1"/>
  <c r="G17" i="14"/>
  <c r="G86" i="14" s="1"/>
  <c r="N9" i="6"/>
  <c r="M9" i="6"/>
  <c r="I85" i="14"/>
  <c r="G6" i="15"/>
  <c r="W10" i="11"/>
  <c r="W38" i="11" s="1"/>
  <c r="AN10" i="11"/>
  <c r="AN38" i="11" s="1"/>
  <c r="F10" i="11"/>
  <c r="O37" i="6"/>
  <c r="N6" i="15"/>
  <c r="L6" i="15"/>
  <c r="P6" i="15"/>
  <c r="J6" i="15"/>
  <c r="M6" i="15"/>
  <c r="E41" i="15"/>
  <c r="E56" i="15" s="1"/>
  <c r="E62" i="15" s="1"/>
  <c r="R6" i="15"/>
  <c r="I41" i="18"/>
  <c r="I47" i="18" s="1"/>
  <c r="J41" i="18" s="1"/>
  <c r="J47" i="18" s="1"/>
  <c r="I9" i="19" l="1"/>
  <c r="AT93" i="11"/>
  <c r="AT90" i="11" s="1"/>
  <c r="K32" i="15" s="1"/>
  <c r="T89" i="11"/>
  <c r="T86" i="11" s="1"/>
  <c r="AN85" i="11"/>
  <c r="AK89" i="11"/>
  <c r="AK86" i="11" s="1"/>
  <c r="AK83" i="11" s="1"/>
  <c r="K20" i="15"/>
  <c r="AC93" i="11"/>
  <c r="AC90" i="11" s="1"/>
  <c r="S42" i="15"/>
  <c r="S57" i="15" s="1"/>
  <c r="S63" i="15" s="1"/>
  <c r="D15" i="19"/>
  <c r="D17" i="19" s="1"/>
  <c r="I44" i="15"/>
  <c r="I59" i="15" s="1"/>
  <c r="I65" i="15" s="1"/>
  <c r="P42" i="15"/>
  <c r="P57" i="15" s="1"/>
  <c r="P63" i="15" s="1"/>
  <c r="G15" i="19"/>
  <c r="G17" i="19" s="1"/>
  <c r="J15" i="19"/>
  <c r="J17" i="19" s="1"/>
  <c r="J44" i="15"/>
  <c r="J59" i="15" s="1"/>
  <c r="J65" i="15" s="1"/>
  <c r="AL98" i="11"/>
  <c r="C37" i="15"/>
  <c r="AT45" i="5"/>
  <c r="AS45" i="5" s="1"/>
  <c r="AR45" i="5" s="1"/>
  <c r="AQ45" i="5" s="1"/>
  <c r="AP45" i="5" s="1"/>
  <c r="AO45" i="5" s="1"/>
  <c r="AN45" i="5" s="1"/>
  <c r="AM45" i="5" s="1"/>
  <c r="AL45" i="5" s="1"/>
  <c r="AK45" i="5" s="1"/>
  <c r="M85" i="6"/>
  <c r="W68" i="6"/>
  <c r="Q176" i="5"/>
  <c r="Q42" i="5"/>
  <c r="O77" i="6"/>
  <c r="O89" i="6" s="1"/>
  <c r="R53" i="5"/>
  <c r="P7" i="18" s="1"/>
  <c r="V98" i="11"/>
  <c r="D25" i="15"/>
  <c r="I36" i="15"/>
  <c r="AR95" i="11"/>
  <c r="I33" i="15" s="1"/>
  <c r="C44" i="15"/>
  <c r="C59" i="15" s="1"/>
  <c r="C65" i="15" s="1"/>
  <c r="J9" i="19"/>
  <c r="J11" i="19" s="1"/>
  <c r="I24" i="15"/>
  <c r="AA95" i="11"/>
  <c r="I21" i="15" s="1"/>
  <c r="M69" i="11"/>
  <c r="AU69" i="11"/>
  <c r="AD69" i="11"/>
  <c r="AD93" i="11" s="1"/>
  <c r="AD90" i="11" s="1"/>
  <c r="H42" i="11"/>
  <c r="H87" i="11" s="1"/>
  <c r="Y42" i="11"/>
  <c r="Y87" i="11" s="1"/>
  <c r="AP42" i="11"/>
  <c r="AP87" i="11" s="1"/>
  <c r="N56" i="5"/>
  <c r="L10" i="18" s="1"/>
  <c r="L16" i="18" s="1"/>
  <c r="M46" i="5"/>
  <c r="I42" i="14"/>
  <c r="I94" i="14" s="1"/>
  <c r="K8" i="15"/>
  <c r="L69" i="14"/>
  <c r="L101" i="14" s="1"/>
  <c r="L100" i="14" s="1"/>
  <c r="L97" i="14" s="1"/>
  <c r="U98" i="11"/>
  <c r="C25" i="15"/>
  <c r="N76" i="6"/>
  <c r="P41" i="5"/>
  <c r="I13" i="15"/>
  <c r="J98" i="11"/>
  <c r="J95" i="11" s="1"/>
  <c r="E99" i="11"/>
  <c r="E74" i="14"/>
  <c r="E108" i="14" s="1"/>
  <c r="O84" i="6"/>
  <c r="O90" i="6" s="1"/>
  <c r="R54" i="5"/>
  <c r="P8" i="18" s="1"/>
  <c r="AV43" i="5"/>
  <c r="P41" i="6"/>
  <c r="H157" i="5"/>
  <c r="D99" i="11"/>
  <c r="D74" i="14"/>
  <c r="D108" i="14" s="1"/>
  <c r="P45" i="5"/>
  <c r="N79" i="6"/>
  <c r="N91" i="6" s="1"/>
  <c r="Q55" i="5"/>
  <c r="O9" i="18" s="1"/>
  <c r="I49" i="15"/>
  <c r="J107" i="14"/>
  <c r="AM98" i="11"/>
  <c r="D37" i="15"/>
  <c r="G65" i="5"/>
  <c r="H43" i="5"/>
  <c r="H73" i="5"/>
  <c r="F54" i="18" s="1"/>
  <c r="F55" i="18" s="1"/>
  <c r="L42" i="15"/>
  <c r="L57" i="15" s="1"/>
  <c r="L63" i="15" s="1"/>
  <c r="Q9" i="19"/>
  <c r="K42" i="15"/>
  <c r="K57" i="15" s="1"/>
  <c r="K63" i="15" s="1"/>
  <c r="H44" i="15"/>
  <c r="H59" i="15" s="1"/>
  <c r="H65" i="15" s="1"/>
  <c r="H15" i="19"/>
  <c r="H17" i="19" s="1"/>
  <c r="E30" i="15"/>
  <c r="E18" i="15"/>
  <c r="O9" i="19"/>
  <c r="O11" i="19" s="1"/>
  <c r="G42" i="15"/>
  <c r="G57" i="15" s="1"/>
  <c r="G63" i="15" s="1"/>
  <c r="G9" i="19"/>
  <c r="G11" i="19" s="1"/>
  <c r="I11" i="19"/>
  <c r="BA62" i="11"/>
  <c r="AJ62" i="11"/>
  <c r="S62" i="11"/>
  <c r="AA60" i="6"/>
  <c r="S162" i="5"/>
  <c r="M42" i="15"/>
  <c r="M57" i="15" s="1"/>
  <c r="M63" i="15" s="1"/>
  <c r="M9" i="19"/>
  <c r="AJ61" i="11"/>
  <c r="S61" i="11"/>
  <c r="BA61" i="11"/>
  <c r="BA89" i="11" s="1"/>
  <c r="BA86" i="11" s="1"/>
  <c r="BA83" i="11" s="1"/>
  <c r="H42" i="15"/>
  <c r="H57" i="15" s="1"/>
  <c r="H63" i="15" s="1"/>
  <c r="H9" i="19"/>
  <c r="T61" i="14"/>
  <c r="AS42" i="5"/>
  <c r="Q52" i="5"/>
  <c r="O6" i="18" s="1"/>
  <c r="AU41" i="5"/>
  <c r="N82" i="6"/>
  <c r="T62" i="14"/>
  <c r="AA61" i="6"/>
  <c r="S163" i="5"/>
  <c r="F9" i="14"/>
  <c r="D16" i="14"/>
  <c r="E16" i="14"/>
  <c r="E34" i="11"/>
  <c r="E27" i="14"/>
  <c r="E90" i="14" s="1"/>
  <c r="F17" i="14"/>
  <c r="F86" i="14" s="1"/>
  <c r="F38" i="11"/>
  <c r="F85" i="11" s="1"/>
  <c r="G13" i="14"/>
  <c r="G85" i="14" s="1"/>
  <c r="F9" i="19" s="1"/>
  <c r="N37" i="6"/>
  <c r="E10" i="11"/>
  <c r="AM10" i="11"/>
  <c r="AM38" i="11" s="1"/>
  <c r="AM85" i="11" s="1"/>
  <c r="V10" i="11"/>
  <c r="V38" i="11" s="1"/>
  <c r="V85" i="11" s="1"/>
  <c r="D10" i="11"/>
  <c r="AL10" i="11"/>
  <c r="AL38" i="11" s="1"/>
  <c r="U10" i="11"/>
  <c r="U38" i="11" s="1"/>
  <c r="M37" i="6"/>
  <c r="K41" i="18"/>
  <c r="K47" i="18" s="1"/>
  <c r="L41" i="18" s="1"/>
  <c r="L47" i="18" s="1"/>
  <c r="L32" i="15" l="1"/>
  <c r="AU93" i="11"/>
  <c r="AU90" i="11" s="1"/>
  <c r="M93" i="11"/>
  <c r="M90" i="11" s="1"/>
  <c r="L8" i="15" s="1"/>
  <c r="S89" i="11"/>
  <c r="S86" i="11" s="1"/>
  <c r="E9" i="14"/>
  <c r="AJ89" i="11"/>
  <c r="AJ86" i="11" s="1"/>
  <c r="AJ83" i="11" s="1"/>
  <c r="N88" i="6"/>
  <c r="P55" i="5"/>
  <c r="N9" i="18" s="1"/>
  <c r="O45" i="5"/>
  <c r="M79" i="6"/>
  <c r="M91" i="6" s="1"/>
  <c r="O41" i="6"/>
  <c r="G157" i="5"/>
  <c r="D24" i="15"/>
  <c r="V95" i="11"/>
  <c r="D21" i="15" s="1"/>
  <c r="F65" i="5"/>
  <c r="G43" i="5"/>
  <c r="G73" i="5"/>
  <c r="E54" i="18" s="1"/>
  <c r="E55" i="18" s="1"/>
  <c r="D107" i="14"/>
  <c r="C49" i="15"/>
  <c r="G42" i="11"/>
  <c r="G87" i="11" s="1"/>
  <c r="AO42" i="11"/>
  <c r="AO87" i="11" s="1"/>
  <c r="X42" i="11"/>
  <c r="X87" i="11" s="1"/>
  <c r="O41" i="5"/>
  <c r="N41" i="5" s="1"/>
  <c r="M41" i="5" s="1"/>
  <c r="L41" i="5" s="1"/>
  <c r="K41" i="5" s="1"/>
  <c r="J41" i="5" s="1"/>
  <c r="I41" i="5" s="1"/>
  <c r="H41" i="5" s="1"/>
  <c r="G41" i="5" s="1"/>
  <c r="F41" i="5" s="1"/>
  <c r="M76" i="6"/>
  <c r="K15" i="19"/>
  <c r="K17" i="19" s="1"/>
  <c r="K44" i="15"/>
  <c r="K59" i="15" s="1"/>
  <c r="K65" i="15" s="1"/>
  <c r="M56" i="5"/>
  <c r="K10" i="18" s="1"/>
  <c r="K16" i="18" s="1"/>
  <c r="L46" i="5"/>
  <c r="H42" i="14"/>
  <c r="H94" i="14" s="1"/>
  <c r="AV69" i="11"/>
  <c r="N69" i="11"/>
  <c r="N93" i="11" s="1"/>
  <c r="N90" i="11" s="1"/>
  <c r="AE69" i="11"/>
  <c r="C36" i="15"/>
  <c r="AL95" i="11"/>
  <c r="C33" i="15" s="1"/>
  <c r="C13" i="15"/>
  <c r="D98" i="11"/>
  <c r="D95" i="11" s="1"/>
  <c r="AU43" i="5"/>
  <c r="Q54" i="5"/>
  <c r="O8" i="18" s="1"/>
  <c r="N84" i="6"/>
  <c r="N90" i="6" s="1"/>
  <c r="D13" i="15"/>
  <c r="E98" i="11"/>
  <c r="E95" i="11" s="1"/>
  <c r="M69" i="14"/>
  <c r="M101" i="14" s="1"/>
  <c r="M100" i="14" s="1"/>
  <c r="M97" i="14" s="1"/>
  <c r="L20" i="15"/>
  <c r="I27" i="19"/>
  <c r="I29" i="19" s="1"/>
  <c r="I48" i="15"/>
  <c r="C24" i="15"/>
  <c r="U95" i="11"/>
  <c r="C21" i="15" s="1"/>
  <c r="X68" i="6"/>
  <c r="R176" i="5"/>
  <c r="E107" i="14"/>
  <c r="D49" i="15"/>
  <c r="D36" i="15"/>
  <c r="AM95" i="11"/>
  <c r="D33" i="15" s="1"/>
  <c r="I12" i="15"/>
  <c r="I9" i="15"/>
  <c r="N77" i="6"/>
  <c r="N89" i="6" s="1"/>
  <c r="P42" i="5"/>
  <c r="Q53" i="5"/>
  <c r="O7" i="18" s="1"/>
  <c r="S62" i="14"/>
  <c r="R61" i="11"/>
  <c r="R89" i="11" s="1"/>
  <c r="R86" i="11" s="1"/>
  <c r="AZ61" i="11"/>
  <c r="AI61" i="11"/>
  <c r="Z61" i="6"/>
  <c r="R163" i="5"/>
  <c r="AT41" i="5"/>
  <c r="P52" i="5"/>
  <c r="N6" i="18" s="1"/>
  <c r="M82" i="6"/>
  <c r="S7" i="15"/>
  <c r="T83" i="11"/>
  <c r="S4" i="15" s="1"/>
  <c r="S61" i="14"/>
  <c r="M11" i="19"/>
  <c r="F11" i="19"/>
  <c r="R62" i="11"/>
  <c r="AZ62" i="11"/>
  <c r="AI62" i="11"/>
  <c r="H11" i="19"/>
  <c r="S31" i="15"/>
  <c r="S28" i="15"/>
  <c r="AR42" i="5"/>
  <c r="T96" i="14"/>
  <c r="S19" i="15"/>
  <c r="S16" i="15"/>
  <c r="Z60" i="6"/>
  <c r="R162" i="5"/>
  <c r="D30" i="15"/>
  <c r="F42" i="15"/>
  <c r="F57" i="15" s="1"/>
  <c r="F63" i="15" s="1"/>
  <c r="E38" i="11"/>
  <c r="E85" i="11" s="1"/>
  <c r="E17" i="14"/>
  <c r="E86" i="14" s="1"/>
  <c r="F13" i="14"/>
  <c r="F85" i="14" s="1"/>
  <c r="E9" i="19" s="1"/>
  <c r="D18" i="15"/>
  <c r="F6" i="15"/>
  <c r="D17" i="14"/>
  <c r="D86" i="14" s="1"/>
  <c r="D38" i="11"/>
  <c r="D13" i="14" s="1"/>
  <c r="M41" i="18"/>
  <c r="M47" i="18" s="1"/>
  <c r="N41" i="18" s="1"/>
  <c r="N47" i="18" s="1"/>
  <c r="BC76" i="11" s="1"/>
  <c r="D76" i="14" s="1"/>
  <c r="M88" i="6" l="1"/>
  <c r="AI89" i="11"/>
  <c r="AI86" i="11" s="1"/>
  <c r="AI83" i="11" s="1"/>
  <c r="AV93" i="11"/>
  <c r="AV90" i="11" s="1"/>
  <c r="M32" i="15" s="1"/>
  <c r="AE93" i="11"/>
  <c r="AE90" i="11" s="1"/>
  <c r="M20" i="15" s="1"/>
  <c r="AZ89" i="11"/>
  <c r="AZ86" i="11" s="1"/>
  <c r="AZ83" i="11" s="1"/>
  <c r="O42" i="5"/>
  <c r="M77" i="6"/>
  <c r="M89" i="6" s="1"/>
  <c r="P53" i="5"/>
  <c r="N7" i="18" s="1"/>
  <c r="D48" i="15"/>
  <c r="D27" i="19"/>
  <c r="D29" i="19" s="1"/>
  <c r="W42" i="11"/>
  <c r="W87" i="11" s="1"/>
  <c r="F42" i="11"/>
  <c r="F87" i="11" s="1"/>
  <c r="AN42" i="11"/>
  <c r="AN87" i="11" s="1"/>
  <c r="S96" i="14"/>
  <c r="S93" i="14" s="1"/>
  <c r="R43" i="15" s="1"/>
  <c r="R58" i="15" s="1"/>
  <c r="R64" i="15" s="1"/>
  <c r="P54" i="5"/>
  <c r="N8" i="18" s="1"/>
  <c r="AT43" i="5"/>
  <c r="M84" i="6"/>
  <c r="M90" i="6" s="1"/>
  <c r="C27" i="19"/>
  <c r="C29" i="19" s="1"/>
  <c r="C48" i="15"/>
  <c r="O69" i="11"/>
  <c r="O93" i="11" s="1"/>
  <c r="O90" i="11" s="1"/>
  <c r="AF69" i="11"/>
  <c r="AW69" i="11"/>
  <c r="C12" i="15"/>
  <c r="C9" i="15"/>
  <c r="O55" i="5"/>
  <c r="M9" i="18" s="1"/>
  <c r="N45" i="5"/>
  <c r="L15" i="19"/>
  <c r="L17" i="19" s="1"/>
  <c r="L44" i="15"/>
  <c r="L59" i="15" s="1"/>
  <c r="L65" i="15" s="1"/>
  <c r="F43" i="5"/>
  <c r="F73" i="5"/>
  <c r="D54" i="18" s="1"/>
  <c r="S176" i="5"/>
  <c r="Y68" i="6"/>
  <c r="D12" i="15"/>
  <c r="D9" i="15"/>
  <c r="N69" i="14"/>
  <c r="N101" i="14" s="1"/>
  <c r="N100" i="14" s="1"/>
  <c r="N97" i="14" s="1"/>
  <c r="M8" i="15"/>
  <c r="L56" i="5"/>
  <c r="J10" i="18" s="1"/>
  <c r="J16" i="18" s="1"/>
  <c r="K46" i="5"/>
  <c r="G42" i="14"/>
  <c r="G94" i="14" s="1"/>
  <c r="N41" i="6"/>
  <c r="F157" i="5"/>
  <c r="M41" i="6" s="1"/>
  <c r="E11" i="19"/>
  <c r="AH61" i="11"/>
  <c r="AH89" i="11" s="1"/>
  <c r="AH86" i="11" s="1"/>
  <c r="AY61" i="11"/>
  <c r="Q61" i="11"/>
  <c r="R19" i="15"/>
  <c r="R16" i="15"/>
  <c r="O52" i="5"/>
  <c r="M6" i="18" s="1"/>
  <c r="AS41" i="5"/>
  <c r="AQ42" i="5"/>
  <c r="S83" i="14"/>
  <c r="R40" i="15" s="1"/>
  <c r="R55" i="15" s="1"/>
  <c r="R61" i="15" s="1"/>
  <c r="Y61" i="6"/>
  <c r="Q163" i="5"/>
  <c r="R61" i="14"/>
  <c r="R62" i="14"/>
  <c r="AY62" i="11"/>
  <c r="Q62" i="11"/>
  <c r="AH62" i="11"/>
  <c r="R31" i="15"/>
  <c r="R28" i="15"/>
  <c r="Y60" i="6"/>
  <c r="Q162" i="5"/>
  <c r="T93" i="14"/>
  <c r="R7" i="15"/>
  <c r="S83" i="11"/>
  <c r="R4" i="15" s="1"/>
  <c r="E6" i="15"/>
  <c r="E42" i="15"/>
  <c r="E57" i="15" s="1"/>
  <c r="E63" i="15" s="1"/>
  <c r="E13" i="14"/>
  <c r="E85" i="14" s="1"/>
  <c r="D9" i="19" s="1"/>
  <c r="O41" i="18"/>
  <c r="O47" i="18" s="1"/>
  <c r="P41" i="18" s="1"/>
  <c r="P47" i="18" s="1"/>
  <c r="AW93" i="11" l="1"/>
  <c r="AW90" i="11" s="1"/>
  <c r="N32" i="15" s="1"/>
  <c r="Q89" i="11"/>
  <c r="Q86" i="11" s="1"/>
  <c r="AF93" i="11"/>
  <c r="AF90" i="11" s="1"/>
  <c r="N20" i="15" s="1"/>
  <c r="AY89" i="11"/>
  <c r="AY86" i="11" s="1"/>
  <c r="R12" i="19"/>
  <c r="R3" i="19" s="1"/>
  <c r="Z68" i="6"/>
  <c r="T176" i="5"/>
  <c r="U176" i="5" s="1"/>
  <c r="V176" i="5" s="1"/>
  <c r="AS43" i="5"/>
  <c r="O54" i="5"/>
  <c r="M8" i="18" s="1"/>
  <c r="F42" i="14"/>
  <c r="F94" i="14" s="1"/>
  <c r="U42" i="11"/>
  <c r="U87" i="11" s="1"/>
  <c r="AL42" i="11"/>
  <c r="AL87" i="11" s="1"/>
  <c r="D42" i="11"/>
  <c r="D87" i="11" s="1"/>
  <c r="K56" i="5"/>
  <c r="I10" i="18" s="1"/>
  <c r="I16" i="18" s="1"/>
  <c r="J46" i="5"/>
  <c r="D60" i="18"/>
  <c r="D61" i="18" s="1"/>
  <c r="E60" i="18" s="1"/>
  <c r="E61" i="18" s="1"/>
  <c r="F60" i="18" s="1"/>
  <c r="F61" i="18" s="1"/>
  <c r="D55" i="18"/>
  <c r="N55" i="5"/>
  <c r="L9" i="18" s="1"/>
  <c r="M45" i="5"/>
  <c r="P69" i="11"/>
  <c r="AX69" i="11"/>
  <c r="AX93" i="11" s="1"/>
  <c r="AX90" i="11" s="1"/>
  <c r="AG69" i="11"/>
  <c r="M44" i="15"/>
  <c r="M59" i="15" s="1"/>
  <c r="M65" i="15" s="1"/>
  <c r="M15" i="19"/>
  <c r="M17" i="19" s="1"/>
  <c r="N8" i="15"/>
  <c r="O69" i="14"/>
  <c r="O101" i="14" s="1"/>
  <c r="O100" i="14" s="1"/>
  <c r="O97" i="14" s="1"/>
  <c r="R96" i="14"/>
  <c r="R93" i="14" s="1"/>
  <c r="Q43" i="15" s="1"/>
  <c r="Q58" i="15" s="1"/>
  <c r="Q64" i="15" s="1"/>
  <c r="V42" i="11"/>
  <c r="V87" i="11" s="1"/>
  <c r="E42" i="11"/>
  <c r="E87" i="11" s="1"/>
  <c r="AM42" i="11"/>
  <c r="AM87" i="11" s="1"/>
  <c r="N42" i="5"/>
  <c r="O53" i="5"/>
  <c r="M7" i="18" s="1"/>
  <c r="Q62" i="14"/>
  <c r="P61" i="11"/>
  <c r="AG61" i="11"/>
  <c r="AX61" i="11"/>
  <c r="S12" i="19"/>
  <c r="S3" i="19" s="1"/>
  <c r="U94" i="14"/>
  <c r="U95" i="14"/>
  <c r="S43" i="15"/>
  <c r="S58" i="15" s="1"/>
  <c r="S64" i="15" s="1"/>
  <c r="T83" i="14"/>
  <c r="U93" i="14" s="1"/>
  <c r="Q31" i="15"/>
  <c r="Q28" i="15"/>
  <c r="D11" i="19"/>
  <c r="U96" i="14"/>
  <c r="X61" i="6"/>
  <c r="P163" i="5"/>
  <c r="Q19" i="15"/>
  <c r="Q16" i="15"/>
  <c r="X60" i="6"/>
  <c r="P162" i="5"/>
  <c r="Q7" i="15"/>
  <c r="R83" i="11"/>
  <c r="Q4" i="15" s="1"/>
  <c r="P62" i="11"/>
  <c r="AG62" i="11"/>
  <c r="AX62" i="11"/>
  <c r="AP42" i="5"/>
  <c r="AR41" i="5"/>
  <c r="N52" i="5"/>
  <c r="L6" i="18" s="1"/>
  <c r="Q61" i="14"/>
  <c r="D6" i="15"/>
  <c r="D42" i="15"/>
  <c r="D57" i="15" s="1"/>
  <c r="D63" i="15" s="1"/>
  <c r="BD76" i="11"/>
  <c r="E76" i="14" s="1"/>
  <c r="BE76" i="11"/>
  <c r="F76" i="14" s="1"/>
  <c r="Q41" i="18"/>
  <c r="Q47" i="18" s="1"/>
  <c r="AG89" i="11" l="1"/>
  <c r="AG86" i="11" s="1"/>
  <c r="P89" i="11"/>
  <c r="P86" i="11" s="1"/>
  <c r="O20" i="15"/>
  <c r="AG93" i="11"/>
  <c r="AG90" i="11" s="1"/>
  <c r="AX89" i="11"/>
  <c r="AX86" i="11" s="1"/>
  <c r="AX83" i="11" s="1"/>
  <c r="P93" i="11"/>
  <c r="P90" i="11" s="1"/>
  <c r="O8" i="15" s="1"/>
  <c r="C32" i="15"/>
  <c r="R83" i="14"/>
  <c r="Q40" i="15" s="1"/>
  <c r="Q55" i="15" s="1"/>
  <c r="Q61" i="15" s="1"/>
  <c r="Q12" i="19"/>
  <c r="Q3" i="19" s="1"/>
  <c r="N15" i="19"/>
  <c r="N17" i="19" s="1"/>
  <c r="N44" i="15"/>
  <c r="N59" i="15" s="1"/>
  <c r="N65" i="15" s="1"/>
  <c r="E42" i="14"/>
  <c r="E94" i="14" s="1"/>
  <c r="P69" i="14"/>
  <c r="P101" i="14" s="1"/>
  <c r="P100" i="14" s="1"/>
  <c r="P97" i="14" s="1"/>
  <c r="O32" i="15"/>
  <c r="G60" i="18"/>
  <c r="G61" i="18" s="1"/>
  <c r="J56" i="5"/>
  <c r="H10" i="18" s="1"/>
  <c r="H16" i="18" s="1"/>
  <c r="I46" i="5"/>
  <c r="AR43" i="5"/>
  <c r="N54" i="5"/>
  <c r="L8" i="18" s="1"/>
  <c r="P62" i="14"/>
  <c r="Q96" i="14"/>
  <c r="Q93" i="14" s="1"/>
  <c r="P43" i="15" s="1"/>
  <c r="P58" i="15" s="1"/>
  <c r="P64" i="15" s="1"/>
  <c r="M42" i="5"/>
  <c r="N53" i="5"/>
  <c r="L7" i="18" s="1"/>
  <c r="M55" i="5"/>
  <c r="K9" i="18" s="1"/>
  <c r="L45" i="5"/>
  <c r="G56" i="18"/>
  <c r="G55" i="18" s="1"/>
  <c r="J56" i="18" s="1"/>
  <c r="J55" i="18" s="1"/>
  <c r="M56" i="18" s="1"/>
  <c r="M55" i="18" s="1"/>
  <c r="P56" i="18" s="1"/>
  <c r="P55" i="18" s="1"/>
  <c r="S56" i="18" s="1"/>
  <c r="S55" i="18" s="1"/>
  <c r="V56" i="18" s="1"/>
  <c r="V55" i="18" s="1"/>
  <c r="Y56" i="18" s="1"/>
  <c r="Y55" i="18" s="1"/>
  <c r="AB56" i="18" s="1"/>
  <c r="AB55" i="18" s="1"/>
  <c r="I56" i="18"/>
  <c r="I55" i="18" s="1"/>
  <c r="L56" i="18" s="1"/>
  <c r="L55" i="18" s="1"/>
  <c r="O56" i="18" s="1"/>
  <c r="O55" i="18" s="1"/>
  <c r="R56" i="18" s="1"/>
  <c r="R55" i="18" s="1"/>
  <c r="U56" i="18" s="1"/>
  <c r="U55" i="18" s="1"/>
  <c r="X56" i="18" s="1"/>
  <c r="X55" i="18" s="1"/>
  <c r="AA56" i="18" s="1"/>
  <c r="AA55" i="18" s="1"/>
  <c r="H56" i="18"/>
  <c r="H55" i="18" s="1"/>
  <c r="K56" i="18" s="1"/>
  <c r="K55" i="18" s="1"/>
  <c r="N56" i="18" s="1"/>
  <c r="N55" i="18" s="1"/>
  <c r="Q56" i="18" s="1"/>
  <c r="Q55" i="18" s="1"/>
  <c r="T56" i="18" s="1"/>
  <c r="T55" i="18" s="1"/>
  <c r="W56" i="18" s="1"/>
  <c r="W55" i="18" s="1"/>
  <c r="Z56" i="18" s="1"/>
  <c r="Z55" i="18" s="1"/>
  <c r="D42" i="14"/>
  <c r="D94" i="14" s="1"/>
  <c r="Q69" i="11"/>
  <c r="Q93" i="11" s="1"/>
  <c r="Q90" i="11" s="1"/>
  <c r="AY69" i="11"/>
  <c r="AH69" i="11"/>
  <c r="O61" i="11"/>
  <c r="AF61" i="11"/>
  <c r="AW61" i="11"/>
  <c r="AW62" i="11"/>
  <c r="O62" i="11"/>
  <c r="AF62" i="11"/>
  <c r="P31" i="15"/>
  <c r="AO42" i="5"/>
  <c r="P19" i="15"/>
  <c r="P7" i="15"/>
  <c r="M52" i="5"/>
  <c r="K6" i="18" s="1"/>
  <c r="AQ41" i="5"/>
  <c r="W60" i="6"/>
  <c r="O162" i="5"/>
  <c r="W61" i="6"/>
  <c r="O163" i="5"/>
  <c r="U100" i="14"/>
  <c r="U103" i="14"/>
  <c r="U97" i="14"/>
  <c r="U99" i="14"/>
  <c r="S40" i="15"/>
  <c r="S55" i="15" s="1"/>
  <c r="S61" i="15" s="1"/>
  <c r="U84" i="14"/>
  <c r="U98" i="14"/>
  <c r="U85" i="14"/>
  <c r="P61" i="14"/>
  <c r="BF76" i="11"/>
  <c r="G76" i="14" s="1"/>
  <c r="R41" i="18"/>
  <c r="R47" i="18" s="1"/>
  <c r="AW89" i="11" l="1"/>
  <c r="AW86" i="11" s="1"/>
  <c r="AW83" i="11" s="1"/>
  <c r="AY93" i="11"/>
  <c r="AY90" i="11" s="1"/>
  <c r="AY83" i="11" s="1"/>
  <c r="P28" i="15" s="1"/>
  <c r="AF89" i="11"/>
  <c r="AF86" i="11" s="1"/>
  <c r="AF83" i="11" s="1"/>
  <c r="AH93" i="11"/>
  <c r="AH90" i="11" s="1"/>
  <c r="AH83" i="11" s="1"/>
  <c r="P16" i="15" s="1"/>
  <c r="P96" i="14"/>
  <c r="P93" i="14" s="1"/>
  <c r="O43" i="15" s="1"/>
  <c r="O58" i="15" s="1"/>
  <c r="O64" i="15" s="1"/>
  <c r="O89" i="11"/>
  <c r="O86" i="11" s="1"/>
  <c r="AG83" i="11"/>
  <c r="P12" i="19"/>
  <c r="P14" i="19" s="1"/>
  <c r="H60" i="18"/>
  <c r="H61" i="18" s="1"/>
  <c r="AC56" i="18"/>
  <c r="AC55" i="18" s="1"/>
  <c r="L55" i="5"/>
  <c r="J9" i="18" s="1"/>
  <c r="K45" i="5"/>
  <c r="I56" i="5"/>
  <c r="G10" i="18" s="1"/>
  <c r="G16" i="18" s="1"/>
  <c r="H46" i="5"/>
  <c r="O15" i="19"/>
  <c r="O17" i="19" s="1"/>
  <c r="O44" i="15"/>
  <c r="O59" i="15" s="1"/>
  <c r="O65" i="15" s="1"/>
  <c r="L42" i="5"/>
  <c r="M53" i="5"/>
  <c r="K7" i="18" s="1"/>
  <c r="AQ43" i="5"/>
  <c r="M54" i="5"/>
  <c r="K8" i="18" s="1"/>
  <c r="Q69" i="14"/>
  <c r="Q101" i="14" s="1"/>
  <c r="Q100" i="14" s="1"/>
  <c r="Q97" i="14" s="1"/>
  <c r="AD56" i="18"/>
  <c r="AD55" i="18" s="1"/>
  <c r="O7" i="15"/>
  <c r="P83" i="11"/>
  <c r="O4" i="15" s="1"/>
  <c r="AV62" i="11"/>
  <c r="N62" i="11"/>
  <c r="AE62" i="11"/>
  <c r="V60" i="6"/>
  <c r="N162" i="5"/>
  <c r="O31" i="15"/>
  <c r="O28" i="15"/>
  <c r="P83" i="14"/>
  <c r="O40" i="15" s="1"/>
  <c r="O55" i="15" s="1"/>
  <c r="O61" i="15" s="1"/>
  <c r="N61" i="11"/>
  <c r="N89" i="11" s="1"/>
  <c r="N86" i="11" s="1"/>
  <c r="AE61" i="11"/>
  <c r="AV61" i="11"/>
  <c r="AV89" i="11" s="1"/>
  <c r="AV86" i="11" s="1"/>
  <c r="AV83" i="11" s="1"/>
  <c r="V61" i="6"/>
  <c r="N163" i="5"/>
  <c r="AP41" i="5"/>
  <c r="L52" i="5"/>
  <c r="J6" i="18" s="1"/>
  <c r="O19" i="15"/>
  <c r="O16" i="15"/>
  <c r="AN42" i="5"/>
  <c r="O62" i="14"/>
  <c r="O61" i="14"/>
  <c r="BG76" i="11"/>
  <c r="H76" i="14" s="1"/>
  <c r="S41" i="18"/>
  <c r="S47" i="18" s="1"/>
  <c r="O12" i="19" l="1"/>
  <c r="P32" i="15"/>
  <c r="AE89" i="11"/>
  <c r="AE86" i="11" s="1"/>
  <c r="AE83" i="11" s="1"/>
  <c r="P20" i="15"/>
  <c r="AP43" i="5"/>
  <c r="L54" i="5"/>
  <c r="J8" i="18" s="1"/>
  <c r="K55" i="5"/>
  <c r="I9" i="18" s="1"/>
  <c r="J45" i="5"/>
  <c r="N62" i="14"/>
  <c r="K42" i="5"/>
  <c r="L53" i="5"/>
  <c r="J7" i="18" s="1"/>
  <c r="I60" i="18"/>
  <c r="I61" i="18" s="1"/>
  <c r="P8" i="15"/>
  <c r="Q83" i="11"/>
  <c r="P4" i="15" s="1"/>
  <c r="P44" i="15"/>
  <c r="P59" i="15" s="1"/>
  <c r="P65" i="15" s="1"/>
  <c r="P15" i="19"/>
  <c r="Q83" i="14"/>
  <c r="P40" i="15" s="1"/>
  <c r="P55" i="15" s="1"/>
  <c r="P61" i="15" s="1"/>
  <c r="H56" i="5"/>
  <c r="F10" i="18" s="1"/>
  <c r="F16" i="18" s="1"/>
  <c r="G46" i="5"/>
  <c r="AD62" i="11"/>
  <c r="M62" i="11"/>
  <c r="AU62" i="11"/>
  <c r="M61" i="11"/>
  <c r="M89" i="11" s="1"/>
  <c r="M86" i="11" s="1"/>
  <c r="AD61" i="11"/>
  <c r="AD89" i="11" s="1"/>
  <c r="AD86" i="11" s="1"/>
  <c r="AD83" i="11" s="1"/>
  <c r="AU61" i="11"/>
  <c r="AU89" i="11" s="1"/>
  <c r="AU86" i="11" s="1"/>
  <c r="AU83" i="11" s="1"/>
  <c r="N19" i="15"/>
  <c r="N16" i="15"/>
  <c r="O3" i="19"/>
  <c r="O5" i="19" s="1"/>
  <c r="O14" i="19"/>
  <c r="N7" i="15"/>
  <c r="O83" i="11"/>
  <c r="N4" i="15" s="1"/>
  <c r="O96" i="14"/>
  <c r="O93" i="14" s="1"/>
  <c r="AM42" i="5"/>
  <c r="K52" i="5"/>
  <c r="I6" i="18" s="1"/>
  <c r="AO41" i="5"/>
  <c r="U61" i="6"/>
  <c r="M163" i="5"/>
  <c r="N61" i="14"/>
  <c r="N96" i="14" s="1"/>
  <c r="N93" i="14" s="1"/>
  <c r="N31" i="15"/>
  <c r="N28" i="15"/>
  <c r="U60" i="6"/>
  <c r="M162" i="5"/>
  <c r="BH76" i="11"/>
  <c r="I76" i="14" s="1"/>
  <c r="T41" i="18"/>
  <c r="T47" i="18" s="1"/>
  <c r="J42" i="5" l="1"/>
  <c r="K53" i="5"/>
  <c r="I7" i="18" s="1"/>
  <c r="G56" i="5"/>
  <c r="E10" i="18" s="1"/>
  <c r="E16" i="18" s="1"/>
  <c r="F46" i="5"/>
  <c r="F56" i="5" s="1"/>
  <c r="D10" i="18" s="1"/>
  <c r="P17" i="19"/>
  <c r="P3" i="19"/>
  <c r="P5" i="19" s="1"/>
  <c r="J60" i="18"/>
  <c r="J61" i="18" s="1"/>
  <c r="AO43" i="5"/>
  <c r="K54" i="5"/>
  <c r="I8" i="18" s="1"/>
  <c r="J55" i="5"/>
  <c r="H9" i="18" s="1"/>
  <c r="I45" i="5"/>
  <c r="T60" i="6"/>
  <c r="L162" i="5"/>
  <c r="M7" i="15"/>
  <c r="N83" i="11"/>
  <c r="M4" i="15" s="1"/>
  <c r="L62" i="11"/>
  <c r="AT62" i="11"/>
  <c r="AC62" i="11"/>
  <c r="M61" i="14"/>
  <c r="AC61" i="11"/>
  <c r="AC89" i="11" s="1"/>
  <c r="AC86" i="11" s="1"/>
  <c r="AC83" i="11" s="1"/>
  <c r="L61" i="11"/>
  <c r="AT61" i="11"/>
  <c r="AT89" i="11" s="1"/>
  <c r="AT86" i="11" s="1"/>
  <c r="AT83" i="11" s="1"/>
  <c r="AN41" i="5"/>
  <c r="J52" i="5"/>
  <c r="H6" i="18" s="1"/>
  <c r="N43" i="15"/>
  <c r="N58" i="15" s="1"/>
  <c r="N64" i="15" s="1"/>
  <c r="N12" i="19"/>
  <c r="O83" i="14"/>
  <c r="N40" i="15" s="1"/>
  <c r="N55" i="15" s="1"/>
  <c r="N61" i="15" s="1"/>
  <c r="M43" i="15"/>
  <c r="M58" i="15" s="1"/>
  <c r="M64" i="15" s="1"/>
  <c r="M12" i="19"/>
  <c r="N83" i="14"/>
  <c r="M40" i="15" s="1"/>
  <c r="M55" i="15" s="1"/>
  <c r="M61" i="15" s="1"/>
  <c r="M31" i="15"/>
  <c r="M28" i="15"/>
  <c r="M62" i="14"/>
  <c r="T61" i="6"/>
  <c r="L163" i="5"/>
  <c r="M19" i="15"/>
  <c r="M16" i="15"/>
  <c r="AL42" i="5"/>
  <c r="BI76" i="11"/>
  <c r="J76" i="14" s="1"/>
  <c r="U41" i="18"/>
  <c r="U47" i="18" s="1"/>
  <c r="L89" i="11" l="1"/>
  <c r="L86" i="11" s="1"/>
  <c r="K60" i="18"/>
  <c r="K61" i="18" s="1"/>
  <c r="L60" i="18" s="1"/>
  <c r="L61" i="18" s="1"/>
  <c r="M60" i="18" s="1"/>
  <c r="M61" i="18" s="1"/>
  <c r="D46" i="18"/>
  <c r="D52" i="18" s="1"/>
  <c r="D16" i="18"/>
  <c r="AD22" i="18" s="1"/>
  <c r="AD16" i="18" s="1"/>
  <c r="J54" i="5"/>
  <c r="H8" i="18" s="1"/>
  <c r="AN43" i="5"/>
  <c r="H45" i="5"/>
  <c r="I55" i="5"/>
  <c r="G9" i="18" s="1"/>
  <c r="I42" i="5"/>
  <c r="J53" i="5"/>
  <c r="H7" i="18" s="1"/>
  <c r="L19" i="15"/>
  <c r="L16" i="15"/>
  <c r="M14" i="19"/>
  <c r="M3" i="19"/>
  <c r="M5" i="19" s="1"/>
  <c r="L61" i="14"/>
  <c r="L31" i="15"/>
  <c r="L28" i="15"/>
  <c r="S61" i="6"/>
  <c r="K163" i="5"/>
  <c r="I52" i="5"/>
  <c r="G6" i="18" s="1"/>
  <c r="AM41" i="5"/>
  <c r="L7" i="15"/>
  <c r="M83" i="11"/>
  <c r="L4" i="15" s="1"/>
  <c r="S60" i="6"/>
  <c r="K162" i="5"/>
  <c r="AK42" i="5"/>
  <c r="K62" i="11"/>
  <c r="AB62" i="11"/>
  <c r="AS62" i="11"/>
  <c r="N3" i="19"/>
  <c r="N5" i="19" s="1"/>
  <c r="N14" i="19"/>
  <c r="M96" i="14"/>
  <c r="M93" i="14" s="1"/>
  <c r="L62" i="14"/>
  <c r="AB61" i="11"/>
  <c r="AS61" i="11"/>
  <c r="AS89" i="11" s="1"/>
  <c r="AS86" i="11" s="1"/>
  <c r="AS83" i="11" s="1"/>
  <c r="K61" i="11"/>
  <c r="K89" i="11" s="1"/>
  <c r="K86" i="11" s="1"/>
  <c r="BJ76" i="11"/>
  <c r="K76" i="14" s="1"/>
  <c r="V41" i="18"/>
  <c r="V47" i="18" s="1"/>
  <c r="AB89" i="11" l="1"/>
  <c r="AB86" i="11" s="1"/>
  <c r="AB83" i="11" s="1"/>
  <c r="N60" i="18"/>
  <c r="N61" i="18" s="1"/>
  <c r="BC82" i="11" s="1"/>
  <c r="D82" i="14" s="1"/>
  <c r="D113" i="14" s="1"/>
  <c r="H55" i="5"/>
  <c r="F9" i="18" s="1"/>
  <c r="F15" i="18" s="1"/>
  <c r="G45" i="5"/>
  <c r="H42" i="5"/>
  <c r="I53" i="5"/>
  <c r="G7" i="18" s="1"/>
  <c r="I54" i="5"/>
  <c r="G8" i="18" s="1"/>
  <c r="AM43" i="5"/>
  <c r="E46" i="18"/>
  <c r="E52" i="18" s="1"/>
  <c r="K31" i="15"/>
  <c r="K28" i="15"/>
  <c r="R61" i="6"/>
  <c r="J163" i="5"/>
  <c r="R60" i="6"/>
  <c r="J162" i="5"/>
  <c r="AL41" i="5"/>
  <c r="H52" i="5"/>
  <c r="F6" i="18" s="1"/>
  <c r="F12" i="18" s="1"/>
  <c r="AR62" i="11"/>
  <c r="AA62" i="11"/>
  <c r="J62" i="11"/>
  <c r="K7" i="15"/>
  <c r="L83" i="11"/>
  <c r="K4" i="15" s="1"/>
  <c r="K62" i="14"/>
  <c r="J61" i="11"/>
  <c r="J89" i="11" s="1"/>
  <c r="J86" i="11" s="1"/>
  <c r="AR61" i="11"/>
  <c r="AA61" i="11"/>
  <c r="K61" i="14"/>
  <c r="L43" i="15"/>
  <c r="L58" i="15" s="1"/>
  <c r="L64" i="15" s="1"/>
  <c r="L12" i="19"/>
  <c r="M83" i="14"/>
  <c r="L40" i="15" s="1"/>
  <c r="L55" i="15" s="1"/>
  <c r="L61" i="15" s="1"/>
  <c r="K19" i="15"/>
  <c r="K16" i="15"/>
  <c r="L96" i="14"/>
  <c r="L93" i="14" s="1"/>
  <c r="BK76" i="11"/>
  <c r="L76" i="14" s="1"/>
  <c r="W41" i="18"/>
  <c r="W47" i="18" s="1"/>
  <c r="AA89" i="11" l="1"/>
  <c r="AA86" i="11" s="1"/>
  <c r="AA83" i="11" s="1"/>
  <c r="AR89" i="11"/>
  <c r="AR86" i="11" s="1"/>
  <c r="AR83" i="11" s="1"/>
  <c r="O60" i="18"/>
  <c r="O61" i="18" s="1"/>
  <c r="P60" i="18" s="1"/>
  <c r="P61" i="18" s="1"/>
  <c r="BE82" i="11" s="1"/>
  <c r="F82" i="14" s="1"/>
  <c r="F113" i="14" s="1"/>
  <c r="G42" i="5"/>
  <c r="H53" i="5"/>
  <c r="F7" i="18" s="1"/>
  <c r="F13" i="18" s="1"/>
  <c r="F46" i="18"/>
  <c r="F52" i="18" s="1"/>
  <c r="G46" i="18" s="1"/>
  <c r="G52" i="18" s="1"/>
  <c r="H46" i="18" s="1"/>
  <c r="H52" i="18" s="1"/>
  <c r="G55" i="5"/>
  <c r="E9" i="18" s="1"/>
  <c r="E15" i="18" s="1"/>
  <c r="F45" i="5"/>
  <c r="F55" i="5" s="1"/>
  <c r="D9" i="18" s="1"/>
  <c r="K96" i="14"/>
  <c r="K93" i="14" s="1"/>
  <c r="J12" i="19" s="1"/>
  <c r="AL43" i="5"/>
  <c r="H54" i="5"/>
  <c r="F8" i="18" s="1"/>
  <c r="F14" i="18" s="1"/>
  <c r="J62" i="14"/>
  <c r="G52" i="5"/>
  <c r="E6" i="18" s="1"/>
  <c r="E12" i="18" s="1"/>
  <c r="AK41" i="5"/>
  <c r="F52" i="5" s="1"/>
  <c r="D6" i="18" s="1"/>
  <c r="J7" i="15"/>
  <c r="K83" i="11"/>
  <c r="J4" i="15" s="1"/>
  <c r="Q60" i="6"/>
  <c r="I162" i="5"/>
  <c r="Q61" i="6"/>
  <c r="I163" i="5"/>
  <c r="Z61" i="11"/>
  <c r="AQ61" i="11"/>
  <c r="I61" i="11"/>
  <c r="I62" i="11"/>
  <c r="Z62" i="11"/>
  <c r="AQ62" i="11"/>
  <c r="J31" i="15"/>
  <c r="J28" i="15"/>
  <c r="K12" i="19"/>
  <c r="K43" i="15"/>
  <c r="K58" i="15" s="1"/>
  <c r="K64" i="15" s="1"/>
  <c r="L83" i="14"/>
  <c r="K40" i="15" s="1"/>
  <c r="K55" i="15" s="1"/>
  <c r="K61" i="15" s="1"/>
  <c r="L3" i="19"/>
  <c r="L5" i="19" s="1"/>
  <c r="L14" i="19"/>
  <c r="J43" i="15"/>
  <c r="J58" i="15" s="1"/>
  <c r="J64" i="15" s="1"/>
  <c r="J61" i="14"/>
  <c r="J19" i="15"/>
  <c r="J16" i="15"/>
  <c r="BL76" i="11"/>
  <c r="M76" i="14" s="1"/>
  <c r="X41" i="18"/>
  <c r="X47" i="18" s="1"/>
  <c r="I89" i="11" l="1"/>
  <c r="I86" i="11" s="1"/>
  <c r="AQ89" i="11"/>
  <c r="AQ86" i="11" s="1"/>
  <c r="AQ83" i="11" s="1"/>
  <c r="Z89" i="11"/>
  <c r="Z86" i="11" s="1"/>
  <c r="Z83" i="11" s="1"/>
  <c r="K83" i="14"/>
  <c r="J40" i="15" s="1"/>
  <c r="J55" i="15" s="1"/>
  <c r="J61" i="15" s="1"/>
  <c r="Q60" i="18"/>
  <c r="Q61" i="18" s="1"/>
  <c r="R60" i="18" s="1"/>
  <c r="R61" i="18" s="1"/>
  <c r="BG82" i="11" s="1"/>
  <c r="H82" i="14" s="1"/>
  <c r="H113" i="14" s="1"/>
  <c r="BD82" i="11"/>
  <c r="E82" i="14" s="1"/>
  <c r="E113" i="14" s="1"/>
  <c r="I46" i="18"/>
  <c r="I52" i="18" s="1"/>
  <c r="J46" i="18" s="1"/>
  <c r="J52" i="18" s="1"/>
  <c r="J96" i="14"/>
  <c r="J93" i="14" s="1"/>
  <c r="I12" i="19" s="1"/>
  <c r="D45" i="18"/>
  <c r="D51" i="18" s="1"/>
  <c r="D15" i="18"/>
  <c r="E45" i="18"/>
  <c r="E51" i="18" s="1"/>
  <c r="F45" i="18" s="1"/>
  <c r="F51" i="18" s="1"/>
  <c r="G45" i="18" s="1"/>
  <c r="G51" i="18" s="1"/>
  <c r="G54" i="5"/>
  <c r="E8" i="18" s="1"/>
  <c r="E14" i="18" s="1"/>
  <c r="AK43" i="5"/>
  <c r="F54" i="5" s="1"/>
  <c r="D8" i="18" s="1"/>
  <c r="F42" i="5"/>
  <c r="F53" i="5" s="1"/>
  <c r="D7" i="18" s="1"/>
  <c r="G53" i="5"/>
  <c r="E7" i="18" s="1"/>
  <c r="E13" i="18" s="1"/>
  <c r="I7" i="15"/>
  <c r="J83" i="11"/>
  <c r="I4" i="15" s="1"/>
  <c r="P61" i="6"/>
  <c r="H163" i="5"/>
  <c r="I19" i="15"/>
  <c r="I16" i="15"/>
  <c r="D12" i="18"/>
  <c r="D42" i="18"/>
  <c r="D48" i="18" s="1"/>
  <c r="K3" i="19"/>
  <c r="K5" i="19" s="1"/>
  <c r="K14" i="19"/>
  <c r="H62" i="11"/>
  <c r="Y62" i="11"/>
  <c r="AP62" i="11"/>
  <c r="H18" i="18"/>
  <c r="H12" i="18" s="1"/>
  <c r="I62" i="14"/>
  <c r="I31" i="15"/>
  <c r="I28" i="15"/>
  <c r="P60" i="6"/>
  <c r="H162" i="5"/>
  <c r="J14" i="19"/>
  <c r="J3" i="19"/>
  <c r="J5" i="19" s="1"/>
  <c r="I61" i="14"/>
  <c r="Y61" i="11"/>
  <c r="AP61" i="11"/>
  <c r="H61" i="11"/>
  <c r="H89" i="11" s="1"/>
  <c r="H86" i="11" s="1"/>
  <c r="BM76" i="11"/>
  <c r="N76" i="14" s="1"/>
  <c r="Y41" i="18"/>
  <c r="Y47" i="18" s="1"/>
  <c r="AP89" i="11" l="1"/>
  <c r="AP86" i="11" s="1"/>
  <c r="AP83" i="11" s="1"/>
  <c r="Y89" i="11"/>
  <c r="Y86" i="11" s="1"/>
  <c r="Y83" i="11" s="1"/>
  <c r="I43" i="15"/>
  <c r="I58" i="15" s="1"/>
  <c r="I64" i="15" s="1"/>
  <c r="S60" i="18"/>
  <c r="S61" i="18" s="1"/>
  <c r="BH82" i="11" s="1"/>
  <c r="I82" i="14" s="1"/>
  <c r="I113" i="14" s="1"/>
  <c r="BF82" i="11"/>
  <c r="G82" i="14" s="1"/>
  <c r="G113" i="14" s="1"/>
  <c r="J83" i="14"/>
  <c r="I40" i="15" s="1"/>
  <c r="I55" i="15" s="1"/>
  <c r="I61" i="15" s="1"/>
  <c r="K46" i="18"/>
  <c r="K52" i="18" s="1"/>
  <c r="L46" i="18" s="1"/>
  <c r="L52" i="18" s="1"/>
  <c r="D44" i="18"/>
  <c r="D50" i="18" s="1"/>
  <c r="E44" i="18" s="1"/>
  <c r="E50" i="18" s="1"/>
  <c r="D14" i="18"/>
  <c r="D13" i="18"/>
  <c r="D43" i="18"/>
  <c r="D49" i="18" s="1"/>
  <c r="E43" i="18" s="1"/>
  <c r="E49" i="18" s="1"/>
  <c r="F43" i="18" s="1"/>
  <c r="F49" i="18" s="1"/>
  <c r="G43" i="18" s="1"/>
  <c r="G49" i="18" s="1"/>
  <c r="H43" i="18" s="1"/>
  <c r="H49" i="18" s="1"/>
  <c r="G21" i="18"/>
  <c r="G15" i="18" s="1"/>
  <c r="J21" i="18" s="1"/>
  <c r="J15" i="18" s="1"/>
  <c r="I21" i="18"/>
  <c r="I15" i="18" s="1"/>
  <c r="H19" i="18"/>
  <c r="H13" i="18" s="1"/>
  <c r="H21" i="18"/>
  <c r="H15" i="18" s="1"/>
  <c r="H45" i="18"/>
  <c r="H51" i="18" s="1"/>
  <c r="H62" i="14"/>
  <c r="I96" i="14"/>
  <c r="I93" i="14" s="1"/>
  <c r="H31" i="15"/>
  <c r="H28" i="15"/>
  <c r="I14" i="19"/>
  <c r="I3" i="19"/>
  <c r="I5" i="19" s="1"/>
  <c r="E42" i="18"/>
  <c r="E48" i="18" s="1"/>
  <c r="O61" i="6"/>
  <c r="G163" i="5"/>
  <c r="H7" i="15"/>
  <c r="I83" i="11"/>
  <c r="H4" i="15" s="1"/>
  <c r="O60" i="6"/>
  <c r="G162" i="5"/>
  <c r="H61" i="14"/>
  <c r="G61" i="11"/>
  <c r="X61" i="11"/>
  <c r="X89" i="11" s="1"/>
  <c r="X86" i="11" s="1"/>
  <c r="X83" i="11" s="1"/>
  <c r="AO61" i="11"/>
  <c r="H19" i="15"/>
  <c r="H16" i="15"/>
  <c r="G18" i="18"/>
  <c r="G12" i="18" s="1"/>
  <c r="I18" i="18"/>
  <c r="I12" i="18" s="1"/>
  <c r="X62" i="11"/>
  <c r="G62" i="11"/>
  <c r="AO62" i="11"/>
  <c r="BN76" i="11"/>
  <c r="O76" i="14" s="1"/>
  <c r="Z41" i="18"/>
  <c r="Z47" i="18" s="1"/>
  <c r="G89" i="11" l="1"/>
  <c r="G86" i="11" s="1"/>
  <c r="AO89" i="11"/>
  <c r="AO86" i="11" s="1"/>
  <c r="AO83" i="11" s="1"/>
  <c r="T60" i="18"/>
  <c r="T61" i="18" s="1"/>
  <c r="BI82" i="11" s="1"/>
  <c r="J82" i="14" s="1"/>
  <c r="J113" i="14" s="1"/>
  <c r="M21" i="18"/>
  <c r="M15" i="18" s="1"/>
  <c r="M46" i="18"/>
  <c r="M52" i="18" s="1"/>
  <c r="N46" i="18" s="1"/>
  <c r="N52" i="18" s="1"/>
  <c r="I45" i="18"/>
  <c r="I51" i="18" s="1"/>
  <c r="I43" i="18"/>
  <c r="I49" i="18" s="1"/>
  <c r="J43" i="18" s="1"/>
  <c r="J49" i="18" s="1"/>
  <c r="K21" i="18"/>
  <c r="K15" i="18" s="1"/>
  <c r="N21" i="18" s="1"/>
  <c r="N15" i="18" s="1"/>
  <c r="L21" i="18"/>
  <c r="L15" i="18" s="1"/>
  <c r="G19" i="18"/>
  <c r="G13" i="18" s="1"/>
  <c r="J19" i="18" s="1"/>
  <c r="J13" i="18" s="1"/>
  <c r="I19" i="18"/>
  <c r="I13" i="18" s="1"/>
  <c r="G20" i="18"/>
  <c r="G14" i="18" s="1"/>
  <c r="J20" i="18" s="1"/>
  <c r="J14" i="18" s="1"/>
  <c r="I20" i="18"/>
  <c r="I14" i="18" s="1"/>
  <c r="H96" i="14"/>
  <c r="H93" i="14" s="1"/>
  <c r="G43" i="15" s="1"/>
  <c r="G58" i="15" s="1"/>
  <c r="G64" i="15" s="1"/>
  <c r="H20" i="18"/>
  <c r="H14" i="18" s="1"/>
  <c r="F44" i="18"/>
  <c r="F50" i="18" s="1"/>
  <c r="G44" i="18" s="1"/>
  <c r="G50" i="18" s="1"/>
  <c r="H44" i="18" s="1"/>
  <c r="H50" i="18" s="1"/>
  <c r="G62" i="14"/>
  <c r="J18" i="18"/>
  <c r="J12" i="18" s="1"/>
  <c r="M18" i="18" s="1"/>
  <c r="M12" i="18" s="1"/>
  <c r="G61" i="14"/>
  <c r="G19" i="15"/>
  <c r="G16" i="15"/>
  <c r="H43" i="15"/>
  <c r="H58" i="15" s="1"/>
  <c r="H64" i="15" s="1"/>
  <c r="H12" i="19"/>
  <c r="I83" i="14"/>
  <c r="H40" i="15" s="1"/>
  <c r="H55" i="15" s="1"/>
  <c r="H61" i="15" s="1"/>
  <c r="G7" i="15"/>
  <c r="H83" i="11"/>
  <c r="G4" i="15" s="1"/>
  <c r="N60" i="6"/>
  <c r="F162" i="5"/>
  <c r="M60" i="6" s="1"/>
  <c r="N61" i="6"/>
  <c r="F163" i="5"/>
  <c r="M61" i="6" s="1"/>
  <c r="G31" i="15"/>
  <c r="G28" i="15"/>
  <c r="F61" i="11"/>
  <c r="W61" i="11"/>
  <c r="AN61" i="11"/>
  <c r="AN89" i="11" s="1"/>
  <c r="AN86" i="11" s="1"/>
  <c r="AN83" i="11" s="1"/>
  <c r="F62" i="11"/>
  <c r="AN62" i="11"/>
  <c r="W62" i="11"/>
  <c r="F42" i="18"/>
  <c r="F48" i="18" s="1"/>
  <c r="L18" i="18"/>
  <c r="L12" i="18" s="1"/>
  <c r="K18" i="18"/>
  <c r="K12" i="18" s="1"/>
  <c r="BO76" i="11"/>
  <c r="P76" i="14" s="1"/>
  <c r="AA41" i="18"/>
  <c r="AA47" i="18" s="1"/>
  <c r="W89" i="11" l="1"/>
  <c r="W86" i="11" s="1"/>
  <c r="W83" i="11" s="1"/>
  <c r="F89" i="11"/>
  <c r="F86" i="11" s="1"/>
  <c r="U60" i="18"/>
  <c r="U61" i="18" s="1"/>
  <c r="G12" i="19"/>
  <c r="G14" i="19" s="1"/>
  <c r="K19" i="18"/>
  <c r="K13" i="18" s="1"/>
  <c r="N19" i="18" s="1"/>
  <c r="N13" i="18" s="1"/>
  <c r="K20" i="18"/>
  <c r="K14" i="18" s="1"/>
  <c r="N20" i="18" s="1"/>
  <c r="N14" i="18" s="1"/>
  <c r="O21" i="18"/>
  <c r="O15" i="18" s="1"/>
  <c r="R21" i="18" s="1"/>
  <c r="R15" i="18" s="1"/>
  <c r="BC81" i="11"/>
  <c r="D81" i="14" s="1"/>
  <c r="O46" i="18"/>
  <c r="O52" i="18" s="1"/>
  <c r="BD81" i="11" s="1"/>
  <c r="E81" i="14" s="1"/>
  <c r="L19" i="18"/>
  <c r="L13" i="18" s="1"/>
  <c r="H83" i="14"/>
  <c r="G40" i="15" s="1"/>
  <c r="G55" i="15" s="1"/>
  <c r="G61" i="15" s="1"/>
  <c r="L20" i="18"/>
  <c r="L14" i="18" s="1"/>
  <c r="Q21" i="18"/>
  <c r="Q15" i="18" s="1"/>
  <c r="P21" i="18"/>
  <c r="P15" i="18" s="1"/>
  <c r="K43" i="18"/>
  <c r="K49" i="18" s="1"/>
  <c r="L43" i="18" s="1"/>
  <c r="L49" i="18" s="1"/>
  <c r="G96" i="14"/>
  <c r="G93" i="14" s="1"/>
  <c r="G83" i="14" s="1"/>
  <c r="F40" i="15" s="1"/>
  <c r="F55" i="15" s="1"/>
  <c r="F61" i="15" s="1"/>
  <c r="J45" i="18"/>
  <c r="J51" i="18" s="1"/>
  <c r="M20" i="18"/>
  <c r="M14" i="18" s="1"/>
  <c r="M19" i="18"/>
  <c r="M13" i="18" s="1"/>
  <c r="I44" i="18"/>
  <c r="I50" i="18" s="1"/>
  <c r="J44" i="18" s="1"/>
  <c r="J50" i="18" s="1"/>
  <c r="F62" i="14"/>
  <c r="N18" i="18"/>
  <c r="N12" i="18" s="1"/>
  <c r="Q18" i="18" s="1"/>
  <c r="Q12" i="18" s="1"/>
  <c r="E62" i="11"/>
  <c r="AM62" i="11"/>
  <c r="V62" i="11"/>
  <c r="F7" i="15"/>
  <c r="G83" i="11"/>
  <c r="F4" i="15" s="1"/>
  <c r="O18" i="18"/>
  <c r="O12" i="18" s="1"/>
  <c r="F61" i="14"/>
  <c r="D61" i="11"/>
  <c r="AL61" i="11"/>
  <c r="U61" i="11"/>
  <c r="H14" i="19"/>
  <c r="H3" i="19"/>
  <c r="H5" i="19" s="1"/>
  <c r="P18" i="18"/>
  <c r="P12" i="18" s="1"/>
  <c r="G3" i="19"/>
  <c r="G5" i="19" s="1"/>
  <c r="F31" i="15"/>
  <c r="F28" i="15"/>
  <c r="E61" i="11"/>
  <c r="E89" i="11" s="1"/>
  <c r="E86" i="11" s="1"/>
  <c r="V61" i="11"/>
  <c r="V89" i="11" s="1"/>
  <c r="V86" i="11" s="1"/>
  <c r="V83" i="11" s="1"/>
  <c r="AM61" i="11"/>
  <c r="F19" i="15"/>
  <c r="F16" i="15"/>
  <c r="U62" i="11"/>
  <c r="AL62" i="11"/>
  <c r="D62" i="11"/>
  <c r="G42" i="18"/>
  <c r="G48" i="18" s="1"/>
  <c r="BP76" i="11"/>
  <c r="Q76" i="14" s="1"/>
  <c r="AB41" i="18"/>
  <c r="AB47" i="18" s="1"/>
  <c r="D89" i="11" l="1"/>
  <c r="D86" i="11" s="1"/>
  <c r="AM89" i="11"/>
  <c r="AM86" i="11" s="1"/>
  <c r="AM83" i="11" s="1"/>
  <c r="O20" i="18"/>
  <c r="O14" i="18" s="1"/>
  <c r="V60" i="18"/>
  <c r="V61" i="18" s="1"/>
  <c r="BJ82" i="11"/>
  <c r="K82" i="14" s="1"/>
  <c r="K113" i="14" s="1"/>
  <c r="F43" i="15"/>
  <c r="F58" i="15" s="1"/>
  <c r="F64" i="15" s="1"/>
  <c r="P19" i="18"/>
  <c r="P13" i="18" s="1"/>
  <c r="O19" i="18"/>
  <c r="O13" i="18" s="1"/>
  <c r="R19" i="18" s="1"/>
  <c r="R13" i="18" s="1"/>
  <c r="P46" i="18"/>
  <c r="P52" i="18" s="1"/>
  <c r="Q46" i="18" s="1"/>
  <c r="Q52" i="18" s="1"/>
  <c r="S21" i="18"/>
  <c r="S15" i="18" s="1"/>
  <c r="V21" i="18" s="1"/>
  <c r="V15" i="18" s="1"/>
  <c r="F12" i="19"/>
  <c r="F14" i="19" s="1"/>
  <c r="M43" i="18"/>
  <c r="M49" i="18" s="1"/>
  <c r="N43" i="18" s="1"/>
  <c r="N49" i="18" s="1"/>
  <c r="BC78" i="11" s="1"/>
  <c r="D78" i="14" s="1"/>
  <c r="K44" i="18"/>
  <c r="K50" i="18" s="1"/>
  <c r="L44" i="18" s="1"/>
  <c r="L50" i="18" s="1"/>
  <c r="M44" i="18" s="1"/>
  <c r="M50" i="18" s="1"/>
  <c r="N44" i="18" s="1"/>
  <c r="N50" i="18" s="1"/>
  <c r="BC79" i="11" s="1"/>
  <c r="D79" i="14" s="1"/>
  <c r="Q19" i="18"/>
  <c r="Q13" i="18" s="1"/>
  <c r="R20" i="18"/>
  <c r="R14" i="18" s="1"/>
  <c r="U21" i="18"/>
  <c r="U15" i="18" s="1"/>
  <c r="K45" i="18"/>
  <c r="K51" i="18" s="1"/>
  <c r="L45" i="18" s="1"/>
  <c r="L51" i="18" s="1"/>
  <c r="Q20" i="18"/>
  <c r="Q14" i="18" s="1"/>
  <c r="F96" i="14"/>
  <c r="F93" i="14" s="1"/>
  <c r="E12" i="19" s="1"/>
  <c r="P20" i="18"/>
  <c r="P14" i="18" s="1"/>
  <c r="S20" i="18" s="1"/>
  <c r="S14" i="18" s="1"/>
  <c r="T21" i="18"/>
  <c r="T15" i="18" s="1"/>
  <c r="D62" i="14"/>
  <c r="T18" i="18"/>
  <c r="T12" i="18" s="1"/>
  <c r="R18" i="18"/>
  <c r="R12" i="18" s="1"/>
  <c r="U18" i="18" s="1"/>
  <c r="U12" i="18" s="1"/>
  <c r="S18" i="18"/>
  <c r="S12" i="18" s="1"/>
  <c r="AL89" i="11"/>
  <c r="AL86" i="11" s="1"/>
  <c r="C31" i="15" s="1"/>
  <c r="D61" i="14"/>
  <c r="C7" i="15"/>
  <c r="H42" i="18"/>
  <c r="H48" i="18" s="1"/>
  <c r="F3" i="19"/>
  <c r="F5" i="19" s="1"/>
  <c r="E7" i="15"/>
  <c r="F83" i="11"/>
  <c r="E4" i="15" s="1"/>
  <c r="E62" i="14"/>
  <c r="E31" i="15"/>
  <c r="E28" i="15"/>
  <c r="E61" i="14"/>
  <c r="U89" i="11"/>
  <c r="U86" i="11" s="1"/>
  <c r="C19" i="15" s="1"/>
  <c r="E19" i="15"/>
  <c r="E16" i="15"/>
  <c r="BQ76" i="11"/>
  <c r="R76" i="14" s="1"/>
  <c r="AC41" i="18"/>
  <c r="AC47" i="18" s="1"/>
  <c r="D96" i="14" l="1"/>
  <c r="W21" i="18"/>
  <c r="W15" i="18" s="1"/>
  <c r="Z21" i="18" s="1"/>
  <c r="Z15" i="18" s="1"/>
  <c r="W60" i="18"/>
  <c r="W61" i="18" s="1"/>
  <c r="X60" i="18" s="1"/>
  <c r="X61" i="18" s="1"/>
  <c r="BM82" i="11" s="1"/>
  <c r="N82" i="14" s="1"/>
  <c r="N113" i="14" s="1"/>
  <c r="BK82" i="11"/>
  <c r="L82" i="14" s="1"/>
  <c r="L113" i="14" s="1"/>
  <c r="S19" i="18"/>
  <c r="S13" i="18" s="1"/>
  <c r="V19" i="18" s="1"/>
  <c r="V13" i="18" s="1"/>
  <c r="BE81" i="11"/>
  <c r="F81" i="14" s="1"/>
  <c r="T19" i="18"/>
  <c r="T13" i="18" s="1"/>
  <c r="O44" i="18"/>
  <c r="O50" i="18" s="1"/>
  <c r="BD79" i="11" s="1"/>
  <c r="E79" i="14" s="1"/>
  <c r="O43" i="18"/>
  <c r="O49" i="18" s="1"/>
  <c r="P43" i="18" s="1"/>
  <c r="P49" i="18" s="1"/>
  <c r="BE78" i="11" s="1"/>
  <c r="F78" i="14" s="1"/>
  <c r="E43" i="15"/>
  <c r="E58" i="15" s="1"/>
  <c r="E64" i="15" s="1"/>
  <c r="Y21" i="18"/>
  <c r="Y15" i="18" s="1"/>
  <c r="U19" i="18"/>
  <c r="U13" i="18" s="1"/>
  <c r="U20" i="18"/>
  <c r="U14" i="18" s="1"/>
  <c r="T20" i="18"/>
  <c r="T14" i="18" s="1"/>
  <c r="W20" i="18" s="1"/>
  <c r="W14" i="18" s="1"/>
  <c r="V20" i="18"/>
  <c r="V14" i="18" s="1"/>
  <c r="F83" i="14"/>
  <c r="E40" i="15" s="1"/>
  <c r="E55" i="15" s="1"/>
  <c r="E61" i="15" s="1"/>
  <c r="BF81" i="11"/>
  <c r="G81" i="14" s="1"/>
  <c r="R46" i="18"/>
  <c r="R52" i="18" s="1"/>
  <c r="X21" i="18"/>
  <c r="X15" i="18" s="1"/>
  <c r="M45" i="18"/>
  <c r="M51" i="18" s="1"/>
  <c r="V18" i="18"/>
  <c r="V12" i="18" s="1"/>
  <c r="Y18" i="18" s="1"/>
  <c r="Y12" i="18" s="1"/>
  <c r="X18" i="18"/>
  <c r="X12" i="18" s="1"/>
  <c r="W18" i="18"/>
  <c r="W12" i="18" s="1"/>
  <c r="I42" i="18"/>
  <c r="I48" i="18" s="1"/>
  <c r="J42" i="18" s="1"/>
  <c r="J48" i="18" s="1"/>
  <c r="K42" i="18" s="1"/>
  <c r="K48" i="18" s="1"/>
  <c r="L42" i="18" s="1"/>
  <c r="L48" i="18" s="1"/>
  <c r="M42" i="18" s="1"/>
  <c r="M48" i="18" s="1"/>
  <c r="N42" i="18" s="1"/>
  <c r="N48" i="18" s="1"/>
  <c r="BC77" i="11" s="1"/>
  <c r="D77" i="14" s="1"/>
  <c r="D31" i="15"/>
  <c r="D28" i="15"/>
  <c r="D7" i="15"/>
  <c r="E83" i="11"/>
  <c r="D4" i="15" s="1"/>
  <c r="D19" i="15"/>
  <c r="D16" i="15"/>
  <c r="E14" i="19"/>
  <c r="E3" i="19"/>
  <c r="E5" i="19" s="1"/>
  <c r="E96" i="14"/>
  <c r="E93" i="14" s="1"/>
  <c r="BR76" i="11"/>
  <c r="S76" i="14" s="1"/>
  <c r="AD41" i="18"/>
  <c r="AD47" i="18" s="1"/>
  <c r="BS76" i="11" s="1"/>
  <c r="T76" i="14" s="1"/>
  <c r="D93" i="14" l="1"/>
  <c r="C43" i="15" s="1"/>
  <c r="C58" i="15" s="1"/>
  <c r="C64" i="15" s="1"/>
  <c r="C12" i="19"/>
  <c r="C14" i="19" s="1"/>
  <c r="AA21" i="18"/>
  <c r="AA15" i="18" s="1"/>
  <c r="AD21" i="18" s="1"/>
  <c r="AD15" i="18" s="1"/>
  <c r="BL82" i="11"/>
  <c r="M82" i="14" s="1"/>
  <c r="M113" i="14" s="1"/>
  <c r="Y60" i="18"/>
  <c r="Y61" i="18" s="1"/>
  <c r="W19" i="18"/>
  <c r="W13" i="18" s="1"/>
  <c r="Z19" i="18" s="1"/>
  <c r="Z13" i="18" s="1"/>
  <c r="Q43" i="18"/>
  <c r="Q49" i="18" s="1"/>
  <c r="R43" i="18" s="1"/>
  <c r="BD78" i="11"/>
  <c r="E78" i="14" s="1"/>
  <c r="P44" i="18"/>
  <c r="P50" i="18" s="1"/>
  <c r="Y19" i="18"/>
  <c r="Y13" i="18" s="1"/>
  <c r="X19" i="18"/>
  <c r="X13" i="18" s="1"/>
  <c r="X20" i="18"/>
  <c r="X14" i="18" s="1"/>
  <c r="AA20" i="18" s="1"/>
  <c r="AA14" i="18" s="1"/>
  <c r="Y20" i="18"/>
  <c r="Y14" i="18" s="1"/>
  <c r="Z20" i="18"/>
  <c r="Z14" i="18" s="1"/>
  <c r="AB21" i="18"/>
  <c r="AB15" i="18" s="1"/>
  <c r="BG81" i="11"/>
  <c r="H81" i="14" s="1"/>
  <c r="S46" i="18"/>
  <c r="S52" i="18" s="1"/>
  <c r="N45" i="18"/>
  <c r="N51" i="18" s="1"/>
  <c r="AC21" i="18"/>
  <c r="AC15" i="18" s="1"/>
  <c r="Z18" i="18"/>
  <c r="Z12" i="18" s="1"/>
  <c r="AC18" i="18" s="1"/>
  <c r="AC12" i="18" s="1"/>
  <c r="AB18" i="18"/>
  <c r="AB12" i="18" s="1"/>
  <c r="AA18" i="18"/>
  <c r="AA12" i="18" s="1"/>
  <c r="D43" i="15"/>
  <c r="D58" i="15" s="1"/>
  <c r="D64" i="15" s="1"/>
  <c r="D12" i="19"/>
  <c r="E83" i="14"/>
  <c r="D40" i="15" s="1"/>
  <c r="D55" i="15" s="1"/>
  <c r="D61" i="15" s="1"/>
  <c r="O42" i="18"/>
  <c r="O48" i="18" s="1"/>
  <c r="BF78" i="11" l="1"/>
  <c r="G78" i="14" s="1"/>
  <c r="Z60" i="18"/>
  <c r="Z61" i="18" s="1"/>
  <c r="BN82" i="11"/>
  <c r="O82" i="14" s="1"/>
  <c r="O113" i="14" s="1"/>
  <c r="Q44" i="18"/>
  <c r="Q50" i="18" s="1"/>
  <c r="BE79" i="11"/>
  <c r="F79" i="14" s="1"/>
  <c r="AB19" i="18"/>
  <c r="AB13" i="18" s="1"/>
  <c r="AC19" i="18"/>
  <c r="AC13" i="18" s="1"/>
  <c r="AA19" i="18"/>
  <c r="AA13" i="18" s="1"/>
  <c r="AD19" i="18" s="1"/>
  <c r="AD13" i="18" s="1"/>
  <c r="AB20" i="18"/>
  <c r="AB14" i="18" s="1"/>
  <c r="AD20" i="18"/>
  <c r="AD14" i="18" s="1"/>
  <c r="AC20" i="18"/>
  <c r="AC14" i="18" s="1"/>
  <c r="BC80" i="11"/>
  <c r="D80" i="14" s="1"/>
  <c r="D112" i="14" s="1"/>
  <c r="O45" i="18"/>
  <c r="O51" i="18" s="1"/>
  <c r="BH81" i="11"/>
  <c r="I81" i="14" s="1"/>
  <c r="T46" i="18"/>
  <c r="T52" i="18" s="1"/>
  <c r="AD18" i="18"/>
  <c r="AD12" i="18" s="1"/>
  <c r="BD77" i="11"/>
  <c r="E77" i="14" s="1"/>
  <c r="P42" i="18"/>
  <c r="P48" i="18" s="1"/>
  <c r="R49" i="18"/>
  <c r="BG78" i="11" s="1"/>
  <c r="H78" i="14" s="1"/>
  <c r="S25" i="18"/>
  <c r="D14" i="19"/>
  <c r="D3" i="19"/>
  <c r="D5" i="19" s="1"/>
  <c r="AA60" i="18" l="1"/>
  <c r="AA61" i="18" s="1"/>
  <c r="BP82" i="11" s="1"/>
  <c r="Q82" i="14" s="1"/>
  <c r="Q113" i="14" s="1"/>
  <c r="BO82" i="11"/>
  <c r="P82" i="14" s="1"/>
  <c r="P113" i="14" s="1"/>
  <c r="BF79" i="11"/>
  <c r="G79" i="14" s="1"/>
  <c r="R44" i="18"/>
  <c r="BI81" i="11"/>
  <c r="J81" i="14" s="1"/>
  <c r="U46" i="18"/>
  <c r="U52" i="18" s="1"/>
  <c r="P45" i="18"/>
  <c r="P51" i="18" s="1"/>
  <c r="BD80" i="11"/>
  <c r="E80" i="14" s="1"/>
  <c r="E112" i="14" s="1"/>
  <c r="D111" i="14"/>
  <c r="C51" i="15"/>
  <c r="S31" i="18"/>
  <c r="S37" i="18" s="1"/>
  <c r="S43" i="18"/>
  <c r="BE77" i="11"/>
  <c r="F77" i="14" s="1"/>
  <c r="Q42" i="18"/>
  <c r="Q48" i="18" s="1"/>
  <c r="AB60" i="18" l="1"/>
  <c r="AB61" i="18" s="1"/>
  <c r="BQ82" i="11" s="1"/>
  <c r="R82" i="14" s="1"/>
  <c r="R113" i="14" s="1"/>
  <c r="S26" i="18"/>
  <c r="R50" i="18"/>
  <c r="BG79" i="11" s="1"/>
  <c r="H79" i="14" s="1"/>
  <c r="E111" i="14"/>
  <c r="D33" i="19" s="1"/>
  <c r="D51" i="15"/>
  <c r="BE80" i="11"/>
  <c r="F80" i="14" s="1"/>
  <c r="F112" i="14" s="1"/>
  <c r="Q45" i="18"/>
  <c r="Q51" i="18" s="1"/>
  <c r="BJ81" i="11"/>
  <c r="K81" i="14" s="1"/>
  <c r="V46" i="18"/>
  <c r="V52" i="18" s="1"/>
  <c r="D104" i="14"/>
  <c r="C45" i="15" s="1"/>
  <c r="C60" i="15" s="1"/>
  <c r="C66" i="15" s="1"/>
  <c r="C50" i="15"/>
  <c r="C33" i="19"/>
  <c r="S49" i="18"/>
  <c r="BH78" i="11" s="1"/>
  <c r="I78" i="14" s="1"/>
  <c r="T25" i="18"/>
  <c r="BF77" i="11"/>
  <c r="G77" i="14" s="1"/>
  <c r="R42" i="18"/>
  <c r="AC57" i="18" l="1"/>
  <c r="AC60" i="18" s="1"/>
  <c r="D50" i="15"/>
  <c r="E104" i="14"/>
  <c r="D45" i="15" s="1"/>
  <c r="D60" i="15" s="1"/>
  <c r="D66" i="15" s="1"/>
  <c r="S44" i="18"/>
  <c r="S32" i="18"/>
  <c r="S38" i="18" s="1"/>
  <c r="E51" i="15"/>
  <c r="F111" i="14"/>
  <c r="E50" i="15" s="1"/>
  <c r="BK81" i="11"/>
  <c r="L81" i="14" s="1"/>
  <c r="W46" i="18"/>
  <c r="W52" i="18" s="1"/>
  <c r="BF80" i="11"/>
  <c r="G80" i="14" s="1"/>
  <c r="G112" i="14" s="1"/>
  <c r="R45" i="18"/>
  <c r="C21" i="19"/>
  <c r="C23" i="19" s="1"/>
  <c r="C35" i="19"/>
  <c r="S24" i="18"/>
  <c r="R48" i="18"/>
  <c r="BG77" i="11" s="1"/>
  <c r="H77" i="14" s="1"/>
  <c r="D21" i="19"/>
  <c r="D23" i="19" s="1"/>
  <c r="D35" i="19"/>
  <c r="T31" i="18"/>
  <c r="T37" i="18" s="1"/>
  <c r="T43" i="18"/>
  <c r="AC58" i="18" l="1"/>
  <c r="AC59" i="18" s="1"/>
  <c r="AC61" i="18" s="1"/>
  <c r="BR82" i="11" s="1"/>
  <c r="S82" i="14" s="1"/>
  <c r="S113" i="14" s="1"/>
  <c r="AD57" i="18"/>
  <c r="F104" i="14"/>
  <c r="E45" i="15" s="1"/>
  <c r="E60" i="15" s="1"/>
  <c r="E66" i="15" s="1"/>
  <c r="T26" i="18"/>
  <c r="S50" i="18"/>
  <c r="BH79" i="11" s="1"/>
  <c r="I79" i="14" s="1"/>
  <c r="E33" i="19"/>
  <c r="E21" i="19" s="1"/>
  <c r="E23" i="19" s="1"/>
  <c r="F51" i="15"/>
  <c r="G111" i="14"/>
  <c r="F33" i="19" s="1"/>
  <c r="R51" i="18"/>
  <c r="BG80" i="11" s="1"/>
  <c r="H80" i="14" s="1"/>
  <c r="H112" i="14" s="1"/>
  <c r="S27" i="18"/>
  <c r="BL81" i="11"/>
  <c r="M81" i="14" s="1"/>
  <c r="X46" i="18"/>
  <c r="X52" i="18" s="1"/>
  <c r="T49" i="18"/>
  <c r="BI78" i="11" s="1"/>
  <c r="J78" i="14" s="1"/>
  <c r="U25" i="18"/>
  <c r="S30" i="18"/>
  <c r="S36" i="18" s="1"/>
  <c r="S42" i="18"/>
  <c r="E35" i="19" l="1"/>
  <c r="AD58" i="18"/>
  <c r="AD59" i="18" s="1"/>
  <c r="AD60" i="18"/>
  <c r="T44" i="18"/>
  <c r="T32" i="18"/>
  <c r="T38" i="18" s="1"/>
  <c r="G104" i="14"/>
  <c r="F45" i="15" s="1"/>
  <c r="F60" i="15" s="1"/>
  <c r="F66" i="15" s="1"/>
  <c r="F50" i="15"/>
  <c r="G51" i="15"/>
  <c r="H111" i="14"/>
  <c r="G33" i="19" s="1"/>
  <c r="BM81" i="11"/>
  <c r="N81" i="14" s="1"/>
  <c r="Y46" i="18"/>
  <c r="Y52" i="18" s="1"/>
  <c r="S33" i="18"/>
  <c r="S39" i="18" s="1"/>
  <c r="S45" i="18"/>
  <c r="F21" i="19"/>
  <c r="F23" i="19" s="1"/>
  <c r="F35" i="19"/>
  <c r="S48" i="18"/>
  <c r="BH77" i="11" s="1"/>
  <c r="I77" i="14" s="1"/>
  <c r="T24" i="18"/>
  <c r="U31" i="18"/>
  <c r="U37" i="18" s="1"/>
  <c r="U43" i="18"/>
  <c r="AD61" i="18" l="1"/>
  <c r="BS82" i="11" s="1"/>
  <c r="T82" i="14" s="1"/>
  <c r="T113" i="14" s="1"/>
  <c r="T50" i="18"/>
  <c r="BI79" i="11" s="1"/>
  <c r="J79" i="14" s="1"/>
  <c r="U26" i="18"/>
  <c r="H104" i="14"/>
  <c r="G45" i="15" s="1"/>
  <c r="G60" i="15" s="1"/>
  <c r="G66" i="15" s="1"/>
  <c r="G50" i="15"/>
  <c r="S51" i="18"/>
  <c r="BH80" i="11" s="1"/>
  <c r="I80" i="14" s="1"/>
  <c r="I112" i="14" s="1"/>
  <c r="T27" i="18"/>
  <c r="BN81" i="11"/>
  <c r="O81" i="14" s="1"/>
  <c r="Z46" i="18"/>
  <c r="Z52" i="18" s="1"/>
  <c r="U49" i="18"/>
  <c r="BJ78" i="11" s="1"/>
  <c r="K78" i="14" s="1"/>
  <c r="V25" i="18"/>
  <c r="G21" i="19"/>
  <c r="G23" i="19" s="1"/>
  <c r="G35" i="19"/>
  <c r="T42" i="18"/>
  <c r="U24" i="18" s="1"/>
  <c r="U30" i="18" s="1"/>
  <c r="U36" i="18" s="1"/>
  <c r="T30" i="18"/>
  <c r="T36" i="18" s="1"/>
  <c r="U32" i="18" l="1"/>
  <c r="U38" i="18" s="1"/>
  <c r="U44" i="18"/>
  <c r="I111" i="14"/>
  <c r="H50" i="15" s="1"/>
  <c r="H51" i="15"/>
  <c r="T33" i="18"/>
  <c r="T39" i="18" s="1"/>
  <c r="T45" i="18"/>
  <c r="BO81" i="11"/>
  <c r="P81" i="14" s="1"/>
  <c r="AA46" i="18"/>
  <c r="AA52" i="18" s="1"/>
  <c r="T48" i="18"/>
  <c r="BI77" i="11" s="1"/>
  <c r="J77" i="14" s="1"/>
  <c r="V31" i="18"/>
  <c r="V37" i="18" s="1"/>
  <c r="V43" i="18"/>
  <c r="U50" i="18" l="1"/>
  <c r="BJ79" i="11" s="1"/>
  <c r="K79" i="14" s="1"/>
  <c r="V26" i="18"/>
  <c r="I104" i="14"/>
  <c r="H45" i="15" s="1"/>
  <c r="H60" i="15" s="1"/>
  <c r="H66" i="15" s="1"/>
  <c r="H33" i="19"/>
  <c r="H35" i="19" s="1"/>
  <c r="BP81" i="11"/>
  <c r="Q81" i="14" s="1"/>
  <c r="AB46" i="18"/>
  <c r="AB52" i="18" s="1"/>
  <c r="U27" i="18"/>
  <c r="T51" i="18"/>
  <c r="BI80" i="11" s="1"/>
  <c r="J80" i="14" s="1"/>
  <c r="J112" i="14" s="1"/>
  <c r="I51" i="15" s="1"/>
  <c r="U42" i="18"/>
  <c r="V49" i="18"/>
  <c r="BK78" i="11" s="1"/>
  <c r="L78" i="14" s="1"/>
  <c r="W25" i="18"/>
  <c r="H21" i="19" l="1"/>
  <c r="H23" i="19" s="1"/>
  <c r="V44" i="18"/>
  <c r="V32" i="18"/>
  <c r="V38" i="18" s="1"/>
  <c r="BQ81" i="11"/>
  <c r="R81" i="14" s="1"/>
  <c r="AC46" i="18"/>
  <c r="AC52" i="18" s="1"/>
  <c r="U33" i="18"/>
  <c r="U39" i="18" s="1"/>
  <c r="U45" i="18"/>
  <c r="J111" i="14"/>
  <c r="I33" i="19" s="1"/>
  <c r="I21" i="19" s="1"/>
  <c r="I23" i="19" s="1"/>
  <c r="U48" i="18"/>
  <c r="BJ77" i="11" s="1"/>
  <c r="K77" i="14" s="1"/>
  <c r="V24" i="18"/>
  <c r="W31" i="18"/>
  <c r="W37" i="18" s="1"/>
  <c r="W43" i="18"/>
  <c r="I35" i="19" l="1"/>
  <c r="W26" i="18"/>
  <c r="V50" i="18"/>
  <c r="BK79" i="11" s="1"/>
  <c r="L79" i="14" s="1"/>
  <c r="U51" i="18"/>
  <c r="BJ80" i="11" s="1"/>
  <c r="K80" i="14" s="1"/>
  <c r="K112" i="14" s="1"/>
  <c r="V27" i="18"/>
  <c r="BR81" i="11"/>
  <c r="S81" i="14" s="1"/>
  <c r="AD46" i="18"/>
  <c r="AD52" i="18" s="1"/>
  <c r="BS81" i="11" s="1"/>
  <c r="T81" i="14" s="1"/>
  <c r="I50" i="15"/>
  <c r="J104" i="14"/>
  <c r="I45" i="15" s="1"/>
  <c r="I60" i="15" s="1"/>
  <c r="I66" i="15" s="1"/>
  <c r="V42" i="18"/>
  <c r="V30" i="18"/>
  <c r="V36" i="18" s="1"/>
  <c r="X25" i="18"/>
  <c r="W49" i="18"/>
  <c r="BL78" i="11" s="1"/>
  <c r="M78" i="14" s="1"/>
  <c r="W32" i="18" l="1"/>
  <c r="W38" i="18" s="1"/>
  <c r="W44" i="18"/>
  <c r="K111" i="14"/>
  <c r="J33" i="19" s="1"/>
  <c r="J51" i="15"/>
  <c r="V33" i="18"/>
  <c r="V39" i="18" s="1"/>
  <c r="V45" i="18"/>
  <c r="V48" i="18"/>
  <c r="BK77" i="11" s="1"/>
  <c r="L77" i="14" s="1"/>
  <c r="W24" i="18"/>
  <c r="X31" i="18"/>
  <c r="X37" i="18" s="1"/>
  <c r="X43" i="18"/>
  <c r="J50" i="15" l="1"/>
  <c r="X26" i="18"/>
  <c r="W50" i="18"/>
  <c r="BL79" i="11" s="1"/>
  <c r="M79" i="14" s="1"/>
  <c r="K104" i="14"/>
  <c r="J45" i="15" s="1"/>
  <c r="J60" i="15" s="1"/>
  <c r="J66" i="15" s="1"/>
  <c r="V51" i="18"/>
  <c r="BK80" i="11" s="1"/>
  <c r="L80" i="14" s="1"/>
  <c r="L112" i="14" s="1"/>
  <c r="W27" i="18"/>
  <c r="J21" i="19"/>
  <c r="J23" i="19" s="1"/>
  <c r="J35" i="19"/>
  <c r="W30" i="18"/>
  <c r="W36" i="18" s="1"/>
  <c r="W42" i="18"/>
  <c r="X49" i="18"/>
  <c r="BM78" i="11" s="1"/>
  <c r="N78" i="14" s="1"/>
  <c r="Y25" i="18"/>
  <c r="X44" i="18" l="1"/>
  <c r="X32" i="18"/>
  <c r="X38" i="18" s="1"/>
  <c r="K51" i="15"/>
  <c r="L111" i="14"/>
  <c r="K33" i="19" s="1"/>
  <c r="W33" i="18"/>
  <c r="W39" i="18" s="1"/>
  <c r="W45" i="18"/>
  <c r="X24" i="18"/>
  <c r="W48" i="18"/>
  <c r="BL77" i="11" s="1"/>
  <c r="M77" i="14" s="1"/>
  <c r="Y31" i="18"/>
  <c r="Y37" i="18" s="1"/>
  <c r="Y43" i="18"/>
  <c r="X50" i="18" l="1"/>
  <c r="BM79" i="11" s="1"/>
  <c r="N79" i="14" s="1"/>
  <c r="Y26" i="18"/>
  <c r="K50" i="15"/>
  <c r="L104" i="14"/>
  <c r="K45" i="15" s="1"/>
  <c r="K60" i="15" s="1"/>
  <c r="K66" i="15" s="1"/>
  <c r="W51" i="18"/>
  <c r="BL80" i="11" s="1"/>
  <c r="M80" i="14" s="1"/>
  <c r="M112" i="14" s="1"/>
  <c r="X27" i="18"/>
  <c r="K35" i="19"/>
  <c r="K21" i="19"/>
  <c r="K23" i="19" s="1"/>
  <c r="X30" i="18"/>
  <c r="X36" i="18" s="1"/>
  <c r="X42" i="18"/>
  <c r="Z25" i="18"/>
  <c r="Y49" i="18"/>
  <c r="BN78" i="11" s="1"/>
  <c r="O78" i="14" s="1"/>
  <c r="Y44" i="18" l="1"/>
  <c r="Y32" i="18"/>
  <c r="Y38" i="18" s="1"/>
  <c r="M111" i="14"/>
  <c r="L50" i="15" s="1"/>
  <c r="L51" i="15"/>
  <c r="X33" i="18"/>
  <c r="X39" i="18" s="1"/>
  <c r="X45" i="18"/>
  <c r="X48" i="18"/>
  <c r="BM77" i="11" s="1"/>
  <c r="N77" i="14" s="1"/>
  <c r="Y24" i="18"/>
  <c r="Z31" i="18"/>
  <c r="Z37" i="18" s="1"/>
  <c r="Z43" i="18"/>
  <c r="L33" i="19" l="1"/>
  <c r="L21" i="19" s="1"/>
  <c r="L23" i="19" s="1"/>
  <c r="Y50" i="18"/>
  <c r="BN79" i="11" s="1"/>
  <c r="O79" i="14" s="1"/>
  <c r="Z26" i="18"/>
  <c r="M104" i="14"/>
  <c r="L45" i="15" s="1"/>
  <c r="L60" i="15" s="1"/>
  <c r="L66" i="15" s="1"/>
  <c r="X51" i="18"/>
  <c r="BM80" i="11" s="1"/>
  <c r="N80" i="14" s="1"/>
  <c r="N112" i="14" s="1"/>
  <c r="M51" i="15" s="1"/>
  <c r="Y27" i="18"/>
  <c r="Y30" i="18"/>
  <c r="Y36" i="18" s="1"/>
  <c r="Y42" i="18"/>
  <c r="L35" i="19"/>
  <c r="Z49" i="18"/>
  <c r="BO78" i="11" s="1"/>
  <c r="P78" i="14" s="1"/>
  <c r="AA25" i="18"/>
  <c r="Z44" i="18" l="1"/>
  <c r="Z32" i="18"/>
  <c r="Z38" i="18" s="1"/>
  <c r="N111" i="14"/>
  <c r="N104" i="14" s="1"/>
  <c r="M45" i="15" s="1"/>
  <c r="M60" i="15" s="1"/>
  <c r="M66" i="15" s="1"/>
  <c r="Y33" i="18"/>
  <c r="Y39" i="18" s="1"/>
  <c r="Y45" i="18"/>
  <c r="Z24" i="18"/>
  <c r="Y48" i="18"/>
  <c r="BN77" i="11" s="1"/>
  <c r="O77" i="14" s="1"/>
  <c r="AA31" i="18"/>
  <c r="AA37" i="18" s="1"/>
  <c r="AA43" i="18"/>
  <c r="M23" i="6"/>
  <c r="D24" i="11" s="1"/>
  <c r="F113" i="5"/>
  <c r="M19" i="6" s="1"/>
  <c r="M33" i="19" l="1"/>
  <c r="M35" i="19" s="1"/>
  <c r="AA26" i="18"/>
  <c r="Z50" i="18"/>
  <c r="BO79" i="11" s="1"/>
  <c r="P79" i="14" s="1"/>
  <c r="M50" i="15"/>
  <c r="Y51" i="18"/>
  <c r="BN80" i="11" s="1"/>
  <c r="O80" i="14" s="1"/>
  <c r="O112" i="14" s="1"/>
  <c r="Z27" i="18"/>
  <c r="Z30" i="18"/>
  <c r="Z36" i="18" s="1"/>
  <c r="Z42" i="18"/>
  <c r="AA49" i="18"/>
  <c r="BP78" i="11" s="1"/>
  <c r="Q78" i="14" s="1"/>
  <c r="AB25" i="18"/>
  <c r="D20" i="11"/>
  <c r="AL20" i="11"/>
  <c r="M33" i="6"/>
  <c r="U20" i="11"/>
  <c r="AL24" i="11"/>
  <c r="U24" i="11"/>
  <c r="M21" i="19" l="1"/>
  <c r="M23" i="19" s="1"/>
  <c r="AA32" i="18"/>
  <c r="AA38" i="18" s="1"/>
  <c r="AA44" i="18"/>
  <c r="N51" i="15"/>
  <c r="O111" i="14"/>
  <c r="O104" i="14" s="1"/>
  <c r="N45" i="15" s="1"/>
  <c r="N60" i="15" s="1"/>
  <c r="N66" i="15" s="1"/>
  <c r="Z33" i="18"/>
  <c r="Z39" i="18" s="1"/>
  <c r="Z45" i="18"/>
  <c r="AA24" i="18"/>
  <c r="Z48" i="18"/>
  <c r="BO77" i="11" s="1"/>
  <c r="P77" i="14" s="1"/>
  <c r="AB31" i="18"/>
  <c r="AB37" i="18" s="1"/>
  <c r="AB43" i="18"/>
  <c r="U34" i="11"/>
  <c r="U85" i="11" s="1"/>
  <c r="AL34" i="11"/>
  <c r="AL85" i="11" s="1"/>
  <c r="D31" i="14"/>
  <c r="D91" i="14" s="1"/>
  <c r="D27" i="14"/>
  <c r="D90" i="14" s="1"/>
  <c r="D34" i="11"/>
  <c r="C18" i="15" l="1"/>
  <c r="U83" i="11"/>
  <c r="AL83" i="11"/>
  <c r="C28" i="15" s="1"/>
  <c r="N33" i="19"/>
  <c r="N35" i="19" s="1"/>
  <c r="AB26" i="18"/>
  <c r="AA50" i="18"/>
  <c r="BP79" i="11" s="1"/>
  <c r="Q79" i="14" s="1"/>
  <c r="N50" i="15"/>
  <c r="AA27" i="18"/>
  <c r="Z51" i="18"/>
  <c r="BO80" i="11" s="1"/>
  <c r="P80" i="14" s="1"/>
  <c r="P112" i="14" s="1"/>
  <c r="AA30" i="18"/>
  <c r="AA36" i="18" s="1"/>
  <c r="AA42" i="18"/>
  <c r="AC25" i="18"/>
  <c r="AB49" i="18"/>
  <c r="BQ78" i="11" s="1"/>
  <c r="R78" i="14" s="1"/>
  <c r="C16" i="15"/>
  <c r="C30" i="15"/>
  <c r="D9" i="14"/>
  <c r="D85" i="11"/>
  <c r="D83" i="11" s="1"/>
  <c r="D85" i="14" l="1"/>
  <c r="C9" i="19" s="1"/>
  <c r="N21" i="19"/>
  <c r="N23" i="19" s="1"/>
  <c r="AB32" i="18"/>
  <c r="AB38" i="18" s="1"/>
  <c r="AB44" i="18"/>
  <c r="O51" i="15"/>
  <c r="P111" i="14"/>
  <c r="O50" i="15" s="1"/>
  <c r="AA33" i="18"/>
  <c r="AA39" i="18" s="1"/>
  <c r="AA45" i="18"/>
  <c r="AA48" i="18"/>
  <c r="BP77" i="11" s="1"/>
  <c r="Q77" i="14" s="1"/>
  <c r="AB24" i="18"/>
  <c r="AC31" i="18"/>
  <c r="AC37" i="18" s="1"/>
  <c r="AC43" i="18"/>
  <c r="C6" i="15"/>
  <c r="C4" i="15"/>
  <c r="D83" i="14"/>
  <c r="C40" i="15" s="1"/>
  <c r="C55" i="15" s="1"/>
  <c r="C61" i="15" s="1"/>
  <c r="C42" i="15"/>
  <c r="C57" i="15" s="1"/>
  <c r="C63" i="15" s="1"/>
  <c r="C3" i="19" l="1"/>
  <c r="C5" i="19" s="1"/>
  <c r="C11" i="19"/>
  <c r="AB50" i="18"/>
  <c r="BQ79" i="11" s="1"/>
  <c r="R79" i="14" s="1"/>
  <c r="AC26" i="18"/>
  <c r="O33" i="19"/>
  <c r="O35" i="19" s="1"/>
  <c r="P104" i="14"/>
  <c r="O45" i="15" s="1"/>
  <c r="O60" i="15" s="1"/>
  <c r="O66" i="15" s="1"/>
  <c r="AA51" i="18"/>
  <c r="BP80" i="11" s="1"/>
  <c r="Q80" i="14" s="1"/>
  <c r="Q112" i="14" s="1"/>
  <c r="AB27" i="18"/>
  <c r="AB30" i="18"/>
  <c r="AB36" i="18" s="1"/>
  <c r="AB42" i="18"/>
  <c r="AC49" i="18"/>
  <c r="BR78" i="11" s="1"/>
  <c r="S78" i="14" s="1"/>
  <c r="AD25" i="18"/>
  <c r="O21" i="19" l="1"/>
  <c r="O23" i="19" s="1"/>
  <c r="AC32" i="18"/>
  <c r="AC38" i="18" s="1"/>
  <c r="AC44" i="18"/>
  <c r="P51" i="15"/>
  <c r="Q111" i="14"/>
  <c r="P33" i="19" s="1"/>
  <c r="AB33" i="18"/>
  <c r="AB39" i="18" s="1"/>
  <c r="AB45" i="18"/>
  <c r="AC24" i="18"/>
  <c r="AB48" i="18"/>
  <c r="BQ77" i="11" s="1"/>
  <c r="R77" i="14" s="1"/>
  <c r="AD31" i="18"/>
  <c r="AD37" i="18" s="1"/>
  <c r="AD43" i="18"/>
  <c r="AC50" i="18" l="1"/>
  <c r="BR79" i="11" s="1"/>
  <c r="S79" i="14" s="1"/>
  <c r="AD26" i="18"/>
  <c r="P50" i="15"/>
  <c r="Q104" i="14"/>
  <c r="P45" i="15" s="1"/>
  <c r="P60" i="15" s="1"/>
  <c r="P66" i="15" s="1"/>
  <c r="AB51" i="18"/>
  <c r="BQ80" i="11" s="1"/>
  <c r="R80" i="14" s="1"/>
  <c r="R112" i="14" s="1"/>
  <c r="R111" i="14" s="1"/>
  <c r="AC27" i="18"/>
  <c r="AD49" i="18"/>
  <c r="BS78" i="11" s="1"/>
  <c r="T78" i="14" s="1"/>
  <c r="P21" i="19"/>
  <c r="P23" i="19" s="1"/>
  <c r="P35" i="19"/>
  <c r="AC30" i="18"/>
  <c r="AC36" i="18" s="1"/>
  <c r="AC42" i="18"/>
  <c r="AD32" i="18" l="1"/>
  <c r="AD38" i="18" s="1"/>
  <c r="AD44" i="18"/>
  <c r="Q51" i="15"/>
  <c r="AC33" i="18"/>
  <c r="AC39" i="18" s="1"/>
  <c r="AC45" i="18"/>
  <c r="AD24" i="18"/>
  <c r="AC48" i="18"/>
  <c r="BR77" i="11" s="1"/>
  <c r="S77" i="14" s="1"/>
  <c r="R104" i="14"/>
  <c r="Q50" i="15"/>
  <c r="AD50" i="18" l="1"/>
  <c r="BS79" i="11" s="1"/>
  <c r="T79" i="14" s="1"/>
  <c r="AC51" i="18"/>
  <c r="BR80" i="11" s="1"/>
  <c r="S80" i="14" s="1"/>
  <c r="S112" i="14" s="1"/>
  <c r="S111" i="14" s="1"/>
  <c r="AD27" i="18"/>
  <c r="Q45" i="15"/>
  <c r="Q60" i="15" s="1"/>
  <c r="Q66" i="15" s="1"/>
  <c r="U105" i="14"/>
  <c r="AD42" i="18"/>
  <c r="AD30" i="18"/>
  <c r="AD36" i="18" s="1"/>
  <c r="R51" i="15" l="1"/>
  <c r="AD33" i="18"/>
  <c r="AD39" i="18" s="1"/>
  <c r="AD45" i="18"/>
  <c r="AD48" i="18"/>
  <c r="BS77" i="11" s="1"/>
  <c r="T77" i="14" s="1"/>
  <c r="R50" i="15"/>
  <c r="S104" i="14"/>
  <c r="R45" i="15" s="1"/>
  <c r="R60" i="15" s="1"/>
  <c r="R66" i="15" s="1"/>
  <c r="AD51" i="18" l="1"/>
  <c r="BS80" i="11" s="1"/>
  <c r="T80" i="14" s="1"/>
  <c r="T112" i="14" s="1"/>
  <c r="T111" i="14" l="1"/>
  <c r="U112" i="14" s="1"/>
  <c r="S51" i="15"/>
  <c r="T104" i="14" l="1"/>
  <c r="S50" i="15"/>
  <c r="U113" i="14"/>
  <c r="U111" i="14" l="1"/>
  <c r="U83" i="14"/>
  <c r="U104" i="14"/>
  <c r="S45" i="15"/>
  <c r="S60" i="15" s="1"/>
  <c r="S66" i="15" s="1"/>
  <c r="U107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Amaia de Vega Gomez</author>
  </authors>
  <commentList>
    <comment ref="E11" authorId="0" shapeId="0" xr:uid="{495CCAE2-7F47-4D77-872F-F6B26C4ED459}">
      <text>
        <r>
          <rPr>
            <b/>
            <sz val="9"/>
            <color indexed="81"/>
            <rFont val="Tahoma"/>
            <family val="2"/>
          </rPr>
          <t>Amaia de Vega Gomez:</t>
        </r>
        <r>
          <rPr>
            <sz val="9"/>
            <color indexed="81"/>
            <rFont val="Tahoma"/>
            <family val="2"/>
          </rPr>
          <t xml:space="preserve">
Data corrected. 1 kgCH4/TJ is reported in the Inventory document.</t>
        </r>
      </text>
    </comment>
    <comment ref="E13" authorId="0" shapeId="0" xr:uid="{789ABE1B-CD08-40AD-A486-0BA3BD211833}">
      <text>
        <r>
          <rPr>
            <b/>
            <sz val="9"/>
            <color indexed="81"/>
            <rFont val="Tahoma"/>
            <family val="2"/>
          </rPr>
          <t>Amaia de Vega Gomez:</t>
        </r>
        <r>
          <rPr>
            <sz val="9"/>
            <color indexed="81"/>
            <rFont val="Tahoma"/>
            <family val="2"/>
          </rPr>
          <t xml:space="preserve">
Data corrected. 300 kgCH4/TJ is reported in the Inventory document.</t>
        </r>
      </text>
    </comment>
    <comment ref="E23" authorId="0" shapeId="0" xr:uid="{8ECBB687-AF8B-449D-94CF-9891D17BD2A3}">
      <text>
        <r>
          <rPr>
            <b/>
            <sz val="9"/>
            <color indexed="81"/>
            <rFont val="Tahoma"/>
            <family val="2"/>
          </rPr>
          <t>Amaia de Vega Gomez:</t>
        </r>
        <r>
          <rPr>
            <sz val="9"/>
            <color indexed="81"/>
            <rFont val="Tahoma"/>
            <family val="2"/>
          </rPr>
          <t xml:space="preserve">
This is the EF for navigation (33 kg CH4/TJ value reported in the Inventory corresponds to Road Transport)</t>
        </r>
      </text>
    </comment>
    <comment ref="F23" authorId="0" shapeId="0" xr:uid="{32639815-8415-425E-81C1-7431C06600DC}">
      <text>
        <r>
          <rPr>
            <b/>
            <sz val="9"/>
            <color indexed="81"/>
            <rFont val="Tahoma"/>
            <family val="2"/>
          </rPr>
          <t>Amaia de Vega Gomez:</t>
        </r>
        <r>
          <rPr>
            <sz val="9"/>
            <color indexed="81"/>
            <rFont val="Tahoma"/>
            <family val="2"/>
          </rPr>
          <t xml:space="preserve">
This is the EF for navigation (3,2 kg CH4/TJ value reported in the Inventory corresponds to Road Transport)</t>
        </r>
      </text>
    </comment>
    <comment ref="E24" authorId="0" shapeId="0" xr:uid="{F28A63F0-06D0-42FC-9C3A-75D31EDF1C39}">
      <text>
        <r>
          <rPr>
            <b/>
            <sz val="9"/>
            <color indexed="81"/>
            <rFont val="Tahoma"/>
            <family val="2"/>
          </rPr>
          <t>Amaia de Vega Gomez:</t>
        </r>
        <r>
          <rPr>
            <sz val="9"/>
            <color indexed="81"/>
            <rFont val="Tahoma"/>
            <family val="2"/>
          </rPr>
          <t xml:space="preserve">
This is the EF for navigation (3,9 kg CH4/TJ value reported in the Inventory corresponds to Road Transport)</t>
        </r>
      </text>
    </comment>
    <comment ref="F24" authorId="0" shapeId="0" xr:uid="{3BC8B3FA-7081-45F4-9734-18188746778C}">
      <text>
        <r>
          <rPr>
            <b/>
            <sz val="9"/>
            <color indexed="81"/>
            <rFont val="Tahoma"/>
            <family val="2"/>
          </rPr>
          <t>Amaia de Vega Gomez:</t>
        </r>
        <r>
          <rPr>
            <sz val="9"/>
            <color indexed="81"/>
            <rFont val="Tahoma"/>
            <family val="2"/>
          </rPr>
          <t xml:space="preserve">
This is the EF for navigation (3,9 kg CH4/TJ value reported in the Inventory corresponds to Road Transport)</t>
        </r>
      </text>
    </comment>
    <comment ref="E27" authorId="0" shapeId="0" xr:uid="{3A4E722B-F6AC-4E8B-86E2-78EA5112DC0B}">
      <text>
        <r>
          <rPr>
            <b/>
            <sz val="9"/>
            <color indexed="81"/>
            <rFont val="Tahoma"/>
            <family val="2"/>
          </rPr>
          <t>Amaia de Vega Gomez:</t>
        </r>
        <r>
          <rPr>
            <sz val="9"/>
            <color indexed="81"/>
            <rFont val="Tahoma"/>
            <family val="2"/>
          </rPr>
          <t xml:space="preserve">
Default value: 10 kgCH4/TJ (3kgCH4/TJ value reported in the Inventory corresponds to the lower value for EF)</t>
        </r>
      </text>
    </comment>
  </commentList>
</comments>
</file>

<file path=xl/sharedStrings.xml><?xml version="1.0" encoding="utf-8"?>
<sst xmlns="http://schemas.openxmlformats.org/spreadsheetml/2006/main" count="5147" uniqueCount="565">
  <si>
    <t>1.A.1.a.i. ELECTRICITY GENERATION</t>
  </si>
  <si>
    <t>ton</t>
  </si>
  <si>
    <t>Gg</t>
  </si>
  <si>
    <t>1.A.3.a. CIVIL AVIATION</t>
  </si>
  <si>
    <t>1.A.3.b. ROAD TRANSPORT</t>
  </si>
  <si>
    <t>TJ</t>
  </si>
  <si>
    <t>1.A.3.d. WATER-BORNE NAVIGATION</t>
  </si>
  <si>
    <t>2.A.2. LIME PRODUCTION</t>
  </si>
  <si>
    <t>2.C.1. IRON AND STEEL PRODUCTION</t>
  </si>
  <si>
    <t>2.F.1.a. REFRIGERATION AND STATIONARY AIR CONDITIONING</t>
  </si>
  <si>
    <t>2.F.1.b. MOBILE AIR CONDITIONING</t>
  </si>
  <si>
    <t>Category</t>
  </si>
  <si>
    <t>Activity data</t>
  </si>
  <si>
    <t>Unit</t>
  </si>
  <si>
    <t>Kerosene</t>
  </si>
  <si>
    <t>Coal</t>
  </si>
  <si>
    <t>Bagasse</t>
  </si>
  <si>
    <t>Gas/Diesel oil</t>
  </si>
  <si>
    <t>Residual Fuel oil</t>
  </si>
  <si>
    <t>Sub-bituminous Coal</t>
  </si>
  <si>
    <t>Conversion Factor</t>
  </si>
  <si>
    <t>TJ/Gg</t>
  </si>
  <si>
    <t>Jet Kerosene</t>
  </si>
  <si>
    <t>Passenger cars with 3 way Catalyst Gasoline</t>
  </si>
  <si>
    <t>Passenger cars with 3 way Catalyst Diesel</t>
  </si>
  <si>
    <t>Passenger cars with 3 way Catalyst LPG</t>
  </si>
  <si>
    <t>Passenger cars without 3 way catalyst Gasoline</t>
  </si>
  <si>
    <t>Passenger cars without 3 way catalyst Diesel</t>
  </si>
  <si>
    <t>Passenger cars without 3 way catalyst LPG</t>
  </si>
  <si>
    <t>Light duty trucks with 3 way catalyst Gasoline</t>
  </si>
  <si>
    <t>Light duty trucks with 3 way catalyst Diesel</t>
  </si>
  <si>
    <t>Light duty trucks with 3 way catalyst LPG</t>
  </si>
  <si>
    <t>Light duty trucks without 3 way catalyst Gasoline</t>
  </si>
  <si>
    <t>Light duty trucks without 3 way catalyst Diesel</t>
  </si>
  <si>
    <t>Light duty trucks without 3 way catalyst LPG</t>
  </si>
  <si>
    <t>Heavy duty trucks and buses Gasoline</t>
  </si>
  <si>
    <t>Heavy duty trucks and buses Diesel</t>
  </si>
  <si>
    <t>Heavy duty trucks and buses LPG</t>
  </si>
  <si>
    <t>Motorcycles Gasoline</t>
  </si>
  <si>
    <t>Motorcycles Diesel</t>
  </si>
  <si>
    <t>Motorcycles LPG</t>
  </si>
  <si>
    <t>Diesel</t>
  </si>
  <si>
    <t>1.A.4.a COMERCIAL/INSTITUTIONAL</t>
  </si>
  <si>
    <t>Liquefied Petroleum Gas (LPG)</t>
  </si>
  <si>
    <t>Charcoal</t>
  </si>
  <si>
    <t>1.A.4.b. RESIDENTIAL</t>
  </si>
  <si>
    <t>Wood</t>
  </si>
  <si>
    <t>1.A.c.i. STATIONARY</t>
  </si>
  <si>
    <t>Quick lime</t>
  </si>
  <si>
    <t>HFC-23</t>
  </si>
  <si>
    <t>HFC-32</t>
  </si>
  <si>
    <t>HFC-125</t>
  </si>
  <si>
    <t>HFC-134a</t>
  </si>
  <si>
    <t>HFC-152a</t>
  </si>
  <si>
    <t>HFC-143a</t>
  </si>
  <si>
    <t>HFC-227ea</t>
  </si>
  <si>
    <t>HFC-236fa</t>
  </si>
  <si>
    <t>Fuel type</t>
  </si>
  <si>
    <t>Fuel oil</t>
  </si>
  <si>
    <t>Mauritius</t>
  </si>
  <si>
    <t>Rodrigues</t>
  </si>
  <si>
    <t>Diesel oil</t>
  </si>
  <si>
    <t>Fuel Oil</t>
  </si>
  <si>
    <t>Diesel Oil</t>
  </si>
  <si>
    <t>Information Source</t>
  </si>
  <si>
    <t>a</t>
  </si>
  <si>
    <t>Code</t>
  </si>
  <si>
    <t>Statistics Mauritius under the aegis of the Ministry of Finance and Economic Development, Energy and Water</t>
  </si>
  <si>
    <t>Link</t>
  </si>
  <si>
    <t>See Calculations AD</t>
  </si>
  <si>
    <t>b</t>
  </si>
  <si>
    <t>Via mail</t>
  </si>
  <si>
    <t>c</t>
  </si>
  <si>
    <t>d</t>
  </si>
  <si>
    <t>e</t>
  </si>
  <si>
    <t>f</t>
  </si>
  <si>
    <t>g</t>
  </si>
  <si>
    <t>h</t>
  </si>
  <si>
    <t>https://unfccc.int/sites/default/files/resource/NIR%20%20NC3.pdf</t>
  </si>
  <si>
    <t>EF CO2</t>
  </si>
  <si>
    <t>EF CH4</t>
  </si>
  <si>
    <t>EF N2O</t>
  </si>
  <si>
    <t>i</t>
  </si>
  <si>
    <t>j</t>
  </si>
  <si>
    <t>k</t>
  </si>
  <si>
    <t>l</t>
  </si>
  <si>
    <t>Type of Lime produced</t>
  </si>
  <si>
    <t>Units</t>
  </si>
  <si>
    <t>Type of production</t>
  </si>
  <si>
    <t>Gas type</t>
  </si>
  <si>
    <t>Greenhouse Gas (GHG)</t>
  </si>
  <si>
    <t>GWP</t>
  </si>
  <si>
    <t>Carbon dioxide</t>
  </si>
  <si>
    <t>Methane</t>
  </si>
  <si>
    <t>Nitrous oxide</t>
  </si>
  <si>
    <t>Hydrofluorocarbons</t>
  </si>
  <si>
    <t>IPCC REPORT</t>
  </si>
  <si>
    <t>CO2</t>
  </si>
  <si>
    <t>CH4</t>
  </si>
  <si>
    <t>N2O</t>
  </si>
  <si>
    <t>kg GEI/TJ</t>
  </si>
  <si>
    <t>-</t>
  </si>
  <si>
    <t>National Greenhouse Gas Inventory Report (3NC)</t>
  </si>
  <si>
    <t>Iron and steel production</t>
  </si>
  <si>
    <t>EF GEI</t>
  </si>
  <si>
    <t>m</t>
  </si>
  <si>
    <t>%</t>
  </si>
  <si>
    <t>n</t>
  </si>
  <si>
    <t>o</t>
  </si>
  <si>
    <t>Energy consumption</t>
  </si>
  <si>
    <t>Indicator</t>
  </si>
  <si>
    <t>ktoe</t>
  </si>
  <si>
    <t>GWh</t>
  </si>
  <si>
    <t>Energy Generation Mauritius</t>
  </si>
  <si>
    <t>Diesel &amp; Fuel Oil</t>
  </si>
  <si>
    <t>Energy Generation Rodrigues</t>
  </si>
  <si>
    <t>Commercial Fuel Consumption</t>
  </si>
  <si>
    <t>LPG</t>
  </si>
  <si>
    <t>Residential Fuel Consumption</t>
  </si>
  <si>
    <t>Fuel Consumption</t>
  </si>
  <si>
    <t>Energy Consumption</t>
  </si>
  <si>
    <t>Domestic energy consumption</t>
  </si>
  <si>
    <t>Land transport energy consumption</t>
  </si>
  <si>
    <t>CO2 EMISSIONS (ton CO2/año)</t>
  </si>
  <si>
    <t>1.A.2. MANUFACTURING INDUSTRIES AND CONSTRUCTION</t>
  </si>
  <si>
    <t>Liquefied Petroleum gases (LPG)</t>
  </si>
  <si>
    <t>Fuelwood (Wood/Wood Waste)</t>
  </si>
  <si>
    <t>Manufacturing</t>
  </si>
  <si>
    <t>1.A.1. FUEL INPUT FOR ELECTRICITY GENERATION</t>
  </si>
  <si>
    <t>Road Transport</t>
  </si>
  <si>
    <t>Gasolene</t>
  </si>
  <si>
    <t>Air Transport</t>
  </si>
  <si>
    <t>Jet Fuel</t>
  </si>
  <si>
    <t>Sea Transport</t>
  </si>
  <si>
    <t>N.A</t>
  </si>
  <si>
    <t>CONSUMO TOTAL</t>
  </si>
  <si>
    <t>Gasoline</t>
  </si>
  <si>
    <t>IPCC Guidelines 2006</t>
  </si>
  <si>
    <t>ton GEI/ton</t>
  </si>
  <si>
    <t>MAURITIUS</t>
  </si>
  <si>
    <t>RODRIGUES</t>
  </si>
  <si>
    <t>GASOLINE</t>
  </si>
  <si>
    <t>DIESEL</t>
  </si>
  <si>
    <t>PASSENGER CARS</t>
  </si>
  <si>
    <t>LIGHT DUTY TRUCKS</t>
  </si>
  <si>
    <t>HEAVY DUTY TRUCKS</t>
  </si>
  <si>
    <t>MOTORCYCLES</t>
  </si>
  <si>
    <t>REPUBLIC OF MAURITIUS</t>
  </si>
  <si>
    <t>Type of vehicle (TJ)</t>
  </si>
  <si>
    <t>NATIONAL STATISTICS FOR REPUBLIC OF MAURITIUS (ton)</t>
  </si>
  <si>
    <t>1.A.1. Energy Industries</t>
  </si>
  <si>
    <t>1.A.2. Manufacturing Industries and Construction</t>
  </si>
  <si>
    <t>1.A.3. Transport</t>
  </si>
  <si>
    <t>1.A.4. Other Sectors</t>
  </si>
  <si>
    <t>2.A. Mineral Industry</t>
  </si>
  <si>
    <t>2.A.2. Lime production</t>
  </si>
  <si>
    <t>2.C. Metal Industry</t>
  </si>
  <si>
    <t>2.C.1. Iron and Steel production</t>
  </si>
  <si>
    <t>2.F. Product Uses as Substitutes for Ozone Depleting Substances</t>
  </si>
  <si>
    <t>2.F.1. Refrigeration and Air Conditioning</t>
  </si>
  <si>
    <t>1.A. Fuel Combustion Activities (Gg)</t>
  </si>
  <si>
    <t>2. Industrial Processes and Product Use (IPPU) (Gg)</t>
  </si>
  <si>
    <t>RECEIVED DATA (ton)</t>
  </si>
  <si>
    <r>
      <t xml:space="preserve">Cells in green represents </t>
    </r>
    <r>
      <rPr>
        <b/>
        <sz val="11"/>
        <color theme="1"/>
        <rFont val="Calibri"/>
        <family val="2"/>
        <scheme val="minor"/>
      </rPr>
      <t>data received</t>
    </r>
    <r>
      <rPr>
        <sz val="11"/>
        <color theme="1"/>
        <rFont val="Calibri"/>
        <family val="2"/>
        <scheme val="minor"/>
      </rPr>
      <t xml:space="preserve"> via mail, through information requests</t>
    </r>
  </si>
  <si>
    <t>*Data collected from the Statistics Mauritius portal</t>
  </si>
  <si>
    <t>1.A. Fuel Combustion Activities (Gg CO2eq)</t>
  </si>
  <si>
    <t>2. Industrial Processes and Product Use (IPPU) (Gg CO2eq)</t>
  </si>
  <si>
    <t>Categories</t>
  </si>
  <si>
    <t>1.A. Fuel Combustion Activities (Gg CO2)</t>
  </si>
  <si>
    <t>2. Industrial Processes and Product Use (IPPU) (Gg CO2)</t>
  </si>
  <si>
    <t>1.A. Fuel Combustion Activities (Gg CH4)</t>
  </si>
  <si>
    <t>2. Industrial Processes and Product Use (IPPU) (Gg CH4)</t>
  </si>
  <si>
    <t>1.A. Fuel Combustion Activities (Gg N2O)</t>
  </si>
  <si>
    <t>2. Industrial Processes and Product Use (IPPU) (Gg N2O)</t>
  </si>
  <si>
    <t>p</t>
  </si>
  <si>
    <t>COSULTANCY REPORTS</t>
  </si>
  <si>
    <t>COMPARISSON</t>
  </si>
  <si>
    <r>
      <t>Cells in grey represents</t>
    </r>
    <r>
      <rPr>
        <b/>
        <sz val="11"/>
        <color theme="1"/>
        <rFont val="Calibri"/>
        <family val="2"/>
        <scheme val="minor"/>
      </rPr>
      <t xml:space="preserve"> data projected (calculated) </t>
    </r>
    <r>
      <rPr>
        <sz val="11"/>
        <color theme="1"/>
        <rFont val="Calibri"/>
        <family val="2"/>
        <scheme val="minor"/>
      </rPr>
      <t>using the methodology that best represents/suits the trend</t>
    </r>
  </si>
  <si>
    <t>Cells in white represents data obtained from the National Statistics of Mauritius or other national and representative information sources</t>
  </si>
  <si>
    <t>CELL COLOR CODE</t>
  </si>
  <si>
    <t>SHEET COLOR CODE</t>
  </si>
  <si>
    <r>
      <rPr>
        <b/>
        <sz val="11"/>
        <color theme="4" tint="-0.249977111117893"/>
        <rFont val="Calibri"/>
        <family val="2"/>
        <scheme val="minor"/>
      </rPr>
      <t>BLUE WORKSHEETS:</t>
    </r>
    <r>
      <rPr>
        <sz val="11"/>
        <color theme="1"/>
        <rFont val="Calibri"/>
        <family val="2"/>
        <scheme val="minor"/>
      </rPr>
      <t xml:space="preserve"> Sheets in blue collect Inventory data for both islands Mauritius and Rodrigues as well as for the total of the Republic of Mauritius</t>
    </r>
  </si>
  <si>
    <r>
      <rPr>
        <b/>
        <sz val="11"/>
        <color theme="6" tint="-0.249977111117893"/>
        <rFont val="Calibri"/>
        <family val="2"/>
        <scheme val="minor"/>
      </rPr>
      <t>GREY WORKSHEETS:</t>
    </r>
    <r>
      <rPr>
        <sz val="11"/>
        <color theme="1"/>
        <rFont val="Calibri"/>
        <family val="2"/>
        <scheme val="minor"/>
      </rPr>
      <t xml:space="preserve"> Sheets in grey collect other data necessary for the development of the Inventory</t>
    </r>
  </si>
  <si>
    <r>
      <rPr>
        <b/>
        <sz val="11"/>
        <color theme="5" tint="-0.249977111117893"/>
        <rFont val="Calibri"/>
        <family val="2"/>
        <scheme val="minor"/>
      </rPr>
      <t xml:space="preserve">ORANGE WORKSHEETS: </t>
    </r>
    <r>
      <rPr>
        <sz val="11"/>
        <color theme="1"/>
        <rFont val="Calibri"/>
        <family val="2"/>
        <scheme val="minor"/>
      </rPr>
      <t xml:space="preserve">Sheets in orange collect information for the Cualitative Analysis of the Country </t>
    </r>
  </si>
  <si>
    <t>TOTAL PRIMARY ENERGY SUPPLY</t>
  </si>
  <si>
    <t>Total Primary Energy Requirement</t>
  </si>
  <si>
    <t>Imported</t>
  </si>
  <si>
    <t>Aviation Kerosene</t>
  </si>
  <si>
    <t>Local</t>
  </si>
  <si>
    <t>Hydro</t>
  </si>
  <si>
    <t>Wind</t>
  </si>
  <si>
    <t>Landfill gas</t>
  </si>
  <si>
    <t>Photovoltaic</t>
  </si>
  <si>
    <t>Fuelwood</t>
  </si>
  <si>
    <t>TOTAL PRIMARY ENERGY CONSUMPTION</t>
  </si>
  <si>
    <t>Manufacturing sector</t>
  </si>
  <si>
    <t>Fuel wood</t>
  </si>
  <si>
    <t>Electricity</t>
  </si>
  <si>
    <t>Transport sector</t>
  </si>
  <si>
    <t>Land</t>
  </si>
  <si>
    <t>Air</t>
  </si>
  <si>
    <t>Jet Fuel (Jet Kerosene)</t>
  </si>
  <si>
    <t>Sea</t>
  </si>
  <si>
    <t>Commercial and Distributive Trade</t>
  </si>
  <si>
    <t>Household</t>
  </si>
  <si>
    <t>Agriculture</t>
  </si>
  <si>
    <t>Other and losses</t>
  </si>
  <si>
    <t>1.A.3.a Civil Aviation</t>
  </si>
  <si>
    <t>1.A.3.b Road Transport</t>
  </si>
  <si>
    <t>1.A.3.d. Water-borne Navigation</t>
  </si>
  <si>
    <t>1.A.4.a Commercial/Institutional</t>
  </si>
  <si>
    <t>1.A.4.b Residential</t>
  </si>
  <si>
    <t>CO2 emissions from Biomass</t>
  </si>
  <si>
    <t>2.F.1.a Stationary Refrigeration and Air Conditioning</t>
  </si>
  <si>
    <t>2.F.1.b Mobile Air Conditioning</t>
  </si>
  <si>
    <t>TOTAL PRIMARY ELECTRICITY GENERATION</t>
  </si>
  <si>
    <t>Secondary energy</t>
  </si>
  <si>
    <t>Gas turbine (kerosene)</t>
  </si>
  <si>
    <t>Diesel &amp; Fuel oil</t>
  </si>
  <si>
    <t>TOTAL</t>
  </si>
  <si>
    <t>Primary energy generation</t>
  </si>
  <si>
    <t>Other</t>
  </si>
  <si>
    <t>1.A.4.c.i. STATIONARY</t>
  </si>
  <si>
    <t>Renewable energy</t>
  </si>
  <si>
    <t>Fuel</t>
  </si>
  <si>
    <t>Dual Purpose Vehicle</t>
  </si>
  <si>
    <t>Hybrid</t>
  </si>
  <si>
    <t>Electric</t>
  </si>
  <si>
    <t>Industrial activities</t>
  </si>
  <si>
    <t>Mining and quarrying</t>
  </si>
  <si>
    <t>Manufacture industries</t>
  </si>
  <si>
    <t>Electricity, gas, steam and air conditioning supply</t>
  </si>
  <si>
    <t>Water supply, sewerage, waste management and remediation activities</t>
  </si>
  <si>
    <t>Value added</t>
  </si>
  <si>
    <t>R Million</t>
  </si>
  <si>
    <t>Manufacturing Industries</t>
  </si>
  <si>
    <t>Food products (incl. sugar)</t>
  </si>
  <si>
    <t>Beverages</t>
  </si>
  <si>
    <t>Textiles</t>
  </si>
  <si>
    <t>Wearing apparel</t>
  </si>
  <si>
    <t>Leather and related products</t>
  </si>
  <si>
    <t>Wood and of products of wood and cork, except furniture; Articles of straw and plaiting materials</t>
  </si>
  <si>
    <t>Paper and paper products</t>
  </si>
  <si>
    <t>Printing and reproduction of recorded media</t>
  </si>
  <si>
    <t xml:space="preserve">Coke and refined petroleum products / Chemicals and chemical products / Pharmaceutical products and pharmaceutical preparations </t>
  </si>
  <si>
    <t>Rubber and plastic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</si>
  <si>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</si>
  <si>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</si>
  <si>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</si>
  <si>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</si>
  <si>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</si>
  <si>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</si>
  <si>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Manufacture of motor vehicles, trailers and semi-trailers / Manufacture of other transport equipment</t>
  </si>
  <si>
    <t xml:space="preserve">Furniture </t>
  </si>
  <si>
    <t xml:space="preserve">Other </t>
  </si>
  <si>
    <t>Repair and installation of machinery and equipment</t>
  </si>
  <si>
    <t>Energy imported</t>
  </si>
  <si>
    <t>Local energy</t>
  </si>
  <si>
    <t>Electricity consumption</t>
  </si>
  <si>
    <t>Energy consumption by sector</t>
  </si>
  <si>
    <t>Energy consumption by fuel type</t>
  </si>
  <si>
    <t>Revewable</t>
  </si>
  <si>
    <t>Petrol</t>
  </si>
  <si>
    <t>Motor Car</t>
  </si>
  <si>
    <t>Goods Vehicles</t>
  </si>
  <si>
    <t>Autocycle</t>
  </si>
  <si>
    <t>Motorcycle</t>
  </si>
  <si>
    <t>Double Cab Pick Up</t>
  </si>
  <si>
    <t>Heavy Motor Car</t>
  </si>
  <si>
    <t>Heavy Locomotive</t>
  </si>
  <si>
    <t>Light Locomotive</t>
  </si>
  <si>
    <t>Motor Tractor</t>
  </si>
  <si>
    <t>Year</t>
  </si>
  <si>
    <t>DPV</t>
  </si>
  <si>
    <t>Heavy duty</t>
  </si>
  <si>
    <t>Buses</t>
  </si>
  <si>
    <t>Passenger Cars</t>
  </si>
  <si>
    <t>Autocycle and Motorcycle</t>
  </si>
  <si>
    <t>Light Duty (good vehicle)</t>
  </si>
  <si>
    <t>Dual Purpose Vehicle DPV</t>
  </si>
  <si>
    <t>Information source</t>
  </si>
  <si>
    <t>NTA Statistics</t>
  </si>
  <si>
    <t>Transport Toolkit v17.1</t>
  </si>
  <si>
    <t>Fuel densities</t>
  </si>
  <si>
    <t>Value</t>
  </si>
  <si>
    <t>kg/L</t>
  </si>
  <si>
    <t>Vehicle parameters</t>
  </si>
  <si>
    <t>Passenger Cars Gasoline</t>
  </si>
  <si>
    <t>L/100 km</t>
  </si>
  <si>
    <t>km/year</t>
  </si>
  <si>
    <t>Passenger Cars Diesel</t>
  </si>
  <si>
    <t>Passenger Cars LPG</t>
  </si>
  <si>
    <t>Autocycle Motocycle Gasoline</t>
  </si>
  <si>
    <t>L/km</t>
  </si>
  <si>
    <t>Autocycle and Motorcycle Gasoline</t>
  </si>
  <si>
    <t>Dual Purpose Vehicle DPV Gasoilne</t>
  </si>
  <si>
    <t>Dual Purpose Vehicle DPV Diesel</t>
  </si>
  <si>
    <t>Dual Purpose Vehicle DPV LPG</t>
  </si>
  <si>
    <t>Light Duty (good vehicle) Diesel</t>
  </si>
  <si>
    <t>Heavy duty Diesel</t>
  </si>
  <si>
    <t>Buses Diesel</t>
  </si>
  <si>
    <t>https://www.ipcc-nggip.iges.or.jp/public/2006gl/</t>
  </si>
  <si>
    <t>STATISTICS</t>
  </si>
  <si>
    <t>TOOL</t>
  </si>
  <si>
    <t>Númber of vehicles in the RoM</t>
  </si>
  <si>
    <t>1.A.4. Energy Other Sectors</t>
  </si>
  <si>
    <t>NA</t>
  </si>
  <si>
    <t>Light Duty (good vehicle) + Buses Diesel</t>
  </si>
  <si>
    <t>1.A.5. OTHER</t>
  </si>
  <si>
    <t>Other than large establishments</t>
  </si>
  <si>
    <t>2.F.1.a. REFRIGERATION AND STATIONARY AIR CONDITIONING - IMPORTS</t>
  </si>
  <si>
    <r>
      <t xml:space="preserve">2.F.1.a. REFRIGERATION AND STATIONARY AIR CONDITIONING - </t>
    </r>
    <r>
      <rPr>
        <b/>
        <sz val="11"/>
        <color rgb="FFFF0000"/>
        <rFont val="Calibri"/>
        <family val="2"/>
        <scheme val="minor"/>
      </rPr>
      <t>IMPORTS</t>
    </r>
  </si>
  <si>
    <t>2.F.1.a. REFRIGERATION AND STATIONARY AIR CONDITIONING - EXPORTS</t>
  </si>
  <si>
    <r>
      <t xml:space="preserve">2.F.1.a. REFRIGERATION AND STATIONARY AIR CONDITIONING - </t>
    </r>
    <r>
      <rPr>
        <b/>
        <sz val="11"/>
        <color rgb="FFFF0000"/>
        <rFont val="Calibri"/>
        <family val="2"/>
        <scheme val="minor"/>
      </rPr>
      <t>EXPORTS</t>
    </r>
  </si>
  <si>
    <t>2.F.1.b. MOBILE AIR CONDITIONING - IMPORTS</t>
  </si>
  <si>
    <r>
      <t xml:space="preserve">2.F.1.b. MOBILE AIR CONDITIONING - </t>
    </r>
    <r>
      <rPr>
        <b/>
        <sz val="11"/>
        <color rgb="FFFF0000"/>
        <rFont val="Calibri"/>
        <family val="2"/>
        <scheme val="minor"/>
      </rPr>
      <t>IMPORTS</t>
    </r>
  </si>
  <si>
    <t>2.F.1.b. MOBILE AIR CONDITIONING - EXPORTS</t>
  </si>
  <si>
    <r>
      <t xml:space="preserve">2.F.1.b. MOBILE AIR CONDITIONING - </t>
    </r>
    <r>
      <rPr>
        <b/>
        <sz val="11"/>
        <color rgb="FFFF0000"/>
        <rFont val="Calibri"/>
        <family val="2"/>
        <scheme val="minor"/>
      </rPr>
      <t>EXPORTS</t>
    </r>
  </si>
  <si>
    <t>2.F.1.a. REFRIGERATION AND STATIONARY AIR CONDITIONING - CONSUMED</t>
  </si>
  <si>
    <t>2.F.1.b. MOBILE AIR CONDITIONING - CONSUMED</t>
  </si>
  <si>
    <t>2.F. INDUSTRIAL PROCESSES AND PRODUCT USES - REFRIGERATION AND AIR CONDITIONING</t>
  </si>
  <si>
    <t>Lifetime</t>
  </si>
  <si>
    <t>years</t>
  </si>
  <si>
    <t>Emission Factor (EF)</t>
  </si>
  <si>
    <t>Destruction</t>
  </si>
  <si>
    <t>Parameters</t>
  </si>
  <si>
    <t>CONSUMED</t>
  </si>
  <si>
    <t>AGENT IN RETIRED EQUIPMENT</t>
  </si>
  <si>
    <t>DESTRUCTION OF AGENT IN RETIRED EQUIPMENT</t>
  </si>
  <si>
    <t>RELEASE OF AGENT FROM RETIRED EQUIPMENT</t>
  </si>
  <si>
    <t>BANK</t>
  </si>
  <si>
    <t>EMISSIONS</t>
  </si>
  <si>
    <t>2.F.1.a</t>
  </si>
  <si>
    <t>Intro year</t>
  </si>
  <si>
    <t>2.F.1.b</t>
  </si>
  <si>
    <t>FOR NEW EQUIPMENT</t>
  </si>
  <si>
    <t>FOR SERVICING</t>
  </si>
  <si>
    <t>Hydrated lime</t>
  </si>
  <si>
    <t>Fishing (mobile combustion)</t>
  </si>
  <si>
    <t>1.A.4.c.iii. FISHING</t>
  </si>
  <si>
    <t>kg</t>
  </si>
  <si>
    <t>num.</t>
  </si>
  <si>
    <r>
      <t xml:space="preserve">2.F.1.a. REFRIGERATION AND STATIONARY AIR CONDITIONING - </t>
    </r>
    <r>
      <rPr>
        <b/>
        <sz val="11"/>
        <color rgb="FFFF0000"/>
        <rFont val="Calibri"/>
        <family val="2"/>
        <scheme val="minor"/>
      </rPr>
      <t>CONSUMPTION</t>
    </r>
  </si>
  <si>
    <r>
      <t xml:space="preserve">2.F.1.b. MOBILE AIR CONDITIONING - </t>
    </r>
    <r>
      <rPr>
        <b/>
        <sz val="11"/>
        <color rgb="FFFF0000"/>
        <rFont val="Calibri"/>
        <family val="2"/>
        <scheme val="minor"/>
      </rPr>
      <t>CONSUMPTION</t>
    </r>
  </si>
  <si>
    <t>HFC</t>
  </si>
  <si>
    <t>kcal/kg</t>
  </si>
  <si>
    <t>J</t>
  </si>
  <si>
    <t>1 kcal =</t>
  </si>
  <si>
    <t>1.A.2 - Manufacturing Industries and Construction</t>
  </si>
  <si>
    <t>Fuel Type</t>
  </si>
  <si>
    <t>1.A.2.a - Iron and Steel</t>
  </si>
  <si>
    <t>1.A.2.c - Chemicals</t>
  </si>
  <si>
    <t>1.A.2.d - Pulp, Paper and Print</t>
  </si>
  <si>
    <t>1.A.2.e - Food processing, Beverages and Tobacco</t>
  </si>
  <si>
    <t>1.A.2.l - Textile and Leather</t>
  </si>
  <si>
    <t xml:space="preserve">1.A.2.k - Construction </t>
  </si>
  <si>
    <t>1.A.2.m - Other</t>
  </si>
  <si>
    <t>Information collected during the 3rd mission</t>
  </si>
  <si>
    <t>Chemicals</t>
  </si>
  <si>
    <t>Pulp, paper and Print</t>
  </si>
  <si>
    <t>Food processing, Beverages and Tobacco</t>
  </si>
  <si>
    <t>Textile and Leather</t>
  </si>
  <si>
    <t>Other manufacturing</t>
  </si>
  <si>
    <t>Sectors</t>
  </si>
  <si>
    <t>1.A.2.a. IRON AND STEEL</t>
  </si>
  <si>
    <t>1.A.2.c. CHEMICALS</t>
  </si>
  <si>
    <t>1.A.2.d. PULP, PAPER AND PRINT</t>
  </si>
  <si>
    <t>1.A.2.e. FOOD PROCESSING, BEVERAGES AND TOBACCO</t>
  </si>
  <si>
    <t>1.A.2.l. TEXTILE AND LEATHER</t>
  </si>
  <si>
    <t>1.A.2.k. CONSTRUCTION</t>
  </si>
  <si>
    <t>1.A.2.m. OTHER</t>
  </si>
  <si>
    <t>Annual variation</t>
  </si>
  <si>
    <t>Comments</t>
  </si>
  <si>
    <t>CS</t>
  </si>
  <si>
    <t>D</t>
  </si>
  <si>
    <t>Tourism</t>
  </si>
  <si>
    <t>Arrivals</t>
  </si>
  <si>
    <t>Departures</t>
  </si>
  <si>
    <t>Average</t>
  </si>
  <si>
    <t>Motor vehicle gasoline</t>
  </si>
  <si>
    <t>Gross output</t>
  </si>
  <si>
    <t>RS Mn</t>
  </si>
  <si>
    <t>1.A.4.c Agriculture/Forestry/Fishing</t>
  </si>
  <si>
    <t>Gg CO2eq</t>
  </si>
  <si>
    <t>CO2 (ton)</t>
  </si>
  <si>
    <t>CH4 (ton)</t>
  </si>
  <si>
    <t>N2O (ton)</t>
  </si>
  <si>
    <t>STATISTICS MAURITIUS</t>
  </si>
  <si>
    <t xml:space="preserve">http://statsmauritius.govmu.org/English/StatsbySubj/Pages/INTERNATIONAL-TRAVEL-and-TOURISM.aspx </t>
  </si>
  <si>
    <t>GENERAL</t>
  </si>
  <si>
    <t>ROAD TRANSPORT</t>
  </si>
  <si>
    <t>CIVIL AVIATION</t>
  </si>
  <si>
    <t>1.A.4.c.ii. AGRICULTURE</t>
  </si>
  <si>
    <t>Omnicane Management and Consultancy Limited, Net Calorific Values (NCV) for Coal and Bagasse</t>
  </si>
  <si>
    <t>Stimations made by the ESDD according to data from the Ministry of Industry, Commerce and Consumer Protection (Commerce Division) and the Statistics Mauritius</t>
  </si>
  <si>
    <t>Statistics Mauritius under the aegis of the Ministry of Finance and Economic Development, Manufacturing</t>
  </si>
  <si>
    <t>http://statsmauritius.govmu.org/English/StatsbySubj/Pages/Manufacturing.aspx</t>
  </si>
  <si>
    <t>Statistics Mauritius under the aegis of the Ministry of Finance and Economic Development, International Travel and Tourism</t>
  </si>
  <si>
    <t>Air Mauritius, Domestic flights Mauritius Island - Rodrigues Island</t>
  </si>
  <si>
    <t>Tourism Authority, Water-borne Navigation, Data and information for the preparation of BUR for the Republic of Mauritius</t>
  </si>
  <si>
    <t>Agriculture (mobile combustion)</t>
  </si>
  <si>
    <t>Ministry of Environment, Government of Mauritius, Data for Energy Other Sectors</t>
  </si>
  <si>
    <t>Via mail and Information collected during the 3rd mission</t>
  </si>
  <si>
    <t>Ministry of Environment, Government of Mauritius, Data for Lime Production</t>
  </si>
  <si>
    <t>Ministry of Industry, Commerce and Consumer Protection (Industry Division), Government of Mauritius, Data on Metal Industry</t>
  </si>
  <si>
    <t>http://statsmauritius.govmu.org/English/StatsbySubj/Pages/National-Accounts.aspx</t>
  </si>
  <si>
    <t>Statistics Mauritius under the aegis of the Ministry of Finance and Economic Development, Census of Economic Activity (CEA) report</t>
  </si>
  <si>
    <t>Ministry of Social Security, National Solidarity, and Environmental and Sustainable Development, National Ozone Unit</t>
  </si>
  <si>
    <t>Second Assessment Report (SAR)</t>
  </si>
  <si>
    <t>1.A.c.ii AGRICULTURE/FORESTRY/FISHING</t>
  </si>
  <si>
    <t>1.A.2.a Iron and Steel</t>
  </si>
  <si>
    <t>1.A.2.c. Chemicals</t>
  </si>
  <si>
    <t>1.A.2.d. Pulp, Paper and Print</t>
  </si>
  <si>
    <t>1.A.2.e. Food processing, Beverages and Tobacco</t>
  </si>
  <si>
    <t>1.A.2.l. Textile and Leather</t>
  </si>
  <si>
    <t>1.A.2.k. Construction</t>
  </si>
  <si>
    <t>1.A.2.m. Other</t>
  </si>
  <si>
    <t>1.A.4.c.ii Off-road Vehicles and Other Machinery</t>
  </si>
  <si>
    <t>1.A.4.c.iii Fishing (Mobile combustion)</t>
  </si>
  <si>
    <t>1.A.5.a NON-SPECIFIED</t>
  </si>
  <si>
    <t>1.A.5 Non-Specified</t>
  </si>
  <si>
    <t>1A1 - BUR</t>
  </si>
  <si>
    <t>1A2 - BUR</t>
  </si>
  <si>
    <t>1A3 - BUR</t>
  </si>
  <si>
    <t>1A4 - BUR</t>
  </si>
  <si>
    <t>1A5 - BUR</t>
  </si>
  <si>
    <t>IPPU - BUR</t>
  </si>
  <si>
    <t>2A - BUR</t>
  </si>
  <si>
    <t>2C - BUR</t>
  </si>
  <si>
    <t>2F - BUR</t>
  </si>
  <si>
    <t>Energía - BUR</t>
  </si>
  <si>
    <t>1A1 - TNC</t>
  </si>
  <si>
    <t>1A2 - TNC</t>
  </si>
  <si>
    <t>1A3 - TNC</t>
  </si>
  <si>
    <t>1A4 - TNC</t>
  </si>
  <si>
    <t>1A5 - TNC</t>
  </si>
  <si>
    <t>2A - TNC</t>
  </si>
  <si>
    <t>2C - TNC</t>
  </si>
  <si>
    <t>2F - TNC</t>
  </si>
  <si>
    <t>IPPU - TNC</t>
  </si>
  <si>
    <t>Energía - TNC</t>
  </si>
  <si>
    <t>DIF. ENERGÍA TOTAL</t>
  </si>
  <si>
    <t>DIF 1A1</t>
  </si>
  <si>
    <t>DIF 1A2</t>
  </si>
  <si>
    <t>DIF 1A3</t>
  </si>
  <si>
    <t>DIF 1A4</t>
  </si>
  <si>
    <t>DIF 1A5</t>
  </si>
  <si>
    <t xml:space="preserve">DIF IPPU TOTAL </t>
  </si>
  <si>
    <t>DIF 2A</t>
  </si>
  <si>
    <t>DIF 2C</t>
  </si>
  <si>
    <t>DIF 2F</t>
  </si>
  <si>
    <t>International Sea Transport</t>
  </si>
  <si>
    <t>International Air Transport</t>
  </si>
  <si>
    <t>q</t>
  </si>
  <si>
    <t>International Energy Agency</t>
  </si>
  <si>
    <t xml:space="preserve">https://www.iea.org/data-and-statistics/data-tables?country=MAURITIUS </t>
  </si>
  <si>
    <t>MEMO ITEMS</t>
  </si>
  <si>
    <t>1.A.3.a.ii. CIVIL AVIATION</t>
  </si>
  <si>
    <t>1.A.3.a.i. INTERNATIONAL AVIATION</t>
  </si>
  <si>
    <t>1.A.3.d.i. INTERNATIONAL WATER-BORNE NAVIGATION</t>
  </si>
  <si>
    <t>1.A.3.d.ii. WATER-BORNE NAVIGATION</t>
  </si>
  <si>
    <t>1.A.3.a.i. INTERNATIONAL CIVIL AVIATION</t>
  </si>
  <si>
    <t>INTERNATIONAL AVIATION</t>
  </si>
  <si>
    <t>INTERNATIONAL NAVIGATION</t>
  </si>
  <si>
    <t>1.A.3.a.i. International Aviation</t>
  </si>
  <si>
    <t>1.A.3.d.i. International Navigation</t>
  </si>
  <si>
    <t>1.A.3.d.i INTERNATIONAL WATER-BORNE NAVIGATION</t>
  </si>
  <si>
    <t>1.A.3.d.ii WATER-BORNE NAVIGATION</t>
  </si>
  <si>
    <t>2.D.1 - Lubricant Use</t>
  </si>
  <si>
    <t>2.D - Non-Energy Products from Fuels and Solvent Use</t>
  </si>
  <si>
    <t>Fuel consumption for non-energy use</t>
  </si>
  <si>
    <t>Other oil products</t>
  </si>
  <si>
    <t>Parameters for Lubricant Use (2.D.1)</t>
  </si>
  <si>
    <t>Carbon content of lubricant type</t>
  </si>
  <si>
    <t>tC/TJ</t>
  </si>
  <si>
    <t>Oxidised During Use</t>
  </si>
  <si>
    <t>2.D.1. LUBRICANT USE</t>
  </si>
  <si>
    <t>Consumption of lubricant</t>
  </si>
  <si>
    <t>Conversion factor for C to CO2</t>
  </si>
  <si>
    <t>tCO2/tC</t>
  </si>
  <si>
    <t>Conversion factor Gg to TJ</t>
  </si>
  <si>
    <t>Tj/Gg</t>
  </si>
  <si>
    <t>2.D. Non-Energy Products from Fuel and Solvent Use</t>
  </si>
  <si>
    <t>2.D.1. Lubricant Use</t>
  </si>
  <si>
    <t>tCO2/TJ</t>
  </si>
  <si>
    <t>Type</t>
  </si>
  <si>
    <t>Imports</t>
  </si>
  <si>
    <t>International Bunkers</t>
  </si>
  <si>
    <t xml:space="preserve">https://statsmauritius.govmu.org/Pages/Statistics/By_Subject/Energy_Water/Energy_Water.aspx </t>
  </si>
  <si>
    <t>Apparent Consumption</t>
  </si>
  <si>
    <t>Consumption for Electricity generation</t>
  </si>
  <si>
    <t>Consumption Manufacturing</t>
  </si>
  <si>
    <t>Consumption Transport</t>
  </si>
  <si>
    <t>Consumption Commercial</t>
  </si>
  <si>
    <t>Consumption in Household</t>
  </si>
  <si>
    <t>Consumption Agriculture</t>
  </si>
  <si>
    <t>TOTAL CONSUMPTION</t>
  </si>
  <si>
    <t>STOCK (Imports-Consumption)</t>
  </si>
  <si>
    <t>2D - BUR</t>
  </si>
  <si>
    <t>2D - TNC</t>
  </si>
  <si>
    <t>DIF 2D</t>
  </si>
  <si>
    <t>Type of Vehicle</t>
  </si>
  <si>
    <t>Technology</t>
  </si>
  <si>
    <t>Number of vehicle</t>
  </si>
  <si>
    <t>Car</t>
  </si>
  <si>
    <t>without 3 way catalyst</t>
  </si>
  <si>
    <t>km travelled</t>
  </si>
  <si>
    <t>3 way catalyst</t>
  </si>
  <si>
    <t>Taxi</t>
  </si>
  <si>
    <t>Light duty trucks</t>
  </si>
  <si>
    <t>Heavy duty trucks</t>
  </si>
  <si>
    <t>Medium duty</t>
  </si>
  <si>
    <t>Etiquetas de columna</t>
  </si>
  <si>
    <t>Total general</t>
  </si>
  <si>
    <t>Etiquetas de fila</t>
  </si>
  <si>
    <t>(en blanco)</t>
  </si>
  <si>
    <t>Suma de Number of vehicle</t>
  </si>
  <si>
    <t>Fuel economy (km/L)</t>
  </si>
  <si>
    <t>Island</t>
  </si>
  <si>
    <t>Without 3 way catalyst</t>
  </si>
  <si>
    <t>Consumption (L)</t>
  </si>
  <si>
    <t>Consumption (ton)</t>
  </si>
  <si>
    <t>L/ton</t>
  </si>
  <si>
    <t>Total Suma de Number of vehicle</t>
  </si>
  <si>
    <t>Consumption (Gg)</t>
  </si>
  <si>
    <t>Total Suma de Consumption (Gg)</t>
  </si>
  <si>
    <t>Suma de Consumption (Gg)</t>
  </si>
  <si>
    <t>Taxis Gasoline</t>
  </si>
  <si>
    <t>Taxi Diesel</t>
  </si>
  <si>
    <t>Source: Official and validated data from the National Land Transport Authority 2014 - 2016</t>
  </si>
  <si>
    <t>CONSUMPTION</t>
  </si>
  <si>
    <t>Passenger cars + Taxis</t>
  </si>
  <si>
    <t>Light Duty</t>
  </si>
  <si>
    <t>Heavy Duty</t>
  </si>
  <si>
    <t>Total</t>
  </si>
  <si>
    <t>MAURITIUS ISLAND</t>
  </si>
  <si>
    <t>RODRIGUES ISLAND</t>
  </si>
  <si>
    <t>TOTAL BOTH ISLANDS</t>
  </si>
  <si>
    <t>National Land Transport Authority</t>
  </si>
  <si>
    <t>Source: NLTA</t>
  </si>
  <si>
    <t>Passenger cars+Taxis 3 way catalyst Gasoline</t>
  </si>
  <si>
    <t>Passenger cars+Taxis 3 way catalyst Diesel</t>
  </si>
  <si>
    <t>Passenger cars+Taxis 3 way catalyst LPG</t>
  </si>
  <si>
    <t>Passenger cars+Taxis without 3 way catalyst Gasoline</t>
  </si>
  <si>
    <t>Passenger cars+Taxis without 3 way catalyst Diesel</t>
  </si>
  <si>
    <t>Passenger cars+Taxis without 3 way catalyst LPG</t>
  </si>
  <si>
    <t>Motorcycle Gasoline</t>
  </si>
  <si>
    <t>Dual Purpose Vehicle 3 way catalyst Gasoline</t>
  </si>
  <si>
    <t>Dual Purpose Vehicle 3 way catalyst Diesel</t>
  </si>
  <si>
    <t>Dual Purpose Vehicle 3 way catalyst LPG</t>
  </si>
  <si>
    <t>Dual Purpose Vehicle without 3 way catalyst Gasoline</t>
  </si>
  <si>
    <t>Dual Purpose Vehicle without 3 way catalyst Diesel</t>
  </si>
  <si>
    <t>Dual Purpose Vehicle without 3 way catalyst LPG</t>
  </si>
  <si>
    <t>Light Duty Trucks 3 way catalyst Diesel</t>
  </si>
  <si>
    <t>Light Duty Trucks without 3 way catalyst Diesel</t>
  </si>
  <si>
    <t>Heavy Duty Trucks + Buses Diesel</t>
  </si>
  <si>
    <t>Light Duty Truck</t>
  </si>
  <si>
    <t>Heavy Duty Truck</t>
  </si>
  <si>
    <t>Car 3 way</t>
  </si>
  <si>
    <t>Car without 3 way</t>
  </si>
  <si>
    <t>Ligth Duty 3 way</t>
  </si>
  <si>
    <t>Ligth Duty without 3 way</t>
  </si>
  <si>
    <t>Heavy</t>
  </si>
  <si>
    <t>Light Duty + DPV 3 way</t>
  </si>
  <si>
    <t>Light Duty + DPV without 3 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</si>
</sst>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2"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"/>
    <numFmt numFmtId="167" formatCode="#,##0.0"/>
    <numFmt numFmtId="168" formatCode="_(* #,##0.0_);_(* \(#,##0.0\);_(* \-??_);_(@_)"/>
    <numFmt numFmtId="169" formatCode="0.0%"/>
    <numFmt numFmtId="170" formatCode="0.0"/>
    <numFmt numFmtId="171" formatCode="#,##0__"/>
    <numFmt numFmtId="172" formatCode="&quot;$&quot;#,##0.00_);[Red]\(&quot;$&quot;#,##0.00\)"/>
    <numFmt numFmtId="173" formatCode="_(* #,##0_);_(* \(#,##0\);_(* \-_);_(@_)"/>
    <numFmt numFmtId="174" formatCode="_(* #,##0.00_);_(* \(#,##0.00\);_(* \-??_);_(@_)"/>
    <numFmt numFmtId="175" formatCode="_-* #,##0.00_-;\-* #,##0.00_-;_-* \-??_-;_-@_-"/>
    <numFmt numFmtId="176" formatCode="#,##0____"/>
    <numFmt numFmtId="177" formatCode="#,##0.000"/>
    <numFmt numFmtId="178" formatCode="0."/>
    <numFmt numFmtId="179" formatCode="0.000%"/>
    <numFmt numFmtId="180" formatCode="0.00000%"/>
    <numFmt numFmtId="181" formatCode="_(* #,##0_);_(* \(#,##0\);_(* &quot;-&quot;??_);_(@_)"/>
    <numFmt numFmtId="182" formatCode="0.000"/>
    <numFmt numFmtId="183" formatCode="0.00000"/>
    <numFmt numFmtId="184" formatCode="0.0000000000000000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u/>
      <sz val="12"/>
      <color theme="10"/>
      <name val="Times New Roman"/>
      <family val="1"/>
    </font>
    <font>
      <sz val="11"/>
      <color theme="1"/>
      <name val="Times New Roman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Helv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Helv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Times New Roman"/>
      <family val="1"/>
    </font>
    <font>
      <sz val="10"/>
      <name val="MS Sans Serif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u/>
      <sz val="9.35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theme="4" tint="-0.249977111117893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i/>
      <sz val="10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64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8" fillId="0" borderId="0"/>
    <xf numFmtId="9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5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" fillId="0" borderId="0"/>
    <xf numFmtId="0" fontId="6" fillId="0" borderId="0"/>
    <xf numFmtId="0" fontId="5" fillId="0" borderId="0"/>
    <xf numFmtId="0" fontId="4" fillId="0" borderId="0"/>
    <xf numFmtId="0" fontId="1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8" fillId="0" borderId="0"/>
    <xf numFmtId="4" fontId="14" fillId="0" borderId="0" applyFont="0" applyFill="0" applyBorder="0" applyAlignment="0" applyProtection="0"/>
    <xf numFmtId="165" fontId="5" fillId="0" borderId="0" applyFont="0" applyFill="0" applyBorder="0" applyAlignment="0" applyProtection="0"/>
    <xf numFmtId="170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7" fillId="0" borderId="0" applyFill="0" applyBorder="0" applyAlignment="0" applyProtection="0"/>
    <xf numFmtId="166" fontId="7" fillId="0" borderId="0" applyFill="0" applyBorder="0" applyAlignment="0" applyProtection="0"/>
    <xf numFmtId="174" fontId="7" fillId="0" borderId="0" applyFill="0" applyBorder="0" applyAlignment="0" applyProtection="0"/>
    <xf numFmtId="174" fontId="7" fillId="0" borderId="0" applyFill="0" applyBorder="0" applyAlignment="0" applyProtection="0"/>
    <xf numFmtId="165" fontId="7" fillId="0" borderId="0" applyFont="0" applyFill="0" applyBorder="0" applyAlignment="0" applyProtection="0"/>
    <xf numFmtId="175" fontId="7" fillId="0" borderId="0" applyFill="0" applyBorder="0" applyAlignment="0" applyProtection="0"/>
    <xf numFmtId="176" fontId="7" fillId="0" borderId="0" applyFont="0" applyFill="0" applyBorder="0" applyAlignment="0" applyProtection="0"/>
    <xf numFmtId="174" fontId="7" fillId="0" borderId="0" applyFill="0" applyBorder="0" applyAlignment="0" applyProtection="0"/>
    <xf numFmtId="174" fontId="7" fillId="0" borderId="0" applyFill="0" applyBorder="0" applyAlignment="0" applyProtection="0"/>
    <xf numFmtId="174" fontId="7" fillId="0" borderId="0" applyFill="0" applyBorder="0" applyAlignment="0" applyProtection="0"/>
    <xf numFmtId="174" fontId="7" fillId="0" borderId="0" applyFill="0" applyBorder="0" applyAlignment="0" applyProtection="0"/>
    <xf numFmtId="174" fontId="7" fillId="0" borderId="0" applyFill="0" applyBorder="0" applyAlignment="0" applyProtection="0"/>
    <xf numFmtId="4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22" fillId="0" borderId="0"/>
    <xf numFmtId="0" fontId="4" fillId="0" borderId="0"/>
    <xf numFmtId="0" fontId="22" fillId="0" borderId="0"/>
    <xf numFmtId="0" fontId="8" fillId="0" borderId="0"/>
    <xf numFmtId="0" fontId="7" fillId="0" borderId="0"/>
    <xf numFmtId="0" fontId="7" fillId="0" borderId="0"/>
    <xf numFmtId="0" fontId="4" fillId="0" borderId="0"/>
    <xf numFmtId="0" fontId="5" fillId="0" borderId="0"/>
    <xf numFmtId="40" fontId="21" fillId="6" borderId="0">
      <alignment horizontal="right"/>
    </xf>
    <xf numFmtId="0" fontId="23" fillId="6" borderId="0">
      <alignment horizontal="right"/>
    </xf>
    <xf numFmtId="0" fontId="24" fillId="6" borderId="6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165" fontId="4" fillId="0" borderId="0" applyFont="0" applyFill="0" applyBorder="0" applyAlignment="0" applyProtection="0"/>
  </cellStyleXfs>
  <cellXfs count="76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3" fillId="0" borderId="0" xfId="0" applyFont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0" xfId="0" applyFont="1" applyBorder="1"/>
    <xf numFmtId="0" fontId="0" fillId="0" borderId="11" xfId="0" applyBorder="1"/>
    <xf numFmtId="0" fontId="0" fillId="0" borderId="0" xfId="0" applyFont="1" applyBorder="1" applyAlignment="1">
      <alignment horizontal="center" vertical="center"/>
    </xf>
    <xf numFmtId="0" fontId="13" fillId="0" borderId="10" xfId="0" applyFont="1" applyBorder="1"/>
    <xf numFmtId="0" fontId="13" fillId="0" borderId="11" xfId="0" applyFont="1" applyBorder="1"/>
    <xf numFmtId="0" fontId="0" fillId="0" borderId="12" xfId="0" applyBorder="1"/>
    <xf numFmtId="0" fontId="13" fillId="0" borderId="13" xfId="0" applyFont="1" applyBorder="1" applyAlignment="1">
      <alignment horizontal="left" indent="2"/>
    </xf>
    <xf numFmtId="10" fontId="0" fillId="0" borderId="13" xfId="2" applyNumberFormat="1" applyFont="1" applyBorder="1"/>
    <xf numFmtId="0" fontId="0" fillId="0" borderId="14" xfId="0" applyBorder="1"/>
    <xf numFmtId="0" fontId="0" fillId="0" borderId="13" xfId="0" applyBorder="1"/>
    <xf numFmtId="0" fontId="1" fillId="3" borderId="0" xfId="0" applyFont="1" applyFill="1" applyBorder="1"/>
    <xf numFmtId="0" fontId="0" fillId="3" borderId="0" xfId="0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" fontId="0" fillId="2" borderId="1" xfId="0" applyNumberFormat="1" applyFont="1" applyFill="1" applyBorder="1"/>
    <xf numFmtId="4" fontId="0" fillId="2" borderId="1" xfId="0" applyNumberFormat="1" applyFill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13" fillId="0" borderId="1" xfId="0" applyFont="1" applyBorder="1" applyAlignment="1">
      <alignment horizontal="left" indent="2"/>
    </xf>
    <xf numFmtId="10" fontId="0" fillId="0" borderId="1" xfId="2" applyNumberFormat="1" applyFon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" fontId="0" fillId="0" borderId="1" xfId="0" applyNumberFormat="1" applyFill="1" applyBorder="1"/>
    <xf numFmtId="0" fontId="0" fillId="0" borderId="1" xfId="0" applyFill="1" applyBorder="1"/>
    <xf numFmtId="4" fontId="0" fillId="2" borderId="1" xfId="0" applyNumberFormat="1" applyFill="1" applyBorder="1" applyAlignment="1">
      <alignment vertical="center"/>
    </xf>
    <xf numFmtId="0" fontId="2" fillId="0" borderId="1" xfId="0" applyFont="1" applyFill="1" applyBorder="1"/>
    <xf numFmtId="0" fontId="1" fillId="0" borderId="1" xfId="0" applyFont="1" applyFill="1" applyBorder="1"/>
    <xf numFmtId="4" fontId="0" fillId="0" borderId="1" xfId="0" applyNumberFormat="1" applyBorder="1"/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" fontId="12" fillId="0" borderId="1" xfId="0" applyNumberFormat="1" applyFont="1" applyFill="1" applyBorder="1"/>
    <xf numFmtId="9" fontId="0" fillId="0" borderId="0" xfId="2" applyFont="1"/>
    <xf numFmtId="169" fontId="0" fillId="0" borderId="0" xfId="2" applyNumberFormat="1" applyFont="1"/>
    <xf numFmtId="0" fontId="0" fillId="0" borderId="0" xfId="0" applyAlignment="1">
      <alignment horizontal="center" vertical="center" wrapText="1"/>
    </xf>
    <xf numFmtId="169" fontId="0" fillId="0" borderId="1" xfId="2" applyNumberFormat="1" applyFont="1" applyBorder="1"/>
    <xf numFmtId="4" fontId="2" fillId="0" borderId="1" xfId="0" applyNumberFormat="1" applyFont="1" applyFill="1" applyBorder="1"/>
    <xf numFmtId="4" fontId="1" fillId="0" borderId="1" xfId="0" applyNumberFormat="1" applyFont="1" applyBorder="1"/>
    <xf numFmtId="4" fontId="0" fillId="0" borderId="1" xfId="0" applyNumberFormat="1" applyFont="1" applyBorder="1"/>
    <xf numFmtId="4" fontId="1" fillId="0" borderId="1" xfId="0" applyNumberFormat="1" applyFont="1" applyFill="1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Font="1" applyFill="1" applyBorder="1"/>
    <xf numFmtId="0" fontId="0" fillId="0" borderId="1" xfId="0" applyBorder="1" applyAlignment="1">
      <alignment horizontal="center" vertical="center"/>
    </xf>
    <xf numFmtId="0" fontId="13" fillId="0" borderId="0" xfId="0" applyFont="1" applyBorder="1" applyAlignment="1">
      <alignment horizontal="left" indent="2"/>
    </xf>
    <xf numFmtId="10" fontId="0" fillId="0" borderId="0" xfId="2" applyNumberFormat="1" applyFont="1" applyBorder="1"/>
    <xf numFmtId="0" fontId="0" fillId="0" borderId="0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169" fontId="12" fillId="0" borderId="1" xfId="2" applyNumberFormat="1" applyFont="1" applyBorder="1"/>
    <xf numFmtId="0" fontId="1" fillId="0" borderId="1" xfId="0" applyFont="1" applyBorder="1" applyAlignment="1">
      <alignment horizontal="right" vertical="center"/>
    </xf>
    <xf numFmtId="4" fontId="0" fillId="0" borderId="0" xfId="0" applyNumberForma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0" fontId="0" fillId="2" borderId="0" xfId="0" applyFill="1" applyBorder="1"/>
    <xf numFmtId="0" fontId="0" fillId="5" borderId="0" xfId="0" applyFill="1" applyBorder="1"/>
    <xf numFmtId="167" fontId="0" fillId="5" borderId="1" xfId="0" applyNumberFormat="1" applyFill="1" applyBorder="1"/>
    <xf numFmtId="167" fontId="0" fillId="0" borderId="1" xfId="0" applyNumberFormat="1" applyFill="1" applyBorder="1"/>
    <xf numFmtId="167" fontId="13" fillId="0" borderId="1" xfId="0" applyNumberFormat="1" applyFont="1" applyFill="1" applyBorder="1"/>
    <xf numFmtId="4" fontId="12" fillId="5" borderId="1" xfId="0" applyNumberFormat="1" applyFont="1" applyFill="1" applyBorder="1"/>
    <xf numFmtId="4" fontId="0" fillId="5" borderId="1" xfId="0" applyNumberFormat="1" applyFill="1" applyBorder="1"/>
    <xf numFmtId="4" fontId="0" fillId="2" borderId="0" xfId="0" applyNumberFormat="1" applyFill="1"/>
    <xf numFmtId="4" fontId="0" fillId="5" borderId="0" xfId="0" applyNumberFormat="1" applyFill="1"/>
    <xf numFmtId="4" fontId="1" fillId="5" borderId="0" xfId="0" applyNumberFormat="1" applyFont="1" applyFill="1"/>
    <xf numFmtId="0" fontId="0" fillId="0" borderId="0" xfId="0" applyFill="1" applyBorder="1"/>
    <xf numFmtId="4" fontId="0" fillId="0" borderId="21" xfId="0" applyNumberFormat="1" applyFill="1" applyBorder="1"/>
    <xf numFmtId="4" fontId="0" fillId="0" borderId="22" xfId="0" applyNumberFormat="1" applyFill="1" applyBorder="1"/>
    <xf numFmtId="4" fontId="12" fillId="0" borderId="21" xfId="0" applyNumberFormat="1" applyFont="1" applyFill="1" applyBorder="1"/>
    <xf numFmtId="4" fontId="12" fillId="0" borderId="22" xfId="0" applyNumberFormat="1" applyFont="1" applyFill="1" applyBorder="1"/>
    <xf numFmtId="4" fontId="2" fillId="0" borderId="22" xfId="0" applyNumberFormat="1" applyFont="1" applyFill="1" applyBorder="1"/>
    <xf numFmtId="4" fontId="0" fillId="0" borderId="21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4" fontId="0" fillId="0" borderId="16" xfId="0" applyNumberFormat="1" applyFill="1" applyBorder="1"/>
    <xf numFmtId="4" fontId="0" fillId="0" borderId="27" xfId="0" applyNumberFormat="1" applyFill="1" applyBorder="1"/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2" xfId="0" applyBorder="1"/>
    <xf numFmtId="0" fontId="0" fillId="0" borderId="22" xfId="0" applyBorder="1" applyAlignment="1">
      <alignment vertical="center"/>
    </xf>
    <xf numFmtId="0" fontId="0" fillId="0" borderId="27" xfId="0" applyBorder="1"/>
    <xf numFmtId="0" fontId="1" fillId="0" borderId="21" xfId="0" applyFont="1" applyBorder="1"/>
    <xf numFmtId="4" fontId="1" fillId="0" borderId="29" xfId="0" applyNumberFormat="1" applyFont="1" applyBorder="1" applyAlignment="1">
      <alignment horizontal="right"/>
    </xf>
    <xf numFmtId="4" fontId="1" fillId="0" borderId="30" xfId="0" applyNumberFormat="1" applyFont="1" applyBorder="1" applyAlignment="1">
      <alignment horizontal="right"/>
    </xf>
    <xf numFmtId="4" fontId="0" fillId="0" borderId="15" xfId="0" applyNumberFormat="1" applyBorder="1" applyAlignment="1">
      <alignment horizontal="right" vertical="center"/>
    </xf>
    <xf numFmtId="4" fontId="1" fillId="0" borderId="29" xfId="0" applyNumberFormat="1" applyFont="1" applyBorder="1" applyAlignment="1">
      <alignment horizontal="right" vertical="center"/>
    </xf>
    <xf numFmtId="4" fontId="1" fillId="0" borderId="30" xfId="0" applyNumberFormat="1" applyFont="1" applyBorder="1" applyAlignment="1">
      <alignment horizontal="right" vertical="center"/>
    </xf>
    <xf numFmtId="4" fontId="0" fillId="0" borderId="1" xfId="0" applyNumberFormat="1" applyFont="1" applyFill="1" applyBorder="1" applyAlignment="1">
      <alignment vertical="center" wrapText="1"/>
    </xf>
    <xf numFmtId="0" fontId="1" fillId="0" borderId="37" xfId="0" applyFont="1" applyBorder="1" applyAlignment="1">
      <alignment horizontal="center" vertical="center" wrapText="1"/>
    </xf>
    <xf numFmtId="10" fontId="0" fillId="0" borderId="1" xfId="2" applyNumberFormat="1" applyFont="1" applyFill="1" applyBorder="1"/>
    <xf numFmtId="4" fontId="0" fillId="0" borderId="1" xfId="2" applyNumberFormat="1" applyFont="1" applyBorder="1"/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" fontId="1" fillId="0" borderId="0" xfId="0" applyNumberFormat="1" applyFont="1"/>
    <xf numFmtId="4" fontId="1" fillId="0" borderId="0" xfId="0" applyNumberFormat="1" applyFont="1" applyAlignment="1">
      <alignment horizontal="right" vertical="center"/>
    </xf>
    <xf numFmtId="9" fontId="0" fillId="0" borderId="0" xfId="2" applyFont="1" applyFill="1" applyBorder="1" applyAlignment="1">
      <alignment horizontal="right"/>
    </xf>
    <xf numFmtId="9" fontId="1" fillId="0" borderId="0" xfId="2" applyFont="1"/>
    <xf numFmtId="9" fontId="4" fillId="0" borderId="0" xfId="2" applyFont="1"/>
    <xf numFmtId="0" fontId="0" fillId="0" borderId="0" xfId="0" applyAlignment="1">
      <alignment horizontal="left" indent="4"/>
    </xf>
    <xf numFmtId="0" fontId="1" fillId="0" borderId="0" xfId="0" applyFont="1" applyAlignment="1">
      <alignment horizontal="right" indent="2"/>
    </xf>
    <xf numFmtId="169" fontId="1" fillId="0" borderId="0" xfId="2" applyNumberFormat="1" applyFont="1"/>
    <xf numFmtId="177" fontId="0" fillId="0" borderId="1" xfId="0" applyNumberFormat="1" applyFont="1" applyBorder="1"/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4" fontId="0" fillId="0" borderId="41" xfId="0" applyNumberFormat="1" applyFill="1" applyBorder="1"/>
    <xf numFmtId="4" fontId="0" fillId="0" borderId="42" xfId="0" applyNumberFormat="1" applyFill="1" applyBorder="1"/>
    <xf numFmtId="4" fontId="0" fillId="0" borderId="43" xfId="0" applyNumberFormat="1" applyFill="1" applyBorder="1"/>
    <xf numFmtId="4" fontId="0" fillId="0" borderId="42" xfId="0" applyNumberFormat="1" applyBorder="1" applyAlignment="1">
      <alignment horizontal="right"/>
    </xf>
    <xf numFmtId="4" fontId="0" fillId="0" borderId="43" xfId="0" applyNumberFormat="1" applyBorder="1" applyAlignment="1">
      <alignment horizontal="right"/>
    </xf>
    <xf numFmtId="4" fontId="0" fillId="0" borderId="22" xfId="0" applyNumberFormat="1" applyFont="1" applyBorder="1" applyAlignment="1">
      <alignment horizontal="right" vertical="center"/>
    </xf>
    <xf numFmtId="4" fontId="0" fillId="0" borderId="44" xfId="0" applyNumberFormat="1" applyBorder="1" applyAlignment="1">
      <alignment horizontal="right" vertical="center"/>
    </xf>
    <xf numFmtId="4" fontId="0" fillId="0" borderId="45" xfId="0" applyNumberFormat="1" applyBorder="1" applyAlignment="1">
      <alignment horizontal="right" vertical="center"/>
    </xf>
    <xf numFmtId="4" fontId="0" fillId="0" borderId="42" xfId="0" applyNumberFormat="1" applyBorder="1"/>
    <xf numFmtId="4" fontId="0" fillId="0" borderId="42" xfId="0" applyNumberFormat="1" applyFont="1" applyBorder="1"/>
    <xf numFmtId="4" fontId="0" fillId="0" borderId="43" xfId="0" applyNumberFormat="1" applyBorder="1"/>
    <xf numFmtId="4" fontId="0" fillId="0" borderId="22" xfId="0" applyNumberFormat="1" applyBorder="1"/>
    <xf numFmtId="4" fontId="0" fillId="0" borderId="24" xfId="0" applyNumberFormat="1" applyBorder="1"/>
    <xf numFmtId="4" fontId="0" fillId="0" borderId="24" xfId="0" applyNumberFormat="1" applyFont="1" applyBorder="1"/>
    <xf numFmtId="4" fontId="0" fillId="0" borderId="25" xfId="0" applyNumberFormat="1" applyBorder="1"/>
    <xf numFmtId="169" fontId="0" fillId="0" borderId="0" xfId="2" applyNumberFormat="1" applyFont="1" applyFill="1" applyBorder="1" applyAlignment="1">
      <alignment horizontal="right"/>
    </xf>
    <xf numFmtId="169" fontId="0" fillId="0" borderId="0" xfId="0" applyNumberFormat="1"/>
    <xf numFmtId="4" fontId="0" fillId="0" borderId="0" xfId="0" applyNumberFormat="1" applyFill="1"/>
    <xf numFmtId="3" fontId="0" fillId="2" borderId="0" xfId="0" applyNumberFormat="1" applyFill="1"/>
    <xf numFmtId="3" fontId="0" fillId="2" borderId="0" xfId="0" applyNumberFormat="1" applyFont="1" applyFill="1"/>
    <xf numFmtId="3" fontId="0" fillId="5" borderId="0" xfId="0" applyNumberFormat="1" applyFill="1"/>
    <xf numFmtId="3" fontId="0" fillId="0" borderId="0" xfId="0" applyNumberFormat="1"/>
    <xf numFmtId="0" fontId="0" fillId="0" borderId="0" xfId="0" applyNumberFormat="1"/>
    <xf numFmtId="178" fontId="6" fillId="0" borderId="6" xfId="162" applyNumberFormat="1" applyFont="1" applyBorder="1" applyAlignment="1">
      <alignment vertical="center" wrapText="1"/>
    </xf>
    <xf numFmtId="178" fontId="30" fillId="0" borderId="0" xfId="162" applyNumberFormat="1" applyFont="1" applyBorder="1" applyAlignment="1">
      <alignment vertical="center" wrapText="1"/>
    </xf>
    <xf numFmtId="9" fontId="0" fillId="0" borderId="0" xfId="2" applyFont="1" applyAlignment="1">
      <alignment vertical="center"/>
    </xf>
    <xf numFmtId="9" fontId="0" fillId="0" borderId="0" xfId="0" applyNumberFormat="1"/>
    <xf numFmtId="0" fontId="12" fillId="0" borderId="0" xfId="162" applyFont="1" applyBorder="1" applyAlignment="1">
      <alignment vertical="center" wrapText="1"/>
    </xf>
    <xf numFmtId="178" fontId="12" fillId="0" borderId="0" xfId="162" applyNumberFormat="1" applyFont="1" applyBorder="1" applyAlignment="1">
      <alignment vertical="center" wrapText="1"/>
    </xf>
    <xf numFmtId="178" fontId="12" fillId="0" borderId="0" xfId="162" applyNumberFormat="1" applyFont="1" applyFill="1" applyBorder="1" applyAlignment="1">
      <alignment vertical="center" wrapText="1"/>
    </xf>
    <xf numFmtId="0" fontId="12" fillId="0" borderId="0" xfId="162" applyFont="1" applyFill="1" applyBorder="1" applyAlignment="1">
      <alignment vertical="top" wrapText="1"/>
    </xf>
    <xf numFmtId="0" fontId="12" fillId="0" borderId="0" xfId="162" applyFont="1" applyFill="1" applyBorder="1" applyAlignment="1">
      <alignment vertical="center" wrapText="1"/>
    </xf>
    <xf numFmtId="178" fontId="12" fillId="0" borderId="0" xfId="162" applyNumberFormat="1" applyFont="1" applyBorder="1" applyAlignment="1">
      <alignment vertical="top" wrapText="1"/>
    </xf>
    <xf numFmtId="4" fontId="0" fillId="0" borderId="0" xfId="0" applyNumberFormat="1" applyAlignment="1">
      <alignment vertical="center"/>
    </xf>
    <xf numFmtId="4" fontId="0" fillId="0" borderId="0" xfId="0" applyNumberFormat="1" applyFont="1"/>
    <xf numFmtId="0" fontId="0" fillId="0" borderId="1" xfId="0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10" fontId="0" fillId="0" borderId="1" xfId="0" applyNumberFormat="1" applyBorder="1"/>
    <xf numFmtId="10" fontId="2" fillId="0" borderId="1" xfId="0" applyNumberFormat="1" applyFont="1" applyBorder="1"/>
    <xf numFmtId="0" fontId="0" fillId="0" borderId="17" xfId="0" applyBorder="1"/>
    <xf numFmtId="0" fontId="0" fillId="0" borderId="17" xfId="0" applyBorder="1" applyAlignment="1">
      <alignment vertical="center"/>
    </xf>
    <xf numFmtId="0" fontId="1" fillId="0" borderId="0" xfId="0" applyNumberFormat="1" applyFont="1"/>
    <xf numFmtId="3" fontId="0" fillId="0" borderId="1" xfId="0" applyNumberFormat="1" applyBorder="1"/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/>
    <xf numFmtId="4" fontId="0" fillId="0" borderId="15" xfId="0" applyNumberFormat="1" applyBorder="1"/>
    <xf numFmtId="0" fontId="0" fillId="0" borderId="42" xfId="0" applyFill="1" applyBorder="1"/>
    <xf numFmtId="0" fontId="0" fillId="0" borderId="42" xfId="0" applyBorder="1"/>
    <xf numFmtId="0" fontId="0" fillId="0" borderId="24" xfId="0" applyFill="1" applyBorder="1"/>
    <xf numFmtId="0" fontId="0" fillId="0" borderId="24" xfId="0" applyBorder="1"/>
    <xf numFmtId="0" fontId="0" fillId="0" borderId="43" xfId="0" applyBorder="1"/>
    <xf numFmtId="0" fontId="0" fillId="0" borderId="25" xfId="0" applyBorder="1"/>
    <xf numFmtId="10" fontId="0" fillId="0" borderId="0" xfId="2" applyNumberFormat="1" applyFont="1"/>
    <xf numFmtId="179" fontId="0" fillId="0" borderId="0" xfId="2" applyNumberFormat="1" applyFont="1"/>
    <xf numFmtId="180" fontId="0" fillId="0" borderId="0" xfId="2" applyNumberFormat="1" applyFont="1"/>
    <xf numFmtId="0" fontId="13" fillId="0" borderId="1" xfId="0" applyFont="1" applyBorder="1"/>
    <xf numFmtId="4" fontId="1" fillId="0" borderId="28" xfId="0" applyNumberFormat="1" applyFont="1" applyBorder="1" applyAlignment="1">
      <alignment horizontal="right"/>
    </xf>
    <xf numFmtId="4" fontId="0" fillId="0" borderId="31" xfId="0" applyNumberFormat="1" applyBorder="1" applyAlignment="1">
      <alignment horizontal="right" vertical="center"/>
    </xf>
    <xf numFmtId="4" fontId="1" fillId="0" borderId="28" xfId="0" applyNumberFormat="1" applyFont="1" applyBorder="1" applyAlignment="1">
      <alignment horizontal="right" vertical="center"/>
    </xf>
    <xf numFmtId="4" fontId="0" fillId="0" borderId="43" xfId="0" applyNumberFormat="1" applyFont="1" applyBorder="1"/>
    <xf numFmtId="4" fontId="0" fillId="0" borderId="21" xfId="0" applyNumberFormat="1" applyBorder="1"/>
    <xf numFmtId="4" fontId="0" fillId="0" borderId="22" xfId="0" applyNumberFormat="1" applyFont="1" applyBorder="1"/>
    <xf numFmtId="4" fontId="0" fillId="0" borderId="25" xfId="0" applyNumberFormat="1" applyFont="1" applyBorder="1"/>
    <xf numFmtId="4" fontId="0" fillId="0" borderId="26" xfId="0" applyNumberFormat="1" applyFill="1" applyBorder="1"/>
    <xf numFmtId="2" fontId="0" fillId="0" borderId="1" xfId="0" applyNumberFormat="1" applyFill="1" applyBorder="1"/>
    <xf numFmtId="2" fontId="0" fillId="2" borderId="1" xfId="0" applyNumberFormat="1" applyFill="1" applyBorder="1"/>
    <xf numFmtId="2" fontId="12" fillId="0" borderId="1" xfId="0" applyNumberFormat="1" applyFont="1" applyFill="1" applyBorder="1"/>
    <xf numFmtId="2" fontId="0" fillId="2" borderId="1" xfId="0" applyNumberFormat="1" applyFont="1" applyFill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4" fontId="0" fillId="0" borderId="26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4" fontId="0" fillId="0" borderId="33" xfId="0" applyNumberFormat="1" applyBorder="1" applyAlignment="1">
      <alignment horizontal="right" vertical="center"/>
    </xf>
    <xf numFmtId="4" fontId="0" fillId="0" borderId="26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0" borderId="27" xfId="0" applyNumberFormat="1" applyBorder="1" applyAlignment="1">
      <alignment horizontal="right" vertical="center"/>
    </xf>
    <xf numFmtId="0" fontId="32" fillId="0" borderId="0" xfId="0" applyFont="1"/>
    <xf numFmtId="0" fontId="32" fillId="0" borderId="1" xfId="0" applyFont="1" applyBorder="1"/>
    <xf numFmtId="0" fontId="32" fillId="0" borderId="1" xfId="0" applyFont="1" applyBorder="1" applyAlignment="1">
      <alignment vertical="center"/>
    </xf>
    <xf numFmtId="0" fontId="33" fillId="0" borderId="1" xfId="0" applyFont="1" applyBorder="1"/>
    <xf numFmtId="0" fontId="34" fillId="0" borderId="0" xfId="0" applyFont="1" applyAlignment="1">
      <alignment horizontal="center" vertical="center"/>
    </xf>
    <xf numFmtId="4" fontId="34" fillId="0" borderId="0" xfId="0" applyNumberFormat="1" applyFont="1" applyAlignment="1">
      <alignment horizontal="right" vertical="center"/>
    </xf>
    <xf numFmtId="4" fontId="34" fillId="0" borderId="0" xfId="0" applyNumberFormat="1" applyFont="1"/>
    <xf numFmtId="4" fontId="12" fillId="0" borderId="0" xfId="0" applyNumberFormat="1" applyFont="1"/>
    <xf numFmtId="0" fontId="12" fillId="0" borderId="0" xfId="0" applyFont="1"/>
    <xf numFmtId="2" fontId="1" fillId="0" borderId="0" xfId="0" applyNumberFormat="1" applyFont="1"/>
    <xf numFmtId="2" fontId="4" fillId="0" borderId="0" xfId="2" applyNumberFormat="1" applyFont="1"/>
    <xf numFmtId="169" fontId="4" fillId="0" borderId="0" xfId="2" applyNumberFormat="1" applyFont="1"/>
    <xf numFmtId="0" fontId="0" fillId="0" borderId="0" xfId="0" applyAlignment="1">
      <alignment horizontal="left"/>
    </xf>
    <xf numFmtId="169" fontId="0" fillId="0" borderId="0" xfId="2" applyNumberFormat="1" applyFont="1" applyAlignment="1">
      <alignment vertical="center"/>
    </xf>
    <xf numFmtId="0" fontId="0" fillId="0" borderId="0" xfId="0" applyFill="1" applyBorder="1" applyAlignment="1">
      <alignment horizontal="left" vertical="center"/>
    </xf>
    <xf numFmtId="2" fontId="0" fillId="0" borderId="1" xfId="0" applyNumberFormat="1" applyBorder="1"/>
    <xf numFmtId="2" fontId="0" fillId="5" borderId="1" xfId="0" applyNumberFormat="1" applyFill="1" applyBorder="1"/>
    <xf numFmtId="2" fontId="0" fillId="0" borderId="1" xfId="0" applyNumberFormat="1" applyFont="1" applyBorder="1"/>
    <xf numFmtId="0" fontId="0" fillId="0" borderId="0" xfId="0" applyFont="1"/>
    <xf numFmtId="4" fontId="0" fillId="0" borderId="1" xfId="0" applyNumberFormat="1" applyFill="1" applyBorder="1" applyAlignment="1">
      <alignment vertical="center"/>
    </xf>
    <xf numFmtId="4" fontId="0" fillId="0" borderId="22" xfId="0" applyNumberFormat="1" applyFill="1" applyBorder="1" applyAlignment="1">
      <alignment vertical="center"/>
    </xf>
    <xf numFmtId="4" fontId="0" fillId="0" borderId="2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9" fontId="0" fillId="0" borderId="0" xfId="2" applyNumberFormat="1" applyFont="1"/>
    <xf numFmtId="169" fontId="1" fillId="0" borderId="0" xfId="2" applyNumberFormat="1" applyFont="1" applyFill="1" applyBorder="1" applyAlignment="1">
      <alignment horizontal="right"/>
    </xf>
    <xf numFmtId="2" fontId="0" fillId="0" borderId="16" xfId="0" applyNumberFormat="1" applyFill="1" applyBorder="1"/>
    <xf numFmtId="0" fontId="0" fillId="0" borderId="42" xfId="0" applyBorder="1" applyAlignment="1">
      <alignment vertical="center"/>
    </xf>
    <xf numFmtId="2" fontId="0" fillId="0" borderId="42" xfId="0" applyNumberFormat="1" applyFill="1" applyBorder="1"/>
    <xf numFmtId="2" fontId="12" fillId="0" borderId="43" xfId="0" applyNumberFormat="1" applyFont="1" applyFill="1" applyBorder="1"/>
    <xf numFmtId="2" fontId="12" fillId="0" borderId="22" xfId="0" applyNumberFormat="1" applyFont="1" applyFill="1" applyBorder="1"/>
    <xf numFmtId="2" fontId="0" fillId="0" borderId="22" xfId="0" applyNumberFormat="1" applyFill="1" applyBorder="1"/>
    <xf numFmtId="0" fontId="0" fillId="0" borderId="21" xfId="0" applyBorder="1"/>
    <xf numFmtId="2" fontId="0" fillId="0" borderId="22" xfId="0" applyNumberFormat="1" applyBorder="1"/>
    <xf numFmtId="2" fontId="12" fillId="0" borderId="22" xfId="0" applyNumberFormat="1" applyFont="1" applyBorder="1"/>
    <xf numFmtId="0" fontId="0" fillId="0" borderId="21" xfId="0" applyFill="1" applyBorder="1"/>
    <xf numFmtId="0" fontId="0" fillId="0" borderId="23" xfId="0" applyFont="1" applyFill="1" applyBorder="1"/>
    <xf numFmtId="2" fontId="0" fillId="0" borderId="24" xfId="0" applyNumberFormat="1" applyFont="1" applyBorder="1"/>
    <xf numFmtId="2" fontId="12" fillId="0" borderId="25" xfId="0" applyNumberFormat="1" applyFont="1" applyBorder="1"/>
    <xf numFmtId="2" fontId="0" fillId="0" borderId="47" xfId="0" applyNumberFormat="1" applyFill="1" applyBorder="1"/>
    <xf numFmtId="2" fontId="0" fillId="0" borderId="17" xfId="0" applyNumberFormat="1" applyFill="1" applyBorder="1"/>
    <xf numFmtId="2" fontId="0" fillId="5" borderId="17" xfId="0" applyNumberFormat="1" applyFill="1" applyBorder="1"/>
    <xf numFmtId="2" fontId="0" fillId="0" borderId="17" xfId="0" applyNumberFormat="1" applyBorder="1"/>
    <xf numFmtId="2" fontId="0" fillId="0" borderId="48" xfId="0" applyNumberFormat="1" applyFont="1" applyFill="1" applyBorder="1"/>
    <xf numFmtId="0" fontId="0" fillId="0" borderId="43" xfId="0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6" xfId="0" applyBorder="1"/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2" fontId="0" fillId="0" borderId="27" xfId="0" applyNumberFormat="1" applyFill="1" applyBorder="1"/>
    <xf numFmtId="0" fontId="0" fillId="0" borderId="21" xfId="0" applyBorder="1" applyAlignment="1">
      <alignment horizontal="center" vertical="center" wrapText="1"/>
    </xf>
    <xf numFmtId="2" fontId="0" fillId="2" borderId="22" xfId="0" applyNumberFormat="1" applyFont="1" applyFill="1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2" fontId="0" fillId="2" borderId="24" xfId="0" applyNumberFormat="1" applyFill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2" fontId="0" fillId="0" borderId="4" xfId="0" applyNumberFormat="1" applyFill="1" applyBorder="1"/>
    <xf numFmtId="2" fontId="0" fillId="0" borderId="15" xfId="0" applyNumberFormat="1" applyFill="1" applyBorder="1"/>
    <xf numFmtId="2" fontId="12" fillId="0" borderId="33" xfId="0" applyNumberFormat="1" applyFont="1" applyFill="1" applyBorder="1"/>
    <xf numFmtId="0" fontId="0" fillId="0" borderId="26" xfId="0" applyBorder="1"/>
    <xf numFmtId="0" fontId="0" fillId="0" borderId="27" xfId="0" applyBorder="1" applyAlignment="1">
      <alignment vertical="center"/>
    </xf>
    <xf numFmtId="2" fontId="0" fillId="0" borderId="53" xfId="0" applyNumberFormat="1" applyBorder="1"/>
    <xf numFmtId="2" fontId="0" fillId="0" borderId="16" xfId="0" applyNumberFormat="1" applyBorder="1"/>
    <xf numFmtId="2" fontId="0" fillId="0" borderId="27" xfId="0" applyNumberFormat="1" applyBorder="1"/>
    <xf numFmtId="2" fontId="1" fillId="0" borderId="46" xfId="0" applyNumberFormat="1" applyFont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vertical="center" wrapText="1"/>
    </xf>
    <xf numFmtId="2" fontId="0" fillId="0" borderId="29" xfId="0" applyNumberFormat="1" applyFont="1" applyBorder="1" applyAlignment="1">
      <alignment horizontal="center" vertical="center" wrapText="1"/>
    </xf>
    <xf numFmtId="2" fontId="12" fillId="0" borderId="30" xfId="0" applyNumberFormat="1" applyFont="1" applyBorder="1" applyAlignment="1">
      <alignment horizontal="center" vertical="center" wrapText="1"/>
    </xf>
    <xf numFmtId="4" fontId="0" fillId="0" borderId="23" xfId="0" applyNumberFormat="1" applyBorder="1" applyAlignment="1">
      <alignment horizontal="right" vertical="center"/>
    </xf>
    <xf numFmtId="4" fontId="0" fillId="0" borderId="24" xfId="0" applyNumberFormat="1" applyBorder="1" applyAlignment="1">
      <alignment horizontal="right" vertical="center"/>
    </xf>
    <xf numFmtId="4" fontId="0" fillId="0" borderId="25" xfId="0" applyNumberFormat="1" applyBorder="1" applyAlignment="1">
      <alignment horizontal="right" vertical="center"/>
    </xf>
    <xf numFmtId="0" fontId="0" fillId="0" borderId="31" xfId="0" applyBorder="1" applyAlignment="1">
      <alignment vertical="center" wrapText="1"/>
    </xf>
    <xf numFmtId="0" fontId="0" fillId="0" borderId="41" xfId="0" applyBorder="1"/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41" xfId="0" applyFill="1" applyBorder="1" applyAlignment="1">
      <alignment horizontal="center" vertical="center" wrapText="1"/>
    </xf>
    <xf numFmtId="9" fontId="0" fillId="0" borderId="22" xfId="2" applyFont="1" applyBorder="1" applyAlignment="1">
      <alignment horizontal="center" vertical="center"/>
    </xf>
    <xf numFmtId="0" fontId="0" fillId="0" borderId="23" xfId="0" applyBorder="1"/>
    <xf numFmtId="9" fontId="0" fillId="0" borderId="25" xfId="2" applyFont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1" fillId="0" borderId="41" xfId="0" applyFont="1" applyBorder="1"/>
    <xf numFmtId="0" fontId="1" fillId="0" borderId="42" xfId="0" applyFont="1" applyBorder="1"/>
    <xf numFmtId="0" fontId="1" fillId="0" borderId="43" xfId="0" applyFont="1" applyBorder="1"/>
    <xf numFmtId="4" fontId="0" fillId="0" borderId="21" xfId="0" applyNumberFormat="1" applyFont="1" applyFill="1" applyBorder="1" applyAlignment="1">
      <alignment vertical="center" wrapText="1"/>
    </xf>
    <xf numFmtId="4" fontId="0" fillId="0" borderId="22" xfId="0" applyNumberFormat="1" applyFont="1" applyFill="1" applyBorder="1" applyAlignment="1">
      <alignment vertical="center" wrapText="1"/>
    </xf>
    <xf numFmtId="4" fontId="0" fillId="0" borderId="21" xfId="0" applyNumberFormat="1" applyFont="1" applyBorder="1"/>
    <xf numFmtId="177" fontId="0" fillId="0" borderId="21" xfId="0" applyNumberFormat="1" applyFont="1" applyBorder="1"/>
    <xf numFmtId="177" fontId="0" fillId="0" borderId="22" xfId="0" applyNumberFormat="1" applyFont="1" applyBorder="1"/>
    <xf numFmtId="4" fontId="0" fillId="0" borderId="23" xfId="0" applyNumberFormat="1" applyFont="1" applyBorder="1"/>
    <xf numFmtId="4" fontId="0" fillId="0" borderId="22" xfId="2" applyNumberFormat="1" applyFont="1" applyBorder="1"/>
    <xf numFmtId="10" fontId="0" fillId="0" borderId="22" xfId="2" applyNumberFormat="1" applyFont="1" applyFill="1" applyBorder="1"/>
    <xf numFmtId="10" fontId="0" fillId="0" borderId="24" xfId="2" applyNumberFormat="1" applyFont="1" applyFill="1" applyBorder="1"/>
    <xf numFmtId="10" fontId="0" fillId="0" borderId="25" xfId="2" applyNumberFormat="1" applyFont="1" applyFill="1" applyBorder="1"/>
    <xf numFmtId="0" fontId="1" fillId="0" borderId="54" xfId="0" applyFont="1" applyBorder="1" applyAlignment="1">
      <alignment horizontal="center"/>
    </xf>
    <xf numFmtId="0" fontId="1" fillId="0" borderId="55" xfId="0" applyFont="1" applyFill="1" applyBorder="1" applyAlignment="1">
      <alignment vertical="center" wrapText="1"/>
    </xf>
    <xf numFmtId="0" fontId="0" fillId="0" borderId="55" xfId="0" applyBorder="1" applyAlignment="1">
      <alignment vertical="center"/>
    </xf>
    <xf numFmtId="0" fontId="1" fillId="0" borderId="55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1" fillId="0" borderId="47" xfId="0" applyFont="1" applyBorder="1"/>
    <xf numFmtId="4" fontId="0" fillId="0" borderId="17" xfId="2" applyNumberFormat="1" applyFont="1" applyBorder="1"/>
    <xf numFmtId="10" fontId="0" fillId="0" borderId="17" xfId="2" applyNumberFormat="1" applyFont="1" applyFill="1" applyBorder="1"/>
    <xf numFmtId="10" fontId="0" fillId="0" borderId="48" xfId="2" applyNumberFormat="1" applyFont="1" applyFill="1" applyBorder="1"/>
    <xf numFmtId="0" fontId="1" fillId="0" borderId="56" xfId="0" applyFont="1" applyBorder="1" applyAlignment="1">
      <alignment vertical="center"/>
    </xf>
    <xf numFmtId="0" fontId="32" fillId="0" borderId="21" xfId="0" applyFont="1" applyBorder="1"/>
    <xf numFmtId="0" fontId="32" fillId="0" borderId="31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3" fillId="0" borderId="24" xfId="0" applyFont="1" applyBorder="1"/>
    <xf numFmtId="0" fontId="32" fillId="0" borderId="16" xfId="0" applyFont="1" applyBorder="1"/>
    <xf numFmtId="0" fontId="32" fillId="0" borderId="34" xfId="0" applyFont="1" applyBorder="1"/>
    <xf numFmtId="0" fontId="32" fillId="0" borderId="35" xfId="0" applyFont="1" applyBorder="1"/>
    <xf numFmtId="0" fontId="1" fillId="0" borderId="35" xfId="0" applyFont="1" applyBorder="1"/>
    <xf numFmtId="0" fontId="1" fillId="0" borderId="36" xfId="0" applyFont="1" applyBorder="1"/>
    <xf numFmtId="0" fontId="0" fillId="0" borderId="21" xfId="0" applyBorder="1" applyAlignment="1">
      <alignment horizontal="center" vertical="center"/>
    </xf>
    <xf numFmtId="0" fontId="3" fillId="0" borderId="22" xfId="1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81" fontId="0" fillId="2" borderId="1" xfId="163" applyNumberFormat="1" applyFont="1" applyFill="1" applyBorder="1"/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9" fontId="7" fillId="0" borderId="1" xfId="2" applyFont="1" applyBorder="1" applyAlignment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81" fontId="0" fillId="5" borderId="1" xfId="0" applyNumberFormat="1" applyFont="1" applyFill="1" applyBorder="1" applyAlignment="1">
      <alignment horizontal="right" vertical="center"/>
    </xf>
    <xf numFmtId="167" fontId="0" fillId="0" borderId="0" xfId="0" applyNumberFormat="1" applyFill="1" applyBorder="1"/>
    <xf numFmtId="0" fontId="1" fillId="0" borderId="0" xfId="0" applyFont="1" applyFill="1" applyBorder="1" applyAlignment="1">
      <alignment horizontal="center" vertical="center"/>
    </xf>
    <xf numFmtId="167" fontId="13" fillId="0" borderId="0" xfId="0" applyNumberFormat="1" applyFont="1" applyFill="1" applyBorder="1"/>
    <xf numFmtId="10" fontId="0" fillId="0" borderId="0" xfId="2" applyNumberFormat="1" applyFont="1" applyFill="1" applyBorder="1"/>
    <xf numFmtId="0" fontId="13" fillId="0" borderId="0" xfId="0" applyFont="1" applyBorder="1"/>
    <xf numFmtId="10" fontId="0" fillId="0" borderId="14" xfId="2" applyNumberFormat="1" applyFont="1" applyBorder="1"/>
    <xf numFmtId="169" fontId="0" fillId="0" borderId="0" xfId="2" applyNumberFormat="1" applyFont="1" applyFill="1" applyBorder="1"/>
    <xf numFmtId="0" fontId="1" fillId="0" borderId="0" xfId="0" applyFont="1" applyFill="1" applyBorder="1" applyAlignment="1"/>
    <xf numFmtId="0" fontId="1" fillId="0" borderId="18" xfId="0" applyFont="1" applyBorder="1" applyAlignment="1"/>
    <xf numFmtId="0" fontId="1" fillId="0" borderId="19" xfId="0" applyFont="1" applyBorder="1" applyAlignment="1"/>
    <xf numFmtId="0" fontId="0" fillId="0" borderId="0" xfId="0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181" fontId="0" fillId="0" borderId="0" xfId="163" applyNumberFormat="1" applyFont="1" applyFill="1" applyBorder="1"/>
    <xf numFmtId="169" fontId="12" fillId="0" borderId="0" xfId="2" applyNumberFormat="1" applyFont="1" applyFill="1" applyBorder="1"/>
    <xf numFmtId="0" fontId="0" fillId="0" borderId="18" xfId="0" applyBorder="1"/>
    <xf numFmtId="0" fontId="0" fillId="0" borderId="57" xfId="0" applyBorder="1"/>
    <xf numFmtId="4" fontId="0" fillId="5" borderId="1" xfId="0" applyNumberFormat="1" applyFont="1" applyFill="1" applyBorder="1"/>
    <xf numFmtId="0" fontId="0" fillId="0" borderId="3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4" fontId="0" fillId="0" borderId="23" xfId="0" applyNumberFormat="1" applyFill="1" applyBorder="1" applyAlignment="1">
      <alignment vertical="center"/>
    </xf>
    <xf numFmtId="4" fontId="0" fillId="0" borderId="24" xfId="0" applyNumberFormat="1" applyFill="1" applyBorder="1" applyAlignment="1">
      <alignment vertical="center"/>
    </xf>
    <xf numFmtId="4" fontId="0" fillId="0" borderId="25" xfId="0" applyNumberFormat="1" applyFill="1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5" borderId="1" xfId="0" applyFill="1" applyBorder="1"/>
    <xf numFmtId="0" fontId="0" fillId="0" borderId="0" xfId="0" applyFont="1" applyBorder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Fill="1" applyBorder="1" applyAlignment="1">
      <alignment horizontal="center"/>
    </xf>
    <xf numFmtId="10" fontId="0" fillId="0" borderId="1" xfId="2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10" fontId="0" fillId="2" borderId="1" xfId="2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12" fillId="0" borderId="1" xfId="0" applyFont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2" fontId="0" fillId="0" borderId="22" xfId="0" applyNumberFormat="1" applyFill="1" applyBorder="1" applyAlignment="1">
      <alignment vertical="center"/>
    </xf>
    <xf numFmtId="2" fontId="0" fillId="0" borderId="1" xfId="0" applyNumberFormat="1" applyFont="1" applyFill="1" applyBorder="1"/>
    <xf numFmtId="2" fontId="0" fillId="0" borderId="22" xfId="0" applyNumberFormat="1" applyFont="1" applyFill="1" applyBorder="1"/>
    <xf numFmtId="2" fontId="0" fillId="0" borderId="24" xfId="0" applyNumberFormat="1" applyFill="1" applyBorder="1" applyAlignment="1">
      <alignment vertical="center"/>
    </xf>
    <xf numFmtId="2" fontId="12" fillId="2" borderId="22" xfId="0" applyNumberFormat="1" applyFont="1" applyFill="1" applyBorder="1" applyAlignment="1">
      <alignment vertical="center"/>
    </xf>
    <xf numFmtId="2" fontId="0" fillId="2" borderId="22" xfId="0" applyNumberFormat="1" applyFill="1" applyBorder="1" applyAlignment="1">
      <alignment vertical="center"/>
    </xf>
    <xf numFmtId="2" fontId="0" fillId="2" borderId="25" xfId="0" applyNumberFormat="1" applyFill="1" applyBorder="1" applyAlignment="1">
      <alignment vertical="center"/>
    </xf>
    <xf numFmtId="9" fontId="0" fillId="5" borderId="1" xfId="2" applyFont="1" applyFill="1" applyBorder="1"/>
    <xf numFmtId="0" fontId="0" fillId="0" borderId="18" xfId="0" applyFont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181" fontId="0" fillId="2" borderId="18" xfId="163" applyNumberFormat="1" applyFont="1" applyFill="1" applyBorder="1"/>
    <xf numFmtId="169" fontId="12" fillId="0" borderId="18" xfId="2" applyNumberFormat="1" applyFont="1" applyBorder="1"/>
    <xf numFmtId="2" fontId="0" fillId="5" borderId="18" xfId="0" applyNumberFormat="1" applyFill="1" applyBorder="1"/>
    <xf numFmtId="0" fontId="0" fillId="2" borderId="18" xfId="0" applyFill="1" applyBorder="1"/>
    <xf numFmtId="0" fontId="0" fillId="0" borderId="18" xfId="0" applyFill="1" applyBorder="1"/>
    <xf numFmtId="2" fontId="0" fillId="2" borderId="18" xfId="0" applyNumberFormat="1" applyFill="1" applyBorder="1"/>
    <xf numFmtId="9" fontId="0" fillId="0" borderId="1" xfId="2" applyFont="1" applyFill="1" applyBorder="1"/>
    <xf numFmtId="1" fontId="0" fillId="2" borderId="1" xfId="2" applyNumberFormat="1" applyFont="1" applyFill="1" applyBorder="1"/>
    <xf numFmtId="2" fontId="0" fillId="0" borderId="33" xfId="0" applyNumberFormat="1" applyFill="1" applyBorder="1"/>
    <xf numFmtId="2" fontId="12" fillId="0" borderId="16" xfId="0" applyNumberFormat="1" applyFont="1" applyFill="1" applyBorder="1"/>
    <xf numFmtId="2" fontId="0" fillId="2" borderId="16" xfId="0" applyNumberFormat="1" applyFill="1" applyBorder="1"/>
    <xf numFmtId="2" fontId="0" fillId="2" borderId="16" xfId="0" applyNumberFormat="1" applyFont="1" applyFill="1" applyBorder="1"/>
    <xf numFmtId="2" fontId="0" fillId="2" borderId="27" xfId="0" applyNumberFormat="1" applyFont="1" applyFill="1" applyBorder="1"/>
    <xf numFmtId="2" fontId="0" fillId="0" borderId="43" xfId="0" applyNumberFormat="1" applyFill="1" applyBorder="1"/>
    <xf numFmtId="0" fontId="0" fillId="0" borderId="33" xfId="0" applyBorder="1"/>
    <xf numFmtId="4" fontId="0" fillId="0" borderId="15" xfId="0" applyNumberFormat="1" applyFill="1" applyBorder="1"/>
    <xf numFmtId="4" fontId="0" fillId="0" borderId="33" xfId="0" applyNumberFormat="1" applyFill="1" applyBorder="1"/>
    <xf numFmtId="4" fontId="0" fillId="0" borderId="24" xfId="0" applyNumberFormat="1" applyFill="1" applyBorder="1"/>
    <xf numFmtId="4" fontId="0" fillId="0" borderId="25" xfId="0" applyNumberFormat="1" applyFill="1" applyBorder="1"/>
    <xf numFmtId="0" fontId="0" fillId="0" borderId="58" xfId="0" applyBorder="1"/>
    <xf numFmtId="0" fontId="0" fillId="0" borderId="59" xfId="0" applyBorder="1"/>
    <xf numFmtId="4" fontId="0" fillId="0" borderId="23" xfId="0" applyNumberFormat="1" applyFill="1" applyBorder="1"/>
    <xf numFmtId="4" fontId="0" fillId="0" borderId="41" xfId="0" applyNumberFormat="1" applyBorder="1" applyAlignment="1">
      <alignment horizontal="right"/>
    </xf>
    <xf numFmtId="4" fontId="0" fillId="0" borderId="21" xfId="0" applyNumberFormat="1" applyFont="1" applyBorder="1" applyAlignment="1">
      <alignment horizontal="right" vertical="center"/>
    </xf>
    <xf numFmtId="4" fontId="0" fillId="0" borderId="52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18" xfId="0" applyFont="1" applyBorder="1"/>
    <xf numFmtId="0" fontId="36" fillId="0" borderId="1" xfId="0" applyFont="1" applyBorder="1"/>
    <xf numFmtId="0" fontId="36" fillId="0" borderId="1" xfId="0" applyFont="1" applyBorder="1" applyAlignment="1">
      <alignment horizontal="center" vertical="center"/>
    </xf>
    <xf numFmtId="0" fontId="0" fillId="0" borderId="28" xfId="0" applyBorder="1"/>
    <xf numFmtId="2" fontId="0" fillId="0" borderId="29" xfId="0" applyNumberFormat="1" applyBorder="1"/>
    <xf numFmtId="0" fontId="0" fillId="0" borderId="30" xfId="0" applyBorder="1" applyAlignment="1">
      <alignment horizontal="center" vertical="center"/>
    </xf>
    <xf numFmtId="2" fontId="0" fillId="2" borderId="22" xfId="0" applyNumberFormat="1" applyFill="1" applyBorder="1"/>
    <xf numFmtId="0" fontId="1" fillId="0" borderId="28" xfId="0" applyFont="1" applyBorder="1"/>
    <xf numFmtId="0" fontId="1" fillId="0" borderId="29" xfId="0" applyFont="1" applyBorder="1"/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/>
    <xf numFmtId="0" fontId="0" fillId="0" borderId="5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0" xfId="0" applyBorder="1"/>
    <xf numFmtId="0" fontId="0" fillId="0" borderId="61" xfId="0" applyBorder="1"/>
    <xf numFmtId="0" fontId="36" fillId="0" borderId="61" xfId="0" applyFont="1" applyBorder="1"/>
    <xf numFmtId="0" fontId="12" fillId="0" borderId="61" xfId="0" applyFont="1" applyBorder="1"/>
    <xf numFmtId="0" fontId="0" fillId="0" borderId="61" xfId="0" applyBorder="1" applyAlignment="1">
      <alignment vertical="center"/>
    </xf>
    <xf numFmtId="0" fontId="0" fillId="0" borderId="62" xfId="0" applyBorder="1"/>
    <xf numFmtId="0" fontId="0" fillId="0" borderId="55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vertical="center" wrapText="1"/>
    </xf>
    <xf numFmtId="0" fontId="3" fillId="0" borderId="43" xfId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12" fillId="2" borderId="1" xfId="0" applyFont="1" applyFill="1" applyBorder="1"/>
    <xf numFmtId="0" fontId="12" fillId="0" borderId="1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0" xfId="0" applyFill="1"/>
    <xf numFmtId="0" fontId="0" fillId="0" borderId="1" xfId="0" applyFill="1" applyBorder="1" applyAlignment="1">
      <alignment horizontal="center"/>
    </xf>
    <xf numFmtId="10" fontId="12" fillId="0" borderId="1" xfId="2" applyNumberFormat="1" applyFont="1" applyFill="1" applyBorder="1"/>
    <xf numFmtId="2" fontId="12" fillId="5" borderId="1" xfId="0" applyNumberFormat="1" applyFont="1" applyFill="1" applyBorder="1"/>
    <xf numFmtId="10" fontId="12" fillId="5" borderId="1" xfId="2" applyNumberFormat="1" applyFont="1" applyFill="1" applyBorder="1"/>
    <xf numFmtId="2" fontId="12" fillId="0" borderId="1" xfId="0" applyNumberFormat="1" applyFont="1" applyFill="1" applyBorder="1" applyAlignment="1">
      <alignment vertical="center"/>
    </xf>
    <xf numFmtId="2" fontId="12" fillId="0" borderId="22" xfId="0" applyNumberFormat="1" applyFont="1" applyFill="1" applyBorder="1" applyAlignment="1">
      <alignment vertical="center"/>
    </xf>
    <xf numFmtId="2" fontId="12" fillId="2" borderId="1" xfId="0" applyNumberFormat="1" applyFont="1" applyFill="1" applyBorder="1" applyAlignment="1">
      <alignment vertical="center"/>
    </xf>
    <xf numFmtId="169" fontId="0" fillId="0" borderId="5" xfId="2" applyNumberFormat="1" applyFont="1" applyFill="1" applyBorder="1"/>
    <xf numFmtId="169" fontId="2" fillId="0" borderId="0" xfId="2" applyNumberFormat="1" applyFont="1" applyFill="1" applyBorder="1" applyAlignment="1">
      <alignment horizontal="right"/>
    </xf>
    <xf numFmtId="0" fontId="0" fillId="0" borderId="2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12" fillId="2" borderId="1" xfId="0" applyNumberFormat="1" applyFont="1" applyFill="1" applyBorder="1"/>
    <xf numFmtId="2" fontId="12" fillId="2" borderId="22" xfId="0" applyNumberFormat="1" applyFont="1" applyFill="1" applyBorder="1"/>
    <xf numFmtId="0" fontId="37" fillId="0" borderId="22" xfId="1" applyFont="1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24" xfId="0" applyNumberFormat="1" applyBorder="1"/>
    <xf numFmtId="2" fontId="0" fillId="0" borderId="15" xfId="0" applyNumberFormat="1" applyBorder="1"/>
    <xf numFmtId="2" fontId="0" fillId="0" borderId="42" xfId="0" applyNumberFormat="1" applyBorder="1"/>
    <xf numFmtId="0" fontId="0" fillId="0" borderId="2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1" fillId="4" borderId="38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/>
    </xf>
    <xf numFmtId="181" fontId="0" fillId="2" borderId="1" xfId="0" applyNumberFormat="1" applyFont="1" applyFill="1" applyBorder="1" applyAlignment="1">
      <alignment horizontal="right" vertical="center"/>
    </xf>
    <xf numFmtId="4" fontId="0" fillId="0" borderId="17" xfId="0" applyNumberFormat="1" applyFill="1" applyBorder="1"/>
    <xf numFmtId="2" fontId="0" fillId="0" borderId="1" xfId="0" applyNumberForma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44" xfId="0" applyNumberFormat="1" applyBorder="1"/>
    <xf numFmtId="4" fontId="0" fillId="0" borderId="45" xfId="0" applyNumberFormat="1" applyBorder="1"/>
    <xf numFmtId="4" fontId="0" fillId="0" borderId="53" xfId="0" applyNumberFormat="1" applyBorder="1" applyAlignment="1">
      <alignment horizontal="right" vertical="center"/>
    </xf>
    <xf numFmtId="4" fontId="0" fillId="0" borderId="48" xfId="0" applyNumberFormat="1" applyBorder="1" applyAlignment="1">
      <alignment horizontal="right" vertical="center"/>
    </xf>
    <xf numFmtId="4" fontId="0" fillId="0" borderId="47" xfId="0" applyNumberFormat="1" applyFill="1" applyBorder="1"/>
    <xf numFmtId="4" fontId="0" fillId="0" borderId="17" xfId="0" applyNumberFormat="1" applyFill="1" applyBorder="1" applyAlignment="1">
      <alignment vertical="center"/>
    </xf>
    <xf numFmtId="4" fontId="1" fillId="0" borderId="46" xfId="0" applyNumberFormat="1" applyFont="1" applyBorder="1" applyAlignment="1">
      <alignment horizontal="right"/>
    </xf>
    <xf numFmtId="4" fontId="0" fillId="0" borderId="53" xfId="0" applyNumberFormat="1" applyBorder="1" applyAlignment="1">
      <alignment horizontal="right"/>
    </xf>
    <xf numFmtId="4" fontId="0" fillId="0" borderId="17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4" fontId="1" fillId="0" borderId="46" xfId="0" applyNumberFormat="1" applyFont="1" applyBorder="1" applyAlignment="1">
      <alignment horizontal="right" vertical="center"/>
    </xf>
    <xf numFmtId="0" fontId="1" fillId="0" borderId="46" xfId="0" applyFont="1" applyBorder="1" applyAlignment="1">
      <alignment horizontal="center" vertical="center" wrapText="1"/>
    </xf>
    <xf numFmtId="4" fontId="0" fillId="0" borderId="15" xfId="0" applyNumberFormat="1" applyFont="1" applyBorder="1"/>
    <xf numFmtId="4" fontId="0" fillId="0" borderId="33" xfId="0" applyNumberFormat="1" applyFont="1" applyBorder="1"/>
    <xf numFmtId="4" fontId="0" fillId="0" borderId="20" xfId="0" applyNumberFormat="1" applyBorder="1"/>
    <xf numFmtId="4" fontId="0" fillId="0" borderId="20" xfId="0" applyNumberFormat="1" applyFont="1" applyBorder="1"/>
    <xf numFmtId="4" fontId="0" fillId="0" borderId="65" xfId="0" applyNumberFormat="1" applyFont="1" applyBorder="1"/>
    <xf numFmtId="4" fontId="0" fillId="0" borderId="44" xfId="0" applyNumberFormat="1" applyFont="1" applyBorder="1"/>
    <xf numFmtId="4" fontId="0" fillId="0" borderId="45" xfId="0" applyNumberFormat="1" applyFont="1" applyBorder="1"/>
    <xf numFmtId="4" fontId="0" fillId="0" borderId="6" xfId="0" applyNumberFormat="1" applyBorder="1"/>
    <xf numFmtId="4" fontId="0" fillId="0" borderId="48" xfId="0" applyNumberFormat="1" applyBorder="1"/>
    <xf numFmtId="4" fontId="0" fillId="0" borderId="67" xfId="0" applyNumberFormat="1" applyBorder="1"/>
    <xf numFmtId="4" fontId="1" fillId="0" borderId="0" xfId="0" applyNumberFormat="1" applyFont="1" applyBorder="1" applyAlignment="1">
      <alignment horizontal="right" vertical="center"/>
    </xf>
    <xf numFmtId="4" fontId="1" fillId="0" borderId="46" xfId="0" applyNumberFormat="1" applyFont="1" applyBorder="1"/>
    <xf numFmtId="4" fontId="1" fillId="0" borderId="29" xfId="0" applyNumberFormat="1" applyFont="1" applyBorder="1"/>
    <xf numFmtId="4" fontId="1" fillId="0" borderId="30" xfId="0" applyNumberFormat="1" applyFont="1" applyBorder="1"/>
    <xf numFmtId="0" fontId="0" fillId="0" borderId="5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82" fontId="0" fillId="0" borderId="26" xfId="0" applyNumberFormat="1" applyFill="1" applyBorder="1"/>
    <xf numFmtId="2" fontId="0" fillId="0" borderId="21" xfId="0" applyNumberFormat="1" applyFill="1" applyBorder="1"/>
    <xf numFmtId="2" fontId="0" fillId="0" borderId="21" xfId="0" applyNumberFormat="1" applyFill="1" applyBorder="1" applyAlignment="1">
      <alignment vertical="center"/>
    </xf>
    <xf numFmtId="2" fontId="0" fillId="0" borderId="31" xfId="0" applyNumberFormat="1" applyFill="1" applyBorder="1"/>
    <xf numFmtId="2" fontId="0" fillId="0" borderId="41" xfId="0" applyNumberFormat="1" applyFill="1" applyBorder="1"/>
    <xf numFmtId="2" fontId="0" fillId="2" borderId="21" xfId="0" applyNumberFormat="1" applyFill="1" applyBorder="1" applyAlignment="1">
      <alignment vertical="center"/>
    </xf>
    <xf numFmtId="2" fontId="12" fillId="0" borderId="26" xfId="0" applyNumberFormat="1" applyFont="1" applyFill="1" applyBorder="1"/>
    <xf numFmtId="2" fontId="12" fillId="0" borderId="21" xfId="0" applyNumberFormat="1" applyFont="1" applyFill="1" applyBorder="1"/>
    <xf numFmtId="2" fontId="12" fillId="2" borderId="21" xfId="0" applyNumberFormat="1" applyFont="1" applyFill="1" applyBorder="1"/>
    <xf numFmtId="2" fontId="12" fillId="2" borderId="21" xfId="0" applyNumberFormat="1" applyFont="1" applyFill="1" applyBorder="1" applyAlignment="1">
      <alignment vertical="center"/>
    </xf>
    <xf numFmtId="2" fontId="0" fillId="2" borderId="21" xfId="0" applyNumberFormat="1" applyFill="1" applyBorder="1"/>
    <xf numFmtId="2" fontId="0" fillId="0" borderId="23" xfId="0" applyNumberFormat="1" applyFill="1" applyBorder="1" applyAlignment="1">
      <alignment vertical="center"/>
    </xf>
    <xf numFmtId="0" fontId="0" fillId="0" borderId="26" xfId="0" applyFont="1" applyBorder="1"/>
    <xf numFmtId="0" fontId="1" fillId="0" borderId="3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70" fontId="0" fillId="0" borderId="0" xfId="0" applyNumberFormat="1"/>
    <xf numFmtId="183" fontId="0" fillId="0" borderId="21" xfId="0" applyNumberFormat="1" applyFill="1" applyBorder="1"/>
    <xf numFmtId="183" fontId="0" fillId="0" borderId="1" xfId="0" applyNumberFormat="1" applyFill="1" applyBorder="1"/>
    <xf numFmtId="183" fontId="0" fillId="2" borderId="1" xfId="0" applyNumberFormat="1" applyFill="1" applyBorder="1"/>
    <xf numFmtId="183" fontId="0" fillId="0" borderId="22" xfId="0" applyNumberFormat="1" applyFill="1" applyBorder="1"/>
    <xf numFmtId="184" fontId="0" fillId="0" borderId="21" xfId="0" applyNumberFormat="1" applyFill="1" applyBorder="1"/>
    <xf numFmtId="184" fontId="0" fillId="0" borderId="1" xfId="0" applyNumberFormat="1" applyFill="1" applyBorder="1"/>
    <xf numFmtId="184" fontId="0" fillId="2" borderId="1" xfId="0" applyNumberFormat="1" applyFill="1" applyBorder="1"/>
    <xf numFmtId="184" fontId="0" fillId="0" borderId="22" xfId="0" applyNumberFormat="1" applyFill="1" applyBorder="1"/>
    <xf numFmtId="184" fontId="0" fillId="0" borderId="21" xfId="0" applyNumberFormat="1" applyFill="1" applyBorder="1" applyAlignment="1">
      <alignment vertical="center"/>
    </xf>
    <xf numFmtId="184" fontId="0" fillId="0" borderId="1" xfId="0" applyNumberFormat="1" applyFill="1" applyBorder="1" applyAlignment="1">
      <alignment vertical="center"/>
    </xf>
    <xf numFmtId="184" fontId="0" fillId="2" borderId="1" xfId="0" applyNumberFormat="1" applyFill="1" applyBorder="1" applyAlignment="1">
      <alignment vertical="center"/>
    </xf>
    <xf numFmtId="184" fontId="0" fillId="0" borderId="22" xfId="0" applyNumberFormat="1" applyFill="1" applyBorder="1" applyAlignment="1">
      <alignment vertical="center"/>
    </xf>
    <xf numFmtId="184" fontId="0" fillId="0" borderId="31" xfId="0" applyNumberFormat="1" applyFill="1" applyBorder="1"/>
    <xf numFmtId="184" fontId="0" fillId="0" borderId="15" xfId="0" applyNumberFormat="1" applyFill="1" applyBorder="1"/>
    <xf numFmtId="184" fontId="0" fillId="0" borderId="33" xfId="0" applyNumberFormat="1" applyFill="1" applyBorder="1"/>
    <xf numFmtId="170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1" xfId="0" applyNumberFormat="1" applyBorder="1"/>
    <xf numFmtId="170" fontId="0" fillId="0" borderId="1" xfId="0" applyNumberFormat="1" applyBorder="1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Fill="1" applyBorder="1"/>
    <xf numFmtId="170" fontId="0" fillId="0" borderId="18" xfId="0" applyNumberFormat="1" applyBorder="1"/>
    <xf numFmtId="0" fontId="1" fillId="0" borderId="16" xfId="0" applyFont="1" applyBorder="1"/>
    <xf numFmtId="0" fontId="0" fillId="0" borderId="4" xfId="0" applyFill="1" applyBorder="1"/>
    <xf numFmtId="0" fontId="0" fillId="0" borderId="15" xfId="0" applyFill="1" applyBorder="1"/>
    <xf numFmtId="1" fontId="0" fillId="0" borderId="15" xfId="0" applyNumberFormat="1" applyBorder="1"/>
    <xf numFmtId="170" fontId="0" fillId="0" borderId="2" xfId="0" applyNumberFormat="1" applyBorder="1"/>
    <xf numFmtId="0" fontId="0" fillId="0" borderId="0" xfId="0" pivotButton="1"/>
    <xf numFmtId="0" fontId="0" fillId="0" borderId="53" xfId="0" applyFill="1" applyBorder="1"/>
    <xf numFmtId="0" fontId="0" fillId="0" borderId="16" xfId="0" applyFill="1" applyBorder="1"/>
    <xf numFmtId="3" fontId="0" fillId="0" borderId="16" xfId="0" applyNumberFormat="1" applyBorder="1" applyAlignment="1">
      <alignment horizontal="center"/>
    </xf>
    <xf numFmtId="1" fontId="0" fillId="0" borderId="16" xfId="0" applyNumberFormat="1" applyBorder="1"/>
    <xf numFmtId="170" fontId="0" fillId="0" borderId="57" xfId="0" applyNumberFormat="1" applyBorder="1"/>
    <xf numFmtId="0" fontId="0" fillId="8" borderId="1" xfId="0" applyFill="1" applyBorder="1" applyAlignment="1">
      <alignment horizontal="left" vertical="center"/>
    </xf>
    <xf numFmtId="0" fontId="8" fillId="8" borderId="1" xfId="0" applyFont="1" applyFill="1" applyBorder="1"/>
    <xf numFmtId="0" fontId="0" fillId="8" borderId="1" xfId="0" applyFill="1" applyBorder="1" applyAlignment="1">
      <alignment horizontal="left"/>
    </xf>
    <xf numFmtId="3" fontId="0" fillId="8" borderId="1" xfId="0" applyNumberFormat="1" applyFill="1" applyBorder="1"/>
    <xf numFmtId="3" fontId="0" fillId="0" borderId="1" xfId="0" applyNumberFormat="1" applyBorder="1" applyAlignment="1">
      <alignment horizontal="righ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right"/>
    </xf>
    <xf numFmtId="3" fontId="0" fillId="0" borderId="17" xfId="0" applyNumberFormat="1" applyBorder="1"/>
    <xf numFmtId="170" fontId="0" fillId="8" borderId="18" xfId="0" applyNumberFormat="1" applyFill="1" applyBorder="1"/>
    <xf numFmtId="170" fontId="0" fillId="0" borderId="18" xfId="0" applyNumberFormat="1" applyBorder="1" applyAlignment="1">
      <alignment horizontal="right"/>
    </xf>
    <xf numFmtId="0" fontId="0" fillId="0" borderId="17" xfId="0" applyBorder="1" applyAlignment="1">
      <alignment horizontal="left" vertical="center"/>
    </xf>
    <xf numFmtId="3" fontId="0" fillId="0" borderId="1" xfId="0" applyNumberFormat="1" applyBorder="1" applyAlignment="1">
      <alignment horizontal="left"/>
    </xf>
    <xf numFmtId="3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170" fontId="0" fillId="0" borderId="2" xfId="0" applyNumberFormat="1" applyBorder="1" applyAlignment="1">
      <alignment horizontal="right"/>
    </xf>
    <xf numFmtId="0" fontId="1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20" xfId="0" applyFont="1" applyFill="1" applyBorder="1"/>
    <xf numFmtId="9" fontId="0" fillId="0" borderId="1" xfId="2" applyFont="1" applyBorder="1" applyAlignment="1">
      <alignment horizontal="center"/>
    </xf>
    <xf numFmtId="3" fontId="0" fillId="2" borderId="1" xfId="0" applyNumberFormat="1" applyFill="1" applyBorder="1"/>
    <xf numFmtId="3" fontId="13" fillId="0" borderId="0" xfId="0" applyNumberFormat="1" applyFont="1"/>
    <xf numFmtId="9" fontId="0" fillId="0" borderId="0" xfId="2" applyFont="1" applyFill="1"/>
    <xf numFmtId="169" fontId="0" fillId="0" borderId="0" xfId="2" applyNumberFormat="1" applyFont="1" applyFill="1"/>
    <xf numFmtId="0" fontId="1" fillId="0" borderId="1" xfId="0" applyFont="1" applyFill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Fill="1" applyBorder="1"/>
    <xf numFmtId="4" fontId="0" fillId="0" borderId="18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0" fillId="0" borderId="57" xfId="0" applyNumberFormat="1" applyBorder="1" applyAlignment="1">
      <alignment horizontal="right" vertical="center"/>
    </xf>
    <xf numFmtId="4" fontId="0" fillId="0" borderId="41" xfId="0" applyNumberFormat="1" applyBorder="1" applyAlignment="1">
      <alignment horizontal="right" vertical="center"/>
    </xf>
    <xf numFmtId="4" fontId="0" fillId="0" borderId="42" xfId="0" applyNumberFormat="1" applyBorder="1" applyAlignment="1">
      <alignment horizontal="right" vertical="center"/>
    </xf>
    <xf numFmtId="4" fontId="0" fillId="0" borderId="43" xfId="0" applyNumberFormat="1" applyBorder="1" applyAlignment="1">
      <alignment horizontal="right" vertical="center"/>
    </xf>
    <xf numFmtId="4" fontId="1" fillId="0" borderId="37" xfId="0" applyNumberFormat="1" applyFont="1" applyBorder="1" applyAlignment="1">
      <alignment horizontal="right" vertical="center"/>
    </xf>
    <xf numFmtId="4" fontId="0" fillId="0" borderId="39" xfId="0" applyNumberFormat="1" applyFill="1" applyBorder="1"/>
    <xf numFmtId="4" fontId="0" fillId="0" borderId="40" xfId="0" applyNumberFormat="1" applyFill="1" applyBorder="1"/>
    <xf numFmtId="0" fontId="1" fillId="0" borderId="23" xfId="0" applyFont="1" applyBorder="1" applyAlignment="1">
      <alignment vertical="center" wrapText="1"/>
    </xf>
    <xf numFmtId="0" fontId="0" fillId="0" borderId="59" xfId="0" applyBorder="1" applyAlignment="1">
      <alignment vertical="center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3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0" fillId="0" borderId="31" xfId="0" applyBorder="1" applyAlignment="1">
      <alignment horizontal="left" vertical="center" indent="2"/>
    </xf>
    <xf numFmtId="0" fontId="0" fillId="0" borderId="2" xfId="0" applyBorder="1" applyAlignment="1">
      <alignment horizontal="left" vertical="center" indent="2"/>
    </xf>
    <xf numFmtId="0" fontId="0" fillId="0" borderId="52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21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1" fillId="0" borderId="28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 indent="1"/>
    </xf>
    <xf numFmtId="0" fontId="0" fillId="0" borderId="57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2"/>
    </xf>
    <xf numFmtId="0" fontId="0" fillId="0" borderId="18" xfId="0" applyBorder="1" applyAlignment="1">
      <alignment horizontal="left" vertical="center" indent="2"/>
    </xf>
    <xf numFmtId="0" fontId="0" fillId="0" borderId="21" xfId="0" applyFont="1" applyBorder="1" applyAlignment="1">
      <alignment horizontal="left" vertical="center" indent="1"/>
    </xf>
    <xf numFmtId="0" fontId="0" fillId="0" borderId="18" xfId="0" applyFont="1" applyBorder="1" applyAlignment="1">
      <alignment horizontal="left" vertical="center" indent="1"/>
    </xf>
    <xf numFmtId="0" fontId="0" fillId="0" borderId="68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8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0" fillId="0" borderId="22" xfId="0" applyFont="1" applyBorder="1" applyAlignment="1">
      <alignment horizontal="left" vertical="center" indent="1"/>
    </xf>
    <xf numFmtId="0" fontId="0" fillId="0" borderId="22" xfId="0" applyBorder="1" applyAlignment="1">
      <alignment horizontal="left" vertical="center" indent="2"/>
    </xf>
    <xf numFmtId="0" fontId="0" fillId="0" borderId="64" xfId="0" applyBorder="1" applyAlignment="1">
      <alignment horizontal="left" vertical="center" indent="2"/>
    </xf>
    <xf numFmtId="0" fontId="0" fillId="0" borderId="61" xfId="0" applyBorder="1" applyAlignment="1">
      <alignment horizontal="left" vertical="center" indent="2"/>
    </xf>
    <xf numFmtId="0" fontId="0" fillId="0" borderId="33" xfId="0" applyBorder="1" applyAlignment="1">
      <alignment horizontal="left" vertical="center" indent="2"/>
    </xf>
    <xf numFmtId="0" fontId="0" fillId="0" borderId="22" xfId="0" applyBorder="1" applyAlignment="1">
      <alignment horizontal="left" vertical="center" indent="1"/>
    </xf>
    <xf numFmtId="0" fontId="0" fillId="0" borderId="34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21" xfId="0" applyBorder="1" applyAlignment="1">
      <alignment horizontal="left" vertical="center" indent="3"/>
    </xf>
    <xf numFmtId="0" fontId="0" fillId="0" borderId="18" xfId="0" applyBorder="1" applyAlignment="1">
      <alignment horizontal="left" vertical="center" indent="3"/>
    </xf>
    <xf numFmtId="0" fontId="0" fillId="0" borderId="41" xfId="0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0" fontId="1" fillId="0" borderId="30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69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wrapText="1"/>
    </xf>
  </cellXfs>
  <cellStyles count="164">
    <cellStyle name="Comma [0] 2" xfId="5" xr:uid="{00000000-0005-0000-0000-000031000000}"/>
    <cellStyle name="Comma [0] 2 2" xfId="6" xr:uid="{00000000-0005-0000-0000-000032000000}"/>
    <cellStyle name="Comma [0] 2 2 2" xfId="78" xr:uid="{00000000-0005-0000-0000-00007B000000}"/>
    <cellStyle name="Comma [0] 2 2 3" xfId="117" xr:uid="{00000000-0005-0000-0000-0000A3000000}"/>
    <cellStyle name="Comma [0] 2 3" xfId="7" xr:uid="{00000000-0005-0000-0000-000033000000}"/>
    <cellStyle name="Comma [0] 2 4" xfId="116" xr:uid="{00000000-0005-0000-0000-0000A2000000}"/>
    <cellStyle name="Comma [0] 3" xfId="8" xr:uid="{00000000-0005-0000-0000-000034000000}"/>
    <cellStyle name="Comma [0] 3 2" xfId="79" xr:uid="{00000000-0005-0000-0000-00007C000000}"/>
    <cellStyle name="Comma [0] 3 3" xfId="118" xr:uid="{00000000-0005-0000-0000-0000A4000000}"/>
    <cellStyle name="Comma 10" xfId="9" xr:uid="{00000000-0005-0000-0000-000035000000}"/>
    <cellStyle name="Comma 10 2" xfId="120" xr:uid="{00000000-0005-0000-0000-0000A6000000}"/>
    <cellStyle name="Comma 10 3" xfId="119" xr:uid="{00000000-0005-0000-0000-0000A5000000}"/>
    <cellStyle name="Comma 11" xfId="10" xr:uid="{00000000-0005-0000-0000-000036000000}"/>
    <cellStyle name="Comma 11 2" xfId="121" xr:uid="{00000000-0005-0000-0000-0000A7000000}"/>
    <cellStyle name="Comma 12" xfId="122" xr:uid="{00000000-0005-0000-0000-0000A8000000}"/>
    <cellStyle name="Comma 13" xfId="123" xr:uid="{00000000-0005-0000-0000-0000A9000000}"/>
    <cellStyle name="Comma 14" xfId="124" xr:uid="{00000000-0005-0000-0000-0000AA000000}"/>
    <cellStyle name="Comma 2" xfId="11" xr:uid="{00000000-0005-0000-0000-000037000000}"/>
    <cellStyle name="Comma 2 2" xfId="12" xr:uid="{00000000-0005-0000-0000-000038000000}"/>
    <cellStyle name="Comma 2 2 2" xfId="81" xr:uid="{00000000-0005-0000-0000-00007E000000}"/>
    <cellStyle name="Comma 2 2 3" xfId="126" xr:uid="{00000000-0005-0000-0000-0000AC000000}"/>
    <cellStyle name="Comma 2 3" xfId="13" xr:uid="{00000000-0005-0000-0000-000039000000}"/>
    <cellStyle name="Comma 2 3 2" xfId="127" xr:uid="{00000000-0005-0000-0000-0000AD000000}"/>
    <cellStyle name="Comma 2 4" xfId="14" xr:uid="{00000000-0005-0000-0000-00003A000000}"/>
    <cellStyle name="Comma 2 4 2" xfId="15" xr:uid="{00000000-0005-0000-0000-00003B000000}"/>
    <cellStyle name="Comma 2 4 3" xfId="128" xr:uid="{00000000-0005-0000-0000-0000AE000000}"/>
    <cellStyle name="Comma 2 5" xfId="16" xr:uid="{00000000-0005-0000-0000-00003C000000}"/>
    <cellStyle name="Comma 2 5 2" xfId="83" xr:uid="{00000000-0005-0000-0000-00007F000000}"/>
    <cellStyle name="Comma 2 6" xfId="84" xr:uid="{00000000-0005-0000-0000-000080000000}"/>
    <cellStyle name="Comma 2 7" xfId="85" xr:uid="{00000000-0005-0000-0000-000081000000}"/>
    <cellStyle name="Comma 2 7 2" xfId="129" xr:uid="{00000000-0005-0000-0000-0000AF000000}"/>
    <cellStyle name="Comma 2 8" xfId="80" xr:uid="{00000000-0005-0000-0000-00007D000000}"/>
    <cellStyle name="Comma 2 9" xfId="125" xr:uid="{00000000-0005-0000-0000-0000AB000000}"/>
    <cellStyle name="Comma 2_Book1" xfId="17" xr:uid="{00000000-0005-0000-0000-00003D000000}"/>
    <cellStyle name="Comma 3" xfId="18" xr:uid="{00000000-0005-0000-0000-00003E000000}"/>
    <cellStyle name="Comma 3 2" xfId="19" xr:uid="{00000000-0005-0000-0000-00003F000000}"/>
    <cellStyle name="Comma 3 2 2" xfId="131" xr:uid="{00000000-0005-0000-0000-0000B2000000}"/>
    <cellStyle name="Comma 3 3" xfId="130" xr:uid="{00000000-0005-0000-0000-0000B1000000}"/>
    <cellStyle name="Comma 4" xfId="20" xr:uid="{00000000-0005-0000-0000-000040000000}"/>
    <cellStyle name="Comma 4 2" xfId="21" xr:uid="{00000000-0005-0000-0000-000041000000}"/>
    <cellStyle name="Comma 4 2 2" xfId="86" xr:uid="{00000000-0005-0000-0000-000082000000}"/>
    <cellStyle name="Comma 4 2 3" xfId="133" xr:uid="{00000000-0005-0000-0000-0000B4000000}"/>
    <cellStyle name="Comma 4 3" xfId="87" xr:uid="{00000000-0005-0000-0000-000083000000}"/>
    <cellStyle name="Comma 4 4" xfId="132" xr:uid="{00000000-0005-0000-0000-0000B3000000}"/>
    <cellStyle name="Comma 5" xfId="22" xr:uid="{00000000-0005-0000-0000-000042000000}"/>
    <cellStyle name="Comma 5 2" xfId="23" xr:uid="{00000000-0005-0000-0000-000043000000}"/>
    <cellStyle name="Comma 5 2 2" xfId="88" xr:uid="{00000000-0005-0000-0000-000084000000}"/>
    <cellStyle name="Comma 5 2 3" xfId="135" xr:uid="{00000000-0005-0000-0000-0000B6000000}"/>
    <cellStyle name="Comma 5 3" xfId="134" xr:uid="{00000000-0005-0000-0000-0000B5000000}"/>
    <cellStyle name="Comma 6" xfId="24" xr:uid="{00000000-0005-0000-0000-000044000000}"/>
    <cellStyle name="Comma 6 2" xfId="136" xr:uid="{00000000-0005-0000-0000-0000B7000000}"/>
    <cellStyle name="Comma 7" xfId="25" xr:uid="{00000000-0005-0000-0000-000045000000}"/>
    <cellStyle name="Comma 7 2" xfId="90" xr:uid="{00000000-0005-0000-0000-000086000000}"/>
    <cellStyle name="Comma 7 3" xfId="89" xr:uid="{00000000-0005-0000-0000-000085000000}"/>
    <cellStyle name="Comma 8" xfId="26" xr:uid="{00000000-0005-0000-0000-000046000000}"/>
    <cellStyle name="Comma 8 2" xfId="91" xr:uid="{00000000-0005-0000-0000-000087000000}"/>
    <cellStyle name="Comma 8 2 2" xfId="138" xr:uid="{00000000-0005-0000-0000-0000B9000000}"/>
    <cellStyle name="Comma 8 3" xfId="139" xr:uid="{00000000-0005-0000-0000-0000BA000000}"/>
    <cellStyle name="Comma 8 4" xfId="137" xr:uid="{00000000-0005-0000-0000-0000B8000000}"/>
    <cellStyle name="Comma 9" xfId="27" xr:uid="{00000000-0005-0000-0000-000047000000}"/>
    <cellStyle name="Comma 9 2" xfId="92" xr:uid="{00000000-0005-0000-0000-000088000000}"/>
    <cellStyle name="Comma_retail graph 2" xfId="28" xr:uid="{00000000-0005-0000-0000-000048000000}"/>
    <cellStyle name="Currency 2" xfId="140" xr:uid="{00000000-0005-0000-0000-0000BB000000}"/>
    <cellStyle name="Excel Built-in Comma" xfId="29" xr:uid="{00000000-0005-0000-0000-000049000000}"/>
    <cellStyle name="Excel Built-in Normal" xfId="93" xr:uid="{00000000-0005-0000-0000-000089000000}"/>
    <cellStyle name="Excel Built-in Percent" xfId="30" xr:uid="{00000000-0005-0000-0000-00004A000000}"/>
    <cellStyle name="Hipervínculo" xfId="1" builtinId="8"/>
    <cellStyle name="Hipervínculo 2" xfId="31" xr:uid="{00000000-0005-0000-0000-00004B000000}"/>
    <cellStyle name="Hipervínculo 3" xfId="94" xr:uid="{00000000-0005-0000-0000-00008A000000}"/>
    <cellStyle name="Hipervínculo 4" xfId="141" xr:uid="{00000000-0005-0000-0000-0000BC000000}"/>
    <cellStyle name="Hyperlink 2" xfId="95" xr:uid="{00000000-0005-0000-0000-00008B000000}"/>
    <cellStyle name="Hyperlink 3" xfId="96" xr:uid="{00000000-0005-0000-0000-00008C000000}"/>
    <cellStyle name="Hyperlink 4" xfId="142" xr:uid="{00000000-0005-0000-0000-0000BD000000}"/>
    <cellStyle name="Hyperlink 5" xfId="143" xr:uid="{00000000-0005-0000-0000-0000BE000000}"/>
    <cellStyle name="Hyperlink 6" xfId="144" xr:uid="{00000000-0005-0000-0000-0000BF000000}"/>
    <cellStyle name="Hyperlink 7" xfId="145" xr:uid="{00000000-0005-0000-0000-0000C0000000}"/>
    <cellStyle name="Millares" xfId="163" builtinId="3"/>
    <cellStyle name="Millares 2" xfId="4" xr:uid="{00000000-0005-0000-0000-00004C000000}"/>
    <cellStyle name="Millares 3" xfId="77" xr:uid="{00000000-0005-0000-0000-00008D000000}"/>
    <cellStyle name="Normal" xfId="0" builtinId="0"/>
    <cellStyle name="Normal 10" xfId="32" xr:uid="{00000000-0005-0000-0000-00004E000000}"/>
    <cellStyle name="Normal 10 2" xfId="98" xr:uid="{00000000-0005-0000-0000-00008F000000}"/>
    <cellStyle name="Normal 10 3" xfId="97" xr:uid="{00000000-0005-0000-0000-00008E000000}"/>
    <cellStyle name="Normal 11" xfId="3" xr:uid="{00000000-0005-0000-0000-00004D000000}"/>
    <cellStyle name="Normal 11 2" xfId="99" xr:uid="{00000000-0005-0000-0000-000090000000}"/>
    <cellStyle name="Normal 12" xfId="100" xr:uid="{00000000-0005-0000-0000-000091000000}"/>
    <cellStyle name="Normal 12 2" xfId="147" xr:uid="{00000000-0005-0000-0000-0000C2000000}"/>
    <cellStyle name="Normal 12 3" xfId="146" xr:uid="{00000000-0005-0000-0000-0000C1000000}"/>
    <cellStyle name="Normal 13" xfId="101" xr:uid="{00000000-0005-0000-0000-000092000000}"/>
    <cellStyle name="Normal 13 2" xfId="102" xr:uid="{00000000-0005-0000-0000-000093000000}"/>
    <cellStyle name="Normal 14" xfId="82" xr:uid="{00000000-0005-0000-0000-0000A4000000}"/>
    <cellStyle name="Normal 14 2" xfId="148" xr:uid="{00000000-0005-0000-0000-0000C3000000}"/>
    <cellStyle name="Normal 2" xfId="33" xr:uid="{00000000-0005-0000-0000-00004F000000}"/>
    <cellStyle name="Normal 2 13" xfId="149" xr:uid="{00000000-0005-0000-0000-0000C4000000}"/>
    <cellStyle name="Normal 2 2" xfId="34" xr:uid="{00000000-0005-0000-0000-000050000000}"/>
    <cellStyle name="Normal 2 2 2" xfId="35" xr:uid="{00000000-0005-0000-0000-000051000000}"/>
    <cellStyle name="Normal 2 2 2 2" xfId="105" xr:uid="{00000000-0005-0000-0000-000096000000}"/>
    <cellStyle name="Normal 2 2 3" xfId="36" xr:uid="{00000000-0005-0000-0000-000052000000}"/>
    <cellStyle name="Normal 2 2 4" xfId="104" xr:uid="{00000000-0005-0000-0000-000095000000}"/>
    <cellStyle name="Normal 2 3" xfId="106" xr:uid="{00000000-0005-0000-0000-000097000000}"/>
    <cellStyle name="Normal 2 3 2" xfId="107" xr:uid="{00000000-0005-0000-0000-000098000000}"/>
    <cellStyle name="Normal 2 4" xfId="108" xr:uid="{00000000-0005-0000-0000-000099000000}"/>
    <cellStyle name="Normal 2 5" xfId="109" xr:uid="{00000000-0005-0000-0000-00009A000000}"/>
    <cellStyle name="Normal 2 6" xfId="110" xr:uid="{00000000-0005-0000-0000-00009B000000}"/>
    <cellStyle name="Normal 2 7" xfId="103" xr:uid="{00000000-0005-0000-0000-000094000000}"/>
    <cellStyle name="Normal 2 7 2" xfId="150" xr:uid="{00000000-0005-0000-0000-0000C5000000}"/>
    <cellStyle name="Normal 3" xfId="37" xr:uid="{00000000-0005-0000-0000-000053000000}"/>
    <cellStyle name="Normal 3 2" xfId="38" xr:uid="{00000000-0005-0000-0000-000054000000}"/>
    <cellStyle name="Normal 3 2 2" xfId="39" xr:uid="{00000000-0005-0000-0000-000055000000}"/>
    <cellStyle name="Normal 3 3" xfId="40" xr:uid="{00000000-0005-0000-0000-000056000000}"/>
    <cellStyle name="Normal 3 3 2" xfId="41" xr:uid="{00000000-0005-0000-0000-000057000000}"/>
    <cellStyle name="Normal 3 4" xfId="42" xr:uid="{00000000-0005-0000-0000-000058000000}"/>
    <cellStyle name="Normal 4" xfId="43" xr:uid="{00000000-0005-0000-0000-000059000000}"/>
    <cellStyle name="Normal 4 2" xfId="44" xr:uid="{00000000-0005-0000-0000-00005A000000}"/>
    <cellStyle name="Normal 4 2 2" xfId="45" xr:uid="{00000000-0005-0000-0000-00005B000000}"/>
    <cellStyle name="Normal 4 2 2 2" xfId="46" xr:uid="{00000000-0005-0000-0000-00005C000000}"/>
    <cellStyle name="Normal 4 2 2 2 10" xfId="47" xr:uid="{00000000-0005-0000-0000-00005D000000}"/>
    <cellStyle name="Normal 4 2 2 2 2" xfId="48" xr:uid="{00000000-0005-0000-0000-00005E000000}"/>
    <cellStyle name="Normal 4 2 2 2 3" xfId="49" xr:uid="{00000000-0005-0000-0000-00005F000000}"/>
    <cellStyle name="Normal 4 2 2 2 4" xfId="50" xr:uid="{00000000-0005-0000-0000-000060000000}"/>
    <cellStyle name="Normal 4 2 2 2 5" xfId="51" xr:uid="{00000000-0005-0000-0000-000061000000}"/>
    <cellStyle name="Normal 4 2 2 2 6" xfId="52" xr:uid="{00000000-0005-0000-0000-000062000000}"/>
    <cellStyle name="Normal 4 2 2 2 7" xfId="53" xr:uid="{00000000-0005-0000-0000-000063000000}"/>
    <cellStyle name="Normal 4 2 2 2 8" xfId="54" xr:uid="{00000000-0005-0000-0000-000064000000}"/>
    <cellStyle name="Normal 4 2 2 2 9" xfId="55" xr:uid="{00000000-0005-0000-0000-000065000000}"/>
    <cellStyle name="Normal 4 2 3" xfId="56" xr:uid="{00000000-0005-0000-0000-000066000000}"/>
    <cellStyle name="Normal 4 2 3 2" xfId="57" xr:uid="{00000000-0005-0000-0000-000067000000}"/>
    <cellStyle name="Normal 4 2 3 2 2" xfId="58" xr:uid="{00000000-0005-0000-0000-000068000000}"/>
    <cellStyle name="Normal 4 2 3 2 3" xfId="59" xr:uid="{00000000-0005-0000-0000-000069000000}"/>
    <cellStyle name="Normal 4 2 3 2 4" xfId="60" xr:uid="{00000000-0005-0000-0000-00006A000000}"/>
    <cellStyle name="Normal 4 2 4" xfId="61" xr:uid="{00000000-0005-0000-0000-00006B000000}"/>
    <cellStyle name="Normal 4 2 4 2" xfId="62" xr:uid="{00000000-0005-0000-0000-00006C000000}"/>
    <cellStyle name="Normal 4 2 4 3" xfId="63" xr:uid="{00000000-0005-0000-0000-00006D000000}"/>
    <cellStyle name="Normal 4 2 5" xfId="111" xr:uid="{00000000-0005-0000-0000-00009C000000}"/>
    <cellStyle name="Normal 4 3" xfId="64" xr:uid="{00000000-0005-0000-0000-00006E000000}"/>
    <cellStyle name="Normal 4 4" xfId="151" xr:uid="{00000000-0005-0000-0000-0000C6000000}"/>
    <cellStyle name="Normal 5" xfId="65" xr:uid="{00000000-0005-0000-0000-00006F000000}"/>
    <cellStyle name="Normal 5 2" xfId="66" xr:uid="{00000000-0005-0000-0000-000070000000}"/>
    <cellStyle name="Normal 5 2 2" xfId="152" xr:uid="{00000000-0005-0000-0000-0000C7000000}"/>
    <cellStyle name="Normal 6" xfId="67" xr:uid="{00000000-0005-0000-0000-000071000000}"/>
    <cellStyle name="Normal 6 2" xfId="154" xr:uid="{00000000-0005-0000-0000-0000C9000000}"/>
    <cellStyle name="Normal 6 3" xfId="153" xr:uid="{00000000-0005-0000-0000-0000C8000000}"/>
    <cellStyle name="Normal 7" xfId="68" xr:uid="{00000000-0005-0000-0000-000072000000}"/>
    <cellStyle name="Normal 7 2" xfId="69" xr:uid="{00000000-0005-0000-0000-000073000000}"/>
    <cellStyle name="Normal 7 2 2" xfId="113" xr:uid="{00000000-0005-0000-0000-00009E000000}"/>
    <cellStyle name="Normal 7 3" xfId="112" xr:uid="{00000000-0005-0000-0000-00009D000000}"/>
    <cellStyle name="Normal 8" xfId="70" xr:uid="{00000000-0005-0000-0000-000074000000}"/>
    <cellStyle name="Normal 8 2" xfId="114" xr:uid="{00000000-0005-0000-0000-00009F000000}"/>
    <cellStyle name="Normal 8 2 2" xfId="155" xr:uid="{00000000-0005-0000-0000-0000CA000000}"/>
    <cellStyle name="Normal 9" xfId="71" xr:uid="{00000000-0005-0000-0000-000075000000}"/>
    <cellStyle name="Normal 9 2" xfId="115" xr:uid="{00000000-0005-0000-0000-0000A0000000}"/>
    <cellStyle name="Normal_Book3" xfId="162" xr:uid="{4262595E-1C6F-411B-8B0F-764BCCDFCADD}"/>
    <cellStyle name="Output Amounts" xfId="156" xr:uid="{00000000-0005-0000-0000-0000CC000000}"/>
    <cellStyle name="Output Column Headings" xfId="157" xr:uid="{00000000-0005-0000-0000-0000CD000000}"/>
    <cellStyle name="Output Line Items" xfId="158" xr:uid="{00000000-0005-0000-0000-0000CE000000}"/>
    <cellStyle name="Percent 2" xfId="72" xr:uid="{00000000-0005-0000-0000-000081000000}"/>
    <cellStyle name="Percent 2 2" xfId="73" xr:uid="{00000000-0005-0000-0000-000082000000}"/>
    <cellStyle name="Percent 2 2 2" xfId="74" xr:uid="{00000000-0005-0000-0000-000083000000}"/>
    <cellStyle name="Percent 2 2 3" xfId="160" xr:uid="{00000000-0005-0000-0000-0000D0000000}"/>
    <cellStyle name="Percent 2 3" xfId="75" xr:uid="{00000000-0005-0000-0000-000084000000}"/>
    <cellStyle name="Percent 2 3 2" xfId="161" xr:uid="{00000000-0005-0000-0000-0000D1000000}"/>
    <cellStyle name="Percent 2 4" xfId="159" xr:uid="{00000000-0005-0000-0000-0000CF000000}"/>
    <cellStyle name="Percent 3" xfId="76" xr:uid="{00000000-0005-0000-0000-000085000000}"/>
    <cellStyle name="Porcentaje" xfId="2" builtinId="5"/>
  </cellStyles>
  <dxfs count="15"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70" formatCode="0.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</a:rPr>
              <a:t>Fuel</a:t>
            </a:r>
            <a:r>
              <a:rPr lang="es-ES" b="1" baseline="0">
                <a:solidFill>
                  <a:sysClr val="windowText" lastClr="000000"/>
                </a:solidFill>
              </a:rPr>
              <a:t> consumption for Energy Generation</a:t>
            </a:r>
            <a:endParaRPr lang="es-E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'Activity Data Rep. Mauritius'!$C$3</c:f>
              <c:strCache>
                <c:ptCount val="1"/>
                <c:pt idx="0">
                  <c:v>Kerosene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'Activity Data Rep. Mauritius'!$M$2:$AC$2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'Activity Data Rep. Mauritius'!$M$3:$AC$3</c:f>
              <c:numCache>
                <c:formatCode>0.00</c:formatCode>
                <c:ptCount val="17"/>
                <c:pt idx="0" formatCode="0.000">
                  <c:v>13.081</c:v>
                </c:pt>
                <c:pt idx="1">
                  <c:v>3.76</c:v>
                </c:pt>
                <c:pt idx="2">
                  <c:v>5.4429999999999996</c:v>
                </c:pt>
                <c:pt idx="3">
                  <c:v>9.8640000000000008</c:v>
                </c:pt>
                <c:pt idx="4">
                  <c:v>16.555</c:v>
                </c:pt>
                <c:pt idx="5">
                  <c:v>17.731000000000002</c:v>
                </c:pt>
                <c:pt idx="6">
                  <c:v>1.8480000000000001</c:v>
                </c:pt>
                <c:pt idx="7">
                  <c:v>1.06664</c:v>
                </c:pt>
                <c:pt idx="8">
                  <c:v>2.0953200000000001</c:v>
                </c:pt>
                <c:pt idx="9">
                  <c:v>4.9238909999999994</c:v>
                </c:pt>
                <c:pt idx="10">
                  <c:v>6.008</c:v>
                </c:pt>
                <c:pt idx="11">
                  <c:v>3.6589999999999998</c:v>
                </c:pt>
                <c:pt idx="12">
                  <c:v>3.4369999999999998</c:v>
                </c:pt>
                <c:pt idx="13">
                  <c:v>0.64500000000000002</c:v>
                </c:pt>
                <c:pt idx="14">
                  <c:v>0.68100000000000005</c:v>
                </c:pt>
                <c:pt idx="15">
                  <c:v>0.74127999999999994</c:v>
                </c:pt>
                <c:pt idx="16">
                  <c:v>0.72877595972309628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381-4FFD-8FBD-A2A82A76018A}"/>
            </c:ext>
          </c:extLst>
        </c:ser>
        <c:ser>
          <c:idx val="1"/>
          <c:order val="1"/>
          <c:tx>
            <c:strRef>
              <c:f>'Activity Data Rep. Mauritius'!$C$4</c:f>
              <c:strCache>
                <c:ptCount val="1"/>
                <c:pt idx="0">
                  <c:v>Fuel Oil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'Activity Data Rep. Mauritius'!$M$2:$AC$2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'Activity Data Rep. Mauritius'!$M$4:$AC$4</c:f>
              <c:numCache>
                <c:formatCode>0.00</c:formatCode>
                <c:ptCount val="17"/>
                <c:pt idx="0">
                  <c:v>175.51499999999999</c:v>
                </c:pt>
                <c:pt idx="1">
                  <c:v>185.33699999999999</c:v>
                </c:pt>
                <c:pt idx="2">
                  <c:v>179.61600000000001</c:v>
                </c:pt>
                <c:pt idx="3">
                  <c:v>204.459</c:v>
                </c:pt>
                <c:pt idx="4">
                  <c:v>220.06700000000001</c:v>
                </c:pt>
                <c:pt idx="5">
                  <c:v>217.053</c:v>
                </c:pt>
                <c:pt idx="6">
                  <c:v>226.541</c:v>
                </c:pt>
                <c:pt idx="7">
                  <c:v>201.82021</c:v>
                </c:pt>
                <c:pt idx="8">
                  <c:v>167.54637</c:v>
                </c:pt>
                <c:pt idx="9">
                  <c:v>190.60422980000001</c:v>
                </c:pt>
                <c:pt idx="10">
                  <c:v>196.88200000000001</c:v>
                </c:pt>
                <c:pt idx="11">
                  <c:v>214.517</c:v>
                </c:pt>
                <c:pt idx="12">
                  <c:v>213.03200000000001</c:v>
                </c:pt>
                <c:pt idx="13">
                  <c:v>216.19</c:v>
                </c:pt>
                <c:pt idx="14">
                  <c:v>221.345</c:v>
                </c:pt>
                <c:pt idx="15">
                  <c:v>229.57037000000003</c:v>
                </c:pt>
                <c:pt idx="16">
                  <c:v>224.21245685329637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381-4FFD-8FBD-A2A82A76018A}"/>
            </c:ext>
          </c:extLst>
        </c:ser>
        <c:ser>
          <c:idx val="2"/>
          <c:order val="2"/>
          <c:tx>
            <c:strRef>
              <c:f>'Activity Data Rep. Mauritius'!$C$5</c:f>
              <c:strCache>
                <c:ptCount val="1"/>
                <c:pt idx="0">
                  <c:v>Diesel Oil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'Activity Data Rep. Mauritius'!$M$2:$AC$2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'Activity Data Rep. Mauritius'!$M$5:$AC$5</c:f>
              <c:numCache>
                <c:formatCode>0.00</c:formatCode>
                <c:ptCount val="17"/>
                <c:pt idx="0">
                  <c:v>3.3639999999999999</c:v>
                </c:pt>
                <c:pt idx="1">
                  <c:v>3.1379999999999999</c:v>
                </c:pt>
                <c:pt idx="2">
                  <c:v>3.4809999999999999</c:v>
                </c:pt>
                <c:pt idx="3">
                  <c:v>3.895</c:v>
                </c:pt>
                <c:pt idx="4">
                  <c:v>3.968</c:v>
                </c:pt>
                <c:pt idx="5">
                  <c:v>2.1259999999999999</c:v>
                </c:pt>
                <c:pt idx="6">
                  <c:v>2.5310000000000001</c:v>
                </c:pt>
                <c:pt idx="7">
                  <c:v>2.7464299999999997</c:v>
                </c:pt>
                <c:pt idx="8">
                  <c:v>1.9005999999999998</c:v>
                </c:pt>
                <c:pt idx="9">
                  <c:v>2.7612235999999997</c:v>
                </c:pt>
                <c:pt idx="10">
                  <c:v>1.9970000000000001</c:v>
                </c:pt>
                <c:pt idx="11">
                  <c:v>1.5229999999999999</c:v>
                </c:pt>
                <c:pt idx="12">
                  <c:v>1.857</c:v>
                </c:pt>
                <c:pt idx="13">
                  <c:v>1.2689999999999999</c:v>
                </c:pt>
                <c:pt idx="14">
                  <c:v>1.2290000000000001</c:v>
                </c:pt>
                <c:pt idx="15">
                  <c:v>1.08392</c:v>
                </c:pt>
                <c:pt idx="16">
                  <c:v>1.0251092882340034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381-4FFD-8FBD-A2A82A76018A}"/>
            </c:ext>
          </c:extLst>
        </c:ser>
        <c:ser>
          <c:idx val="3"/>
          <c:order val="3"/>
          <c:tx>
            <c:strRef>
              <c:f>'Activity Data Rep. Mauritius'!$C$6</c:f>
              <c:strCache>
                <c:ptCount val="1"/>
                <c:pt idx="0">
                  <c:v>Sub-bituminous Coal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'Activity Data Rep. Mauritius'!$M$2:$AC$2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'Activity Data Rep. Mauritius'!$M$6:$AC$6</c:f>
              <c:numCache>
                <c:formatCode>0.00</c:formatCode>
                <c:ptCount val="17"/>
                <c:pt idx="0">
                  <c:v>228.52</c:v>
                </c:pt>
                <c:pt idx="1">
                  <c:v>273.37599999999998</c:v>
                </c:pt>
                <c:pt idx="2">
                  <c:v>286.88600000000002</c:v>
                </c:pt>
                <c:pt idx="3">
                  <c:v>287.17599999999999</c:v>
                </c:pt>
                <c:pt idx="4">
                  <c:v>265.12799999999999</c:v>
                </c:pt>
                <c:pt idx="5">
                  <c:v>340.67500000000001</c:v>
                </c:pt>
                <c:pt idx="6">
                  <c:v>462.78399999999999</c:v>
                </c:pt>
                <c:pt idx="7">
                  <c:v>552.63199999999995</c:v>
                </c:pt>
                <c:pt idx="8">
                  <c:v>609.745</c:v>
                </c:pt>
                <c:pt idx="9">
                  <c:v>574.14099999999996</c:v>
                </c:pt>
                <c:pt idx="10">
                  <c:v>643.04899999999998</c:v>
                </c:pt>
                <c:pt idx="11">
                  <c:v>617.29700000000003</c:v>
                </c:pt>
                <c:pt idx="12">
                  <c:v>649.15700000000004</c:v>
                </c:pt>
                <c:pt idx="13">
                  <c:v>683.20699999999999</c:v>
                </c:pt>
                <c:pt idx="14">
                  <c:v>711.23599999999999</c:v>
                </c:pt>
                <c:pt idx="15">
                  <c:v>684.34799999999996</c:v>
                </c:pt>
                <c:pt idx="16">
                  <c:v>701.22500000000002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381-4FFD-8FBD-A2A82A76018A}"/>
            </c:ext>
          </c:extLst>
        </c:ser>
        <c:ser>
          <c:idx val="4"/>
          <c:order val="4"/>
          <c:tx>
            <c:strRef>
              <c:f>'Activity Data Rep. Mauritius'!$C$7</c:f>
              <c:strCache>
                <c:ptCount val="1"/>
                <c:pt idx="0">
                  <c:v>Bagasse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'Activity Data Rep. Mauritius'!$M$2:$AC$2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'Activity Data Rep. Mauritius'!$M$7:$AC$7</c:f>
              <c:numCache>
                <c:formatCode>0.00</c:formatCode>
                <c:ptCount val="17"/>
                <c:pt idx="0">
                  <c:v>1021.5</c:v>
                </c:pt>
                <c:pt idx="1">
                  <c:v>1142.5</c:v>
                </c:pt>
                <c:pt idx="2">
                  <c:v>1202.096</c:v>
                </c:pt>
                <c:pt idx="3">
                  <c:v>1046.7940000000001</c:v>
                </c:pt>
                <c:pt idx="4">
                  <c:v>1092.8230000000001</c:v>
                </c:pt>
                <c:pt idx="5">
                  <c:v>1055.742</c:v>
                </c:pt>
                <c:pt idx="6">
                  <c:v>1036.598</c:v>
                </c:pt>
                <c:pt idx="7">
                  <c:v>1040.2860000000001</c:v>
                </c:pt>
                <c:pt idx="8">
                  <c:v>1300.9390000000001</c:v>
                </c:pt>
                <c:pt idx="9">
                  <c:v>1135.588</c:v>
                </c:pt>
                <c:pt idx="10">
                  <c:v>1140.383</c:v>
                </c:pt>
                <c:pt idx="11">
                  <c:v>1119.04</c:v>
                </c:pt>
                <c:pt idx="12">
                  <c:v>1077.7860000000001</c:v>
                </c:pt>
                <c:pt idx="13">
                  <c:v>1056.146</c:v>
                </c:pt>
                <c:pt idx="14">
                  <c:v>1030.5630000000001</c:v>
                </c:pt>
                <c:pt idx="15">
                  <c:v>1240.3009999999999</c:v>
                </c:pt>
                <c:pt idx="16">
                  <c:v>1129.5450000000001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381-4FFD-8FBD-A2A82A760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2869424"/>
        <c:axId val="712873688"/>
      </c:scatterChart>
      <c:valAx>
        <c:axId val="712869424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873688"/>
        <c:crosses val="autoZero"/>
        <c:crossBetween val="midCat"/>
        <c:majorUnit val="2"/>
      </c:valAx>
      <c:valAx>
        <c:axId val="712873688"/>
        <c:scaling>
          <c:orientation val="minMax"/>
          <c:max val="14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 b="1">
                    <a:solidFill>
                      <a:sysClr val="windowText" lastClr="000000"/>
                    </a:solidFill>
                  </a:rPr>
                  <a:t>Gg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869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</a:rPr>
              <a:t>Consumption in Refrigeration</a:t>
            </a:r>
            <a:r>
              <a:rPr lang="es-ES" b="1" baseline="0">
                <a:solidFill>
                  <a:sysClr val="windowText" lastClr="000000"/>
                </a:solidFill>
              </a:rPr>
              <a:t> and Stationary Air Conditioning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'Activity Data Rep. Mauritius'!$C$87</c:f>
              <c:strCache>
                <c:ptCount val="1"/>
                <c:pt idx="0">
                  <c:v>HFC-23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'Activity Data Rep. Mauritius'!$M$2:$AC$2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'Activity Data Rep. Mauritius'!$M$87:$AC$87</c:f>
              <c:numCache>
                <c:formatCode>0.00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0.21480000000000002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5.0999999999999997E-2</c:v>
                </c:pt>
                <c:pt idx="13">
                  <c:v>0.26400000000000001</c:v>
                </c:pt>
                <c:pt idx="14">
                  <c:v>0.255</c:v>
                </c:pt>
                <c:pt idx="15">
                  <c:v>0</c:v>
                </c:pt>
                <c:pt idx="16">
                  <c:v>8.5000000000000006E-2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C68-4026-8BC9-52601CF8A381}"/>
            </c:ext>
          </c:extLst>
        </c:ser>
        <c:ser>
          <c:idx val="1"/>
          <c:order val="1"/>
          <c:tx>
            <c:strRef>
              <c:f>'Activity Data Rep. Mauritius'!$C$88</c:f>
              <c:strCache>
                <c:ptCount val="1"/>
                <c:pt idx="0">
                  <c:v>HFC-32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'Activity Data Rep. Mauritius'!$M$2:$AC$2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'Activity Data Rep. Mauritius'!$M$88:$AC$88</c:f>
              <c:numCache>
                <c:formatCode>0.00</c:formatCode>
                <c:ptCount val="17"/>
                <c:pt idx="0">
                  <c:v>1.1759301525682886</c:v>
                </c:pt>
                <c:pt idx="1">
                  <c:v>1.2081149215084599</c:v>
                </c:pt>
                <c:pt idx="2">
                  <c:v>1.2195805174969614</c:v>
                </c:pt>
                <c:pt idx="3">
                  <c:v>1.2719842946470656</c:v>
                </c:pt>
                <c:pt idx="4">
                  <c:v>1.3202385759334727</c:v>
                </c:pt>
                <c:pt idx="5">
                  <c:v>1.37587812014434</c:v>
                </c:pt>
                <c:pt idx="6">
                  <c:v>1.3017999999999998</c:v>
                </c:pt>
                <c:pt idx="7">
                  <c:v>3.0133800000000002</c:v>
                </c:pt>
                <c:pt idx="8">
                  <c:v>5.5659999999999998</c:v>
                </c:pt>
                <c:pt idx="9">
                  <c:v>15.158999999999999</c:v>
                </c:pt>
                <c:pt idx="10">
                  <c:v>6.9779099999999996</c:v>
                </c:pt>
                <c:pt idx="11">
                  <c:v>12.848984999999999</c:v>
                </c:pt>
                <c:pt idx="12">
                  <c:v>16.728750000000002</c:v>
                </c:pt>
                <c:pt idx="13">
                  <c:v>12.009</c:v>
                </c:pt>
                <c:pt idx="14">
                  <c:v>17.461000000000002</c:v>
                </c:pt>
                <c:pt idx="15">
                  <c:v>22.37519</c:v>
                </c:pt>
                <c:pt idx="16">
                  <c:v>2.4015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C68-4026-8BC9-52601CF8A381}"/>
            </c:ext>
          </c:extLst>
        </c:ser>
        <c:ser>
          <c:idx val="2"/>
          <c:order val="2"/>
          <c:tx>
            <c:strRef>
              <c:f>'Activity Data Rep. Mauritius'!$C$89</c:f>
              <c:strCache>
                <c:ptCount val="1"/>
                <c:pt idx="0">
                  <c:v>HFC-125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'Activity Data Rep. Mauritius'!$M$2:$AC$2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'Activity Data Rep. Mauritius'!$M$89:$AC$89</c:f>
              <c:numCache>
                <c:formatCode>0.00</c:formatCode>
                <c:ptCount val="17"/>
                <c:pt idx="0">
                  <c:v>6.7043645975267401</c:v>
                </c:pt>
                <c:pt idx="1">
                  <c:v>6.8878605517641533</c:v>
                </c:pt>
                <c:pt idx="2">
                  <c:v>6.9532296858636293</c:v>
                </c:pt>
                <c:pt idx="3">
                  <c:v>7.2520008565275589</c:v>
                </c:pt>
                <c:pt idx="4">
                  <c:v>7.5271143863822978</c:v>
                </c:pt>
                <c:pt idx="5">
                  <c:v>7.8443337293978255</c:v>
                </c:pt>
                <c:pt idx="6">
                  <c:v>7.4219899999999992</c:v>
                </c:pt>
                <c:pt idx="7">
                  <c:v>14.84694</c:v>
                </c:pt>
                <c:pt idx="8">
                  <c:v>14.967000000000001</c:v>
                </c:pt>
                <c:pt idx="9">
                  <c:v>27.268999999999998</c:v>
                </c:pt>
                <c:pt idx="10">
                  <c:v>22.35651</c:v>
                </c:pt>
                <c:pt idx="11">
                  <c:v>45.647354999999997</c:v>
                </c:pt>
                <c:pt idx="12">
                  <c:v>45.449919999999999</c:v>
                </c:pt>
                <c:pt idx="13">
                  <c:v>52.730400000000003</c:v>
                </c:pt>
                <c:pt idx="14">
                  <c:v>65.325569999999999</c:v>
                </c:pt>
                <c:pt idx="15">
                  <c:v>51.098489999999998</c:v>
                </c:pt>
                <c:pt idx="16">
                  <c:v>64.938699999999997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C68-4026-8BC9-52601CF8A381}"/>
            </c:ext>
          </c:extLst>
        </c:ser>
        <c:ser>
          <c:idx val="3"/>
          <c:order val="3"/>
          <c:tx>
            <c:strRef>
              <c:f>'Activity Data Rep. Mauritius'!$C$90</c:f>
              <c:strCache>
                <c:ptCount val="1"/>
                <c:pt idx="0">
                  <c:v>HFC-134a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'Activity Data Rep. Mauritius'!$M$2:$AC$2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'Activity Data Rep. Mauritius'!$M$90:$AC$90</c:f>
              <c:numCache>
                <c:formatCode>0.00</c:formatCode>
                <c:ptCount val="17"/>
                <c:pt idx="0">
                  <c:v>12.816499748418597</c:v>
                </c:pt>
                <c:pt idx="1">
                  <c:v>12.795247100578303</c:v>
                </c:pt>
                <c:pt idx="2">
                  <c:v>12.704393683378527</c:v>
                </c:pt>
                <c:pt idx="3">
                  <c:v>12.564797308642365</c:v>
                </c:pt>
                <c:pt idx="4">
                  <c:v>12.478792261761289</c:v>
                </c:pt>
                <c:pt idx="5">
                  <c:v>12.356355640374201</c:v>
                </c:pt>
                <c:pt idx="6">
                  <c:v>12.367719999999998</c:v>
                </c:pt>
                <c:pt idx="7">
                  <c:v>22.510169999999999</c:v>
                </c:pt>
                <c:pt idx="8">
                  <c:v>79.658960000000008</c:v>
                </c:pt>
                <c:pt idx="9">
                  <c:v>33.989199999999997</c:v>
                </c:pt>
                <c:pt idx="10">
                  <c:v>23.736486000000003</c:v>
                </c:pt>
                <c:pt idx="11">
                  <c:v>41.245199999999997</c:v>
                </c:pt>
                <c:pt idx="12">
                  <c:v>32.201560000000001</c:v>
                </c:pt>
                <c:pt idx="13">
                  <c:v>4.9940000000000033</c:v>
                </c:pt>
                <c:pt idx="14">
                  <c:v>5.44998</c:v>
                </c:pt>
                <c:pt idx="15">
                  <c:v>6.6688699999999992</c:v>
                </c:pt>
                <c:pt idx="16">
                  <c:v>8.5452760999999988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C68-4026-8BC9-52601CF8A381}"/>
            </c:ext>
          </c:extLst>
        </c:ser>
        <c:ser>
          <c:idx val="4"/>
          <c:order val="4"/>
          <c:tx>
            <c:strRef>
              <c:f>'Activity Data Rep. Mauritius'!$C$91</c:f>
              <c:strCache>
                <c:ptCount val="1"/>
                <c:pt idx="0">
                  <c:v>HFC-143a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'Activity Data Rep. Mauritius'!$M$2:$AC$2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'Activity Data Rep. Mauritius'!$M$91:$AC$91</c:f>
              <c:numCache>
                <c:formatCode>0.00</c:formatCode>
                <c:ptCount val="17"/>
                <c:pt idx="0">
                  <c:v>6.5099991873806999</c:v>
                </c:pt>
                <c:pt idx="1">
                  <c:v>6.6881754329586736</c:v>
                </c:pt>
                <c:pt idx="2">
                  <c:v>6.7516494585246996</c:v>
                </c:pt>
                <c:pt idx="3">
                  <c:v>7.0417589908959659</c:v>
                </c:pt>
                <c:pt idx="4">
                  <c:v>7.3088967382154486</c:v>
                </c:pt>
                <c:pt idx="5">
                  <c:v>7.6169196142407687</c:v>
                </c:pt>
                <c:pt idx="6">
                  <c:v>7.2068200000000004</c:v>
                </c:pt>
                <c:pt idx="7">
                  <c:v>13.025020000000001</c:v>
                </c:pt>
                <c:pt idx="8">
                  <c:v>10.949</c:v>
                </c:pt>
                <c:pt idx="9">
                  <c:v>13.675000000000001</c:v>
                </c:pt>
                <c:pt idx="10">
                  <c:v>17.970980000000001</c:v>
                </c:pt>
                <c:pt idx="11">
                  <c:v>36.679082000000001</c:v>
                </c:pt>
                <c:pt idx="12">
                  <c:v>33.537029999999994</c:v>
                </c:pt>
                <c:pt idx="13">
                  <c:v>164.40379999999999</c:v>
                </c:pt>
                <c:pt idx="14">
                  <c:v>22.791599999999999</c:v>
                </c:pt>
                <c:pt idx="15">
                  <c:v>32.058580000000006</c:v>
                </c:pt>
                <c:pt idx="16">
                  <c:v>41.249090000000002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C68-4026-8BC9-52601CF8A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0449024"/>
        <c:axId val="710449680"/>
      </c:scatterChart>
      <c:valAx>
        <c:axId val="710449024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449680"/>
        <c:crosses val="autoZero"/>
        <c:crossBetween val="midCat"/>
        <c:majorUnit val="2"/>
      </c:valAx>
      <c:valAx>
        <c:axId val="7104496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 b="1">
                    <a:solidFill>
                      <a:sysClr val="windowText" lastClr="000000"/>
                    </a:solidFill>
                  </a:rPr>
                  <a:t>Gg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449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Consumption in Mobile Air Conditioning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'Activity Data Rep. Mauritius'!$C$94</c:f>
              <c:strCache>
                <c:ptCount val="1"/>
                <c:pt idx="0">
                  <c:v>HFC-134a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'Activity Data Rep. Mauritius'!$M$2:$AC$2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'Activity Data Rep. Mauritius'!$M$95:$AC$95</c:f>
              <c:numCache>
                <c:formatCode>0.00</c:formatCode>
                <c:ptCount val="17"/>
                <c:pt idx="0">
                  <c:v>2.2328022771070515</c:v>
                </c:pt>
                <c:pt idx="1">
                  <c:v>2.2300928724780693</c:v>
                </c:pt>
                <c:pt idx="2">
                  <c:v>2.3124099781952712</c:v>
                </c:pt>
                <c:pt idx="3">
                  <c:v>2.41299093977146</c:v>
                </c:pt>
                <c:pt idx="4">
                  <c:v>2.4630699365944628</c:v>
                </c:pt>
                <c:pt idx="5">
                  <c:v>2.5440820667812014</c:v>
                </c:pt>
                <c:pt idx="6">
                  <c:v>2.5878699999999997</c:v>
                </c:pt>
                <c:pt idx="7">
                  <c:v>4.4506399999999999</c:v>
                </c:pt>
                <c:pt idx="8">
                  <c:v>17.041040000000002</c:v>
                </c:pt>
                <c:pt idx="9">
                  <c:v>5.9378000000000002</c:v>
                </c:pt>
                <c:pt idx="10">
                  <c:v>4.9000000000000004</c:v>
                </c:pt>
                <c:pt idx="11">
                  <c:v>9.2269199999999998</c:v>
                </c:pt>
                <c:pt idx="12">
                  <c:v>5.7426300000000001</c:v>
                </c:pt>
                <c:pt idx="13">
                  <c:v>4.9939999999999998</c:v>
                </c:pt>
                <c:pt idx="14">
                  <c:v>5.4499799999999992</c:v>
                </c:pt>
                <c:pt idx="15">
                  <c:v>6.6684399999999995</c:v>
                </c:pt>
                <c:pt idx="16">
                  <c:v>8.5452760999999988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FA-415B-8CF1-C8F807A3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0449024"/>
        <c:axId val="710449680"/>
      </c:scatterChart>
      <c:valAx>
        <c:axId val="710449024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449680"/>
        <c:crosses val="autoZero"/>
        <c:crossBetween val="midCat"/>
        <c:majorUnit val="2"/>
      </c:valAx>
      <c:valAx>
        <c:axId val="7104496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 b="1">
                    <a:solidFill>
                      <a:sysClr val="windowText" lastClr="000000"/>
                    </a:solidFill>
                  </a:rPr>
                  <a:t>Gg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449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</a:rPr>
              <a:t>Fuel</a:t>
            </a:r>
            <a:r>
              <a:rPr lang="es-ES" b="1" baseline="0">
                <a:solidFill>
                  <a:sysClr val="windowText" lastClr="000000"/>
                </a:solidFill>
              </a:rPr>
              <a:t> consumption in Manufacturing Industries and Construction</a:t>
            </a:r>
            <a:endParaRPr lang="es-E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'Activity Data Rep. Mauritius'!$C$33</c:f>
              <c:strCache>
                <c:ptCount val="1"/>
                <c:pt idx="0">
                  <c:v>Diesel Oil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'Activity Data Rep. Mauritius'!$M$2:$AC$2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'Activity Data Rep. Mauritius'!$M$33:$AC$33</c:f>
              <c:numCache>
                <c:formatCode>0.00</c:formatCode>
                <c:ptCount val="17"/>
                <c:pt idx="0">
                  <c:v>41.6</c:v>
                </c:pt>
                <c:pt idx="1">
                  <c:v>37.533000000000008</c:v>
                </c:pt>
                <c:pt idx="2">
                  <c:v>37.409000000000006</c:v>
                </c:pt>
                <c:pt idx="3">
                  <c:v>41.273000000000003</c:v>
                </c:pt>
                <c:pt idx="4">
                  <c:v>43.372</c:v>
                </c:pt>
                <c:pt idx="5">
                  <c:v>41.127000000000002</c:v>
                </c:pt>
                <c:pt idx="6">
                  <c:v>49.767000000000003</c:v>
                </c:pt>
                <c:pt idx="7">
                  <c:v>48.335999999999999</c:v>
                </c:pt>
                <c:pt idx="8">
                  <c:v>46.301000000000002</c:v>
                </c:pt>
                <c:pt idx="9">
                  <c:v>45.881999999999998</c:v>
                </c:pt>
                <c:pt idx="10">
                  <c:v>46.542999999999999</c:v>
                </c:pt>
                <c:pt idx="11">
                  <c:v>43.094000000000001</c:v>
                </c:pt>
                <c:pt idx="12">
                  <c:v>41.31</c:v>
                </c:pt>
                <c:pt idx="13">
                  <c:v>35.443000000000005</c:v>
                </c:pt>
                <c:pt idx="14">
                  <c:v>36.096000000000004</c:v>
                </c:pt>
                <c:pt idx="15">
                  <c:v>36.591999999999999</c:v>
                </c:pt>
                <c:pt idx="16">
                  <c:v>35.305000000000007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63C-4D61-8A0F-214EB4FE48A8}"/>
            </c:ext>
          </c:extLst>
        </c:ser>
        <c:ser>
          <c:idx val="1"/>
          <c:order val="1"/>
          <c:tx>
            <c:strRef>
              <c:f>'Activity Data Rep. Mauritius'!$C$34</c:f>
              <c:strCache>
                <c:ptCount val="1"/>
                <c:pt idx="0">
                  <c:v>Residual Fuel oil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'Activity Data Rep. Mauritius'!$M$2:$AC$2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'Activity Data Rep. Mauritius'!$M$34:$AC$34</c:f>
              <c:numCache>
                <c:formatCode>0.00</c:formatCode>
                <c:ptCount val="17"/>
                <c:pt idx="0">
                  <c:v>44.771304399999998</c:v>
                </c:pt>
                <c:pt idx="1">
                  <c:v>56.154289999999989</c:v>
                </c:pt>
                <c:pt idx="2">
                  <c:v>56.899714199999991</c:v>
                </c:pt>
                <c:pt idx="3">
                  <c:v>51.223894400000006</c:v>
                </c:pt>
                <c:pt idx="4">
                  <c:v>45.922457600000008</c:v>
                </c:pt>
                <c:pt idx="5">
                  <c:v>42.630848399999991</c:v>
                </c:pt>
                <c:pt idx="6">
                  <c:v>53.820713999999995</c:v>
                </c:pt>
                <c:pt idx="7">
                  <c:v>55.801372799999989</c:v>
                </c:pt>
                <c:pt idx="8">
                  <c:v>50.364311999999991</c:v>
                </c:pt>
                <c:pt idx="9">
                  <c:v>43.176217199999996</c:v>
                </c:pt>
                <c:pt idx="10">
                  <c:v>41.572391199999998</c:v>
                </c:pt>
                <c:pt idx="11">
                  <c:v>40.418664799999995</c:v>
                </c:pt>
                <c:pt idx="12">
                  <c:v>39.060074800000002</c:v>
                </c:pt>
                <c:pt idx="13">
                  <c:v>39.286918799999995</c:v>
                </c:pt>
                <c:pt idx="14">
                  <c:v>40.582369199999995</c:v>
                </c:pt>
                <c:pt idx="15">
                  <c:v>37.314171199999997</c:v>
                </c:pt>
                <c:pt idx="16">
                  <c:v>36.898779599999997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63C-4D61-8A0F-214EB4FE48A8}"/>
            </c:ext>
          </c:extLst>
        </c:ser>
        <c:ser>
          <c:idx val="2"/>
          <c:order val="2"/>
          <c:tx>
            <c:strRef>
              <c:f>'Activity Data Rep. Mauritius'!$C$35</c:f>
              <c:strCache>
                <c:ptCount val="1"/>
                <c:pt idx="0">
                  <c:v>Liquefied Petroleum gases (LPG)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'Activity Data Rep. Mauritius'!$M$2:$AC$2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'Activity Data Rep. Mauritius'!$M$35:$AC$35</c:f>
              <c:numCache>
                <c:formatCode>0.00</c:formatCode>
                <c:ptCount val="17"/>
                <c:pt idx="0">
                  <c:v>4.2713999999999999</c:v>
                </c:pt>
                <c:pt idx="1">
                  <c:v>4.1754619999999996</c:v>
                </c:pt>
                <c:pt idx="2">
                  <c:v>4.0257259999999997</c:v>
                </c:pt>
                <c:pt idx="3">
                  <c:v>3.5418219999999998</c:v>
                </c:pt>
                <c:pt idx="4">
                  <c:v>3.3632079999999998</c:v>
                </c:pt>
                <c:pt idx="5">
                  <c:v>4.4797779999999996</c:v>
                </c:pt>
                <c:pt idx="6">
                  <c:v>4.6617379999999997</c:v>
                </c:pt>
                <c:pt idx="7">
                  <c:v>4.7447039999999996</c:v>
                </c:pt>
                <c:pt idx="8">
                  <c:v>5.5682140000000002</c:v>
                </c:pt>
                <c:pt idx="9">
                  <c:v>5.6493479999999989</c:v>
                </c:pt>
                <c:pt idx="10">
                  <c:v>5.7736020000000003</c:v>
                </c:pt>
                <c:pt idx="11">
                  <c:v>5.841316</c:v>
                </c:pt>
                <c:pt idx="12">
                  <c:v>6.0413399999999999</c:v>
                </c:pt>
                <c:pt idx="13">
                  <c:v>5.849202</c:v>
                </c:pt>
                <c:pt idx="14">
                  <c:v>5.9323439999999996</c:v>
                </c:pt>
                <c:pt idx="15">
                  <c:v>6.1842879999999996</c:v>
                </c:pt>
                <c:pt idx="16">
                  <c:v>6.0952699999999993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63C-4D61-8A0F-214EB4FE48A8}"/>
            </c:ext>
          </c:extLst>
        </c:ser>
        <c:ser>
          <c:idx val="3"/>
          <c:order val="3"/>
          <c:tx>
            <c:strRef>
              <c:f>'Activity Data Rep. Mauritius'!$C$36</c:f>
              <c:strCache>
                <c:ptCount val="1"/>
                <c:pt idx="0">
                  <c:v>Coal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'Activity Data Rep. Mauritius'!$M$2:$AC$2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'Activity Data Rep. Mauritius'!$M$36:$AC$36</c:f>
              <c:numCache>
                <c:formatCode>0.00</c:formatCode>
                <c:ptCount val="17"/>
                <c:pt idx="0">
                  <c:v>29.720602399999997</c:v>
                </c:pt>
                <c:pt idx="1">
                  <c:v>32.376061399999998</c:v>
                </c:pt>
                <c:pt idx="2">
                  <c:v>32.571334419999999</c:v>
                </c:pt>
                <c:pt idx="3">
                  <c:v>35.017098079999997</c:v>
                </c:pt>
                <c:pt idx="4">
                  <c:v>29.614128544000003</c:v>
                </c:pt>
                <c:pt idx="5">
                  <c:v>28.166389207999998</c:v>
                </c:pt>
                <c:pt idx="6">
                  <c:v>27.986176799999996</c:v>
                </c:pt>
                <c:pt idx="7">
                  <c:v>26.516864863999999</c:v>
                </c:pt>
                <c:pt idx="8">
                  <c:v>47.583502687999996</c:v>
                </c:pt>
                <c:pt idx="9">
                  <c:v>26.637982208</c:v>
                </c:pt>
                <c:pt idx="10">
                  <c:v>29.663107199999999</c:v>
                </c:pt>
                <c:pt idx="11">
                  <c:v>28.941161599999997</c:v>
                </c:pt>
                <c:pt idx="12">
                  <c:v>30.199872799999994</c:v>
                </c:pt>
                <c:pt idx="13">
                  <c:v>32.114803199999997</c:v>
                </c:pt>
                <c:pt idx="14">
                  <c:v>36.009977599999999</c:v>
                </c:pt>
                <c:pt idx="15">
                  <c:v>40.811013800000005</c:v>
                </c:pt>
                <c:pt idx="16">
                  <c:v>37.519386400000002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63C-4D61-8A0F-214EB4FE48A8}"/>
            </c:ext>
          </c:extLst>
        </c:ser>
        <c:ser>
          <c:idx val="4"/>
          <c:order val="4"/>
          <c:tx>
            <c:strRef>
              <c:f>'Activity Data Rep. Mauritius'!$C$38</c:f>
              <c:strCache>
                <c:ptCount val="1"/>
                <c:pt idx="0">
                  <c:v>Fuelwood (Wood/Wood Waste)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'Activity Data Rep. Mauritius'!$M$2:$AC$2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'Activity Data Rep. Mauritius'!$M$38:$AC$38</c:f>
              <c:numCache>
                <c:formatCode>0.00</c:formatCode>
                <c:ptCount val="17"/>
                <c:pt idx="0">
                  <c:v>1.5</c:v>
                </c:pt>
                <c:pt idx="1">
                  <c:v>1.5</c:v>
                </c:pt>
                <c:pt idx="2">
                  <c:v>1.45</c:v>
                </c:pt>
                <c:pt idx="3">
                  <c:v>1.43</c:v>
                </c:pt>
                <c:pt idx="4">
                  <c:v>1.415</c:v>
                </c:pt>
                <c:pt idx="5">
                  <c:v>1.4</c:v>
                </c:pt>
                <c:pt idx="6">
                  <c:v>1.425</c:v>
                </c:pt>
                <c:pt idx="7">
                  <c:v>1.425</c:v>
                </c:pt>
                <c:pt idx="8">
                  <c:v>1.425</c:v>
                </c:pt>
                <c:pt idx="9">
                  <c:v>1.4259999999999999</c:v>
                </c:pt>
                <c:pt idx="10">
                  <c:v>1.4259999999999999</c:v>
                </c:pt>
                <c:pt idx="11">
                  <c:v>1.425</c:v>
                </c:pt>
                <c:pt idx="12">
                  <c:v>1.41</c:v>
                </c:pt>
                <c:pt idx="13">
                  <c:v>1.385</c:v>
                </c:pt>
                <c:pt idx="14">
                  <c:v>1.343</c:v>
                </c:pt>
                <c:pt idx="15">
                  <c:v>1.3</c:v>
                </c:pt>
                <c:pt idx="16">
                  <c:v>1.2609999999999999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63C-4D61-8A0F-214EB4FE48A8}"/>
            </c:ext>
          </c:extLst>
        </c:ser>
        <c:ser>
          <c:idx val="5"/>
          <c:order val="5"/>
          <c:tx>
            <c:strRef>
              <c:f>'Activity Data Rep. Mauritius'!$C$39</c:f>
              <c:strCache>
                <c:ptCount val="1"/>
                <c:pt idx="0">
                  <c:v>Bagasse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'Activity Data Rep. Mauritius'!$M$2:$AC$2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'Activity Data Rep. Mauritius'!$M$39:$AC$39</c:f>
              <c:numCache>
                <c:formatCode>0.00</c:formatCode>
                <c:ptCount val="17"/>
                <c:pt idx="0">
                  <c:v>531.79999999999995</c:v>
                </c:pt>
                <c:pt idx="1">
                  <c:v>529</c:v>
                </c:pt>
                <c:pt idx="2">
                  <c:v>442.72199999999998</c:v>
                </c:pt>
                <c:pt idx="3">
                  <c:v>510.24599999999998</c:v>
                </c:pt>
                <c:pt idx="4">
                  <c:v>518.37900000000002</c:v>
                </c:pt>
                <c:pt idx="5">
                  <c:v>476.19799999999998</c:v>
                </c:pt>
                <c:pt idx="6">
                  <c:v>463.56299999999999</c:v>
                </c:pt>
                <c:pt idx="7">
                  <c:v>400.64600000000002</c:v>
                </c:pt>
                <c:pt idx="8">
                  <c:v>239.27600000000001</c:v>
                </c:pt>
                <c:pt idx="9">
                  <c:v>226.75899999999999</c:v>
                </c:pt>
                <c:pt idx="10">
                  <c:v>265.988</c:v>
                </c:pt>
                <c:pt idx="11">
                  <c:v>244.28800000000001</c:v>
                </c:pt>
                <c:pt idx="12">
                  <c:v>213.12299999999999</c:v>
                </c:pt>
                <c:pt idx="13">
                  <c:v>204.565</c:v>
                </c:pt>
                <c:pt idx="14">
                  <c:v>177.97300000000001</c:v>
                </c:pt>
                <c:pt idx="15">
                  <c:v>197.64599999999999</c:v>
                </c:pt>
                <c:pt idx="16">
                  <c:v>158.43100000000001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63C-4D61-8A0F-214EB4FE4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2869424"/>
        <c:axId val="712873688"/>
      </c:scatterChart>
      <c:valAx>
        <c:axId val="712869424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873688"/>
        <c:crosses val="autoZero"/>
        <c:crossBetween val="midCat"/>
        <c:majorUnit val="2"/>
      </c:valAx>
      <c:valAx>
        <c:axId val="712873688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 b="1">
                    <a:solidFill>
                      <a:sysClr val="windowText" lastClr="000000"/>
                    </a:solidFill>
                  </a:rPr>
                  <a:t>Gg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869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</a:rPr>
              <a:t>FUEL CONSUMPTION FOR ELECTRICITY GENERATION IN</a:t>
            </a:r>
            <a:r>
              <a:rPr lang="es-ES" b="1" baseline="0">
                <a:solidFill>
                  <a:sysClr val="windowText" lastClr="000000"/>
                </a:solidFill>
              </a:rPr>
              <a:t> MAURITIUS</a:t>
            </a:r>
            <a:endParaRPr lang="es-E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strRef>
              <c:f>'Activity Data Mauritius Island'!$C$4</c:f>
              <c:strCache>
                <c:ptCount val="1"/>
                <c:pt idx="0">
                  <c:v>Fuel Oil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'Activity Data Mauritius Island'!$F$2:$AH$2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xVal>
          <c:yVal>
            <c:numRef>
              <c:f>'Activity Data Mauritius Island'!$F$4:$AH$4</c:f>
              <c:numCache>
                <c:formatCode>#,##0.00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169.49155198963439</c:v>
                </c:pt>
                <c:pt idx="10">
                  <c:v>169.49155198963439</c:v>
                </c:pt>
                <c:pt idx="11">
                  <c:v>177.83266759559746</c:v>
                </c:pt>
                <c:pt idx="12">
                  <c:v>177.92184472626292</c:v>
                </c:pt>
                <c:pt idx="13">
                  <c:v>200.06700000000001</c:v>
                </c:pt>
                <c:pt idx="14">
                  <c:v>215.29</c:v>
                </c:pt>
                <c:pt idx="15">
                  <c:v>210.14400000000001</c:v>
                </c:pt>
                <c:pt idx="16">
                  <c:v>219.96899999999999</c:v>
                </c:pt>
                <c:pt idx="17">
                  <c:v>195.08068</c:v>
                </c:pt>
                <c:pt idx="18">
                  <c:v>160.35874999999999</c:v>
                </c:pt>
                <c:pt idx="19">
                  <c:v>183.67815470000002</c:v>
                </c:pt>
                <c:pt idx="20">
                  <c:v>190.108</c:v>
                </c:pt>
                <c:pt idx="21">
                  <c:v>207.57599999999999</c:v>
                </c:pt>
                <c:pt idx="22">
                  <c:v>206.14599999999999</c:v>
                </c:pt>
                <c:pt idx="23">
                  <c:v>208.86500000000001</c:v>
                </c:pt>
                <c:pt idx="24">
                  <c:v>213.58799999999999</c:v>
                </c:pt>
                <c:pt idx="25">
                  <c:v>221.11567000000002</c:v>
                </c:pt>
                <c:pt idx="26">
                  <c:v>215.79446001899998</c:v>
                </c:pt>
                <c:pt idx="27">
                  <c:v>0</c:v>
                </c:pt>
                <c:pt idx="28">
                  <c:v>155.24397380261871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590-442E-BB6D-BEC93F9386D9}"/>
            </c:ext>
          </c:extLst>
        </c:ser>
        <c:ser>
          <c:idx val="3"/>
          <c:order val="3"/>
          <c:tx>
            <c:strRef>
              <c:f>'Activity Data Mauritius Island'!$C$6</c:f>
              <c:strCache>
                <c:ptCount val="1"/>
                <c:pt idx="0">
                  <c:v>Coal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'Activity Data Mauritius Island'!$F$2:$AH$2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xVal>
          <c:yVal>
            <c:numRef>
              <c:f>'Activity Data Mauritius Island'!$F$6:$AH$6</c:f>
              <c:numCache>
                <c:formatCode>#,##0.00</c:formatCode>
                <c:ptCount val="29"/>
                <c:pt idx="0">
                  <c:v>191.65577932635176</c:v>
                </c:pt>
                <c:pt idx="1">
                  <c:v>191.65577932635176</c:v>
                </c:pt>
                <c:pt idx="2">
                  <c:v>191.65577932635176</c:v>
                </c:pt>
                <c:pt idx="3">
                  <c:v>191.65577932635176</c:v>
                </c:pt>
                <c:pt idx="4">
                  <c:v>191.65577932635176</c:v>
                </c:pt>
                <c:pt idx="5">
                  <c:v>191.65577932635176</c:v>
                </c:pt>
                <c:pt idx="6">
                  <c:v>191.65577932635176</c:v>
                </c:pt>
                <c:pt idx="7">
                  <c:v>191.65577932635176</c:v>
                </c:pt>
                <c:pt idx="8">
                  <c:v>191.65577932635176</c:v>
                </c:pt>
                <c:pt idx="9">
                  <c:v>191.65577932635176</c:v>
                </c:pt>
                <c:pt idx="10">
                  <c:v>191.65577932635176</c:v>
                </c:pt>
                <c:pt idx="11">
                  <c:v>266.47260925205836</c:v>
                </c:pt>
                <c:pt idx="12">
                  <c:v>291.65803839206757</c:v>
                </c:pt>
                <c:pt idx="13">
                  <c:v>287.17599999999999</c:v>
                </c:pt>
                <c:pt idx="14">
                  <c:v>265.12799999999999</c:v>
                </c:pt>
                <c:pt idx="15">
                  <c:v>340.67500000000001</c:v>
                </c:pt>
                <c:pt idx="16">
                  <c:v>462.78399999999999</c:v>
                </c:pt>
                <c:pt idx="17">
                  <c:v>552.63199999999995</c:v>
                </c:pt>
                <c:pt idx="18">
                  <c:v>609.745</c:v>
                </c:pt>
                <c:pt idx="19">
                  <c:v>574.14099999999996</c:v>
                </c:pt>
                <c:pt idx="20">
                  <c:v>643.04899999999998</c:v>
                </c:pt>
                <c:pt idx="21">
                  <c:v>617.29700000000003</c:v>
                </c:pt>
                <c:pt idx="22">
                  <c:v>649.15700000000004</c:v>
                </c:pt>
                <c:pt idx="23">
                  <c:v>683.20699999999999</c:v>
                </c:pt>
                <c:pt idx="24">
                  <c:v>711.23599999999999</c:v>
                </c:pt>
                <c:pt idx="25">
                  <c:v>684.34799999999996</c:v>
                </c:pt>
                <c:pt idx="26">
                  <c:v>701.22500000000002</c:v>
                </c:pt>
                <c:pt idx="27">
                  <c:v>0</c:v>
                </c:pt>
                <c:pt idx="28">
                  <c:v>628.2788952380979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590-442E-BB6D-BEC93F9386D9}"/>
            </c:ext>
          </c:extLst>
        </c:ser>
        <c:ser>
          <c:idx val="4"/>
          <c:order val="4"/>
          <c:tx>
            <c:strRef>
              <c:f>'Activity Data Mauritius Island'!$C$7</c:f>
              <c:strCache>
                <c:ptCount val="1"/>
                <c:pt idx="0">
                  <c:v>Bagasse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'Activity Data Mauritius Island'!$F$2:$AH$2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xVal>
          <c:yVal>
            <c:numRef>
              <c:f>'Activity Data Mauritius Island'!$F$7:$AH$7</c:f>
              <c:numCache>
                <c:formatCode>#,##0.00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988.91328817924625</c:v>
                </c:pt>
                <c:pt idx="10">
                  <c:v>988.91328817924625</c:v>
                </c:pt>
                <c:pt idx="11">
                  <c:v>1110.4895696689371</c:v>
                </c:pt>
                <c:pt idx="12">
                  <c:v>1054.2351477924688</c:v>
                </c:pt>
                <c:pt idx="13">
                  <c:v>1046.7940000000001</c:v>
                </c:pt>
                <c:pt idx="14">
                  <c:v>1092.8230000000001</c:v>
                </c:pt>
                <c:pt idx="15">
                  <c:v>1055.742</c:v>
                </c:pt>
                <c:pt idx="16">
                  <c:v>1036.598</c:v>
                </c:pt>
                <c:pt idx="17">
                  <c:v>1040.2860000000001</c:v>
                </c:pt>
                <c:pt idx="18">
                  <c:v>1300.9390000000001</c:v>
                </c:pt>
                <c:pt idx="19">
                  <c:v>1135.588</c:v>
                </c:pt>
                <c:pt idx="20">
                  <c:v>1140.383</c:v>
                </c:pt>
                <c:pt idx="21">
                  <c:v>1119.04</c:v>
                </c:pt>
                <c:pt idx="22">
                  <c:v>1077.7860000000001</c:v>
                </c:pt>
                <c:pt idx="23">
                  <c:v>1056.146</c:v>
                </c:pt>
                <c:pt idx="24">
                  <c:v>1030.5630000000001</c:v>
                </c:pt>
                <c:pt idx="25">
                  <c:v>1240.3009999999999</c:v>
                </c:pt>
                <c:pt idx="26">
                  <c:v>1129.5450000000001</c:v>
                </c:pt>
                <c:pt idx="27">
                  <c:v>0</c:v>
                </c:pt>
                <c:pt idx="28">
                  <c:v>844.24955238095572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590-442E-BB6D-BEC93F938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334288"/>
        <c:axId val="714327072"/>
      </c:scatterChart>
      <c:scatterChart>
        <c:scatterStyle val="smoothMarker"/>
        <c:varyColors val="0"/>
        <c:ser>
          <c:idx val="0"/>
          <c:order val="0"/>
          <c:tx>
            <c:strRef>
              <c:f>'Activity Data Mauritius Island'!$C$3</c:f>
              <c:strCache>
                <c:ptCount val="1"/>
                <c:pt idx="0">
                  <c:v>Kerosene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'Activity Data Mauritius Island'!$F$2:$AH$2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xVal>
          <c:yVal>
            <c:numRef>
              <c:f>'Activity Data Mauritius Island'!$F$3:$AH$3</c:f>
              <c:numCache>
                <c:formatCode>#,##0.00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1.7683249204532343</c:v>
                </c:pt>
                <c:pt idx="10">
                  <c:v>1.7683249204532343</c:v>
                </c:pt>
                <c:pt idx="11">
                  <c:v>1.0291502580851097</c:v>
                </c:pt>
                <c:pt idx="12">
                  <c:v>2.0273478698177163</c:v>
                </c:pt>
                <c:pt idx="13">
                  <c:v>9.8640000000000008</c:v>
                </c:pt>
                <c:pt idx="14">
                  <c:v>16.555</c:v>
                </c:pt>
                <c:pt idx="15">
                  <c:v>17.731000000000002</c:v>
                </c:pt>
                <c:pt idx="16">
                  <c:v>1.8480000000000001</c:v>
                </c:pt>
                <c:pt idx="17">
                  <c:v>1.06664</c:v>
                </c:pt>
                <c:pt idx="18">
                  <c:v>2.0953200000000001</c:v>
                </c:pt>
                <c:pt idx="19">
                  <c:v>4.9238909999999994</c:v>
                </c:pt>
                <c:pt idx="20">
                  <c:v>6.008</c:v>
                </c:pt>
                <c:pt idx="21">
                  <c:v>3.6589999999999998</c:v>
                </c:pt>
                <c:pt idx="22">
                  <c:v>3.4369999999999998</c:v>
                </c:pt>
                <c:pt idx="23">
                  <c:v>0.64500000000000002</c:v>
                </c:pt>
                <c:pt idx="24">
                  <c:v>0.68100000000000005</c:v>
                </c:pt>
                <c:pt idx="25">
                  <c:v>0.74127999999999994</c:v>
                </c:pt>
                <c:pt idx="26">
                  <c:v>0.72877595972309628</c:v>
                </c:pt>
                <c:pt idx="27">
                  <c:v>0</c:v>
                </c:pt>
                <c:pt idx="28">
                  <c:v>0.18654397986153981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590-442E-BB6D-BEC93F9386D9}"/>
            </c:ext>
          </c:extLst>
        </c:ser>
        <c:ser>
          <c:idx val="2"/>
          <c:order val="2"/>
          <c:tx>
            <c:strRef>
              <c:f>'Activity Data Mauritius Island'!$C$5</c:f>
              <c:strCache>
                <c:ptCount val="1"/>
                <c:pt idx="0">
                  <c:v>Diesel Oil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'Activity Data Mauritius Island'!$F$2:$AH$2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xVal>
          <c:yVal>
            <c:numRef>
              <c:f>'Activity Data Mauritius Island'!$F$5:$AH$5</c:f>
              <c:numCache>
                <c:formatCode>#,##0.00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2.0527024970179197</c:v>
                </c:pt>
                <c:pt idx="10">
                  <c:v>2.0527024970179197</c:v>
                </c:pt>
                <c:pt idx="11">
                  <c:v>2.1537212712947795</c:v>
                </c:pt>
                <c:pt idx="12">
                  <c:v>2.1548012904263825</c:v>
                </c:pt>
                <c:pt idx="13">
                  <c:v>2.423</c:v>
                </c:pt>
                <c:pt idx="14">
                  <c:v>2.335</c:v>
                </c:pt>
                <c:pt idx="15">
                  <c:v>1.909</c:v>
                </c:pt>
                <c:pt idx="16">
                  <c:v>2.2320000000000002</c:v>
                </c:pt>
                <c:pt idx="17">
                  <c:v>2.6384799999999999</c:v>
                </c:pt>
                <c:pt idx="18">
                  <c:v>1.7209700000000001</c:v>
                </c:pt>
                <c:pt idx="19">
                  <c:v>2.5580419999999999</c:v>
                </c:pt>
                <c:pt idx="20">
                  <c:v>1.875</c:v>
                </c:pt>
                <c:pt idx="21">
                  <c:v>1.3540000000000001</c:v>
                </c:pt>
                <c:pt idx="22">
                  <c:v>1.728</c:v>
                </c:pt>
                <c:pt idx="23">
                  <c:v>1.19</c:v>
                </c:pt>
                <c:pt idx="24">
                  <c:v>1.125</c:v>
                </c:pt>
                <c:pt idx="25">
                  <c:v>0.97928999999999999</c:v>
                </c:pt>
                <c:pt idx="26">
                  <c:v>0.92377082383918174</c:v>
                </c:pt>
                <c:pt idx="27">
                  <c:v>0</c:v>
                </c:pt>
                <c:pt idx="28">
                  <c:v>0.52209360567599106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590-442E-BB6D-BEC93F938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338880"/>
        <c:axId val="714326416"/>
      </c:scatterChart>
      <c:valAx>
        <c:axId val="714334288"/>
        <c:scaling>
          <c:orientation val="minMax"/>
          <c:max val="2016"/>
          <c:min val="19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27072"/>
        <c:crosses val="autoZero"/>
        <c:crossBetween val="midCat"/>
        <c:majorUnit val="2"/>
      </c:valAx>
      <c:valAx>
        <c:axId val="7143270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 b="1">
                    <a:solidFill>
                      <a:sysClr val="windowText" lastClr="000000"/>
                    </a:solidFill>
                  </a:rPr>
                  <a:t>Gg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34288"/>
        <c:crosses val="autoZero"/>
        <c:crossBetween val="midCat"/>
      </c:valAx>
      <c:valAx>
        <c:axId val="714326416"/>
        <c:scaling>
          <c:orientation val="minMax"/>
          <c:min val="0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38880"/>
        <c:crosses val="max"/>
        <c:crossBetween val="midCat"/>
      </c:valAx>
      <c:valAx>
        <c:axId val="714338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43264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</a:rPr>
              <a:t>ELECTRICITY</a:t>
            </a:r>
            <a:r>
              <a:rPr lang="es-ES" b="1" baseline="0">
                <a:solidFill>
                  <a:sysClr val="windowText" lastClr="000000"/>
                </a:solidFill>
              </a:rPr>
              <a:t> GENERATION IN MAURITIUS ISLAND</a:t>
            </a:r>
            <a:endParaRPr lang="es-E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'Activity Data Calculations'!$C$81:$C$82</c:f>
              <c:strCache>
                <c:ptCount val="1"/>
                <c:pt idx="0">
                  <c:v>Kerosene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'Activity Data Calculations'!$F$77:$V$77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'Activity Data Calculations'!$F$81:$V$81</c:f>
              <c:numCache>
                <c:formatCode>General</c:formatCode>
                <c:ptCount val="17"/>
                <c:pt idx="0">
                  <c:v>42.772599999999997</c:v>
                </c:pt>
                <c:pt idx="1">
                  <c:v>12.0517</c:v>
                </c:pt>
                <c:pt idx="2">
                  <c:v>17.98555</c:v>
                </c:pt>
                <c:pt idx="3">
                  <c:v>32.274529999999999</c:v>
                </c:pt>
                <c:pt idx="4">
                  <c:v>44.286560000000001</c:v>
                </c:pt>
                <c:pt idx="5">
                  <c:v>56.203600000000002</c:v>
                </c:pt>
                <c:pt idx="6">
                  <c:v>5.7321</c:v>
                </c:pt>
                <c:pt idx="7">
                  <c:v>3.1876000000000002</c:v>
                </c:pt>
                <c:pt idx="8">
                  <c:v>6.5815000000000001</c:v>
                </c:pt>
                <c:pt idx="9">
                  <c:v>15.277304000000001</c:v>
                </c:pt>
                <c:pt idx="10">
                  <c:v>18.948927000000001</c:v>
                </c:pt>
                <c:pt idx="11">
                  <c:v>11.58</c:v>
                </c:pt>
                <c:pt idx="12">
                  <c:v>10.9838</c:v>
                </c:pt>
                <c:pt idx="13">
                  <c:v>1.6682999999999999</c:v>
                </c:pt>
                <c:pt idx="14">
                  <c:v>1.9911000000000001</c:v>
                </c:pt>
                <c:pt idx="15">
                  <c:v>2.0057999999999998</c:v>
                </c:pt>
                <c:pt idx="16">
                  <c:v>2.1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A55-48FC-B3A9-7E17A286316B}"/>
            </c:ext>
          </c:extLst>
        </c:ser>
        <c:ser>
          <c:idx val="1"/>
          <c:order val="1"/>
          <c:tx>
            <c:strRef>
              <c:f>'Activity Data Calculations'!$C$83:$C$84</c:f>
              <c:strCache>
                <c:ptCount val="1"/>
                <c:pt idx="0">
                  <c:v>Diesel &amp; Fuel Oil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'Activity Data Calculations'!$F$77:$V$77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'Activity Data Calculations'!$F$83:$V$83</c:f>
              <c:numCache>
                <c:formatCode>General</c:formatCode>
                <c:ptCount val="17"/>
                <c:pt idx="0">
                  <c:v>825.68688800000007</c:v>
                </c:pt>
                <c:pt idx="1">
                  <c:v>864.41514800000004</c:v>
                </c:pt>
                <c:pt idx="2">
                  <c:v>864.84840599999995</c:v>
                </c:pt>
                <c:pt idx="3">
                  <c:v>960.57734800000003</c:v>
                </c:pt>
                <c:pt idx="4">
                  <c:v>1031.539327</c:v>
                </c:pt>
                <c:pt idx="5">
                  <c:v>1008.4352699999999</c:v>
                </c:pt>
                <c:pt idx="6">
                  <c:v>993.00647400000003</c:v>
                </c:pt>
                <c:pt idx="7">
                  <c:v>885.21800400000006</c:v>
                </c:pt>
                <c:pt idx="8">
                  <c:v>796.35509999999999</c:v>
                </c:pt>
                <c:pt idx="9">
                  <c:v>907.7712919999999</c:v>
                </c:pt>
                <c:pt idx="10">
                  <c:v>947.02084300000001</c:v>
                </c:pt>
                <c:pt idx="11">
                  <c:v>1028.383566</c:v>
                </c:pt>
                <c:pt idx="12">
                  <c:v>1027.0037380000001</c:v>
                </c:pt>
                <c:pt idx="13">
                  <c:v>1044.1363080000001</c:v>
                </c:pt>
                <c:pt idx="14">
                  <c:v>1045.172597</c:v>
                </c:pt>
                <c:pt idx="15">
                  <c:v>1094.470409</c:v>
                </c:pt>
                <c:pt idx="16">
                  <c:v>1072.9000000000001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A55-48FC-B3A9-7E17A286316B}"/>
            </c:ext>
          </c:extLst>
        </c:ser>
        <c:ser>
          <c:idx val="2"/>
          <c:order val="2"/>
          <c:tx>
            <c:strRef>
              <c:f>'Activity Data Calculations'!$C$85:$C$86</c:f>
              <c:strCache>
                <c:ptCount val="1"/>
                <c:pt idx="0">
                  <c:v>Coal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'Activity Data Calculations'!$F$77:$V$77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'Activity Data Calculations'!$F$85:$V$85</c:f>
              <c:numCache>
                <c:formatCode>General</c:formatCode>
                <c:ptCount val="17"/>
                <c:pt idx="0">
                  <c:v>363.29</c:v>
                </c:pt>
                <c:pt idx="1">
                  <c:v>465.29</c:v>
                </c:pt>
                <c:pt idx="2">
                  <c:v>505.46899999999999</c:v>
                </c:pt>
                <c:pt idx="3">
                  <c:v>497.58</c:v>
                </c:pt>
                <c:pt idx="4">
                  <c:v>470.34</c:v>
                </c:pt>
                <c:pt idx="5">
                  <c:v>609.73400000000004</c:v>
                </c:pt>
                <c:pt idx="6">
                  <c:v>798.34836700000005</c:v>
                </c:pt>
                <c:pt idx="7">
                  <c:v>993.60206600000004</c:v>
                </c:pt>
                <c:pt idx="8">
                  <c:v>1128.729734</c:v>
                </c:pt>
                <c:pt idx="9">
                  <c:v>1015.25578</c:v>
                </c:pt>
                <c:pt idx="10">
                  <c:v>1115.853357</c:v>
                </c:pt>
                <c:pt idx="11">
                  <c:v>1119.3828610000003</c:v>
                </c:pt>
                <c:pt idx="12">
                  <c:v>1162.2731080000001</c:v>
                </c:pt>
                <c:pt idx="13">
                  <c:v>1213.5528300000001</c:v>
                </c:pt>
                <c:pt idx="14">
                  <c:v>1259.4965419999999</c:v>
                </c:pt>
                <c:pt idx="15">
                  <c:v>1181.6926880000001</c:v>
                </c:pt>
                <c:pt idx="16">
                  <c:v>1266.8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A55-48FC-B3A9-7E17A286316B}"/>
            </c:ext>
          </c:extLst>
        </c:ser>
        <c:ser>
          <c:idx val="3"/>
          <c:order val="3"/>
          <c:tx>
            <c:strRef>
              <c:f>'Activity Data Calculations'!$C$87:$C$88</c:f>
              <c:strCache>
                <c:ptCount val="1"/>
                <c:pt idx="0">
                  <c:v>Bagasse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'Activity Data Calculations'!$F$77:$V$77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'Activity Data Calculations'!$F$87:$V$87</c:f>
              <c:numCache>
                <c:formatCode>General</c:formatCode>
                <c:ptCount val="17"/>
                <c:pt idx="0">
                  <c:v>430.49</c:v>
                </c:pt>
                <c:pt idx="1">
                  <c:v>477.62</c:v>
                </c:pt>
                <c:pt idx="2">
                  <c:v>452.13400000000001</c:v>
                </c:pt>
                <c:pt idx="3">
                  <c:v>448.92</c:v>
                </c:pt>
                <c:pt idx="4">
                  <c:v>469.58</c:v>
                </c:pt>
                <c:pt idx="5">
                  <c:v>452.87099999999998</c:v>
                </c:pt>
                <c:pt idx="6">
                  <c:v>445.74503799999991</c:v>
                </c:pt>
                <c:pt idx="7">
                  <c:v>467.92107400000003</c:v>
                </c:pt>
                <c:pt idx="8">
                  <c:v>486.40424999999999</c:v>
                </c:pt>
                <c:pt idx="9">
                  <c:v>485.03085499999992</c:v>
                </c:pt>
                <c:pt idx="10">
                  <c:v>474.07597800000002</c:v>
                </c:pt>
                <c:pt idx="11">
                  <c:v>486.49219000000005</c:v>
                </c:pt>
                <c:pt idx="12">
                  <c:v>470.49515900000006</c:v>
                </c:pt>
                <c:pt idx="13">
                  <c:v>472.78504700000002</c:v>
                </c:pt>
                <c:pt idx="14">
                  <c:v>456.22989100000001</c:v>
                </c:pt>
                <c:pt idx="15">
                  <c:v>509.8410164</c:v>
                </c:pt>
                <c:pt idx="16">
                  <c:v>497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A55-48FC-B3A9-7E17A2863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242320"/>
        <c:axId val="665241664"/>
      </c:scatterChart>
      <c:valAx>
        <c:axId val="665242320"/>
        <c:scaling>
          <c:orientation val="minMax"/>
          <c:max val="2002"/>
          <c:min val="19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241664"/>
        <c:crosses val="autoZero"/>
        <c:crossBetween val="midCat"/>
        <c:majorUnit val="2"/>
      </c:valAx>
      <c:valAx>
        <c:axId val="66524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 b="1">
                    <a:solidFill>
                      <a:sysClr val="windowText" lastClr="000000"/>
                    </a:solidFill>
                  </a:rPr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242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</a:rPr>
              <a:t>FUEL CONSUMPTION FOR ELECTRICITY GENERATION IN</a:t>
            </a:r>
            <a:r>
              <a:rPr lang="es-ES" b="1" baseline="0">
                <a:solidFill>
                  <a:sysClr val="windowText" lastClr="000000"/>
                </a:solidFill>
              </a:rPr>
              <a:t> MAURITIUS</a:t>
            </a:r>
            <a:endParaRPr lang="es-E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strRef>
              <c:f>'Activity Data Mauritius Island'!$C$4</c:f>
              <c:strCache>
                <c:ptCount val="1"/>
                <c:pt idx="0">
                  <c:v>Fuel Oil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'Activity Data Mauritius Island'!$F$2:$AH$2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xVal>
          <c:yVal>
            <c:numRef>
              <c:f>'Activity Data Mauritius Island'!$F$4:$AH$4</c:f>
              <c:numCache>
                <c:formatCode>#,##0.00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169.49155198963439</c:v>
                </c:pt>
                <c:pt idx="10">
                  <c:v>169.49155198963439</c:v>
                </c:pt>
                <c:pt idx="11">
                  <c:v>177.83266759559746</c:v>
                </c:pt>
                <c:pt idx="12">
                  <c:v>177.92184472626292</c:v>
                </c:pt>
                <c:pt idx="13">
                  <c:v>200.06700000000001</c:v>
                </c:pt>
                <c:pt idx="14">
                  <c:v>215.29</c:v>
                </c:pt>
                <c:pt idx="15">
                  <c:v>210.14400000000001</c:v>
                </c:pt>
                <c:pt idx="16">
                  <c:v>219.96899999999999</c:v>
                </c:pt>
                <c:pt idx="17">
                  <c:v>195.08068</c:v>
                </c:pt>
                <c:pt idx="18">
                  <c:v>160.35874999999999</c:v>
                </c:pt>
                <c:pt idx="19">
                  <c:v>183.67815470000002</c:v>
                </c:pt>
                <c:pt idx="20">
                  <c:v>190.108</c:v>
                </c:pt>
                <c:pt idx="21">
                  <c:v>207.57599999999999</c:v>
                </c:pt>
                <c:pt idx="22">
                  <c:v>206.14599999999999</c:v>
                </c:pt>
                <c:pt idx="23">
                  <c:v>208.86500000000001</c:v>
                </c:pt>
                <c:pt idx="24">
                  <c:v>213.58799999999999</c:v>
                </c:pt>
                <c:pt idx="25">
                  <c:v>221.11567000000002</c:v>
                </c:pt>
                <c:pt idx="26">
                  <c:v>215.79446001899998</c:v>
                </c:pt>
                <c:pt idx="27">
                  <c:v>0</c:v>
                </c:pt>
                <c:pt idx="28">
                  <c:v>155.24397380261871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98C-4264-96A3-D9A255B4EC6E}"/>
            </c:ext>
          </c:extLst>
        </c:ser>
        <c:ser>
          <c:idx val="3"/>
          <c:order val="3"/>
          <c:tx>
            <c:strRef>
              <c:f>'Activity Data Mauritius Island'!$C$6</c:f>
              <c:strCache>
                <c:ptCount val="1"/>
                <c:pt idx="0">
                  <c:v>Coal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'Activity Data Mauritius Island'!$F$2:$AH$2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xVal>
          <c:yVal>
            <c:numRef>
              <c:f>'Activity Data Mauritius Island'!$F$6:$AH$6</c:f>
              <c:numCache>
                <c:formatCode>#,##0.00</c:formatCode>
                <c:ptCount val="29"/>
                <c:pt idx="0">
                  <c:v>191.65577932635176</c:v>
                </c:pt>
                <c:pt idx="1">
                  <c:v>191.65577932635176</c:v>
                </c:pt>
                <c:pt idx="2">
                  <c:v>191.65577932635176</c:v>
                </c:pt>
                <c:pt idx="3">
                  <c:v>191.65577932635176</c:v>
                </c:pt>
                <c:pt idx="4">
                  <c:v>191.65577932635176</c:v>
                </c:pt>
                <c:pt idx="5">
                  <c:v>191.65577932635176</c:v>
                </c:pt>
                <c:pt idx="6">
                  <c:v>191.65577932635176</c:v>
                </c:pt>
                <c:pt idx="7">
                  <c:v>191.65577932635176</c:v>
                </c:pt>
                <c:pt idx="8">
                  <c:v>191.65577932635176</c:v>
                </c:pt>
                <c:pt idx="9">
                  <c:v>191.65577932635176</c:v>
                </c:pt>
                <c:pt idx="10">
                  <c:v>191.65577932635176</c:v>
                </c:pt>
                <c:pt idx="11">
                  <c:v>266.47260925205836</c:v>
                </c:pt>
                <c:pt idx="12">
                  <c:v>291.65803839206757</c:v>
                </c:pt>
                <c:pt idx="13">
                  <c:v>287.17599999999999</c:v>
                </c:pt>
                <c:pt idx="14">
                  <c:v>265.12799999999999</c:v>
                </c:pt>
                <c:pt idx="15">
                  <c:v>340.67500000000001</c:v>
                </c:pt>
                <c:pt idx="16">
                  <c:v>462.78399999999999</c:v>
                </c:pt>
                <c:pt idx="17">
                  <c:v>552.63199999999995</c:v>
                </c:pt>
                <c:pt idx="18">
                  <c:v>609.745</c:v>
                </c:pt>
                <c:pt idx="19">
                  <c:v>574.14099999999996</c:v>
                </c:pt>
                <c:pt idx="20">
                  <c:v>643.04899999999998</c:v>
                </c:pt>
                <c:pt idx="21">
                  <c:v>617.29700000000003</c:v>
                </c:pt>
                <c:pt idx="22">
                  <c:v>649.15700000000004</c:v>
                </c:pt>
                <c:pt idx="23">
                  <c:v>683.20699999999999</c:v>
                </c:pt>
                <c:pt idx="24">
                  <c:v>711.23599999999999</c:v>
                </c:pt>
                <c:pt idx="25">
                  <c:v>684.34799999999996</c:v>
                </c:pt>
                <c:pt idx="26">
                  <c:v>701.22500000000002</c:v>
                </c:pt>
                <c:pt idx="27">
                  <c:v>0</c:v>
                </c:pt>
                <c:pt idx="28">
                  <c:v>628.2788952380979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98C-4264-96A3-D9A255B4EC6E}"/>
            </c:ext>
          </c:extLst>
        </c:ser>
        <c:ser>
          <c:idx val="4"/>
          <c:order val="4"/>
          <c:tx>
            <c:strRef>
              <c:f>'Activity Data Mauritius Island'!$C$7</c:f>
              <c:strCache>
                <c:ptCount val="1"/>
                <c:pt idx="0">
                  <c:v>Bagasse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'Activity Data Mauritius Island'!$F$2:$AH$2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xVal>
          <c:yVal>
            <c:numRef>
              <c:f>'Activity Data Mauritius Island'!$F$7:$AH$7</c:f>
              <c:numCache>
                <c:formatCode>#,##0.00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988.91328817924625</c:v>
                </c:pt>
                <c:pt idx="10">
                  <c:v>988.91328817924625</c:v>
                </c:pt>
                <c:pt idx="11">
                  <c:v>1110.4895696689371</c:v>
                </c:pt>
                <c:pt idx="12">
                  <c:v>1054.2351477924688</c:v>
                </c:pt>
                <c:pt idx="13">
                  <c:v>1046.7940000000001</c:v>
                </c:pt>
                <c:pt idx="14">
                  <c:v>1092.8230000000001</c:v>
                </c:pt>
                <c:pt idx="15">
                  <c:v>1055.742</c:v>
                </c:pt>
                <c:pt idx="16">
                  <c:v>1036.598</c:v>
                </c:pt>
                <c:pt idx="17">
                  <c:v>1040.2860000000001</c:v>
                </c:pt>
                <c:pt idx="18">
                  <c:v>1300.9390000000001</c:v>
                </c:pt>
                <c:pt idx="19">
                  <c:v>1135.588</c:v>
                </c:pt>
                <c:pt idx="20">
                  <c:v>1140.383</c:v>
                </c:pt>
                <c:pt idx="21">
                  <c:v>1119.04</c:v>
                </c:pt>
                <c:pt idx="22">
                  <c:v>1077.7860000000001</c:v>
                </c:pt>
                <c:pt idx="23">
                  <c:v>1056.146</c:v>
                </c:pt>
                <c:pt idx="24">
                  <c:v>1030.5630000000001</c:v>
                </c:pt>
                <c:pt idx="25">
                  <c:v>1240.3009999999999</c:v>
                </c:pt>
                <c:pt idx="26">
                  <c:v>1129.5450000000001</c:v>
                </c:pt>
                <c:pt idx="27">
                  <c:v>0</c:v>
                </c:pt>
                <c:pt idx="28">
                  <c:v>844.24955238095572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98C-4264-96A3-D9A255B4E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334288"/>
        <c:axId val="714327072"/>
      </c:scatterChart>
      <c:scatterChart>
        <c:scatterStyle val="smoothMarker"/>
        <c:varyColors val="0"/>
        <c:ser>
          <c:idx val="0"/>
          <c:order val="0"/>
          <c:tx>
            <c:strRef>
              <c:f>'Activity Data Mauritius Island'!$C$3</c:f>
              <c:strCache>
                <c:ptCount val="1"/>
                <c:pt idx="0">
                  <c:v>Kerosene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'Activity Data Mauritius Island'!$F$2:$AH$2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xVal>
          <c:yVal>
            <c:numRef>
              <c:f>'Activity Data Mauritius Island'!$F$3:$AH$3</c:f>
              <c:numCache>
                <c:formatCode>#,##0.00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1.7683249204532343</c:v>
                </c:pt>
                <c:pt idx="10">
                  <c:v>1.7683249204532343</c:v>
                </c:pt>
                <c:pt idx="11">
                  <c:v>1.0291502580851097</c:v>
                </c:pt>
                <c:pt idx="12">
                  <c:v>2.0273478698177163</c:v>
                </c:pt>
                <c:pt idx="13">
                  <c:v>9.8640000000000008</c:v>
                </c:pt>
                <c:pt idx="14">
                  <c:v>16.555</c:v>
                </c:pt>
                <c:pt idx="15">
                  <c:v>17.731000000000002</c:v>
                </c:pt>
                <c:pt idx="16">
                  <c:v>1.8480000000000001</c:v>
                </c:pt>
                <c:pt idx="17">
                  <c:v>1.06664</c:v>
                </c:pt>
                <c:pt idx="18">
                  <c:v>2.0953200000000001</c:v>
                </c:pt>
                <c:pt idx="19">
                  <c:v>4.9238909999999994</c:v>
                </c:pt>
                <c:pt idx="20">
                  <c:v>6.008</c:v>
                </c:pt>
                <c:pt idx="21">
                  <c:v>3.6589999999999998</c:v>
                </c:pt>
                <c:pt idx="22">
                  <c:v>3.4369999999999998</c:v>
                </c:pt>
                <c:pt idx="23">
                  <c:v>0.64500000000000002</c:v>
                </c:pt>
                <c:pt idx="24">
                  <c:v>0.68100000000000005</c:v>
                </c:pt>
                <c:pt idx="25">
                  <c:v>0.74127999999999994</c:v>
                </c:pt>
                <c:pt idx="26">
                  <c:v>0.72877595972309628</c:v>
                </c:pt>
                <c:pt idx="27">
                  <c:v>0</c:v>
                </c:pt>
                <c:pt idx="28">
                  <c:v>0.18654397986153981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98C-4264-96A3-D9A255B4EC6E}"/>
            </c:ext>
          </c:extLst>
        </c:ser>
        <c:ser>
          <c:idx val="2"/>
          <c:order val="2"/>
          <c:tx>
            <c:strRef>
              <c:f>'Activity Data Mauritius Island'!$C$5</c:f>
              <c:strCache>
                <c:ptCount val="1"/>
                <c:pt idx="0">
                  <c:v>Diesel Oil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'Activity Data Mauritius Island'!$F$2:$AH$2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xVal>
          <c:yVal>
            <c:numRef>
              <c:f>'Activity Data Mauritius Island'!$F$5:$AH$5</c:f>
              <c:numCache>
                <c:formatCode>#,##0.00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2.0527024970179197</c:v>
                </c:pt>
                <c:pt idx="10">
                  <c:v>2.0527024970179197</c:v>
                </c:pt>
                <c:pt idx="11">
                  <c:v>2.1537212712947795</c:v>
                </c:pt>
                <c:pt idx="12">
                  <c:v>2.1548012904263825</c:v>
                </c:pt>
                <c:pt idx="13">
                  <c:v>2.423</c:v>
                </c:pt>
                <c:pt idx="14">
                  <c:v>2.335</c:v>
                </c:pt>
                <c:pt idx="15">
                  <c:v>1.909</c:v>
                </c:pt>
                <c:pt idx="16">
                  <c:v>2.2320000000000002</c:v>
                </c:pt>
                <c:pt idx="17">
                  <c:v>2.6384799999999999</c:v>
                </c:pt>
                <c:pt idx="18">
                  <c:v>1.7209700000000001</c:v>
                </c:pt>
                <c:pt idx="19">
                  <c:v>2.5580419999999999</c:v>
                </c:pt>
                <c:pt idx="20">
                  <c:v>1.875</c:v>
                </c:pt>
                <c:pt idx="21">
                  <c:v>1.3540000000000001</c:v>
                </c:pt>
                <c:pt idx="22">
                  <c:v>1.728</c:v>
                </c:pt>
                <c:pt idx="23">
                  <c:v>1.19</c:v>
                </c:pt>
                <c:pt idx="24">
                  <c:v>1.125</c:v>
                </c:pt>
                <c:pt idx="25">
                  <c:v>0.97928999999999999</c:v>
                </c:pt>
                <c:pt idx="26">
                  <c:v>0.92377082383918174</c:v>
                </c:pt>
                <c:pt idx="27">
                  <c:v>0</c:v>
                </c:pt>
                <c:pt idx="28">
                  <c:v>0.52209360567599106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98C-4264-96A3-D9A255B4E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338880"/>
        <c:axId val="714326416"/>
      </c:scatterChart>
      <c:valAx>
        <c:axId val="714334288"/>
        <c:scaling>
          <c:orientation val="minMax"/>
          <c:max val="2002"/>
          <c:min val="19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27072"/>
        <c:crosses val="autoZero"/>
        <c:crossBetween val="midCat"/>
        <c:majorUnit val="2"/>
      </c:valAx>
      <c:valAx>
        <c:axId val="7143270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 b="1">
                    <a:solidFill>
                      <a:sysClr val="windowText" lastClr="000000"/>
                    </a:solidFill>
                  </a:rPr>
                  <a:t>Gg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34288"/>
        <c:crosses val="autoZero"/>
        <c:crossBetween val="midCat"/>
      </c:valAx>
      <c:valAx>
        <c:axId val="714326416"/>
        <c:scaling>
          <c:orientation val="minMax"/>
          <c:min val="0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38880"/>
        <c:crosses val="max"/>
        <c:crossBetween val="midCat"/>
      </c:valAx>
      <c:valAx>
        <c:axId val="714338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43264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</a:rPr>
              <a:t>ELECTRICITY</a:t>
            </a:r>
            <a:r>
              <a:rPr lang="es-ES" b="1" baseline="0">
                <a:solidFill>
                  <a:sysClr val="windowText" lastClr="000000"/>
                </a:solidFill>
              </a:rPr>
              <a:t> GENERATION IN MAURITIUS ISLAND</a:t>
            </a:r>
            <a:endParaRPr lang="es-E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'Activity Data Calculations'!$C$81:$C$82</c:f>
              <c:strCache>
                <c:ptCount val="1"/>
                <c:pt idx="0">
                  <c:v>Kerosene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'Activity Data Calculations'!$F$77:$V$77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'Activity Data Calculations'!$F$81:$V$81</c:f>
              <c:numCache>
                <c:formatCode>General</c:formatCode>
                <c:ptCount val="17"/>
                <c:pt idx="0">
                  <c:v>42.772599999999997</c:v>
                </c:pt>
                <c:pt idx="1">
                  <c:v>12.0517</c:v>
                </c:pt>
                <c:pt idx="2">
                  <c:v>17.98555</c:v>
                </c:pt>
                <c:pt idx="3">
                  <c:v>32.274529999999999</c:v>
                </c:pt>
                <c:pt idx="4">
                  <c:v>44.286560000000001</c:v>
                </c:pt>
                <c:pt idx="5">
                  <c:v>56.203600000000002</c:v>
                </c:pt>
                <c:pt idx="6">
                  <c:v>5.7321</c:v>
                </c:pt>
                <c:pt idx="7">
                  <c:v>3.1876000000000002</c:v>
                </c:pt>
                <c:pt idx="8">
                  <c:v>6.5815000000000001</c:v>
                </c:pt>
                <c:pt idx="9">
                  <c:v>15.277304000000001</c:v>
                </c:pt>
                <c:pt idx="10">
                  <c:v>18.948927000000001</c:v>
                </c:pt>
                <c:pt idx="11">
                  <c:v>11.58</c:v>
                </c:pt>
                <c:pt idx="12">
                  <c:v>10.9838</c:v>
                </c:pt>
                <c:pt idx="13">
                  <c:v>1.6682999999999999</c:v>
                </c:pt>
                <c:pt idx="14">
                  <c:v>1.9911000000000001</c:v>
                </c:pt>
                <c:pt idx="15">
                  <c:v>2.0057999999999998</c:v>
                </c:pt>
                <c:pt idx="16">
                  <c:v>2.1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A5A-4933-B3DF-9AD21F024D89}"/>
            </c:ext>
          </c:extLst>
        </c:ser>
        <c:ser>
          <c:idx val="1"/>
          <c:order val="1"/>
          <c:tx>
            <c:strRef>
              <c:f>'Activity Data Calculations'!$C$83:$C$84</c:f>
              <c:strCache>
                <c:ptCount val="1"/>
                <c:pt idx="0">
                  <c:v>Diesel &amp; Fuel Oil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'Activity Data Calculations'!$F$77:$V$77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'Activity Data Calculations'!$F$83:$V$83</c:f>
              <c:numCache>
                <c:formatCode>General</c:formatCode>
                <c:ptCount val="17"/>
                <c:pt idx="0">
                  <c:v>825.68688800000007</c:v>
                </c:pt>
                <c:pt idx="1">
                  <c:v>864.41514800000004</c:v>
                </c:pt>
                <c:pt idx="2">
                  <c:v>864.84840599999995</c:v>
                </c:pt>
                <c:pt idx="3">
                  <c:v>960.57734800000003</c:v>
                </c:pt>
                <c:pt idx="4">
                  <c:v>1031.539327</c:v>
                </c:pt>
                <c:pt idx="5">
                  <c:v>1008.4352699999999</c:v>
                </c:pt>
                <c:pt idx="6">
                  <c:v>993.00647400000003</c:v>
                </c:pt>
                <c:pt idx="7">
                  <c:v>885.21800400000006</c:v>
                </c:pt>
                <c:pt idx="8">
                  <c:v>796.35509999999999</c:v>
                </c:pt>
                <c:pt idx="9">
                  <c:v>907.7712919999999</c:v>
                </c:pt>
                <c:pt idx="10">
                  <c:v>947.02084300000001</c:v>
                </c:pt>
                <c:pt idx="11">
                  <c:v>1028.383566</c:v>
                </c:pt>
                <c:pt idx="12">
                  <c:v>1027.0037380000001</c:v>
                </c:pt>
                <c:pt idx="13">
                  <c:v>1044.1363080000001</c:v>
                </c:pt>
                <c:pt idx="14">
                  <c:v>1045.172597</c:v>
                </c:pt>
                <c:pt idx="15">
                  <c:v>1094.470409</c:v>
                </c:pt>
                <c:pt idx="16">
                  <c:v>1072.9000000000001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A5A-4933-B3DF-9AD21F024D89}"/>
            </c:ext>
          </c:extLst>
        </c:ser>
        <c:ser>
          <c:idx val="2"/>
          <c:order val="2"/>
          <c:tx>
            <c:strRef>
              <c:f>'Activity Data Calculations'!$C$85:$C$86</c:f>
              <c:strCache>
                <c:ptCount val="1"/>
                <c:pt idx="0">
                  <c:v>Coal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'Activity Data Calculations'!$F$77:$V$77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'Activity Data Calculations'!$F$85:$V$85</c:f>
              <c:numCache>
                <c:formatCode>General</c:formatCode>
                <c:ptCount val="17"/>
                <c:pt idx="0">
                  <c:v>363.29</c:v>
                </c:pt>
                <c:pt idx="1">
                  <c:v>465.29</c:v>
                </c:pt>
                <c:pt idx="2">
                  <c:v>505.46899999999999</c:v>
                </c:pt>
                <c:pt idx="3">
                  <c:v>497.58</c:v>
                </c:pt>
                <c:pt idx="4">
                  <c:v>470.34</c:v>
                </c:pt>
                <c:pt idx="5">
                  <c:v>609.73400000000004</c:v>
                </c:pt>
                <c:pt idx="6">
                  <c:v>798.34836700000005</c:v>
                </c:pt>
                <c:pt idx="7">
                  <c:v>993.60206600000004</c:v>
                </c:pt>
                <c:pt idx="8">
                  <c:v>1128.729734</c:v>
                </c:pt>
                <c:pt idx="9">
                  <c:v>1015.25578</c:v>
                </c:pt>
                <c:pt idx="10">
                  <c:v>1115.853357</c:v>
                </c:pt>
                <c:pt idx="11">
                  <c:v>1119.3828610000003</c:v>
                </c:pt>
                <c:pt idx="12">
                  <c:v>1162.2731080000001</c:v>
                </c:pt>
                <c:pt idx="13">
                  <c:v>1213.5528300000001</c:v>
                </c:pt>
                <c:pt idx="14">
                  <c:v>1259.4965419999999</c:v>
                </c:pt>
                <c:pt idx="15">
                  <c:v>1181.6926880000001</c:v>
                </c:pt>
                <c:pt idx="16">
                  <c:v>1266.8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A5A-4933-B3DF-9AD21F024D89}"/>
            </c:ext>
          </c:extLst>
        </c:ser>
        <c:ser>
          <c:idx val="3"/>
          <c:order val="3"/>
          <c:tx>
            <c:strRef>
              <c:f>'Activity Data Calculations'!$C$87:$C$88</c:f>
              <c:strCache>
                <c:ptCount val="1"/>
                <c:pt idx="0">
                  <c:v>Bagasse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'Activity Data Calculations'!$F$77:$V$77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'Activity Data Calculations'!$F$87:$V$87</c:f>
              <c:numCache>
                <c:formatCode>General</c:formatCode>
                <c:ptCount val="17"/>
                <c:pt idx="0">
                  <c:v>430.49</c:v>
                </c:pt>
                <c:pt idx="1">
                  <c:v>477.62</c:v>
                </c:pt>
                <c:pt idx="2">
                  <c:v>452.13400000000001</c:v>
                </c:pt>
                <c:pt idx="3">
                  <c:v>448.92</c:v>
                </c:pt>
                <c:pt idx="4">
                  <c:v>469.58</c:v>
                </c:pt>
                <c:pt idx="5">
                  <c:v>452.87099999999998</c:v>
                </c:pt>
                <c:pt idx="6">
                  <c:v>445.74503799999991</c:v>
                </c:pt>
                <c:pt idx="7">
                  <c:v>467.92107400000003</c:v>
                </c:pt>
                <c:pt idx="8">
                  <c:v>486.40424999999999</c:v>
                </c:pt>
                <c:pt idx="9">
                  <c:v>485.03085499999992</c:v>
                </c:pt>
                <c:pt idx="10">
                  <c:v>474.07597800000002</c:v>
                </c:pt>
                <c:pt idx="11">
                  <c:v>486.49219000000005</c:v>
                </c:pt>
                <c:pt idx="12">
                  <c:v>470.49515900000006</c:v>
                </c:pt>
                <c:pt idx="13">
                  <c:v>472.78504700000002</c:v>
                </c:pt>
                <c:pt idx="14">
                  <c:v>456.22989100000001</c:v>
                </c:pt>
                <c:pt idx="15">
                  <c:v>509.8410164</c:v>
                </c:pt>
                <c:pt idx="16">
                  <c:v>497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A5A-4933-B3DF-9AD21F024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242320"/>
        <c:axId val="665241664"/>
      </c:scatterChart>
      <c:valAx>
        <c:axId val="665242320"/>
        <c:scaling>
          <c:orientation val="minMax"/>
          <c:max val="2016"/>
          <c:min val="19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241664"/>
        <c:crosses val="autoZero"/>
        <c:crossBetween val="midCat"/>
        <c:majorUnit val="2"/>
      </c:valAx>
      <c:valAx>
        <c:axId val="66524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 b="1">
                    <a:solidFill>
                      <a:sysClr val="windowText" lastClr="000000"/>
                    </a:solidFill>
                  </a:rPr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242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</a:rPr>
              <a:t>FUEL CONSUMPTION FOR ELECTRICITY GENERATION IN RODRIGUES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'Activity Data Rodrigues Island'!$C$4</c:f>
              <c:strCache>
                <c:ptCount val="1"/>
                <c:pt idx="0">
                  <c:v>Fuel Oil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'Activity Data Rodrigues Island'!$F$2:$AH$2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xVal>
          <c:yVal>
            <c:numRef>
              <c:f>'Activity Data Rodrigues Island'!$F$4:$AH$4</c:f>
              <c:numCache>
                <c:formatCode>#,##0.00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3.1309197001192399</c:v>
                </c:pt>
                <c:pt idx="9">
                  <c:v>3.1309197001192399</c:v>
                </c:pt>
                <c:pt idx="10">
                  <c:v>3.3007018413793268</c:v>
                </c:pt>
                <c:pt idx="11">
                  <c:v>3.6421854205020887</c:v>
                </c:pt>
                <c:pt idx="12">
                  <c:v>3.9653199377631463</c:v>
                </c:pt>
                <c:pt idx="13">
                  <c:v>4.3920000000000003</c:v>
                </c:pt>
                <c:pt idx="14">
                  <c:v>4.7770000000000001</c:v>
                </c:pt>
                <c:pt idx="15">
                  <c:v>6.9089999999999998</c:v>
                </c:pt>
                <c:pt idx="16">
                  <c:v>6.5720000000000001</c:v>
                </c:pt>
                <c:pt idx="17">
                  <c:v>6.7395299999999994</c:v>
                </c:pt>
                <c:pt idx="18">
                  <c:v>7.1876199999999999</c:v>
                </c:pt>
                <c:pt idx="19">
                  <c:v>6.9260751000000003</c:v>
                </c:pt>
                <c:pt idx="20">
                  <c:v>6.774</c:v>
                </c:pt>
                <c:pt idx="21">
                  <c:v>6.9409999999999998</c:v>
                </c:pt>
                <c:pt idx="22">
                  <c:v>6.8860000000000001</c:v>
                </c:pt>
                <c:pt idx="23">
                  <c:v>7.3250000000000002</c:v>
                </c:pt>
                <c:pt idx="24">
                  <c:v>7.7569999999999997</c:v>
                </c:pt>
                <c:pt idx="25">
                  <c:v>8.4547000000000008</c:v>
                </c:pt>
                <c:pt idx="26">
                  <c:v>8.4179968342963924</c:v>
                </c:pt>
                <c:pt idx="27">
                  <c:v>0</c:v>
                </c:pt>
                <c:pt idx="28">
                  <c:v>5.4822510142370788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C94-4F85-B5EB-BA799B86ECB7}"/>
            </c:ext>
          </c:extLst>
        </c:ser>
        <c:ser>
          <c:idx val="1"/>
          <c:order val="1"/>
          <c:tx>
            <c:strRef>
              <c:f>'Activity Data Rodrigues Island'!$C$5</c:f>
              <c:strCache>
                <c:ptCount val="1"/>
                <c:pt idx="0">
                  <c:v>Diesel Oil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'Activity Data Rodrigues Island'!$F$2:$AH$2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xVal>
          <c:yVal>
            <c:numRef>
              <c:f>'Activity Data Rodrigues Island'!$F$5:$AH$5</c:f>
              <c:numCache>
                <c:formatCode>#,##0.00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1.0493428503131876</c:v>
                </c:pt>
                <c:pt idx="9">
                  <c:v>1.0493428503131876</c:v>
                </c:pt>
                <c:pt idx="10">
                  <c:v>1.1062461544877886</c:v>
                </c:pt>
                <c:pt idx="11">
                  <c:v>1.2206960243577125</c:v>
                </c:pt>
                <c:pt idx="12">
                  <c:v>1.3289961175745333</c:v>
                </c:pt>
                <c:pt idx="13">
                  <c:v>1.472</c:v>
                </c:pt>
                <c:pt idx="14">
                  <c:v>1.633</c:v>
                </c:pt>
                <c:pt idx="15">
                  <c:v>0.217</c:v>
                </c:pt>
                <c:pt idx="16">
                  <c:v>0.29899999999999999</c:v>
                </c:pt>
                <c:pt idx="17">
                  <c:v>0.10795</c:v>
                </c:pt>
                <c:pt idx="18">
                  <c:v>0.17962999999999998</c:v>
                </c:pt>
                <c:pt idx="19">
                  <c:v>0.20318159999999999</c:v>
                </c:pt>
                <c:pt idx="20">
                  <c:v>0.122</c:v>
                </c:pt>
                <c:pt idx="21">
                  <c:v>0.16900000000000001</c:v>
                </c:pt>
                <c:pt idx="22">
                  <c:v>0.129</c:v>
                </c:pt>
                <c:pt idx="23">
                  <c:v>7.9000000000000001E-2</c:v>
                </c:pt>
                <c:pt idx="24">
                  <c:v>0.104</c:v>
                </c:pt>
                <c:pt idx="25">
                  <c:v>0.10463</c:v>
                </c:pt>
                <c:pt idx="26">
                  <c:v>0.10133846439482166</c:v>
                </c:pt>
                <c:pt idx="27">
                  <c:v>0</c:v>
                </c:pt>
                <c:pt idx="28">
                  <c:v>3.046394146493725E-2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C94-4F85-B5EB-BA799B86E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334288"/>
        <c:axId val="714327072"/>
      </c:scatterChart>
      <c:valAx>
        <c:axId val="714334288"/>
        <c:scaling>
          <c:orientation val="minMax"/>
          <c:max val="2016"/>
          <c:min val="19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27072"/>
        <c:crosses val="autoZero"/>
        <c:crossBetween val="midCat"/>
        <c:majorUnit val="2"/>
      </c:valAx>
      <c:valAx>
        <c:axId val="7143270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 b="1">
                    <a:solidFill>
                      <a:sysClr val="windowText" lastClr="000000"/>
                    </a:solidFill>
                  </a:rPr>
                  <a:t>Gg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34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</a:rPr>
              <a:t>FUEL CONSUMPTION FOR ELECTRICITY GENERATION IN RODRIGUES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'Activity Data Rodrigues Island'!$C$4</c:f>
              <c:strCache>
                <c:ptCount val="1"/>
                <c:pt idx="0">
                  <c:v>Fuel Oil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'Activity Data Rodrigues Island'!$F$2:$AH$2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xVal>
          <c:yVal>
            <c:numRef>
              <c:f>'Activity Data Rodrigues Island'!$F$4:$AH$4</c:f>
              <c:numCache>
                <c:formatCode>#,##0.00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3.1309197001192399</c:v>
                </c:pt>
                <c:pt idx="9">
                  <c:v>3.1309197001192399</c:v>
                </c:pt>
                <c:pt idx="10">
                  <c:v>3.3007018413793268</c:v>
                </c:pt>
                <c:pt idx="11">
                  <c:v>3.6421854205020887</c:v>
                </c:pt>
                <c:pt idx="12">
                  <c:v>3.9653199377631463</c:v>
                </c:pt>
                <c:pt idx="13">
                  <c:v>4.3920000000000003</c:v>
                </c:pt>
                <c:pt idx="14">
                  <c:v>4.7770000000000001</c:v>
                </c:pt>
                <c:pt idx="15">
                  <c:v>6.9089999999999998</c:v>
                </c:pt>
                <c:pt idx="16">
                  <c:v>6.5720000000000001</c:v>
                </c:pt>
                <c:pt idx="17">
                  <c:v>6.7395299999999994</c:v>
                </c:pt>
                <c:pt idx="18">
                  <c:v>7.1876199999999999</c:v>
                </c:pt>
                <c:pt idx="19">
                  <c:v>6.9260751000000003</c:v>
                </c:pt>
                <c:pt idx="20">
                  <c:v>6.774</c:v>
                </c:pt>
                <c:pt idx="21">
                  <c:v>6.9409999999999998</c:v>
                </c:pt>
                <c:pt idx="22">
                  <c:v>6.8860000000000001</c:v>
                </c:pt>
                <c:pt idx="23">
                  <c:v>7.3250000000000002</c:v>
                </c:pt>
                <c:pt idx="24">
                  <c:v>7.7569999999999997</c:v>
                </c:pt>
                <c:pt idx="25">
                  <c:v>8.4547000000000008</c:v>
                </c:pt>
                <c:pt idx="26">
                  <c:v>8.4179968342963924</c:v>
                </c:pt>
                <c:pt idx="27">
                  <c:v>0</c:v>
                </c:pt>
                <c:pt idx="28">
                  <c:v>5.4822510142370788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A4B-45F1-8AE2-C5996F94620A}"/>
            </c:ext>
          </c:extLst>
        </c:ser>
        <c:ser>
          <c:idx val="1"/>
          <c:order val="1"/>
          <c:tx>
            <c:strRef>
              <c:f>'Activity Data Rodrigues Island'!$C$5</c:f>
              <c:strCache>
                <c:ptCount val="1"/>
                <c:pt idx="0">
                  <c:v>Diesel Oil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'Activity Data Rodrigues Island'!$F$2:$AH$2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xVal>
          <c:yVal>
            <c:numRef>
              <c:f>'Activity Data Rodrigues Island'!$F$5:$AH$5</c:f>
              <c:numCache>
                <c:formatCode>#,##0.00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1.0493428503131876</c:v>
                </c:pt>
                <c:pt idx="9">
                  <c:v>1.0493428503131876</c:v>
                </c:pt>
                <c:pt idx="10">
                  <c:v>1.1062461544877886</c:v>
                </c:pt>
                <c:pt idx="11">
                  <c:v>1.2206960243577125</c:v>
                </c:pt>
                <c:pt idx="12">
                  <c:v>1.3289961175745333</c:v>
                </c:pt>
                <c:pt idx="13">
                  <c:v>1.472</c:v>
                </c:pt>
                <c:pt idx="14">
                  <c:v>1.633</c:v>
                </c:pt>
                <c:pt idx="15">
                  <c:v>0.217</c:v>
                </c:pt>
                <c:pt idx="16">
                  <c:v>0.29899999999999999</c:v>
                </c:pt>
                <c:pt idx="17">
                  <c:v>0.10795</c:v>
                </c:pt>
                <c:pt idx="18">
                  <c:v>0.17962999999999998</c:v>
                </c:pt>
                <c:pt idx="19">
                  <c:v>0.20318159999999999</c:v>
                </c:pt>
                <c:pt idx="20">
                  <c:v>0.122</c:v>
                </c:pt>
                <c:pt idx="21">
                  <c:v>0.16900000000000001</c:v>
                </c:pt>
                <c:pt idx="22">
                  <c:v>0.129</c:v>
                </c:pt>
                <c:pt idx="23">
                  <c:v>7.9000000000000001E-2</c:v>
                </c:pt>
                <c:pt idx="24">
                  <c:v>0.104</c:v>
                </c:pt>
                <c:pt idx="25">
                  <c:v>0.10463</c:v>
                </c:pt>
                <c:pt idx="26">
                  <c:v>0.10133846439482166</c:v>
                </c:pt>
                <c:pt idx="27">
                  <c:v>0</c:v>
                </c:pt>
                <c:pt idx="28">
                  <c:v>3.046394146493725E-2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A4B-45F1-8AE2-C5996F946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334288"/>
        <c:axId val="714327072"/>
      </c:scatterChart>
      <c:valAx>
        <c:axId val="714334288"/>
        <c:scaling>
          <c:orientation val="minMax"/>
          <c:max val="2002"/>
          <c:min val="19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27072"/>
        <c:crosses val="autoZero"/>
        <c:crossBetween val="midCat"/>
        <c:majorUnit val="2"/>
      </c:valAx>
      <c:valAx>
        <c:axId val="7143270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 b="1">
                    <a:solidFill>
                      <a:sysClr val="windowText" lastClr="000000"/>
                    </a:solidFill>
                  </a:rPr>
                  <a:t>Gg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34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ELECTRICITY</a:t>
            </a:r>
            <a:r>
              <a:rPr lang="en-US" b="1" baseline="0">
                <a:solidFill>
                  <a:sysClr val="windowText" lastClr="000000"/>
                </a:solidFill>
              </a:rPr>
              <a:t> GENERATION IN RODRIGUES ISLAND</a:t>
            </a:r>
            <a:endParaRPr lang="en-US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6019423848506321"/>
          <c:y val="1.59304845501477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'Activity Data Calculations'!$C$90:$C$91</c:f>
              <c:strCache>
                <c:ptCount val="1"/>
                <c:pt idx="0">
                  <c:v>Diesel &amp; Fuel Oil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'Activity Data Calculations'!#REF!</c:f>
            </c:numRef>
          </c:xVal>
          <c:yVal>
            <c:numRef>
              <c:f>'Activity Data Calculations'!$F$90:$V$90</c:f>
              <c:numCache>
                <c:formatCode>General</c:formatCode>
                <c:ptCount val="17"/>
                <c:pt idx="0">
                  <c:v>19.616026999999999</c:v>
                </c:pt>
                <c:pt idx="1">
                  <c:v>20.625039999999998</c:v>
                </c:pt>
                <c:pt idx="2">
                  <c:v>22.558800000000002</c:v>
                </c:pt>
                <c:pt idx="3">
                  <c:v>24.397120000000001</c:v>
                </c:pt>
                <c:pt idx="4">
                  <c:v>26.767285000000001</c:v>
                </c:pt>
                <c:pt idx="5">
                  <c:v>29.582999999999998</c:v>
                </c:pt>
                <c:pt idx="6">
                  <c:v>30.344390000000001</c:v>
                </c:pt>
                <c:pt idx="7">
                  <c:v>30.463771000000001</c:v>
                </c:pt>
                <c:pt idx="8">
                  <c:v>30.767419</c:v>
                </c:pt>
                <c:pt idx="9">
                  <c:v>30.190176000000001</c:v>
                </c:pt>
                <c:pt idx="10">
                  <c:v>29.568580999999998</c:v>
                </c:pt>
                <c:pt idx="11">
                  <c:v>30.302716</c:v>
                </c:pt>
                <c:pt idx="12">
                  <c:v>30.045027999999999</c:v>
                </c:pt>
                <c:pt idx="13">
                  <c:v>31.976794000000002</c:v>
                </c:pt>
                <c:pt idx="14">
                  <c:v>34.086243000000003</c:v>
                </c:pt>
                <c:pt idx="15">
                  <c:v>36.773465999999999</c:v>
                </c:pt>
                <c:pt idx="16">
                  <c:v>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6DE-47D6-874F-B82FD9DBE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272824"/>
        <c:axId val="665273152"/>
      </c:scatterChart>
      <c:valAx>
        <c:axId val="665272824"/>
        <c:scaling>
          <c:orientation val="minMax"/>
          <c:max val="2002"/>
          <c:min val="19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273152"/>
        <c:crosses val="autoZero"/>
        <c:crossBetween val="midCat"/>
      </c:valAx>
      <c:valAx>
        <c:axId val="66527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 b="1">
                    <a:solidFill>
                      <a:sysClr val="windowText" lastClr="000000"/>
                    </a:solidFill>
                  </a:rPr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2728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</a:rPr>
              <a:t>Fuel</a:t>
            </a:r>
            <a:r>
              <a:rPr lang="es-ES" b="1" baseline="0">
                <a:solidFill>
                  <a:sysClr val="windowText" lastClr="000000"/>
                </a:solidFill>
              </a:rPr>
              <a:t> consumption in Road Transport</a:t>
            </a:r>
            <a:endParaRPr lang="es-E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69420116664211"/>
          <c:y val="0.10288387188116008"/>
          <c:w val="0.82742105108970188"/>
          <c:h val="0.77254922525116343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'Activity Data Rep. Mauritius'!$M$2:$AC$2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'Activity Data Rep. Mauritius'!#REF!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'Activity Data Rep. Mauritius'!#REF!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75A-4659-A41F-A023B801ABC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'Activity Data Rep. Mauritius'!$M$2:$AC$2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'Activity Data Rep. Mauritius'!#REF!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'Activity Data Rep. Mauritius'!#REF!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75A-4659-A41F-A023B801ABCC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'Activity Data Rep. Mauritius'!$M$2:$AC$2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'Activity Data Rep. Mauritius'!#REF!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'Activity Data Rep. Mauritius'!#REF!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475A-4659-A41F-A023B801A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0647112"/>
        <c:axId val="700647440"/>
      </c:scatterChart>
      <c:valAx>
        <c:axId val="700647112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647440"/>
        <c:crosses val="autoZero"/>
        <c:crossBetween val="midCat"/>
        <c:majorUnit val="2"/>
      </c:valAx>
      <c:valAx>
        <c:axId val="70064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 b="1">
                    <a:solidFill>
                      <a:sysClr val="windowText" lastClr="000000"/>
                    </a:solidFill>
                  </a:rPr>
                  <a:t>Gg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6471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ELECTRICITY</a:t>
            </a:r>
            <a:r>
              <a:rPr lang="en-US" b="1" baseline="0">
                <a:solidFill>
                  <a:sysClr val="windowText" lastClr="000000"/>
                </a:solidFill>
              </a:rPr>
              <a:t> GENERATION IN RODRIGUES ISLAND</a:t>
            </a:r>
            <a:endParaRPr lang="en-US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6019423848506321"/>
          <c:y val="1.59304845501477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'Activity Data Calculations'!$C$90:$C$91</c:f>
              <c:strCache>
                <c:ptCount val="1"/>
                <c:pt idx="0">
                  <c:v>Diesel &amp; Fuel Oil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'Activity Data Calculations'!#REF!</c:f>
            </c:numRef>
          </c:xVal>
          <c:yVal>
            <c:numRef>
              <c:f>'Activity Data Calculations'!$F$90:$V$90</c:f>
              <c:numCache>
                <c:formatCode>General</c:formatCode>
                <c:ptCount val="17"/>
                <c:pt idx="0">
                  <c:v>19.616026999999999</c:v>
                </c:pt>
                <c:pt idx="1">
                  <c:v>20.625039999999998</c:v>
                </c:pt>
                <c:pt idx="2">
                  <c:v>22.558800000000002</c:v>
                </c:pt>
                <c:pt idx="3">
                  <c:v>24.397120000000001</c:v>
                </c:pt>
                <c:pt idx="4">
                  <c:v>26.767285000000001</c:v>
                </c:pt>
                <c:pt idx="5">
                  <c:v>29.582999999999998</c:v>
                </c:pt>
                <c:pt idx="6">
                  <c:v>30.344390000000001</c:v>
                </c:pt>
                <c:pt idx="7">
                  <c:v>30.463771000000001</c:v>
                </c:pt>
                <c:pt idx="8">
                  <c:v>30.767419</c:v>
                </c:pt>
                <c:pt idx="9">
                  <c:v>30.190176000000001</c:v>
                </c:pt>
                <c:pt idx="10">
                  <c:v>29.568580999999998</c:v>
                </c:pt>
                <c:pt idx="11">
                  <c:v>30.302716</c:v>
                </c:pt>
                <c:pt idx="12">
                  <c:v>30.045027999999999</c:v>
                </c:pt>
                <c:pt idx="13">
                  <c:v>31.976794000000002</c:v>
                </c:pt>
                <c:pt idx="14">
                  <c:v>34.086243000000003</c:v>
                </c:pt>
                <c:pt idx="15">
                  <c:v>36.773465999999999</c:v>
                </c:pt>
                <c:pt idx="16">
                  <c:v>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5E-4322-B534-22BA328BC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272824"/>
        <c:axId val="665273152"/>
      </c:scatterChart>
      <c:valAx>
        <c:axId val="665272824"/>
        <c:scaling>
          <c:orientation val="minMax"/>
          <c:max val="2016"/>
          <c:min val="19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273152"/>
        <c:crosses val="autoZero"/>
        <c:crossBetween val="midCat"/>
        <c:majorUnit val="2"/>
      </c:valAx>
      <c:valAx>
        <c:axId val="66527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 b="1">
                    <a:solidFill>
                      <a:sysClr val="windowText" lastClr="000000"/>
                    </a:solidFill>
                  </a:rPr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2728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</a:rPr>
              <a:t>CO Emissions in the Republic of Mauritius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1.A. Fuel Consumption Activities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'Emissions GEI'!$D$3:$T$3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'Emissions GEI'!$D$83:$T$83</c:f>
              <c:numCache>
                <c:formatCode>#,##0.00</c:formatCode>
                <c:ptCount val="17"/>
                <c:pt idx="0">
                  <c:v>2282.7361821953632</c:v>
                </c:pt>
                <c:pt idx="1">
                  <c:v>2441.5138869373532</c:v>
                </c:pt>
                <c:pt idx="2">
                  <c:v>2493.8794247820933</c:v>
                </c:pt>
                <c:pt idx="3">
                  <c:v>2628.1607667632961</c:v>
                </c:pt>
                <c:pt idx="4">
                  <c:v>2653.64049489733</c:v>
                </c:pt>
                <c:pt idx="5">
                  <c:v>2839.4263263593766</c:v>
                </c:pt>
                <c:pt idx="6">
                  <c:v>3202.13630462433</c:v>
                </c:pt>
                <c:pt idx="7">
                  <c:v>3370.5126644039137</c:v>
                </c:pt>
                <c:pt idx="8">
                  <c:v>3469.4127835731824</c:v>
                </c:pt>
                <c:pt idx="9">
                  <c:v>3418.9741764158125</c:v>
                </c:pt>
                <c:pt idx="10">
                  <c:v>3674.8669205281717</c:v>
                </c:pt>
                <c:pt idx="11">
                  <c:v>3687.0743471224687</c:v>
                </c:pt>
                <c:pt idx="12">
                  <c:v>3784.533526054146</c:v>
                </c:pt>
                <c:pt idx="13">
                  <c:v>3892.7217443605373</c:v>
                </c:pt>
                <c:pt idx="14">
                  <c:v>3952.7106206104113</c:v>
                </c:pt>
                <c:pt idx="15">
                  <c:v>3999.4038312382772</c:v>
                </c:pt>
                <c:pt idx="16">
                  <c:v>4127.3114385786957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DB7-47A8-90DF-B778EA063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334288"/>
        <c:axId val="714327072"/>
      </c:scatterChart>
      <c:scatterChart>
        <c:scatterStyle val="smoothMarker"/>
        <c:varyColors val="0"/>
        <c:ser>
          <c:idx val="1"/>
          <c:order val="1"/>
          <c:tx>
            <c:v>2. Industrial Processes and Product Use (IPPU)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'Emissions GEI'!$D$3:$T$3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'Emissions GEI'!$D$95:$T$95</c:f>
              <c:numCache>
                <c:formatCode>#,##0.00</c:formatCode>
                <c:ptCount val="17"/>
                <c:pt idx="0">
                  <c:v>22.325272830282945</c:v>
                </c:pt>
                <c:pt idx="1">
                  <c:v>22.921947315103331</c:v>
                </c:pt>
                <c:pt idx="2">
                  <c:v>23.371101076426267</c:v>
                </c:pt>
                <c:pt idx="3">
                  <c:v>23.9229148377492</c:v>
                </c:pt>
                <c:pt idx="4">
                  <c:v>24.166158599072133</c:v>
                </c:pt>
                <c:pt idx="5">
                  <c:v>24.894972360395069</c:v>
                </c:pt>
                <c:pt idx="6">
                  <c:v>25.634996121718</c:v>
                </c:pt>
                <c:pt idx="7">
                  <c:v>25.714809883040935</c:v>
                </c:pt>
                <c:pt idx="8">
                  <c:v>29.929619941520468</c:v>
                </c:pt>
                <c:pt idx="9">
                  <c:v>34.805819999999997</c:v>
                </c:pt>
                <c:pt idx="10">
                  <c:v>37.135859999999994</c:v>
                </c:pt>
                <c:pt idx="11">
                  <c:v>47.899450000000002</c:v>
                </c:pt>
                <c:pt idx="12">
                  <c:v>46.536629999999995</c:v>
                </c:pt>
                <c:pt idx="13">
                  <c:v>39.616120000000002</c:v>
                </c:pt>
                <c:pt idx="14">
                  <c:v>36.1464</c:v>
                </c:pt>
                <c:pt idx="15">
                  <c:v>31.925600000000003</c:v>
                </c:pt>
                <c:pt idx="16">
                  <c:v>29.076799999999999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DB7-47A8-90DF-B778EA063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530080"/>
        <c:axId val="393523192"/>
      </c:scatterChart>
      <c:valAx>
        <c:axId val="714334288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27072"/>
        <c:crosses val="autoZero"/>
        <c:crossBetween val="midCat"/>
        <c:majorUnit val="2"/>
      </c:valAx>
      <c:valAx>
        <c:axId val="7143270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ysClr val="windowText" lastClr="000000"/>
                    </a:solidFill>
                  </a:rPr>
                  <a:t>Gg GEI/year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34288"/>
        <c:crosses val="autoZero"/>
        <c:crossBetween val="midCat"/>
        <c:majorUnit val="500"/>
        <c:minorUnit val="200"/>
      </c:valAx>
      <c:valAx>
        <c:axId val="393523192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530080"/>
        <c:crosses val="max"/>
        <c:crossBetween val="midCat"/>
      </c:valAx>
      <c:valAx>
        <c:axId val="393530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35231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</a:rPr>
              <a:t>CH4 Emissions in the Republic of Mauritius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1.A. Fuel Consumption Activities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'Emissions GEI'!$U$3:$AK$3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'Emissions GEI'!$U$83:$AK$83</c:f>
              <c:numCache>
                <c:formatCode>#,##0.00</c:formatCode>
                <c:ptCount val="17"/>
                <c:pt idx="0">
                  <c:v>0.19476724357045491</c:v>
                </c:pt>
                <c:pt idx="1">
                  <c:v>0.20290337799103586</c:v>
                </c:pt>
                <c:pt idx="2">
                  <c:v>0.20875711157580998</c:v>
                </c:pt>
                <c:pt idx="3">
                  <c:v>0.22049955734905544</c:v>
                </c:pt>
                <c:pt idx="4">
                  <c:v>0.22849163217030977</c:v>
                </c:pt>
                <c:pt idx="5">
                  <c:v>0.23646610353472713</c:v>
                </c:pt>
                <c:pt idx="6">
                  <c:v>0.2465615423722082</c:v>
                </c:pt>
                <c:pt idx="7">
                  <c:v>0.25227373095664629</c:v>
                </c:pt>
                <c:pt idx="8">
                  <c:v>0.26400172773636876</c:v>
                </c:pt>
                <c:pt idx="9">
                  <c:v>0.26890144912747682</c:v>
                </c:pt>
                <c:pt idx="10">
                  <c:v>0.28240918593265218</c:v>
                </c:pt>
                <c:pt idx="11">
                  <c:v>0.29192059113754254</c:v>
                </c:pt>
                <c:pt idx="12">
                  <c:v>0.30237120951726915</c:v>
                </c:pt>
                <c:pt idx="13">
                  <c:v>0.31360283374620074</c:v>
                </c:pt>
                <c:pt idx="14">
                  <c:v>0.29797949530206197</c:v>
                </c:pt>
                <c:pt idx="15">
                  <c:v>0.33991673877527767</c:v>
                </c:pt>
                <c:pt idx="16">
                  <c:v>0.363373459610281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912-418E-887D-9196ED46E59D}"/>
            </c:ext>
          </c:extLst>
        </c:ser>
        <c:ser>
          <c:idx val="1"/>
          <c:order val="1"/>
          <c:tx>
            <c:v>2. Industrial Processes and Product Use (IPPU)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'Emissions GEI'!$U$3:$AK$3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'Emissions GEI'!$U$95:$AK$95</c:f>
              <c:numCache>
                <c:formatCode>#,##0.00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912-418E-887D-9196ED46E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334288"/>
        <c:axId val="714327072"/>
      </c:scatterChart>
      <c:valAx>
        <c:axId val="714334288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27072"/>
        <c:crosses val="autoZero"/>
        <c:crossBetween val="midCat"/>
        <c:majorUnit val="2"/>
      </c:valAx>
      <c:valAx>
        <c:axId val="714327072"/>
        <c:scaling>
          <c:orientation val="minMax"/>
          <c:max val="0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ysClr val="windowText" lastClr="000000"/>
                    </a:solidFill>
                  </a:rPr>
                  <a:t>Gg GEI/year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34288"/>
        <c:crosses val="autoZero"/>
        <c:crossBetween val="midCat"/>
        <c:majorUnit val="5.000000000000001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</a:rPr>
              <a:t>N2O Emissions in the Republic of Mauritius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1.A. Fuel Consumption Activities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'Emissions GEI'!$AL$3:$BB$3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'Emissions GEI'!$AL$83:$BB$83</c:f>
              <c:numCache>
                <c:formatCode>#,##0.00</c:formatCode>
                <c:ptCount val="17"/>
                <c:pt idx="0">
                  <c:v>4.4795909477482909E-2</c:v>
                </c:pt>
                <c:pt idx="1">
                  <c:v>4.7933685553603625E-2</c:v>
                </c:pt>
                <c:pt idx="2">
                  <c:v>4.9695917734098795E-2</c:v>
                </c:pt>
                <c:pt idx="3">
                  <c:v>5.1805446182652731E-2</c:v>
                </c:pt>
                <c:pt idx="4">
                  <c:v>5.2796917069244532E-2</c:v>
                </c:pt>
                <c:pt idx="5">
                  <c:v>5.6800210557058334E-2</c:v>
                </c:pt>
                <c:pt idx="6">
                  <c:v>6.3148188342748962E-2</c:v>
                </c:pt>
                <c:pt idx="7">
                  <c:v>6.7591541422841614E-2</c:v>
                </c:pt>
                <c:pt idx="8">
                  <c:v>7.1285488409399148E-2</c:v>
                </c:pt>
                <c:pt idx="9">
                  <c:v>7.1041932159492838E-2</c:v>
                </c:pt>
                <c:pt idx="10">
                  <c:v>7.6230469940926818E-2</c:v>
                </c:pt>
                <c:pt idx="11">
                  <c:v>7.7432530596332177E-2</c:v>
                </c:pt>
                <c:pt idx="12">
                  <c:v>8.0665201722086938E-2</c:v>
                </c:pt>
                <c:pt idx="13">
                  <c:v>8.4079168560239434E-2</c:v>
                </c:pt>
                <c:pt idx="14">
                  <c:v>8.3575090067018507E-2</c:v>
                </c:pt>
                <c:pt idx="15">
                  <c:v>8.653290533153804E-2</c:v>
                </c:pt>
                <c:pt idx="16">
                  <c:v>9.1094651918214517E-2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A2D-49E3-8AD5-B9157077C20F}"/>
            </c:ext>
          </c:extLst>
        </c:ser>
        <c:ser>
          <c:idx val="1"/>
          <c:order val="1"/>
          <c:tx>
            <c:v>2. Industrial Processes and Product Use (IPPU)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'Emissions GEI'!$AL$3:$BB$3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'Emissions GEI'!$AL$95:$BB$95</c:f>
              <c:numCache>
                <c:formatCode>#,##0.00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A2D-49E3-8AD5-B9157077C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334288"/>
        <c:axId val="714327072"/>
      </c:scatterChart>
      <c:valAx>
        <c:axId val="714334288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27072"/>
        <c:crosses val="autoZero"/>
        <c:crossBetween val="midCat"/>
        <c:majorUnit val="2"/>
      </c:valAx>
      <c:valAx>
        <c:axId val="714327072"/>
        <c:scaling>
          <c:orientation val="minMax"/>
          <c:max val="0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ysClr val="windowText" lastClr="000000"/>
                    </a:solidFill>
                  </a:rPr>
                  <a:t>Gg GEI/year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34288"/>
        <c:crosses val="autoZero"/>
        <c:crossBetween val="midCat"/>
        <c:majorUnit val="5.000000000000001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</a:rPr>
              <a:t>CO2eq. Emissions in the Republic of Mauritius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1.A. Fuel Combustion Activities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'Emissions CO2eq.'!$D$83:$T$83</c:f>
              <c:numCache>
                <c:formatCode>#,##0.00</c:formatCode>
                <c:ptCount val="17"/>
                <c:pt idx="0">
                  <c:v>2324.1446465615627</c:v>
                </c:pt>
                <c:pt idx="1">
                  <c:v>2484.3633645543819</c:v>
                </c:pt>
                <c:pt idx="2">
                  <c:v>2536.9438607832558</c:v>
                </c:pt>
                <c:pt idx="3">
                  <c:v>2671.4531609332485</c:v>
                </c:pt>
                <c:pt idx="4">
                  <c:v>2697.823977618872</c:v>
                </c:pt>
                <c:pt idx="5">
                  <c:v>2883.828507572799</c:v>
                </c:pt>
                <c:pt idx="6">
                  <c:v>3250.1161598761591</c:v>
                </c:pt>
                <c:pt idx="7">
                  <c:v>3417.319088075315</c:v>
                </c:pt>
                <c:pt idx="8">
                  <c:v>3519.1478747593042</c:v>
                </c:pt>
                <c:pt idx="9">
                  <c:v>3466.8935203263295</c:v>
                </c:pt>
                <c:pt idx="10">
                  <c:v>3725.1370944073283</c:v>
                </c:pt>
                <c:pt idx="11">
                  <c:v>3736.9384153525084</c:v>
                </c:pt>
                <c:pt idx="12">
                  <c:v>3834.7887024259244</c:v>
                </c:pt>
                <c:pt idx="13">
                  <c:v>3944.7702000196323</c:v>
                </c:pt>
                <c:pt idx="14">
                  <c:v>4003.1146606648044</c:v>
                </c:pt>
                <c:pt idx="15">
                  <c:v>4048.4173646813315</c:v>
                </c:pt>
                <c:pt idx="16">
                  <c:v>4176.9472149981566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B2A-4E37-B0C6-76795CEFD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334288"/>
        <c:axId val="714327072"/>
      </c:scatterChart>
      <c:scatterChart>
        <c:scatterStyle val="smoothMarker"/>
        <c:varyColors val="0"/>
        <c:ser>
          <c:idx val="1"/>
          <c:order val="1"/>
          <c:tx>
            <c:v>2. Industrial Processes and Product Use (IPPU)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'Emissions CO2eq.'!$D$104:$T$104</c:f>
              <c:numCache>
                <c:formatCode>#,##0.00</c:formatCode>
                <c:ptCount val="17"/>
                <c:pt idx="0">
                  <c:v>71.136090493857395</c:v>
                </c:pt>
                <c:pt idx="1">
                  <c:v>74.167067329141616</c:v>
                </c:pt>
                <c:pt idx="2">
                  <c:v>76.741853088358809</c:v>
                </c:pt>
                <c:pt idx="3">
                  <c:v>79.388829047891861</c:v>
                </c:pt>
                <c:pt idx="4">
                  <c:v>81.683485677693398</c:v>
                </c:pt>
                <c:pt idx="5">
                  <c:v>113.51488537722314</c:v>
                </c:pt>
                <c:pt idx="6">
                  <c:v>108.35071124852188</c:v>
                </c:pt>
                <c:pt idx="7">
                  <c:v>113.65856367832421</c:v>
                </c:pt>
                <c:pt idx="8">
                  <c:v>119.60512949938627</c:v>
                </c:pt>
                <c:pt idx="9">
                  <c:v>138.88517782906871</c:v>
                </c:pt>
                <c:pt idx="10">
                  <c:v>147.18669392232562</c:v>
                </c:pt>
                <c:pt idx="11">
                  <c:v>194.44532707660198</c:v>
                </c:pt>
                <c:pt idx="12">
                  <c:v>216.38933623233379</c:v>
                </c:pt>
                <c:pt idx="13">
                  <c:v>306.89431874289073</c:v>
                </c:pt>
                <c:pt idx="14">
                  <c:v>309.96902476830292</c:v>
                </c:pt>
                <c:pt idx="15">
                  <c:v>313.98779371987439</c:v>
                </c:pt>
                <c:pt idx="16">
                  <c:v>328.28921140651346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B2A-4E37-B0C6-76795CEFD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6288600"/>
        <c:axId val="506284008"/>
      </c:scatterChart>
      <c:valAx>
        <c:axId val="714334288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27072"/>
        <c:crosses val="autoZero"/>
        <c:crossBetween val="midCat"/>
        <c:majorUnit val="2"/>
      </c:valAx>
      <c:valAx>
        <c:axId val="714327072"/>
        <c:scaling>
          <c:orientation val="minMax"/>
          <c:max val="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ysClr val="windowText" lastClr="000000"/>
                    </a:solidFill>
                  </a:rPr>
                  <a:t>Gg CO2eq/year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34288"/>
        <c:crosses val="autoZero"/>
        <c:crossBetween val="midCat"/>
        <c:majorUnit val="500"/>
      </c:valAx>
      <c:valAx>
        <c:axId val="506284008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288600"/>
        <c:crosses val="max"/>
        <c:crossBetween val="midCat"/>
      </c:valAx>
      <c:valAx>
        <c:axId val="506288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62840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</a:rPr>
              <a:t>CO2eq. Emissions in the Republic of Mauritius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1.A.1. Energy Industries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'Emissions CO2eq.'!$D$84:$T$84</c:f>
              <c:numCache>
                <c:formatCode>#,##0.00</c:formatCode>
                <c:ptCount val="17"/>
                <c:pt idx="0">
                  <c:v>1178.4061063613099</c:v>
                </c:pt>
                <c:pt idx="1">
                  <c:v>1288.8626659119898</c:v>
                </c:pt>
                <c:pt idx="2">
                  <c:v>1310.3005011934199</c:v>
                </c:pt>
                <c:pt idx="3">
                  <c:v>1400.82584978711</c:v>
                </c:pt>
                <c:pt idx="4">
                  <c:v>1415.9085036841898</c:v>
                </c:pt>
                <c:pt idx="5">
                  <c:v>1587.1896978407945</c:v>
                </c:pt>
                <c:pt idx="6">
                  <c:v>1866.7430373599504</c:v>
                </c:pt>
                <c:pt idx="7">
                  <c:v>2007.5820614474637</c:v>
                </c:pt>
                <c:pt idx="8">
                  <c:v>2037.2660099691734</c:v>
                </c:pt>
                <c:pt idx="9">
                  <c:v>2018.9191138806914</c:v>
                </c:pt>
                <c:pt idx="10">
                  <c:v>2219.6497974532685</c:v>
                </c:pt>
                <c:pt idx="11">
                  <c:v>2204.4674169626501</c:v>
                </c:pt>
                <c:pt idx="12">
                  <c:v>2265.2554418766299</c:v>
                </c:pt>
                <c:pt idx="13">
                  <c:v>2339.2437806019884</c:v>
                </c:pt>
                <c:pt idx="14">
                  <c:v>2418.9198789977681</c:v>
                </c:pt>
                <c:pt idx="15">
                  <c:v>2360.7174073732699</c:v>
                </c:pt>
                <c:pt idx="16">
                  <c:v>2418.2769844539207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271-4BB0-B209-62EDA23EC7BA}"/>
            </c:ext>
          </c:extLst>
        </c:ser>
        <c:ser>
          <c:idx val="1"/>
          <c:order val="1"/>
          <c:tx>
            <c:v>1.A.2. Manufacturing Industries and Construction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'Emissions CO2eq.'!$D$85:$T$85</c:f>
              <c:numCache>
                <c:formatCode>#,##0.00</c:formatCode>
                <c:ptCount val="17"/>
                <c:pt idx="0">
                  <c:v>372.20092308465735</c:v>
                </c:pt>
                <c:pt idx="1">
                  <c:v>394.10775759207081</c:v>
                </c:pt>
                <c:pt idx="2">
                  <c:v>394.750797880562</c:v>
                </c:pt>
                <c:pt idx="3">
                  <c:v>395.11746970234856</c:v>
                </c:pt>
                <c:pt idx="4">
                  <c:v>371.79472004089337</c:v>
                </c:pt>
                <c:pt idx="5">
                  <c:v>353.55691741383441</c:v>
                </c:pt>
                <c:pt idx="6">
                  <c:v>415.49319267504495</c:v>
                </c:pt>
                <c:pt idx="7">
                  <c:v>412.41712441481548</c:v>
                </c:pt>
                <c:pt idx="8">
                  <c:v>441.14248042189286</c:v>
                </c:pt>
                <c:pt idx="9">
                  <c:v>366.15004601504097</c:v>
                </c:pt>
                <c:pt idx="10">
                  <c:v>372.21341358586267</c:v>
                </c:pt>
                <c:pt idx="11">
                  <c:v>355.67786204235318</c:v>
                </c:pt>
                <c:pt idx="12">
                  <c:v>348.50336453614892</c:v>
                </c:pt>
                <c:pt idx="13">
                  <c:v>333.95731106553285</c:v>
                </c:pt>
                <c:pt idx="14">
                  <c:v>349.14824224133673</c:v>
                </c:pt>
                <c:pt idx="15">
                  <c:v>352.16844480889631</c:v>
                </c:pt>
                <c:pt idx="16">
                  <c:v>340.00252513938403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271-4BB0-B209-62EDA23EC7BA}"/>
            </c:ext>
          </c:extLst>
        </c:ser>
        <c:ser>
          <c:idx val="2"/>
          <c:order val="2"/>
          <c:tx>
            <c:v>1.A.3. Transport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'Emissions CO2eq.'!$D$93:$T$93</c:f>
              <c:numCache>
                <c:formatCode>#,##0.00</c:formatCode>
                <c:ptCount val="17"/>
                <c:pt idx="0">
                  <c:v>575.11748739519544</c:v>
                </c:pt>
                <c:pt idx="1">
                  <c:v>600.65044004072126</c:v>
                </c:pt>
                <c:pt idx="2">
                  <c:v>631.06197923831394</c:v>
                </c:pt>
                <c:pt idx="3">
                  <c:v>657.54871402638992</c:v>
                </c:pt>
                <c:pt idx="4">
                  <c:v>689.46957980674892</c:v>
                </c:pt>
                <c:pt idx="5">
                  <c:v>715.92643454217023</c:v>
                </c:pt>
                <c:pt idx="6">
                  <c:v>748.7864022044439</c:v>
                </c:pt>
                <c:pt idx="7">
                  <c:v>786.43668047336757</c:v>
                </c:pt>
                <c:pt idx="8">
                  <c:v>819.76781817698748</c:v>
                </c:pt>
                <c:pt idx="9">
                  <c:v>851.05593336499021</c:v>
                </c:pt>
                <c:pt idx="10">
                  <c:v>897.18624059148499</c:v>
                </c:pt>
                <c:pt idx="11">
                  <c:v>938.33426132213356</c:v>
                </c:pt>
                <c:pt idx="12">
                  <c:v>987.48714332280463</c:v>
                </c:pt>
                <c:pt idx="13">
                  <c:v>1037.4957403927285</c:v>
                </c:pt>
                <c:pt idx="14">
                  <c:v>997.49193913716897</c:v>
                </c:pt>
                <c:pt idx="15">
                  <c:v>1087.8083336505024</c:v>
                </c:pt>
                <c:pt idx="16">
                  <c:v>1169.6970580794014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271-4BB0-B209-62EDA23EC7BA}"/>
            </c:ext>
          </c:extLst>
        </c:ser>
        <c:ser>
          <c:idx val="3"/>
          <c:order val="3"/>
          <c:tx>
            <c:v>1.A.4. Other Sectors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'Emissions CO2eq.'!$D$97:$T$97</c:f>
              <c:numCache>
                <c:formatCode>#,##0.00</c:formatCode>
                <c:ptCount val="17"/>
                <c:pt idx="0">
                  <c:v>198.42012972039998</c:v>
                </c:pt>
                <c:pt idx="1">
                  <c:v>200.74250100960003</c:v>
                </c:pt>
                <c:pt idx="2">
                  <c:v>200.83058247096</c:v>
                </c:pt>
                <c:pt idx="3">
                  <c:v>217.96112741739998</c:v>
                </c:pt>
                <c:pt idx="4">
                  <c:v>220.65117408704</c:v>
                </c:pt>
                <c:pt idx="5">
                  <c:v>227.15545777600002</c:v>
                </c:pt>
                <c:pt idx="6">
                  <c:v>219.09352763671995</c:v>
                </c:pt>
                <c:pt idx="7">
                  <c:v>210.88322173966799</c:v>
                </c:pt>
                <c:pt idx="8">
                  <c:v>220.97156619125047</c:v>
                </c:pt>
                <c:pt idx="9">
                  <c:v>230.76842706560703</c:v>
                </c:pt>
                <c:pt idx="10">
                  <c:v>236.08764277671196</c:v>
                </c:pt>
                <c:pt idx="11">
                  <c:v>238.45887502537173</c:v>
                </c:pt>
                <c:pt idx="12">
                  <c:v>233.5427526903409</c:v>
                </c:pt>
                <c:pt idx="13">
                  <c:v>233.30167375698255</c:v>
                </c:pt>
                <c:pt idx="14">
                  <c:v>236.74701333253054</c:v>
                </c:pt>
                <c:pt idx="15">
                  <c:v>246.87072595066269</c:v>
                </c:pt>
                <c:pt idx="16">
                  <c:v>248.0972569878505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271-4BB0-B209-62EDA23EC7BA}"/>
            </c:ext>
          </c:extLst>
        </c:ser>
        <c:ser>
          <c:idx val="4"/>
          <c:order val="4"/>
          <c:tx>
            <c:v>1.A.5. Non-Specified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'Emissions CO2eq.'!$D$103:$T$103</c:f>
              <c:numCache>
                <c:formatCode>#,##0.00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0.77169420239999997</c:v>
                </c:pt>
                <c:pt idx="14">
                  <c:v>0.80758695600000008</c:v>
                </c:pt>
                <c:pt idx="15">
                  <c:v>0.85245289799999979</c:v>
                </c:pt>
                <c:pt idx="16">
                  <c:v>0.87339033759999984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96-42A7-A26F-5524D82EA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334288"/>
        <c:axId val="714327072"/>
      </c:scatterChart>
      <c:valAx>
        <c:axId val="714334288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27072"/>
        <c:crosses val="autoZero"/>
        <c:crossBetween val="midCat"/>
        <c:majorUnit val="2"/>
      </c:valAx>
      <c:valAx>
        <c:axId val="714327072"/>
        <c:scaling>
          <c:orientation val="minMax"/>
          <c:max val="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ysClr val="windowText" lastClr="000000"/>
                    </a:solidFill>
                  </a:rPr>
                  <a:t>Gg CO2eq/year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34288"/>
        <c:crosses val="autoZero"/>
        <c:crossBetween val="midCat"/>
        <c:majorUnit val="5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</a:rPr>
              <a:t>CO2eq. Emissions in the Republic of Mauritius from IPPU Sector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2.A.2. Lime Production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'Emissions CO2eq.'!$D$106:$T$106</c:f>
              <c:numCache>
                <c:formatCode>#,##0.00</c:formatCode>
                <c:ptCount val="17"/>
                <c:pt idx="0">
                  <c:v>2.7547100000000002</c:v>
                </c:pt>
                <c:pt idx="1">
                  <c:v>2.6980699999999995</c:v>
                </c:pt>
                <c:pt idx="2">
                  <c:v>2.4720999999999997</c:v>
                </c:pt>
                <c:pt idx="3">
                  <c:v>2.3487900000000002</c:v>
                </c:pt>
                <c:pt idx="4">
                  <c:v>1.9169099999999999</c:v>
                </c:pt>
                <c:pt idx="5">
                  <c:v>1.9705999999999999</c:v>
                </c:pt>
                <c:pt idx="6">
                  <c:v>2.0354999999999999</c:v>
                </c:pt>
                <c:pt idx="7">
                  <c:v>1.4401899999999999</c:v>
                </c:pt>
                <c:pt idx="8">
                  <c:v>1.3623099999999999</c:v>
                </c:pt>
                <c:pt idx="9">
                  <c:v>1.9458199999999999</c:v>
                </c:pt>
                <c:pt idx="10">
                  <c:v>2.1558599999999997</c:v>
                </c:pt>
                <c:pt idx="11">
                  <c:v>1.36585</c:v>
                </c:pt>
                <c:pt idx="12">
                  <c:v>1.79183</c:v>
                </c:pt>
                <c:pt idx="13">
                  <c:v>1.2909199999999998</c:v>
                </c:pt>
                <c:pt idx="14">
                  <c:v>0.8024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D71-4756-BD26-9172FA366422}"/>
            </c:ext>
          </c:extLst>
        </c:ser>
        <c:ser>
          <c:idx val="1"/>
          <c:order val="1"/>
          <c:tx>
            <c:v>2.C.1. Iron and Steel Production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'Emissions CO2eq.'!$D$108:$T$108</c:f>
              <c:numCache>
                <c:formatCode>#,##0.00</c:formatCode>
                <c:ptCount val="17"/>
                <c:pt idx="0">
                  <c:v>19.570562830282945</c:v>
                </c:pt>
                <c:pt idx="1">
                  <c:v>20.22387731510333</c:v>
                </c:pt>
                <c:pt idx="2">
                  <c:v>20.899001076426266</c:v>
                </c:pt>
                <c:pt idx="3">
                  <c:v>21.574124837749199</c:v>
                </c:pt>
                <c:pt idx="4">
                  <c:v>22.249248599072132</c:v>
                </c:pt>
                <c:pt idx="5">
                  <c:v>22.924372360395068</c:v>
                </c:pt>
                <c:pt idx="6">
                  <c:v>23.599496121718001</c:v>
                </c:pt>
                <c:pt idx="7">
                  <c:v>24.274619883040934</c:v>
                </c:pt>
                <c:pt idx="8">
                  <c:v>28.567309941520467</c:v>
                </c:pt>
                <c:pt idx="9">
                  <c:v>32.86</c:v>
                </c:pt>
                <c:pt idx="10">
                  <c:v>34.979999999999997</c:v>
                </c:pt>
                <c:pt idx="11">
                  <c:v>37.1</c:v>
                </c:pt>
                <c:pt idx="12">
                  <c:v>34.131999999999998</c:v>
                </c:pt>
                <c:pt idx="13">
                  <c:v>28.302</c:v>
                </c:pt>
                <c:pt idx="14">
                  <c:v>26.5</c:v>
                </c:pt>
                <c:pt idx="15">
                  <c:v>25.44</c:v>
                </c:pt>
                <c:pt idx="16">
                  <c:v>21.411999999999999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D71-4756-BD26-9172FA366422}"/>
            </c:ext>
          </c:extLst>
        </c:ser>
        <c:ser>
          <c:idx val="2"/>
          <c:order val="2"/>
          <c:tx>
            <c:v>2.F.1.a. Stationary Refrigeration and Air Conditioning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'Emissions CO2eq.'!$D$112:$T$112</c:f>
              <c:numCache>
                <c:formatCode>#,##0.00</c:formatCode>
                <c:ptCount val="17"/>
                <c:pt idx="0">
                  <c:v>48.375967663574457</c:v>
                </c:pt>
                <c:pt idx="1">
                  <c:v>50.440647514038282</c:v>
                </c:pt>
                <c:pt idx="2">
                  <c:v>52.236500386932541</c:v>
                </c:pt>
                <c:pt idx="3">
                  <c:v>54.031850328892666</c:v>
                </c:pt>
                <c:pt idx="4">
                  <c:v>55.818672779558767</c:v>
                </c:pt>
                <c:pt idx="5">
                  <c:v>86.680756862624946</c:v>
                </c:pt>
                <c:pt idx="6">
                  <c:v>80.56238239573122</c:v>
                </c:pt>
                <c:pt idx="7">
                  <c:v>85.245670973871512</c:v>
                </c:pt>
                <c:pt idx="8">
                  <c:v>84.059339159665797</c:v>
                </c:pt>
                <c:pt idx="9">
                  <c:v>98.147312990598735</c:v>
                </c:pt>
                <c:pt idx="10">
                  <c:v>104.05309580962611</c:v>
                </c:pt>
                <c:pt idx="11">
                  <c:v>139.64794968080741</c:v>
                </c:pt>
                <c:pt idx="12">
                  <c:v>162.87016794590841</c:v>
                </c:pt>
                <c:pt idx="13">
                  <c:v>260.36999119942914</c:v>
                </c:pt>
                <c:pt idx="14">
                  <c:v>266.88789835636055</c:v>
                </c:pt>
                <c:pt idx="15">
                  <c:v>273.38853626972337</c:v>
                </c:pt>
                <c:pt idx="16">
                  <c:v>290.26495819888515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D71-4756-BD26-9172FA366422}"/>
            </c:ext>
          </c:extLst>
        </c:ser>
        <c:ser>
          <c:idx val="3"/>
          <c:order val="3"/>
          <c:tx>
            <c:v>2.F.1.b. Mobile Air Conditioning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'Emissions CO2eq.'!$D$113:$T$113</c:f>
              <c:numCache>
                <c:formatCode>#,##0.00</c:formatCode>
                <c:ptCount val="17"/>
                <c:pt idx="0">
                  <c:v>0.43484999999999996</c:v>
                </c:pt>
                <c:pt idx="1">
                  <c:v>0.80447249999999992</c:v>
                </c:pt>
                <c:pt idx="2">
                  <c:v>1.1342516250000001</c:v>
                </c:pt>
                <c:pt idx="3">
                  <c:v>1.4340638812499999</c:v>
                </c:pt>
                <c:pt idx="4">
                  <c:v>1.6986542990625</c:v>
                </c:pt>
                <c:pt idx="5">
                  <c:v>1.9391561542031248</c:v>
                </c:pt>
                <c:pt idx="6">
                  <c:v>2.1533327310726564</c:v>
                </c:pt>
                <c:pt idx="7">
                  <c:v>2.6980828214117576</c:v>
                </c:pt>
                <c:pt idx="8">
                  <c:v>5.6161703981999933</c:v>
                </c:pt>
                <c:pt idx="9">
                  <c:v>5.9320448384699942</c:v>
                </c:pt>
                <c:pt idx="10">
                  <c:v>5.9977381126994951</c:v>
                </c:pt>
                <c:pt idx="11">
                  <c:v>6.8979273957945715</c:v>
                </c:pt>
                <c:pt idx="12">
                  <c:v>6.9825382864253847</c:v>
                </c:pt>
                <c:pt idx="13">
                  <c:v>6.9082075434615753</c:v>
                </c:pt>
                <c:pt idx="14">
                  <c:v>6.9347264119423402</c:v>
                </c:pt>
                <c:pt idx="15">
                  <c:v>8.6736574501509889</c:v>
                </c:pt>
                <c:pt idx="16">
                  <c:v>8.9474532076283388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D71-4756-BD26-9172FA366422}"/>
            </c:ext>
          </c:extLst>
        </c:ser>
        <c:ser>
          <c:idx val="4"/>
          <c:order val="4"/>
          <c:tx>
            <c:strRef>
              <c:f>'Emissions CO2eq.'!$B$111:$C$111</c:f>
              <c:strCache>
                <c:ptCount val="2"/>
                <c:pt idx="0">
                  <c:v>2.F. Product Uses as Substitutes for Ozone Depleting Substances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'Emissions CO2eq.'!$D$111:$T$111</c:f>
              <c:numCache>
                <c:formatCode>#,##0.00</c:formatCode>
                <c:ptCount val="17"/>
                <c:pt idx="0">
                  <c:v>48.810817663574454</c:v>
                </c:pt>
                <c:pt idx="1">
                  <c:v>51.245120014038285</c:v>
                </c:pt>
                <c:pt idx="2">
                  <c:v>53.370752011932538</c:v>
                </c:pt>
                <c:pt idx="3">
                  <c:v>55.465914210142664</c:v>
                </c:pt>
                <c:pt idx="4">
                  <c:v>57.517327078621264</c:v>
                </c:pt>
                <c:pt idx="5">
                  <c:v>88.619913016828065</c:v>
                </c:pt>
                <c:pt idx="6">
                  <c:v>82.715715126803872</c:v>
                </c:pt>
                <c:pt idx="7">
                  <c:v>87.943753795283271</c:v>
                </c:pt>
                <c:pt idx="8">
                  <c:v>89.675509557865794</c:v>
                </c:pt>
                <c:pt idx="9">
                  <c:v>104.07935782906873</c:v>
                </c:pt>
                <c:pt idx="10">
                  <c:v>110.05083392232561</c:v>
                </c:pt>
                <c:pt idx="11">
                  <c:v>146.54587707660198</c:v>
                </c:pt>
                <c:pt idx="12">
                  <c:v>169.85270623233379</c:v>
                </c:pt>
                <c:pt idx="13">
                  <c:v>267.27819874289071</c:v>
                </c:pt>
                <c:pt idx="14">
                  <c:v>273.82262476830289</c:v>
                </c:pt>
                <c:pt idx="15">
                  <c:v>282.06219371987436</c:v>
                </c:pt>
                <c:pt idx="16">
                  <c:v>299.21241140651347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C84-4AC2-8AC3-BB3D99B73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334288"/>
        <c:axId val="714327072"/>
      </c:scatterChart>
      <c:valAx>
        <c:axId val="714334288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27072"/>
        <c:crosses val="autoZero"/>
        <c:crossBetween val="midCat"/>
        <c:majorUnit val="2"/>
      </c:valAx>
      <c:valAx>
        <c:axId val="714327072"/>
        <c:scaling>
          <c:orientation val="minMax"/>
          <c:max val="3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ysClr val="windowText" lastClr="000000"/>
                    </a:solidFill>
                  </a:rPr>
                  <a:t>Gg CO2eq/year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34288"/>
        <c:crosses val="autoZero"/>
        <c:crossBetween val="midCat"/>
        <c:maj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3231538514776109E-2"/>
          <c:y val="0.82779303900449097"/>
          <c:w val="0.9664976815004499"/>
          <c:h val="0.156554303730981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800" b="1">
                <a:solidFill>
                  <a:sysClr val="windowText" lastClr="000000"/>
                </a:solidFill>
              </a:rPr>
              <a:t>CO2eq. Emissions in the Republic of Mauritius from IPPU Sector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747302469302467E-2"/>
          <c:y val="9.8522830160667402E-2"/>
          <c:w val="0.8718722281947956"/>
          <c:h val="0.652176966243187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'Emissions CO2eq.'!$B$105:$C$105</c:f>
              <c:strCache>
                <c:ptCount val="2"/>
                <c:pt idx="0">
                  <c:v>2.A. Mineral Industry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'Emissions CO2eq.'!$D$105:$T$105</c:f>
              <c:numCache>
                <c:formatCode>#,##0.00</c:formatCode>
                <c:ptCount val="17"/>
                <c:pt idx="0">
                  <c:v>2.7547100000000002</c:v>
                </c:pt>
                <c:pt idx="1">
                  <c:v>2.6980699999999995</c:v>
                </c:pt>
                <c:pt idx="2">
                  <c:v>2.4720999999999997</c:v>
                </c:pt>
                <c:pt idx="3">
                  <c:v>2.3487900000000002</c:v>
                </c:pt>
                <c:pt idx="4">
                  <c:v>1.9169099999999999</c:v>
                </c:pt>
                <c:pt idx="5">
                  <c:v>1.9705999999999999</c:v>
                </c:pt>
                <c:pt idx="6">
                  <c:v>2.0354999999999999</c:v>
                </c:pt>
                <c:pt idx="7">
                  <c:v>1.4401899999999999</c:v>
                </c:pt>
                <c:pt idx="8">
                  <c:v>1.3623099999999999</c:v>
                </c:pt>
                <c:pt idx="9">
                  <c:v>1.9458199999999999</c:v>
                </c:pt>
                <c:pt idx="10">
                  <c:v>2.1558599999999997</c:v>
                </c:pt>
                <c:pt idx="11">
                  <c:v>1.36585</c:v>
                </c:pt>
                <c:pt idx="12">
                  <c:v>1.79183</c:v>
                </c:pt>
                <c:pt idx="13">
                  <c:v>1.2909199999999998</c:v>
                </c:pt>
                <c:pt idx="14">
                  <c:v>0.8024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5F-4090-B084-4DDAB33B0DE0}"/>
            </c:ext>
          </c:extLst>
        </c:ser>
        <c:ser>
          <c:idx val="1"/>
          <c:order val="1"/>
          <c:tx>
            <c:strRef>
              <c:f>'Emissions CO2eq.'!$B$107:$C$107</c:f>
              <c:strCache>
                <c:ptCount val="2"/>
                <c:pt idx="0">
                  <c:v>2.C. Metal Industry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'Emissions CO2eq.'!$D$107:$T$107</c:f>
              <c:numCache>
                <c:formatCode>#,##0.00</c:formatCode>
                <c:ptCount val="17"/>
                <c:pt idx="0">
                  <c:v>19.570562830282945</c:v>
                </c:pt>
                <c:pt idx="1">
                  <c:v>20.22387731510333</c:v>
                </c:pt>
                <c:pt idx="2">
                  <c:v>20.899001076426266</c:v>
                </c:pt>
                <c:pt idx="3">
                  <c:v>21.574124837749199</c:v>
                </c:pt>
                <c:pt idx="4">
                  <c:v>22.249248599072132</c:v>
                </c:pt>
                <c:pt idx="5">
                  <c:v>22.924372360395068</c:v>
                </c:pt>
                <c:pt idx="6">
                  <c:v>23.599496121718001</c:v>
                </c:pt>
                <c:pt idx="7">
                  <c:v>24.274619883040934</c:v>
                </c:pt>
                <c:pt idx="8">
                  <c:v>28.567309941520467</c:v>
                </c:pt>
                <c:pt idx="9">
                  <c:v>32.86</c:v>
                </c:pt>
                <c:pt idx="10">
                  <c:v>34.979999999999997</c:v>
                </c:pt>
                <c:pt idx="11">
                  <c:v>37.1</c:v>
                </c:pt>
                <c:pt idx="12">
                  <c:v>34.131999999999998</c:v>
                </c:pt>
                <c:pt idx="13">
                  <c:v>28.302</c:v>
                </c:pt>
                <c:pt idx="14">
                  <c:v>26.5</c:v>
                </c:pt>
                <c:pt idx="15">
                  <c:v>25.44</c:v>
                </c:pt>
                <c:pt idx="16">
                  <c:v>21.411999999999999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5F-4090-B084-4DDAB33B0DE0}"/>
            </c:ext>
          </c:extLst>
        </c:ser>
        <c:ser>
          <c:idx val="2"/>
          <c:order val="2"/>
          <c:tx>
            <c:strRef>
              <c:f>'Emissions CO2eq.'!$B$111:$C$111</c:f>
              <c:strCache>
                <c:ptCount val="2"/>
                <c:pt idx="0">
                  <c:v>2.F. Product Uses as Substitutes for Ozone Depleting Substances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'Emissions CO2eq.'!$D$111:$T$111</c:f>
              <c:numCache>
                <c:formatCode>#,##0.00</c:formatCode>
                <c:ptCount val="17"/>
                <c:pt idx="0">
                  <c:v>48.810817663574454</c:v>
                </c:pt>
                <c:pt idx="1">
                  <c:v>51.245120014038285</c:v>
                </c:pt>
                <c:pt idx="2">
                  <c:v>53.370752011932538</c:v>
                </c:pt>
                <c:pt idx="3">
                  <c:v>55.465914210142664</c:v>
                </c:pt>
                <c:pt idx="4">
                  <c:v>57.517327078621264</c:v>
                </c:pt>
                <c:pt idx="5">
                  <c:v>88.619913016828065</c:v>
                </c:pt>
                <c:pt idx="6">
                  <c:v>82.715715126803872</c:v>
                </c:pt>
                <c:pt idx="7">
                  <c:v>87.943753795283271</c:v>
                </c:pt>
                <c:pt idx="8">
                  <c:v>89.675509557865794</c:v>
                </c:pt>
                <c:pt idx="9">
                  <c:v>104.07935782906873</c:v>
                </c:pt>
                <c:pt idx="10">
                  <c:v>110.05083392232561</c:v>
                </c:pt>
                <c:pt idx="11">
                  <c:v>146.54587707660198</c:v>
                </c:pt>
                <c:pt idx="12">
                  <c:v>169.85270623233379</c:v>
                </c:pt>
                <c:pt idx="13">
                  <c:v>267.27819874289071</c:v>
                </c:pt>
                <c:pt idx="14">
                  <c:v>273.82262476830289</c:v>
                </c:pt>
                <c:pt idx="15">
                  <c:v>282.06219371987436</c:v>
                </c:pt>
                <c:pt idx="16">
                  <c:v>299.21241140651347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5F-4090-B084-4DDAB33B0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334288"/>
        <c:axId val="714327072"/>
      </c:barChart>
      <c:lineChart>
        <c:grouping val="standard"/>
        <c:varyColors val="0"/>
        <c:ser>
          <c:idx val="4"/>
          <c:order val="3"/>
          <c:tx>
            <c:v>Total GHG emissions from IPPU Sector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'Emissions CO2eq.'!$D$104:$T$104</c:f>
              <c:numCache>
                <c:formatCode>#,##0.00</c:formatCode>
                <c:ptCount val="17"/>
                <c:pt idx="0">
                  <c:v>71.136090493857395</c:v>
                </c:pt>
                <c:pt idx="1">
                  <c:v>74.167067329141616</c:v>
                </c:pt>
                <c:pt idx="2">
                  <c:v>76.741853088358809</c:v>
                </c:pt>
                <c:pt idx="3">
                  <c:v>79.388829047891861</c:v>
                </c:pt>
                <c:pt idx="4">
                  <c:v>81.683485677693398</c:v>
                </c:pt>
                <c:pt idx="5">
                  <c:v>113.51488537722314</c:v>
                </c:pt>
                <c:pt idx="6">
                  <c:v>108.35071124852188</c:v>
                </c:pt>
                <c:pt idx="7">
                  <c:v>113.65856367832421</c:v>
                </c:pt>
                <c:pt idx="8">
                  <c:v>119.60512949938627</c:v>
                </c:pt>
                <c:pt idx="9">
                  <c:v>138.88517782906871</c:v>
                </c:pt>
                <c:pt idx="10">
                  <c:v>147.18669392232562</c:v>
                </c:pt>
                <c:pt idx="11">
                  <c:v>194.44532707660198</c:v>
                </c:pt>
                <c:pt idx="12">
                  <c:v>216.38933623233379</c:v>
                </c:pt>
                <c:pt idx="13">
                  <c:v>306.89431874289073</c:v>
                </c:pt>
                <c:pt idx="14">
                  <c:v>309.96902476830292</c:v>
                </c:pt>
                <c:pt idx="15">
                  <c:v>313.98779371987439</c:v>
                </c:pt>
                <c:pt idx="16">
                  <c:v>328.28921140651346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5F-4090-B084-4DDAB33B0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334288"/>
        <c:axId val="714327072"/>
      </c:lineChart>
      <c:catAx>
        <c:axId val="714334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27072"/>
        <c:crosses val="autoZero"/>
        <c:auto val="0"/>
        <c:lblAlgn val="ctr"/>
        <c:lblOffset val="100"/>
        <c:noMultiLvlLbl val="1"/>
      </c:catAx>
      <c:valAx>
        <c:axId val="714327072"/>
        <c:scaling>
          <c:orientation val="minMax"/>
          <c:max val="4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ysClr val="windowText" lastClr="000000"/>
                    </a:solidFill>
                  </a:rPr>
                  <a:t>Gg CO2eq/year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34288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926876966150668E-2"/>
          <c:y val="0.82428366707255785"/>
          <c:w val="0.95891056219763271"/>
          <c:h val="0.161302025576025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800" b="1">
                <a:solidFill>
                  <a:sysClr val="windowText" lastClr="000000"/>
                </a:solidFill>
              </a:rPr>
              <a:t>CO2eq. Emissions in the Republic of Mauritius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53902691914845"/>
          <c:y val="8.3254334393106935E-2"/>
          <c:w val="0.87919818387828574"/>
          <c:h val="0.74734344207645109"/>
        </c:manualLayout>
      </c:layout>
      <c:barChart>
        <c:barDir val="col"/>
        <c:grouping val="clustered"/>
        <c:varyColors val="0"/>
        <c:ser>
          <c:idx val="0"/>
          <c:order val="1"/>
          <c:tx>
            <c:v>1.A.1. Energy Industries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'Emissions CO2eq.'!$D$84:$T$84</c:f>
              <c:numCache>
                <c:formatCode>#,##0.00</c:formatCode>
                <c:ptCount val="17"/>
                <c:pt idx="0">
                  <c:v>1178.4061063613099</c:v>
                </c:pt>
                <c:pt idx="1">
                  <c:v>1288.8626659119898</c:v>
                </c:pt>
                <c:pt idx="2">
                  <c:v>1310.3005011934199</c:v>
                </c:pt>
                <c:pt idx="3">
                  <c:v>1400.82584978711</c:v>
                </c:pt>
                <c:pt idx="4">
                  <c:v>1415.9085036841898</c:v>
                </c:pt>
                <c:pt idx="5">
                  <c:v>1587.1896978407945</c:v>
                </c:pt>
                <c:pt idx="6">
                  <c:v>1866.7430373599504</c:v>
                </c:pt>
                <c:pt idx="7">
                  <c:v>2007.5820614474637</c:v>
                </c:pt>
                <c:pt idx="8">
                  <c:v>2037.2660099691734</c:v>
                </c:pt>
                <c:pt idx="9">
                  <c:v>2018.9191138806914</c:v>
                </c:pt>
                <c:pt idx="10">
                  <c:v>2219.6497974532685</c:v>
                </c:pt>
                <c:pt idx="11">
                  <c:v>2204.4674169626501</c:v>
                </c:pt>
                <c:pt idx="12">
                  <c:v>2265.2554418766299</c:v>
                </c:pt>
                <c:pt idx="13">
                  <c:v>2339.2437806019884</c:v>
                </c:pt>
                <c:pt idx="14">
                  <c:v>2418.9198789977681</c:v>
                </c:pt>
                <c:pt idx="15">
                  <c:v>2360.7174073732699</c:v>
                </c:pt>
                <c:pt idx="16">
                  <c:v>2418.2769844539207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9-4CFE-B725-433B175B91FE}"/>
            </c:ext>
          </c:extLst>
        </c:ser>
        <c:ser>
          <c:idx val="1"/>
          <c:order val="2"/>
          <c:tx>
            <c:v>1.A.2. Manufacturing Industries and Construction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'Emissions CO2eq.'!$D$85:$T$85</c:f>
              <c:numCache>
                <c:formatCode>#,##0.00</c:formatCode>
                <c:ptCount val="17"/>
                <c:pt idx="0">
                  <c:v>372.20092308465735</c:v>
                </c:pt>
                <c:pt idx="1">
                  <c:v>394.10775759207081</c:v>
                </c:pt>
                <c:pt idx="2">
                  <c:v>394.750797880562</c:v>
                </c:pt>
                <c:pt idx="3">
                  <c:v>395.11746970234856</c:v>
                </c:pt>
                <c:pt idx="4">
                  <c:v>371.79472004089337</c:v>
                </c:pt>
                <c:pt idx="5">
                  <c:v>353.55691741383441</c:v>
                </c:pt>
                <c:pt idx="6">
                  <c:v>415.49319267504495</c:v>
                </c:pt>
                <c:pt idx="7">
                  <c:v>412.41712441481548</c:v>
                </c:pt>
                <c:pt idx="8">
                  <c:v>441.14248042189286</c:v>
                </c:pt>
                <c:pt idx="9">
                  <c:v>366.15004601504097</c:v>
                </c:pt>
                <c:pt idx="10">
                  <c:v>372.21341358586267</c:v>
                </c:pt>
                <c:pt idx="11">
                  <c:v>355.67786204235318</c:v>
                </c:pt>
                <c:pt idx="12">
                  <c:v>348.50336453614892</c:v>
                </c:pt>
                <c:pt idx="13">
                  <c:v>333.95731106553285</c:v>
                </c:pt>
                <c:pt idx="14">
                  <c:v>349.14824224133673</c:v>
                </c:pt>
                <c:pt idx="15">
                  <c:v>352.16844480889631</c:v>
                </c:pt>
                <c:pt idx="16">
                  <c:v>340.00252513938403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9-4CFE-B725-433B175B91FE}"/>
            </c:ext>
          </c:extLst>
        </c:ser>
        <c:ser>
          <c:idx val="2"/>
          <c:order val="3"/>
          <c:tx>
            <c:v>1.A.3. Transport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'Emissions CO2eq.'!$D$93:$T$93</c:f>
              <c:numCache>
                <c:formatCode>#,##0.00</c:formatCode>
                <c:ptCount val="17"/>
                <c:pt idx="0">
                  <c:v>575.11748739519544</c:v>
                </c:pt>
                <c:pt idx="1">
                  <c:v>600.65044004072126</c:v>
                </c:pt>
                <c:pt idx="2">
                  <c:v>631.06197923831394</c:v>
                </c:pt>
                <c:pt idx="3">
                  <c:v>657.54871402638992</c:v>
                </c:pt>
                <c:pt idx="4">
                  <c:v>689.46957980674892</c:v>
                </c:pt>
                <c:pt idx="5">
                  <c:v>715.92643454217023</c:v>
                </c:pt>
                <c:pt idx="6">
                  <c:v>748.7864022044439</c:v>
                </c:pt>
                <c:pt idx="7">
                  <c:v>786.43668047336757</c:v>
                </c:pt>
                <c:pt idx="8">
                  <c:v>819.76781817698748</c:v>
                </c:pt>
                <c:pt idx="9">
                  <c:v>851.05593336499021</c:v>
                </c:pt>
                <c:pt idx="10">
                  <c:v>897.18624059148499</c:v>
                </c:pt>
                <c:pt idx="11">
                  <c:v>938.33426132213356</c:v>
                </c:pt>
                <c:pt idx="12">
                  <c:v>987.48714332280463</c:v>
                </c:pt>
                <c:pt idx="13">
                  <c:v>1037.4957403927285</c:v>
                </c:pt>
                <c:pt idx="14">
                  <c:v>997.49193913716897</c:v>
                </c:pt>
                <c:pt idx="15">
                  <c:v>1087.8083336505024</c:v>
                </c:pt>
                <c:pt idx="16">
                  <c:v>1169.6970580794014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F9-4CFE-B725-433B175B91FE}"/>
            </c:ext>
          </c:extLst>
        </c:ser>
        <c:ser>
          <c:idx val="3"/>
          <c:order val="4"/>
          <c:tx>
            <c:v>1.A.4. Other Sectors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'Emissions CO2eq.'!$D$97:$T$97</c:f>
              <c:numCache>
                <c:formatCode>#,##0.00</c:formatCode>
                <c:ptCount val="17"/>
                <c:pt idx="0">
                  <c:v>198.42012972039998</c:v>
                </c:pt>
                <c:pt idx="1">
                  <c:v>200.74250100960003</c:v>
                </c:pt>
                <c:pt idx="2">
                  <c:v>200.83058247096</c:v>
                </c:pt>
                <c:pt idx="3">
                  <c:v>217.96112741739998</c:v>
                </c:pt>
                <c:pt idx="4">
                  <c:v>220.65117408704</c:v>
                </c:pt>
                <c:pt idx="5">
                  <c:v>227.15545777600002</c:v>
                </c:pt>
                <c:pt idx="6">
                  <c:v>219.09352763671995</c:v>
                </c:pt>
                <c:pt idx="7">
                  <c:v>210.88322173966799</c:v>
                </c:pt>
                <c:pt idx="8">
                  <c:v>220.97156619125047</c:v>
                </c:pt>
                <c:pt idx="9">
                  <c:v>230.76842706560703</c:v>
                </c:pt>
                <c:pt idx="10">
                  <c:v>236.08764277671196</c:v>
                </c:pt>
                <c:pt idx="11">
                  <c:v>238.45887502537173</c:v>
                </c:pt>
                <c:pt idx="12">
                  <c:v>233.5427526903409</c:v>
                </c:pt>
                <c:pt idx="13">
                  <c:v>233.30167375698255</c:v>
                </c:pt>
                <c:pt idx="14">
                  <c:v>236.74701333253054</c:v>
                </c:pt>
                <c:pt idx="15">
                  <c:v>246.87072595066269</c:v>
                </c:pt>
                <c:pt idx="16">
                  <c:v>248.0972569878505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F9-4CFE-B725-433B175B91FE}"/>
            </c:ext>
          </c:extLst>
        </c:ser>
        <c:ser>
          <c:idx val="5"/>
          <c:order val="5"/>
          <c:tx>
            <c:v>1.A.5. Non-Specified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'Emissions CO2eq.'!$D$103:$T$103</c:f>
              <c:numCache>
                <c:formatCode>#,##0.00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0.77169420239999997</c:v>
                </c:pt>
                <c:pt idx="14">
                  <c:v>0.80758695600000008</c:v>
                </c:pt>
                <c:pt idx="15">
                  <c:v>0.85245289799999979</c:v>
                </c:pt>
                <c:pt idx="16">
                  <c:v>0.87339033759999984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50-42A3-8A6E-C0624C9E9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334288"/>
        <c:axId val="714327072"/>
      </c:barChart>
      <c:lineChart>
        <c:grouping val="standard"/>
        <c:varyColors val="0"/>
        <c:ser>
          <c:idx val="4"/>
          <c:order val="0"/>
          <c:tx>
            <c:v>1.A - Fuel Combustion Activities (Energy)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'Emissions CO2eq.'!$D$83:$T$83</c:f>
              <c:numCache>
                <c:formatCode>#,##0.00</c:formatCode>
                <c:ptCount val="17"/>
                <c:pt idx="0">
                  <c:v>2324.1446465615627</c:v>
                </c:pt>
                <c:pt idx="1">
                  <c:v>2484.3633645543819</c:v>
                </c:pt>
                <c:pt idx="2">
                  <c:v>2536.9438607832558</c:v>
                </c:pt>
                <c:pt idx="3">
                  <c:v>2671.4531609332485</c:v>
                </c:pt>
                <c:pt idx="4">
                  <c:v>2697.823977618872</c:v>
                </c:pt>
                <c:pt idx="5">
                  <c:v>2883.828507572799</c:v>
                </c:pt>
                <c:pt idx="6">
                  <c:v>3250.1161598761591</c:v>
                </c:pt>
                <c:pt idx="7">
                  <c:v>3417.319088075315</c:v>
                </c:pt>
                <c:pt idx="8">
                  <c:v>3519.1478747593042</c:v>
                </c:pt>
                <c:pt idx="9">
                  <c:v>3466.8935203263295</c:v>
                </c:pt>
                <c:pt idx="10">
                  <c:v>3725.1370944073283</c:v>
                </c:pt>
                <c:pt idx="11">
                  <c:v>3736.9384153525084</c:v>
                </c:pt>
                <c:pt idx="12">
                  <c:v>3834.7887024259244</c:v>
                </c:pt>
                <c:pt idx="13">
                  <c:v>3944.7702000196323</c:v>
                </c:pt>
                <c:pt idx="14">
                  <c:v>4003.1146606648044</c:v>
                </c:pt>
                <c:pt idx="15">
                  <c:v>4048.4173646813315</c:v>
                </c:pt>
                <c:pt idx="16">
                  <c:v>4176.9472149981566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FF9-4CFE-B725-433B175B9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334288"/>
        <c:axId val="714327072"/>
      </c:lineChart>
      <c:dateAx>
        <c:axId val="714334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27072"/>
        <c:crosses val="autoZero"/>
        <c:auto val="0"/>
        <c:lblOffset val="100"/>
        <c:baseTimeUnit val="days"/>
        <c:majorUnit val="2"/>
        <c:minorUnit val="2"/>
      </c:dateAx>
      <c:valAx>
        <c:axId val="714327072"/>
        <c:scaling>
          <c:orientation val="minMax"/>
          <c:max val="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ysClr val="windowText" lastClr="000000"/>
                    </a:solidFill>
                  </a:rPr>
                  <a:t>Gg CO2eq/year</a:t>
                </a:r>
              </a:p>
            </c:rich>
          </c:tx>
          <c:layout>
            <c:manualLayout>
              <c:xMode val="edge"/>
              <c:yMode val="edge"/>
              <c:x val="9.8809815989694023E-3"/>
              <c:y val="0.348373968584807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34288"/>
        <c:crossesAt val="1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304175578477326E-3"/>
          <c:y val="0.89978420154136807"/>
          <c:w val="0.97478066271046904"/>
          <c:h val="0.100215798458631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Share of GHG Emissions for Energy Sector, 2000</a:t>
            </a:r>
          </a:p>
        </c:rich>
      </c:tx>
      <c:layout>
        <c:manualLayout>
          <c:xMode val="edge"/>
          <c:yMode val="edge"/>
          <c:x val="0.32699486780866138"/>
          <c:y val="2.02738312729206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4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1507059038522044E-2"/>
          <c:y val="0.18958312761133903"/>
          <c:w val="0.86299065690110588"/>
          <c:h val="0.69843713618564174"/>
        </c:manualLayout>
      </c:layout>
      <c:pie3DChart>
        <c:varyColors val="1"/>
        <c:ser>
          <c:idx val="0"/>
          <c:order val="0"/>
          <c:explosion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E1C-4E11-9547-445E85EEE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E1C-4E11-9547-445E85EEEAD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A621-43CD-99AC-53C3F04C2CB3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A621-43CD-99AC-53C3F04C2CB3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6-36DA-4252-AB70-CF5831D2E13A}"/>
              </c:ext>
            </c:extLst>
          </c:dPt>
          <c:dLbls>
            <c:dLbl>
              <c:idx val="4"/>
              <c:layout>
                <c:manualLayout>
                  <c:x val="6.4604229003950908E-2"/>
                  <c:y val="1.44813080520861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6DA-4252-AB70-CF5831D2E1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('Emissions CO2eq.'!$B$84:$C$93,'Emissions CO2eq.'!$B$97:$C$97,'Emissions CO2eq.'!$B$103:$C$103)</c15:sqref>
                  </c15:fullRef>
                </c:ext>
              </c:extLst>
              <c:f>('Emissions CO2eq.'!$B$84:$C$85,'Emissions CO2eq.'!$B$93:$C$93,'Emissions CO2eq.'!$B$97:$C$97,'Emissions CO2eq.'!$B$103:$C$103)</c:f>
              <c:strCache>
                <c:ptCount val="5"/>
                <c:pt idx="0">
                  <c:v>1.A.1. Energy Industries</c:v>
                </c:pt>
                <c:pt idx="1">
                  <c:v>1.A.2. Manufacturing Industries and Construction</c:v>
                </c:pt>
                <c:pt idx="2">
                  <c:v>1.A.3. Transport</c:v>
                </c:pt>
                <c:pt idx="3">
                  <c:v>1.A.4. Energy Other Sectors</c:v>
                </c:pt>
                <c:pt idx="4">
                  <c:v>1.A.5 Non-Specified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('Emissions CO2eq.'!$D$84:$D$93,'Emissions CO2eq.'!$D$97,'Emissions CO2eq.'!$D$103)</c15:sqref>
                  </c15:fullRef>
                </c:ext>
              </c:extLst>
              <c:f>('Emissions CO2eq.'!$D$84:$D$85,'Emissions CO2eq.'!$D$93,'Emissions CO2eq.'!$D$97,'Emissions CO2eq.'!$D$103)</c:f>
              <c:numCache>
                <c:formatCode>#,##0.00</c:formatCode>
                <c:ptCount val="5"/>
                <c:pt idx="0">
                  <c:v>1178.4061063613099</c:v>
                </c:pt>
                <c:pt idx="1">
                  <c:v>372.20092308465735</c:v>
                </c:pt>
                <c:pt idx="2">
                  <c:v>575.11748739519544</c:v>
                </c:pt>
                <c:pt idx="3">
                  <c:v>198.42012972039998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'Emissions CO2eq.'!$D$86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'Emissions CO2eq.'!$D$87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'Emissions CO2eq.'!$D$88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5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5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5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'Emissions CO2eq.'!$D$89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'Emissions CO2eq.'!$D$90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1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'Emissions CO2eq.'!$D$91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'Emissions CO2eq.'!$D$92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3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8-0E1C-4E11-9547-445E85EEEAD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Fuel consumption in Air Transport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'Activity Data Rep. Mauritius'!$C$41</c:f>
              <c:strCache>
                <c:ptCount val="1"/>
                <c:pt idx="0">
                  <c:v>Jet Kerosene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'Activity Data Rep. Mauritius'!$M$2:$AC$2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'Activity Data Rep. Mauritius'!$M$41:$AC$41</c:f>
              <c:numCache>
                <c:formatCode>0.00</c:formatCode>
                <c:ptCount val="17"/>
                <c:pt idx="0">
                  <c:v>1.4964587585539884</c:v>
                </c:pt>
                <c:pt idx="1">
                  <c:v>1.5853105922526451</c:v>
                </c:pt>
                <c:pt idx="2">
                  <c:v>1.8545477008507532</c:v>
                </c:pt>
                <c:pt idx="3">
                  <c:v>1.9734248318839727</c:v>
                </c:pt>
                <c:pt idx="4">
                  <c:v>1.8862952239817377</c:v>
                </c:pt>
                <c:pt idx="5">
                  <c:v>1.6895494153527135</c:v>
                </c:pt>
                <c:pt idx="6">
                  <c:v>1.7524839175918125</c:v>
                </c:pt>
                <c:pt idx="7">
                  <c:v>1.9607983497689678</c:v>
                </c:pt>
                <c:pt idx="8">
                  <c:v>1.7534879999999999</c:v>
                </c:pt>
                <c:pt idx="9">
                  <c:v>1.333704</c:v>
                </c:pt>
                <c:pt idx="10">
                  <c:v>1.824068</c:v>
                </c:pt>
                <c:pt idx="11">
                  <c:v>1.9881530000000001</c:v>
                </c:pt>
                <c:pt idx="12">
                  <c:v>2.1111840000000002</c:v>
                </c:pt>
                <c:pt idx="13">
                  <c:v>2.1683270000000001</c:v>
                </c:pt>
                <c:pt idx="14">
                  <c:v>2.2401599999999999</c:v>
                </c:pt>
                <c:pt idx="15">
                  <c:v>2.6622029999999999</c:v>
                </c:pt>
                <c:pt idx="16">
                  <c:v>3.0447820000000001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4DC-4CE3-A27C-667709136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0629400"/>
        <c:axId val="700633992"/>
      </c:scatterChart>
      <c:valAx>
        <c:axId val="700629400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633992"/>
        <c:crosses val="autoZero"/>
        <c:crossBetween val="midCat"/>
        <c:majorUnit val="2"/>
      </c:valAx>
      <c:valAx>
        <c:axId val="700633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 b="1">
                    <a:solidFill>
                      <a:sysClr val="windowText" lastClr="000000"/>
                    </a:solidFill>
                  </a:rPr>
                  <a:t>Gg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629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Share of GHG Emissions for Energy Sector, 2005</a:t>
            </a:r>
          </a:p>
        </c:rich>
      </c:tx>
      <c:layout>
        <c:manualLayout>
          <c:xMode val="edge"/>
          <c:yMode val="edge"/>
          <c:x val="0.32699486780866138"/>
          <c:y val="2.02738312729206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4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1507059038522044E-2"/>
          <c:y val="0.18958312761133903"/>
          <c:w val="0.86299065690110588"/>
          <c:h val="0.69843713618564174"/>
        </c:manualLayout>
      </c:layout>
      <c:pie3DChart>
        <c:varyColors val="1"/>
        <c:ser>
          <c:idx val="0"/>
          <c:order val="0"/>
          <c:explosion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9FEA-449A-9116-11F8C9EC60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9FEA-449A-9116-11F8C9EC60D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1BCD-44AF-9B6F-B9AEE19032A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1BCD-44AF-9B6F-B9AEE19032A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6-1E94-47B0-B0D7-86F3F17A1A3B}"/>
              </c:ext>
            </c:extLst>
          </c:dPt>
          <c:dLbls>
            <c:dLbl>
              <c:idx val="4"/>
              <c:layout>
                <c:manualLayout>
                  <c:x val="6.6025497799524227E-2"/>
                  <c:y val="3.47551393250068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E94-47B0-B0D7-86F3F17A1A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('Emissions CO2eq.'!$B$84:$C$93,'Emissions CO2eq.'!$B$97:$C$97,'Emissions CO2eq.'!$B$103:$C$103)</c15:sqref>
                  </c15:fullRef>
                </c:ext>
              </c:extLst>
              <c:f>('Emissions CO2eq.'!$B$84:$C$85,'Emissions CO2eq.'!$B$93:$C$93,'Emissions CO2eq.'!$B$97:$C$97,'Emissions CO2eq.'!$B$103:$C$103)</c:f>
              <c:strCache>
                <c:ptCount val="5"/>
                <c:pt idx="0">
                  <c:v>1.A.1. Energy Industries</c:v>
                </c:pt>
                <c:pt idx="1">
                  <c:v>1.A.2. Manufacturing Industries and Construction</c:v>
                </c:pt>
                <c:pt idx="2">
                  <c:v>1.A.3. Transport</c:v>
                </c:pt>
                <c:pt idx="3">
                  <c:v>1.A.4. Energy Other Sectors</c:v>
                </c:pt>
                <c:pt idx="4">
                  <c:v>1.A.5 Non-Specified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('Emissions CO2eq.'!$I$84:$I$93,'Emissions CO2eq.'!$I$97,'Emissions CO2eq.'!$I$103)</c15:sqref>
                  </c15:fullRef>
                </c:ext>
              </c:extLst>
              <c:f>('Emissions CO2eq.'!$I$84:$I$85,'Emissions CO2eq.'!$I$93,'Emissions CO2eq.'!$I$97,'Emissions CO2eq.'!$I$103)</c:f>
              <c:numCache>
                <c:formatCode>#,##0.00</c:formatCode>
                <c:ptCount val="5"/>
                <c:pt idx="0">
                  <c:v>1587.1896978407945</c:v>
                </c:pt>
                <c:pt idx="1">
                  <c:v>353.55691741383441</c:v>
                </c:pt>
                <c:pt idx="2">
                  <c:v>715.92643454217023</c:v>
                </c:pt>
                <c:pt idx="3">
                  <c:v>227.15545777600002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'Emissions CO2eq.'!$I$86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'Emissions CO2eq.'!$I$87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'Emissions CO2eq.'!$I$88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5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5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5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'Emissions CO2eq.'!$I$89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'Emissions CO2eq.'!$I$90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1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'Emissions CO2eq.'!$I$91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'Emissions CO2eq.'!$I$92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3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8-9FEA-449A-9116-11F8C9EC60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Share of GHG Emissions for Energy Sector, 2010</a:t>
            </a:r>
          </a:p>
        </c:rich>
      </c:tx>
      <c:layout>
        <c:manualLayout>
          <c:xMode val="edge"/>
          <c:yMode val="edge"/>
          <c:x val="0.32699486780866138"/>
          <c:y val="2.02738312729206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4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1507059038522044E-2"/>
          <c:y val="0.18958312761133903"/>
          <c:w val="0.86299065690110588"/>
          <c:h val="0.69843713618564174"/>
        </c:manualLayout>
      </c:layout>
      <c:pie3DChart>
        <c:varyColors val="1"/>
        <c:ser>
          <c:idx val="0"/>
          <c:order val="0"/>
          <c:explosion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1D2-4013-87B6-F7D8365E8A8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1D2-4013-87B6-F7D8365E8A8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501F-46D2-BFE8-85A1182E7A03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501F-46D2-BFE8-85A1182E7A03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6-44D7-42AF-9755-C7814F7E50D4}"/>
              </c:ext>
            </c:extLst>
          </c:dPt>
          <c:dLbls>
            <c:dLbl>
              <c:idx val="4"/>
              <c:layout>
                <c:manualLayout>
                  <c:x val="7.097251084234335E-2"/>
                  <c:y val="4.28905772441284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4D7-42AF-9755-C7814F7E50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('Emissions CO2eq.'!$B$84:$C$93,'Emissions CO2eq.'!$B$97:$C$97,'Emissions CO2eq.'!$B$103:$C$103)</c15:sqref>
                  </c15:fullRef>
                </c:ext>
              </c:extLst>
              <c:f>('Emissions CO2eq.'!$B$84:$C$85,'Emissions CO2eq.'!$B$93:$C$93,'Emissions CO2eq.'!$B$97:$C$97,'Emissions CO2eq.'!$B$103:$C$103)</c:f>
              <c:strCache>
                <c:ptCount val="5"/>
                <c:pt idx="0">
                  <c:v>1.A.1. Energy Industries</c:v>
                </c:pt>
                <c:pt idx="1">
                  <c:v>1.A.2. Manufacturing Industries and Construction</c:v>
                </c:pt>
                <c:pt idx="2">
                  <c:v>1.A.3. Transport</c:v>
                </c:pt>
                <c:pt idx="3">
                  <c:v>1.A.4. Energy Other Sectors</c:v>
                </c:pt>
                <c:pt idx="4">
                  <c:v>1.A.5 Non-Specified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('Emissions CO2eq.'!$N$84:$N$93,'Emissions CO2eq.'!$N$97,'Emissions CO2eq.'!$N$103)</c15:sqref>
                  </c15:fullRef>
                </c:ext>
              </c:extLst>
              <c:f>('Emissions CO2eq.'!$N$84:$N$85,'Emissions CO2eq.'!$N$93,'Emissions CO2eq.'!$N$97,'Emissions CO2eq.'!$N$103)</c:f>
              <c:numCache>
                <c:formatCode>#,##0.00</c:formatCode>
                <c:ptCount val="5"/>
                <c:pt idx="0">
                  <c:v>2219.6497974532685</c:v>
                </c:pt>
                <c:pt idx="1">
                  <c:v>372.21341358586267</c:v>
                </c:pt>
                <c:pt idx="2">
                  <c:v>897.18624059148499</c:v>
                </c:pt>
                <c:pt idx="3">
                  <c:v>236.08764277671196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'Emissions CO2eq.'!$N$86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'Emissions CO2eq.'!$N$87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'Emissions CO2eq.'!$N$88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5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5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5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'Emissions CO2eq.'!$N$89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'Emissions CO2eq.'!$N$90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1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'Emissions CO2eq.'!$N$91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'Emissions CO2eq.'!$N$92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3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8-61D2-4013-87B6-F7D8365E8A8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Share of GHG Emissions for Energy Sector, 2016</a:t>
            </a:r>
          </a:p>
        </c:rich>
      </c:tx>
      <c:layout>
        <c:manualLayout>
          <c:xMode val="edge"/>
          <c:yMode val="edge"/>
          <c:x val="0.32699486780866138"/>
          <c:y val="2.02738312729206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4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1507059038522044E-2"/>
          <c:y val="0.18958312761133903"/>
          <c:w val="0.86299065690110588"/>
          <c:h val="0.69843713618564174"/>
        </c:manualLayout>
      </c:layout>
      <c:pie3DChart>
        <c:varyColors val="1"/>
        <c:ser>
          <c:idx val="0"/>
          <c:order val="0"/>
          <c:explosion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D41-41CD-888F-6F9F61833C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D41-41CD-888F-6F9F61833C7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8074-4244-A781-5863D26009F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8074-4244-A781-5863D26009F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6-1189-439E-BDAF-364351332E16}"/>
              </c:ext>
            </c:extLst>
          </c:dPt>
          <c:dLbls>
            <c:dLbl>
              <c:idx val="4"/>
              <c:layout>
                <c:manualLayout>
                  <c:x val="8.4066849694099152E-2"/>
                  <c:y val="4.33811026451541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189-439E-BDAF-364351332E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('Emissions CO2eq.'!$B$84:$C$93,'Emissions CO2eq.'!$B$97:$C$97,'Emissions CO2eq.'!$B$103:$C$103)</c15:sqref>
                  </c15:fullRef>
                </c:ext>
              </c:extLst>
              <c:f>('Emissions CO2eq.'!$B$84:$C$85,'Emissions CO2eq.'!$B$93:$C$93,'Emissions CO2eq.'!$B$97:$C$97,'Emissions CO2eq.'!$B$103:$C$103)</c:f>
              <c:strCache>
                <c:ptCount val="5"/>
                <c:pt idx="0">
                  <c:v>1.A.1. Energy Industries</c:v>
                </c:pt>
                <c:pt idx="1">
                  <c:v>1.A.2. Manufacturing Industries and Construction</c:v>
                </c:pt>
                <c:pt idx="2">
                  <c:v>1.A.3. Transport</c:v>
                </c:pt>
                <c:pt idx="3">
                  <c:v>1.A.4. Energy Other Sectors</c:v>
                </c:pt>
                <c:pt idx="4">
                  <c:v>1.A.5 Non-Specified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('Emissions CO2eq.'!$T$84:$T$93,'Emissions CO2eq.'!$T$97,'Emissions CO2eq.'!$T$103)</c15:sqref>
                  </c15:fullRef>
                </c:ext>
              </c:extLst>
              <c:f>('Emissions CO2eq.'!$T$84:$T$85,'Emissions CO2eq.'!$T$93,'Emissions CO2eq.'!$T$97,'Emissions CO2eq.'!$T$103)</c:f>
              <c:numCache>
                <c:formatCode>#,##0.00</c:formatCode>
                <c:ptCount val="5"/>
                <c:pt idx="0">
                  <c:v>2418.2769844539207</c:v>
                </c:pt>
                <c:pt idx="1">
                  <c:v>340.00252513938403</c:v>
                </c:pt>
                <c:pt idx="2">
                  <c:v>1169.6970580794014</c:v>
                </c:pt>
                <c:pt idx="3">
                  <c:v>248.0972569878505</c:v>
                </c:pt>
                <c:pt idx="4">
                  <c:v>0.87339033759999984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'Emissions CO2eq.'!$T$86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'Emissions CO2eq.'!$T$87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'Emissions CO2eq.'!$T$88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5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5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5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'Emissions CO2eq.'!$T$89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'Emissions CO2eq.'!$T$90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1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'Emissions CO2eq.'!$T$91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'Emissions CO2eq.'!$T$92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3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8-CD41-41CD-888F-6F9F61833C7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</a:rPr>
              <a:t>GHG Emission</a:t>
            </a:r>
            <a:r>
              <a:rPr lang="es-ES" b="1" baseline="0">
                <a:solidFill>
                  <a:sysClr val="windowText" lastClr="000000"/>
                </a:solidFill>
              </a:rPr>
              <a:t> Trend for Energy Industries</a:t>
            </a:r>
            <a:endParaRPr lang="es-ES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6679481219212867"/>
          <c:y val="1.54589387661697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GHG Emissions for Energy Industries</c:v>
          </c:tx>
          <c:spPr>
            <a:ln w="25400" cap="rnd">
              <a:solidFill>
                <a:schemeClr val="bg2">
                  <a:lumMod val="2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'Emissions CO2eq.'!$D$84:$T$84</c:f>
              <c:numCache>
                <c:formatCode>#,##0.00</c:formatCode>
                <c:ptCount val="17"/>
                <c:pt idx="0">
                  <c:v>1178.4061063613099</c:v>
                </c:pt>
                <c:pt idx="1">
                  <c:v>1288.8626659119898</c:v>
                </c:pt>
                <c:pt idx="2">
                  <c:v>1310.3005011934199</c:v>
                </c:pt>
                <c:pt idx="3">
                  <c:v>1400.82584978711</c:v>
                </c:pt>
                <c:pt idx="4">
                  <c:v>1415.9085036841898</c:v>
                </c:pt>
                <c:pt idx="5">
                  <c:v>1587.1896978407945</c:v>
                </c:pt>
                <c:pt idx="6">
                  <c:v>1866.7430373599504</c:v>
                </c:pt>
                <c:pt idx="7">
                  <c:v>2007.5820614474637</c:v>
                </c:pt>
                <c:pt idx="8">
                  <c:v>2037.2660099691734</c:v>
                </c:pt>
                <c:pt idx="9">
                  <c:v>2018.9191138806914</c:v>
                </c:pt>
                <c:pt idx="10">
                  <c:v>2219.6497974532685</c:v>
                </c:pt>
                <c:pt idx="11">
                  <c:v>2204.4674169626501</c:v>
                </c:pt>
                <c:pt idx="12">
                  <c:v>2265.2554418766299</c:v>
                </c:pt>
                <c:pt idx="13">
                  <c:v>2339.2437806019884</c:v>
                </c:pt>
                <c:pt idx="14">
                  <c:v>2418.9198789977681</c:v>
                </c:pt>
                <c:pt idx="15">
                  <c:v>2360.7174073732699</c:v>
                </c:pt>
                <c:pt idx="16">
                  <c:v>2418.2769844539207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E28-4BDE-A2AB-1E3300749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334288"/>
        <c:axId val="714327072"/>
      </c:scatterChart>
      <c:valAx>
        <c:axId val="714334288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27072"/>
        <c:crosses val="autoZero"/>
        <c:crossBetween val="midCat"/>
        <c:majorUnit val="2"/>
      </c:valAx>
      <c:valAx>
        <c:axId val="714327072"/>
        <c:scaling>
          <c:orientation val="minMax"/>
          <c:max val="2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</a:rPr>
                  <a:t>Gg CO2eq/year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34288"/>
        <c:crosses val="autoZero"/>
        <c:crossBetween val="midCat"/>
        <c:majorUnit val="65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</a:rPr>
              <a:t>GHG Emission Trend for Manufacturing</a:t>
            </a:r>
            <a:r>
              <a:rPr lang="es-ES" b="1" baseline="0">
                <a:solidFill>
                  <a:sysClr val="windowText" lastClr="000000"/>
                </a:solidFill>
              </a:rPr>
              <a:t> Industries</a:t>
            </a:r>
            <a:endParaRPr lang="es-E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1.A.2. Manufacturing Industries and Construction</c:v>
          </c:tx>
          <c:spPr>
            <a:ln w="25400" cap="rnd">
              <a:solidFill>
                <a:schemeClr val="bg2">
                  <a:lumMod val="2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'Emissions CO2eq.'!$D$85:$T$85</c:f>
              <c:numCache>
                <c:formatCode>#,##0.00</c:formatCode>
                <c:ptCount val="17"/>
                <c:pt idx="0">
                  <c:v>372.20092308465735</c:v>
                </c:pt>
                <c:pt idx="1">
                  <c:v>394.10775759207081</c:v>
                </c:pt>
                <c:pt idx="2">
                  <c:v>394.750797880562</c:v>
                </c:pt>
                <c:pt idx="3">
                  <c:v>395.11746970234856</c:v>
                </c:pt>
                <c:pt idx="4">
                  <c:v>371.79472004089337</c:v>
                </c:pt>
                <c:pt idx="5">
                  <c:v>353.55691741383441</c:v>
                </c:pt>
                <c:pt idx="6">
                  <c:v>415.49319267504495</c:v>
                </c:pt>
                <c:pt idx="7">
                  <c:v>412.41712441481548</c:v>
                </c:pt>
                <c:pt idx="8">
                  <c:v>441.14248042189286</c:v>
                </c:pt>
                <c:pt idx="9">
                  <c:v>366.15004601504097</c:v>
                </c:pt>
                <c:pt idx="10">
                  <c:v>372.21341358586267</c:v>
                </c:pt>
                <c:pt idx="11">
                  <c:v>355.67786204235318</c:v>
                </c:pt>
                <c:pt idx="12">
                  <c:v>348.50336453614892</c:v>
                </c:pt>
                <c:pt idx="13">
                  <c:v>333.95731106553285</c:v>
                </c:pt>
                <c:pt idx="14">
                  <c:v>349.14824224133673</c:v>
                </c:pt>
                <c:pt idx="15">
                  <c:v>352.16844480889631</c:v>
                </c:pt>
                <c:pt idx="16">
                  <c:v>340.00252513938403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9CF-487E-B099-92828A3E9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334288"/>
        <c:axId val="714327072"/>
      </c:scatterChart>
      <c:valAx>
        <c:axId val="714334288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27072"/>
        <c:crosses val="autoZero"/>
        <c:crossBetween val="midCat"/>
        <c:majorUnit val="2"/>
      </c:valAx>
      <c:valAx>
        <c:axId val="714327072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</a:rPr>
                  <a:t>Gg CO2eq/year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34288"/>
        <c:crosses val="autoZero"/>
        <c:crossBetween val="midCat"/>
        <c:majorUnit val="1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</a:rPr>
              <a:t>GHG Emission Trend for Transport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'Emissions CO2eq.'!$B$93:$C$93</c:f>
              <c:strCache>
                <c:ptCount val="2"/>
                <c:pt idx="0">
                  <c:v>1.A.3. Transport</c:v>
                </c:pt>
              </c:strCache>
            </c:strRef>
          </c:tx>
          <c:spPr>
            <a:ln w="25400" cap="rnd">
              <a:solidFill>
                <a:schemeClr val="bg2">
                  <a:lumMod val="2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'Emissions CO2eq.'!$D$93:$T$93</c:f>
              <c:numCache>
                <c:formatCode>#,##0.00</c:formatCode>
                <c:ptCount val="17"/>
                <c:pt idx="0">
                  <c:v>575.11748739519544</c:v>
                </c:pt>
                <c:pt idx="1">
                  <c:v>600.65044004072126</c:v>
                </c:pt>
                <c:pt idx="2">
                  <c:v>631.06197923831394</c:v>
                </c:pt>
                <c:pt idx="3">
                  <c:v>657.54871402638992</c:v>
                </c:pt>
                <c:pt idx="4">
                  <c:v>689.46957980674892</c:v>
                </c:pt>
                <c:pt idx="5">
                  <c:v>715.92643454217023</c:v>
                </c:pt>
                <c:pt idx="6">
                  <c:v>748.7864022044439</c:v>
                </c:pt>
                <c:pt idx="7">
                  <c:v>786.43668047336757</c:v>
                </c:pt>
                <c:pt idx="8">
                  <c:v>819.76781817698748</c:v>
                </c:pt>
                <c:pt idx="9">
                  <c:v>851.05593336499021</c:v>
                </c:pt>
                <c:pt idx="10">
                  <c:v>897.18624059148499</c:v>
                </c:pt>
                <c:pt idx="11">
                  <c:v>938.33426132213356</c:v>
                </c:pt>
                <c:pt idx="12">
                  <c:v>987.48714332280463</c:v>
                </c:pt>
                <c:pt idx="13">
                  <c:v>1037.4957403927285</c:v>
                </c:pt>
                <c:pt idx="14">
                  <c:v>997.49193913716897</c:v>
                </c:pt>
                <c:pt idx="15">
                  <c:v>1087.8083336505024</c:v>
                </c:pt>
                <c:pt idx="16">
                  <c:v>1169.6970580794014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D91-4B7E-9D87-EF30ADAD5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334288"/>
        <c:axId val="714327072"/>
      </c:scatterChart>
      <c:valAx>
        <c:axId val="714334288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27072"/>
        <c:crosses val="autoZero"/>
        <c:crossBetween val="midCat"/>
        <c:majorUnit val="2"/>
      </c:valAx>
      <c:valAx>
        <c:axId val="714327072"/>
        <c:scaling>
          <c:orientation val="minMax"/>
          <c:max val="1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</a:rPr>
                  <a:t>Gg CO2eq/year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34288"/>
        <c:crosses val="autoZero"/>
        <c:crossBetween val="midCat"/>
        <c:majorUnit val="2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Share of GHG Emissions for Transport Sector, 2000</a:t>
            </a:r>
          </a:p>
        </c:rich>
      </c:tx>
      <c:layout>
        <c:manualLayout>
          <c:xMode val="edge"/>
          <c:yMode val="edge"/>
          <c:x val="0.27895666798346175"/>
          <c:y val="2.60663544937551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8504671549447074E-2"/>
          <c:y val="0.25909340626135274"/>
          <c:w val="0.86299065690110588"/>
          <c:h val="0.69843713618564174"/>
        </c:manualLayout>
      </c:layout>
      <c:pie3DChart>
        <c:varyColors val="1"/>
        <c:ser>
          <c:idx val="0"/>
          <c:order val="0"/>
          <c:explosion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A70-498C-B15F-22055379F96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A70-498C-B15F-22055379F96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A70-498C-B15F-22055379F96F}"/>
              </c:ext>
            </c:extLst>
          </c:dPt>
          <c:dLbls>
            <c:dLbl>
              <c:idx val="0"/>
              <c:layout>
                <c:manualLayout>
                  <c:x val="0.14411459947559863"/>
                  <c:y val="-1.737756966250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70-498C-B15F-22055379F96F}"/>
                </c:ext>
              </c:extLst>
            </c:dLbl>
            <c:dLbl>
              <c:idx val="1"/>
              <c:layout>
                <c:manualLayout>
                  <c:x val="-6.7553718504186913E-2"/>
                  <c:y val="-0.251974760106299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70-498C-B15F-22055379F96F}"/>
                </c:ext>
              </c:extLst>
            </c:dLbl>
            <c:dLbl>
              <c:idx val="2"/>
              <c:layout>
                <c:manualLayout>
                  <c:x val="-2.5520293657137278E-2"/>
                  <c:y val="-2.6548758068639306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70-498C-B15F-22055379F9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'Emissions CO2eq.'!$B$94:$C$96</c:f>
              <c:strCache>
                <c:ptCount val="3"/>
                <c:pt idx="0">
                  <c:v>1.A.3.a Civil Aviation</c:v>
                </c:pt>
                <c:pt idx="1">
                  <c:v>1.A.3.b Road Transport</c:v>
                </c:pt>
                <c:pt idx="2">
                  <c:v>1.A.3.d. Water-borne Navigation</c:v>
                </c:pt>
              </c:strCache>
            </c:strRef>
          </c:cat>
          <c:val>
            <c:numRef>
              <c:f>'Emissions CO2eq.'!$D$94:$D$96</c:f>
              <c:numCache>
                <c:formatCode>#,##0.00</c:formatCode>
                <c:ptCount val="3"/>
                <c:pt idx="0">
                  <c:v>4.8130588011961386</c:v>
                </c:pt>
                <c:pt idx="1">
                  <c:v>539.47656831526012</c:v>
                </c:pt>
                <c:pt idx="2">
                  <c:v>30.827860278739184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A70-498C-B15F-22055379F96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Share of GHG Emissions for Transport Sector, 2010</a:t>
            </a:r>
          </a:p>
        </c:rich>
      </c:tx>
      <c:layout>
        <c:manualLayout>
          <c:xMode val="edge"/>
          <c:yMode val="edge"/>
          <c:x val="0.27895666798346175"/>
          <c:y val="2.60663544937551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2499896571297127E-2"/>
          <c:y val="0.21854574371551136"/>
          <c:w val="0.86299065690110588"/>
          <c:h val="0.69843713618564174"/>
        </c:manualLayout>
      </c:layout>
      <c:pie3DChart>
        <c:varyColors val="1"/>
        <c:ser>
          <c:idx val="0"/>
          <c:order val="0"/>
          <c:explosion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D99C-4B73-8213-E3FB84CC81F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D99C-4B73-8213-E3FB84CC81F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D99C-4B73-8213-E3FB84CC81F8}"/>
              </c:ext>
            </c:extLst>
          </c:dPt>
          <c:dLbls>
            <c:dLbl>
              <c:idx val="0"/>
              <c:layout>
                <c:manualLayout>
                  <c:x val="0.12459908079661142"/>
                  <c:y val="5.792523220834474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9C-4B73-8213-E3FB84CC81F8}"/>
                </c:ext>
              </c:extLst>
            </c:dLbl>
            <c:dLbl>
              <c:idx val="1"/>
              <c:layout>
                <c:manualLayout>
                  <c:x val="-2.5520293657137278E-2"/>
                  <c:y val="-0.2722485913792203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9C-4B73-8213-E3FB84CC81F8}"/>
                </c:ext>
              </c:extLst>
            </c:dLbl>
            <c:dLbl>
              <c:idx val="2"/>
              <c:layout>
                <c:manualLayout>
                  <c:x val="-0.10658475586216157"/>
                  <c:y val="2.02738312729206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9C-4B73-8213-E3FB84CC81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'Emissions CO2eq.'!$B$94:$C$96</c:f>
              <c:strCache>
                <c:ptCount val="3"/>
                <c:pt idx="0">
                  <c:v>1.A.3.a Civil Aviation</c:v>
                </c:pt>
                <c:pt idx="1">
                  <c:v>1.A.3.b Road Transport</c:v>
                </c:pt>
                <c:pt idx="2">
                  <c:v>1.A.3.d. Water-borne Navigation</c:v>
                </c:pt>
              </c:strCache>
            </c:strRef>
          </c:cat>
          <c:val>
            <c:numRef>
              <c:f>'Emissions CO2eq.'!$N$94:$N$96</c:f>
              <c:numCache>
                <c:formatCode>#,##0.00</c:formatCode>
                <c:ptCount val="3"/>
                <c:pt idx="0">
                  <c:v>5.8667480752116594</c:v>
                </c:pt>
                <c:pt idx="1">
                  <c:v>850.19372019811306</c:v>
                </c:pt>
                <c:pt idx="2">
                  <c:v>41.125772318160323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99C-4B73-8213-E3FB84CC81F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Share of GHG Emissions for Transport Sector, 2016</a:t>
            </a:r>
          </a:p>
        </c:rich>
      </c:tx>
      <c:layout>
        <c:manualLayout>
          <c:xMode val="edge"/>
          <c:yMode val="edge"/>
          <c:x val="0.27895666798346175"/>
          <c:y val="2.60663544937551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008252783059543E-2"/>
          <c:y val="0.23302705176759761"/>
          <c:w val="0.86299065690110588"/>
          <c:h val="0.69843713618564174"/>
        </c:manualLayout>
      </c:layout>
      <c:pie3DChart>
        <c:varyColors val="1"/>
        <c:ser>
          <c:idx val="0"/>
          <c:order val="0"/>
          <c:explosion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FAAC-4A7E-A92C-923AC4F8C02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FAAC-4A7E-A92C-923AC4F8C02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FAAC-4A7E-A92C-923AC4F8C026}"/>
              </c:ext>
            </c:extLst>
          </c:dPt>
          <c:dLbls>
            <c:dLbl>
              <c:idx val="0"/>
              <c:layout>
                <c:manualLayout>
                  <c:x val="0.11258953084031152"/>
                  <c:y val="-5.792523220834487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AC-4A7E-A92C-923AC4F8C026}"/>
                </c:ext>
              </c:extLst>
            </c:dLbl>
            <c:dLbl>
              <c:idx val="1"/>
              <c:layout>
                <c:manualLayout>
                  <c:x val="-1.200954995629995E-2"/>
                  <c:y val="-0.2664560681583858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AC-4A7E-A92C-923AC4F8C026}"/>
                </c:ext>
              </c:extLst>
            </c:dLbl>
            <c:dLbl>
              <c:idx val="2"/>
              <c:layout>
                <c:manualLayout>
                  <c:x val="-0.11859430581846146"/>
                  <c:y val="2.02738312729206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AC-4A7E-A92C-923AC4F8C0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'Emissions CO2eq.'!$B$94:$C$96</c:f>
              <c:strCache>
                <c:ptCount val="3"/>
                <c:pt idx="0">
                  <c:v>1.A.3.a Civil Aviation</c:v>
                </c:pt>
                <c:pt idx="1">
                  <c:v>1.A.3.b Road Transport</c:v>
                </c:pt>
                <c:pt idx="2">
                  <c:v>1.A.3.d. Water-borne Navigation</c:v>
                </c:pt>
              </c:strCache>
            </c:strRef>
          </c:cat>
          <c:val>
            <c:numRef>
              <c:f>'Emissions CO2eq.'!$T$94:$T$96</c:f>
              <c:numCache>
                <c:formatCode>#,##0.00</c:formatCode>
                <c:ptCount val="3"/>
                <c:pt idx="0">
                  <c:v>9.7929292865940898</c:v>
                </c:pt>
                <c:pt idx="1">
                  <c:v>1094.3571798411385</c:v>
                </c:pt>
                <c:pt idx="2">
                  <c:v>65.54694895166871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AC-4A7E-A92C-923AC4F8C02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Share of GHG Emissions for Other Sector, 2000</a:t>
            </a:r>
          </a:p>
        </c:rich>
      </c:tx>
      <c:layout>
        <c:manualLayout>
          <c:xMode val="edge"/>
          <c:yMode val="edge"/>
          <c:x val="0.27895666798346175"/>
          <c:y val="2.60663544937551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8504671549447074E-2"/>
          <c:y val="0.24461209820926652"/>
          <c:w val="0.86299065690110588"/>
          <c:h val="0.69843713618564174"/>
        </c:manualLayout>
      </c:layout>
      <c:pie3DChart>
        <c:varyColors val="1"/>
        <c:ser>
          <c:idx val="0"/>
          <c:order val="0"/>
          <c:explosion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A45-4EB2-860C-3E65FA55B7D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A45-4EB2-860C-3E65FA55B7D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A45-4EB2-860C-3E65FA55B7D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A45-4EB2-860C-3E65FA55B7D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255-4DAA-AC04-92CE3BC3B547}"/>
              </c:ext>
            </c:extLst>
          </c:dPt>
          <c:dLbls>
            <c:dLbl>
              <c:idx val="1"/>
              <c:layout>
                <c:manualLayout>
                  <c:x val="-0.15230382311776311"/>
                  <c:y val="-0.2780097161939756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45-4EB2-860C-3E65FA55B7D7}"/>
                </c:ext>
              </c:extLst>
            </c:dLbl>
            <c:dLbl>
              <c:idx val="2"/>
              <c:layout>
                <c:manualLayout>
                  <c:x val="-9.3074012161324216E-2"/>
                  <c:y val="-1.737756966250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45-4EB2-860C-3E65FA55B7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'Emissions CO2eq.'!$B$98:$C$103</c15:sqref>
                  </c15:fullRef>
                </c:ext>
              </c:extLst>
              <c:f>'Emissions CO2eq.'!$B$98:$C$102</c:f>
              <c:strCache>
                <c:ptCount val="5"/>
                <c:pt idx="0">
                  <c:v>1.A.4.a Commercial/Institutional</c:v>
                </c:pt>
                <c:pt idx="1">
                  <c:v>1.A.4.b Residential</c:v>
                </c:pt>
                <c:pt idx="2">
                  <c:v>1.A.4.c Agriculture/Forestry/Fishing</c:v>
                </c:pt>
                <c:pt idx="3">
                  <c:v>1.A.4.c.ii Off-road Vehicles and Other Machinery</c:v>
                </c:pt>
                <c:pt idx="4">
                  <c:v>1.A.4.c.iii Fishing (Mobile combustion)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'Emissions CO2eq.'!$D$98:$D$103</c15:sqref>
                  </c15:fullRef>
                </c:ext>
              </c:extLst>
              <c:f>'Emissions CO2eq.'!$D$98:$D$102</c:f>
              <c:numCache>
                <c:formatCode>#,##0.00</c:formatCode>
                <c:ptCount val="5"/>
                <c:pt idx="0">
                  <c:v>12.452824120000001</c:v>
                </c:pt>
                <c:pt idx="1">
                  <c:v>144.91349020199999</c:v>
                </c:pt>
                <c:pt idx="2">
                  <c:v>41.053815398400005</c:v>
                </c:pt>
                <c:pt idx="3">
                  <c:v>7.9222622207999995</c:v>
                </c:pt>
                <c:pt idx="4">
                  <c:v>33.131553177600004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'Emissions CO2eq.'!$D$103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8-7A45-4EB2-860C-3E65FA55B7D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</a:rPr>
              <a:t>Fuel consumption in Water-borne Navigation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'Activity Data Rep. Mauritius'!$C$60</c:f>
              <c:strCache>
                <c:ptCount val="1"/>
                <c:pt idx="0">
                  <c:v>Gasoline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'Activity Data Rep. Mauritius'!$M$2:$AC$2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'Activity Data Rep. Mauritius'!$M$60:$AC$60</c:f>
              <c:numCache>
                <c:formatCode>0.00</c:formatCode>
                <c:ptCount val="17"/>
                <c:pt idx="0">
                  <c:v>9.464590708867858</c:v>
                </c:pt>
                <c:pt idx="1">
                  <c:v>10.026548220147872</c:v>
                </c:pt>
                <c:pt idx="2">
                  <c:v>11.729381005852179</c:v>
                </c:pt>
                <c:pt idx="3">
                  <c:v>12.481238271174394</c:v>
                </c:pt>
                <c:pt idx="4">
                  <c:v>11.930173250033658</c:v>
                </c:pt>
                <c:pt idx="5">
                  <c:v>10.685823185780436</c:v>
                </c:pt>
                <c:pt idx="6">
                  <c:v>11.083862424586433</c:v>
                </c:pt>
                <c:pt idx="7">
                  <c:v>12.401380082882699</c:v>
                </c:pt>
                <c:pt idx="8">
                  <c:v>11.090212902992302</c:v>
                </c:pt>
                <c:pt idx="9">
                  <c:v>10.866506151500122</c:v>
                </c:pt>
                <c:pt idx="10">
                  <c:v>12.626195884438937</c:v>
                </c:pt>
                <c:pt idx="11">
                  <c:v>13.608691029244589</c:v>
                </c:pt>
                <c:pt idx="12">
                  <c:v>14.186277413775771</c:v>
                </c:pt>
                <c:pt idx="13">
                  <c:v>14.656310822563675</c:v>
                </c:pt>
                <c:pt idx="14">
                  <c:v>14.610678002288518</c:v>
                </c:pt>
                <c:pt idx="15">
                  <c:v>17.322862356581307</c:v>
                </c:pt>
                <c:pt idx="16">
                  <c:v>20.123843770968719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DEC-43DC-BAD2-3C0D2F787B29}"/>
            </c:ext>
          </c:extLst>
        </c:ser>
        <c:ser>
          <c:idx val="2"/>
          <c:order val="1"/>
          <c:tx>
            <c:strRef>
              <c:f>'Activity Data Rep. Mauritius'!$C$61</c:f>
              <c:strCache>
                <c:ptCount val="1"/>
                <c:pt idx="0">
                  <c:v>Diesel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'Activity Data Rep. Mauritius'!$M$2:$AC$2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'Activity Data Rep. Mauritius'!$M$61:$AC$61</c:f>
              <c:numCache>
                <c:formatCode>0.00</c:formatCode>
                <c:ptCount val="17"/>
                <c:pt idx="0">
                  <c:v>0.34502906486204088</c:v>
                </c:pt>
                <c:pt idx="1">
                  <c:v>0.36551507218906409</c:v>
                </c:pt>
                <c:pt idx="2">
                  <c:v>0.42759137551166815</c:v>
                </c:pt>
                <c:pt idx="3">
                  <c:v>0.45500012641737808</c:v>
                </c:pt>
                <c:pt idx="4">
                  <c:v>0.43491120183829157</c:v>
                </c:pt>
                <c:pt idx="5">
                  <c:v>0.3895487606893</c:v>
                </c:pt>
                <c:pt idx="6">
                  <c:v>0.4040591722398974</c:v>
                </c:pt>
                <c:pt idx="7">
                  <c:v>0.45208891801171036</c:v>
                </c:pt>
                <c:pt idx="8">
                  <c:v>0.40429067719274758</c:v>
                </c:pt>
                <c:pt idx="9">
                  <c:v>0.39613550877132253</c:v>
                </c:pt>
                <c:pt idx="10">
                  <c:v>0.46028451654979413</c:v>
                </c:pt>
                <c:pt idx="11">
                  <c:v>0.49610110825155396</c:v>
                </c:pt>
                <c:pt idx="12">
                  <c:v>0.5171568618770247</c:v>
                </c:pt>
                <c:pt idx="13">
                  <c:v>0.53429180119733322</c:v>
                </c:pt>
                <c:pt idx="14">
                  <c:v>0.53262826921894535</c:v>
                </c:pt>
                <c:pt idx="15">
                  <c:v>0.63150020782462823</c:v>
                </c:pt>
                <c:pt idx="16">
                  <c:v>0.73360921896195697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DEC-43DC-BAD2-3C0D2F787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0449024"/>
        <c:axId val="710449680"/>
      </c:scatterChart>
      <c:valAx>
        <c:axId val="710449024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449680"/>
        <c:crosses val="autoZero"/>
        <c:crossBetween val="midCat"/>
        <c:majorUnit val="2"/>
      </c:valAx>
      <c:valAx>
        <c:axId val="710449680"/>
        <c:scaling>
          <c:orientation val="minMax"/>
          <c:max val="2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 b="1">
                    <a:solidFill>
                      <a:sysClr val="windowText" lastClr="000000"/>
                    </a:solidFill>
                  </a:rPr>
                  <a:t>Gg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449024"/>
        <c:crosses val="autoZero"/>
        <c:crossBetween val="midCat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Share of GHG Emissions for Other Sector, 2010</a:t>
            </a:r>
          </a:p>
        </c:rich>
      </c:tx>
      <c:layout>
        <c:manualLayout>
          <c:xMode val="edge"/>
          <c:yMode val="edge"/>
          <c:x val="0.27895666798346175"/>
          <c:y val="2.60663544937551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8504671549447074E-2"/>
          <c:y val="0.24461209820926652"/>
          <c:w val="0.86299065690110588"/>
          <c:h val="0.69843713618564174"/>
        </c:manualLayout>
      </c:layout>
      <c:pie3DChart>
        <c:varyColors val="1"/>
        <c:ser>
          <c:idx val="0"/>
          <c:order val="0"/>
          <c:explosion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95CC-4064-A956-F0C6B164EC4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95CC-4064-A956-F0C6B164EC4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95CC-4064-A956-F0C6B164EC43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95CC-4064-A956-F0C6B164EC43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0BA-4D0D-A24D-65D1A599CB8A}"/>
              </c:ext>
            </c:extLst>
          </c:dPt>
          <c:dLbls>
            <c:dLbl>
              <c:idx val="0"/>
              <c:layout>
                <c:manualLayout>
                  <c:x val="-3.0023874890749737E-3"/>
                  <c:y val="-2.31700928833378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CC-4064-A956-F0C6B164EC43}"/>
                </c:ext>
              </c:extLst>
            </c:dLbl>
            <c:dLbl>
              <c:idx val="1"/>
              <c:layout>
                <c:manualLayout>
                  <c:x val="-0.14968253459831632"/>
                  <c:y val="-0.263559806547968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CC-4064-A956-F0C6B164EC43}"/>
                </c:ext>
              </c:extLst>
            </c:dLbl>
            <c:dLbl>
              <c:idx val="2"/>
              <c:layout>
                <c:manualLayout>
                  <c:x val="-7.9563268460486836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CC-4064-A956-F0C6B164EC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'Emissions CO2eq.'!$B$98:$C$103</c15:sqref>
                  </c15:fullRef>
                </c:ext>
              </c:extLst>
              <c:f>'Emissions CO2eq.'!$B$98:$C$102</c:f>
              <c:strCache>
                <c:ptCount val="5"/>
                <c:pt idx="0">
                  <c:v>1.A.4.a Commercial/Institutional</c:v>
                </c:pt>
                <c:pt idx="1">
                  <c:v>1.A.4.b Residential</c:v>
                </c:pt>
                <c:pt idx="2">
                  <c:v>1.A.4.c Agriculture/Forestry/Fishing</c:v>
                </c:pt>
                <c:pt idx="3">
                  <c:v>1.A.4.c.ii Off-road Vehicles and Other Machinery</c:v>
                </c:pt>
                <c:pt idx="4">
                  <c:v>1.A.4.c.iii Fishing (Mobile combustion)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'Emissions CO2eq.'!$N$98:$N$103</c15:sqref>
                  </c15:fullRef>
                </c:ext>
              </c:extLst>
              <c:f>'Emissions CO2eq.'!$N$98:$N$102</c:f>
              <c:numCache>
                <c:formatCode>#,##0.00</c:formatCode>
                <c:ptCount val="5"/>
                <c:pt idx="0">
                  <c:v>32.737630475000003</c:v>
                </c:pt>
                <c:pt idx="1">
                  <c:v>139.20005991923998</c:v>
                </c:pt>
                <c:pt idx="2">
                  <c:v>64.149952382471966</c:v>
                </c:pt>
                <c:pt idx="3">
                  <c:v>10.563812047208799</c:v>
                </c:pt>
                <c:pt idx="4">
                  <c:v>53.586140335263167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'Emissions CO2eq.'!$N$103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8-95CC-4064-A956-F0C6B164EC4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Share of GHG Emissions for Other Sector, 2016</a:t>
            </a:r>
          </a:p>
        </c:rich>
      </c:tx>
      <c:layout>
        <c:manualLayout>
          <c:xMode val="edge"/>
          <c:yMode val="edge"/>
          <c:x val="0.27895666798346175"/>
          <c:y val="2.60663544937551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8504671549447074E-2"/>
          <c:y val="0.24461209820926652"/>
          <c:w val="0.86299065690110588"/>
          <c:h val="0.69843713618564174"/>
        </c:manualLayout>
      </c:layout>
      <c:pie3DChart>
        <c:varyColors val="1"/>
        <c:ser>
          <c:idx val="0"/>
          <c:order val="0"/>
          <c:explosion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A604-45B1-815B-4B6377368E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A604-45B1-815B-4B6377368EA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604-45B1-815B-4B6377368EA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A604-45B1-815B-4B6377368EA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19E3-418F-A288-47A2F37C8B73}"/>
              </c:ext>
            </c:extLst>
          </c:dPt>
          <c:dLbls>
            <c:dLbl>
              <c:idx val="1"/>
              <c:layout>
                <c:manualLayout>
                  <c:x val="-8.3932954588688852E-2"/>
                  <c:y val="-0.32143281482648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04-45B1-815B-4B6377368EAF}"/>
                </c:ext>
              </c:extLst>
            </c:dLbl>
            <c:dLbl>
              <c:idx val="2"/>
              <c:layout>
                <c:manualLayout>
                  <c:x val="-3.0039234832156054E-2"/>
                  <c:y val="-1.15807661472816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04-45B1-815B-4B6377368E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'Emissions CO2eq.'!$B$98:$C$103</c15:sqref>
                  </c15:fullRef>
                </c:ext>
              </c:extLst>
              <c:f>'Emissions CO2eq.'!$B$98:$C$102</c:f>
              <c:strCache>
                <c:ptCount val="5"/>
                <c:pt idx="0">
                  <c:v>1.A.4.a Commercial/Institutional</c:v>
                </c:pt>
                <c:pt idx="1">
                  <c:v>1.A.4.b Residential</c:v>
                </c:pt>
                <c:pt idx="2">
                  <c:v>1.A.4.c Agriculture/Forestry/Fishing</c:v>
                </c:pt>
                <c:pt idx="3">
                  <c:v>1.A.4.c.ii Off-road Vehicles and Other Machinery</c:v>
                </c:pt>
                <c:pt idx="4">
                  <c:v>1.A.4.c.iii Fishing (Mobile combustion)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'Emissions CO2eq.'!$T$98:$T$103</c15:sqref>
                  </c15:fullRef>
                </c:ext>
              </c:extLst>
              <c:f>'Emissions CO2eq.'!$T$98:$T$102</c:f>
              <c:numCache>
                <c:formatCode>#,##0.00</c:formatCode>
                <c:ptCount val="5"/>
                <c:pt idx="0">
                  <c:v>48.161141912399998</c:v>
                </c:pt>
                <c:pt idx="1">
                  <c:v>149.75459350163996</c:v>
                </c:pt>
                <c:pt idx="2">
                  <c:v>50.181521573810549</c:v>
                </c:pt>
                <c:pt idx="3">
                  <c:v>7.3126093055999988</c:v>
                </c:pt>
                <c:pt idx="4">
                  <c:v>42.868912268210551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'Emissions CO2eq.'!$T$103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  <c15:dLbl>
                    <c:idx val="4"/>
                    <c:layout>
                      <c:manualLayout>
                        <c:x val="4.2033424847049687E-2"/>
                        <c:y val="-2.8962616104172372E-2"/>
                      </c:manualLayout>
                    </c:layout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separator>
</c:separator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B-B63D-482C-B235-08AE9590CF9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8-A604-45B1-815B-4B6377368EA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Share of GHG Emissions for IPPU Sector, 2000</a:t>
            </a:r>
          </a:p>
        </c:rich>
      </c:tx>
      <c:layout>
        <c:manualLayout>
          <c:xMode val="edge"/>
          <c:yMode val="edge"/>
          <c:x val="0.32699486780866138"/>
          <c:y val="2.02738312729206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5502284060372104E-2"/>
          <c:y val="0.21564948210509416"/>
          <c:w val="0.86299065690110588"/>
          <c:h val="0.69843713618564174"/>
        </c:manualLayout>
      </c:layout>
      <c:pie3DChart>
        <c:varyColors val="1"/>
        <c:ser>
          <c:idx val="0"/>
          <c:order val="0"/>
          <c:explosion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7EA-4B05-907C-32493D6632E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7EA-4B05-907C-32493D6632E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7EA-4B05-907C-32493D6632E0}"/>
              </c:ext>
            </c:extLst>
          </c:dPt>
          <c:dLbls>
            <c:dLbl>
              <c:idx val="1"/>
              <c:layout>
                <c:manualLayout>
                  <c:x val="-0.17926750397038357"/>
                  <c:y val="1.17780686788133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EA-4B05-907C-32493D6632E0}"/>
                </c:ext>
              </c:extLst>
            </c:dLbl>
            <c:dLbl>
              <c:idx val="2"/>
              <c:layout>
                <c:manualLayout>
                  <c:x val="0.22447441943668242"/>
                  <c:y val="-0.1420594743515661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308472824640238"/>
                      <c:h val="0.1784098180925229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7EA-4B05-907C-32493D6632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('Emissions CO2eq.'!$B$105:$C$105,'Emissions CO2eq.'!$B$107:$C$107,'Emissions CO2eq.'!$B$111:$C$111)</c:f>
              <c:strCache>
                <c:ptCount val="3"/>
                <c:pt idx="0">
                  <c:v>2.A. Mineral Industry</c:v>
                </c:pt>
                <c:pt idx="1">
                  <c:v>2.C. Metal Industry</c:v>
                </c:pt>
                <c:pt idx="2">
                  <c:v>2.F. Product Uses as Substitutes for Ozone Depleting Substances</c:v>
                </c:pt>
              </c:strCache>
            </c:strRef>
          </c:cat>
          <c:val>
            <c:numRef>
              <c:f>('Emissions CO2eq.'!$D$105,'Emissions CO2eq.'!$D$107,'Emissions CO2eq.'!$D$111)</c:f>
              <c:numCache>
                <c:formatCode>#,##0.00</c:formatCode>
                <c:ptCount val="3"/>
                <c:pt idx="0">
                  <c:v>2.7547100000000002</c:v>
                </c:pt>
                <c:pt idx="1">
                  <c:v>19.570562830282945</c:v>
                </c:pt>
                <c:pt idx="2">
                  <c:v>48.810817663574454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EA-4B05-907C-32493D6632E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Share of GHG Emissions for IPPU Sector, 2005</a:t>
            </a:r>
          </a:p>
        </c:rich>
      </c:tx>
      <c:layout>
        <c:manualLayout>
          <c:xMode val="edge"/>
          <c:yMode val="edge"/>
          <c:x val="0.32699486780866138"/>
          <c:y val="2.02738312729206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5502284060372104E-2"/>
          <c:y val="0.21564948210509416"/>
          <c:w val="0.86299065690110588"/>
          <c:h val="0.69843713618564174"/>
        </c:manualLayout>
      </c:layout>
      <c:pie3DChart>
        <c:varyColors val="1"/>
        <c:ser>
          <c:idx val="0"/>
          <c:order val="0"/>
          <c:explosion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E8B-4920-B0D1-7EA725BEB3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E8B-4920-B0D1-7EA725BEB39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E8B-4920-B0D1-7EA725BEB396}"/>
              </c:ext>
            </c:extLst>
          </c:dPt>
          <c:dLbls>
            <c:dLbl>
              <c:idx val="1"/>
              <c:layout>
                <c:manualLayout>
                  <c:x val="-0.17753765454054718"/>
                  <c:y val="6.90845837361369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8B-4920-B0D1-7EA725BEB396}"/>
                </c:ext>
              </c:extLst>
            </c:dLbl>
            <c:dLbl>
              <c:idx val="2"/>
              <c:layout>
                <c:manualLayout>
                  <c:x val="0.28740465956352224"/>
                  <c:y val="-0.19133593409813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40041762944107"/>
                      <c:h val="0.1784098180925229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0E8B-4920-B0D1-7EA725BEB3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('Emissions CO2eq.'!$B$105:$C$105,'Emissions CO2eq.'!$B$107:$C$107,'Emissions CO2eq.'!$B$111:$C$111)</c:f>
              <c:strCache>
                <c:ptCount val="3"/>
                <c:pt idx="0">
                  <c:v>2.A. Mineral Industry</c:v>
                </c:pt>
                <c:pt idx="1">
                  <c:v>2.C. Metal Industry</c:v>
                </c:pt>
                <c:pt idx="2">
                  <c:v>2.F. Product Uses as Substitutes for Ozone Depleting Substances</c:v>
                </c:pt>
              </c:strCache>
            </c:strRef>
          </c:cat>
          <c:val>
            <c:numRef>
              <c:f>('Emissions CO2eq.'!$I$105,'Emissions CO2eq.'!$I$107,'Emissions CO2eq.'!$I$111)</c:f>
              <c:numCache>
                <c:formatCode>#,##0.00</c:formatCode>
                <c:ptCount val="3"/>
                <c:pt idx="0">
                  <c:v>1.9705999999999999</c:v>
                </c:pt>
                <c:pt idx="1">
                  <c:v>22.924372360395068</c:v>
                </c:pt>
                <c:pt idx="2">
                  <c:v>88.619913016828065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8B-4920-B0D1-7EA725BEB39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Share of GHG Emissions for IPPU Sector, 2010</a:t>
            </a:r>
          </a:p>
        </c:rich>
      </c:tx>
      <c:layout>
        <c:manualLayout>
          <c:xMode val="edge"/>
          <c:yMode val="edge"/>
          <c:x val="0.32699486780866138"/>
          <c:y val="2.02738312729206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5502284060372104E-2"/>
          <c:y val="0.21564948210509416"/>
          <c:w val="0.86299065690110588"/>
          <c:h val="0.69843713618564174"/>
        </c:manualLayout>
      </c:layout>
      <c:pie3DChart>
        <c:varyColors val="1"/>
        <c:ser>
          <c:idx val="0"/>
          <c:order val="0"/>
          <c:explosion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F-4C8E-A9CD-461EE91516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F-4C8E-A9CD-461EE915169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F-4C8E-A9CD-461EE9151696}"/>
              </c:ext>
            </c:extLst>
          </c:dPt>
          <c:dLbls>
            <c:dLbl>
              <c:idx val="0"/>
              <c:layout>
                <c:manualLayout>
                  <c:x val="4.0532231102512035E-2"/>
                  <c:y val="2.896261610417237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BF-4C8E-A9CD-461EE9151696}"/>
                </c:ext>
              </c:extLst>
            </c:dLbl>
            <c:dLbl>
              <c:idx val="1"/>
              <c:layout>
                <c:manualLayout>
                  <c:x val="-0.15912547458855411"/>
                  <c:y val="6.17193255356032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BF-4C8E-A9CD-461EE9151696}"/>
                </c:ext>
              </c:extLst>
            </c:dLbl>
            <c:dLbl>
              <c:idx val="2"/>
              <c:layout>
                <c:manualLayout>
                  <c:x val="0.25969764626771658"/>
                  <c:y val="-0.2058402773295920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1974670251564613"/>
                      <c:h val="0.178409715201701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0ABF-4C8E-A9CD-461EE91516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('Emissions CO2eq.'!$B$105:$C$105,'Emissions CO2eq.'!$B$107:$C$107,'Emissions CO2eq.'!$B$111:$C$111)</c:f>
              <c:strCache>
                <c:ptCount val="3"/>
                <c:pt idx="0">
                  <c:v>2.A. Mineral Industry</c:v>
                </c:pt>
                <c:pt idx="1">
                  <c:v>2.C. Metal Industry</c:v>
                </c:pt>
                <c:pt idx="2">
                  <c:v>2.F. Product Uses as Substitutes for Ozone Depleting Substances</c:v>
                </c:pt>
              </c:strCache>
            </c:strRef>
          </c:cat>
          <c:val>
            <c:numRef>
              <c:f>('Emissions CO2eq.'!$N$105,'Emissions CO2eq.'!$N$107,'Emissions CO2eq.'!$N$111)</c:f>
              <c:numCache>
                <c:formatCode>#,##0.00</c:formatCode>
                <c:ptCount val="3"/>
                <c:pt idx="0">
                  <c:v>2.1558599999999997</c:v>
                </c:pt>
                <c:pt idx="1">
                  <c:v>34.979999999999997</c:v>
                </c:pt>
                <c:pt idx="2">
                  <c:v>110.05083392232561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BF-4C8E-A9CD-461EE915169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Share of GHG Emissions for IPPU Sector, 2016</a:t>
            </a:r>
          </a:p>
        </c:rich>
      </c:tx>
      <c:layout>
        <c:manualLayout>
          <c:xMode val="edge"/>
          <c:yMode val="edge"/>
          <c:x val="0.32699486780866138"/>
          <c:y val="2.02738312729206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5502284060372104E-2"/>
          <c:y val="0.21564948210509416"/>
          <c:w val="0.86299065690110588"/>
          <c:h val="0.69843713618564174"/>
        </c:manualLayout>
      </c:layout>
      <c:pie3DChart>
        <c:varyColors val="1"/>
        <c:ser>
          <c:idx val="0"/>
          <c:order val="0"/>
          <c:explosion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A124-444A-95D4-A262C712039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A124-444A-95D4-A262C712039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124-444A-95D4-A262C7120398}"/>
              </c:ext>
            </c:extLst>
          </c:dPt>
          <c:dLbls>
            <c:dLbl>
              <c:idx val="0"/>
              <c:layout>
                <c:manualLayout>
                  <c:x val="5.4042974803349526E-2"/>
                  <c:y val="-1.15850464416689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24-444A-95D4-A262C7120398}"/>
                </c:ext>
              </c:extLst>
            </c:dLbl>
            <c:dLbl>
              <c:idx val="1"/>
              <c:layout>
                <c:manualLayout>
                  <c:x val="7.9563268460486697E-2"/>
                  <c:y val="1.04936614916102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24-444A-95D4-A262C7120398}"/>
                </c:ext>
              </c:extLst>
            </c:dLbl>
            <c:dLbl>
              <c:idx val="2"/>
              <c:layout>
                <c:manualLayout>
                  <c:x val="0.26270890529406021"/>
                  <c:y val="-0.3072262966624583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3325744621648351"/>
                      <c:h val="0.178409715201701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124-444A-95D4-A262C71203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('Emissions CO2eq.'!$B$105:$C$105,'Emissions CO2eq.'!$B$107:$C$107,'Emissions CO2eq.'!$B$111:$C$111)</c:f>
              <c:strCache>
                <c:ptCount val="3"/>
                <c:pt idx="0">
                  <c:v>2.A. Mineral Industry</c:v>
                </c:pt>
                <c:pt idx="1">
                  <c:v>2.C. Metal Industry</c:v>
                </c:pt>
                <c:pt idx="2">
                  <c:v>2.F. Product Uses as Substitutes for Ozone Depleting Substances</c:v>
                </c:pt>
              </c:strCache>
            </c:strRef>
          </c:cat>
          <c:val>
            <c:numRef>
              <c:f>('Emissions CO2eq.'!$T$105,'Emissions CO2eq.'!$T$107,'Emissions CO2eq.'!$T$111)</c:f>
              <c:numCache>
                <c:formatCode>#,##0.00</c:formatCode>
                <c:ptCount val="3"/>
                <c:pt idx="0">
                  <c:v>0</c:v>
                </c:pt>
                <c:pt idx="1">
                  <c:v>21.411999999999999</c:v>
                </c:pt>
                <c:pt idx="2">
                  <c:v>299.21241140651347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24-444A-95D4-A262C712039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800" b="1">
                <a:solidFill>
                  <a:sysClr val="windowText" lastClr="000000"/>
                </a:solidFill>
              </a:rPr>
              <a:t>GHG Emission Trend for Transport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'Emissions CO2eq.'!$B$93:$C$93</c:f>
              <c:strCache>
                <c:ptCount val="2"/>
                <c:pt idx="0">
                  <c:v>1.A.3. Transport</c:v>
                </c:pt>
              </c:strCache>
            </c:strRef>
          </c:tx>
          <c:spPr>
            <a:ln w="25400" cap="rnd">
              <a:solidFill>
                <a:schemeClr val="bg2">
                  <a:lumMod val="2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'Emissions CO2eq.'!$D$93:$T$93</c:f>
              <c:numCache>
                <c:formatCode>#,##0.00</c:formatCode>
                <c:ptCount val="17"/>
                <c:pt idx="0">
                  <c:v>575.11748739519544</c:v>
                </c:pt>
                <c:pt idx="1">
                  <c:v>600.65044004072126</c:v>
                </c:pt>
                <c:pt idx="2">
                  <c:v>631.06197923831394</c:v>
                </c:pt>
                <c:pt idx="3">
                  <c:v>657.54871402638992</c:v>
                </c:pt>
                <c:pt idx="4">
                  <c:v>689.46957980674892</c:v>
                </c:pt>
                <c:pt idx="5">
                  <c:v>715.92643454217023</c:v>
                </c:pt>
                <c:pt idx="6">
                  <c:v>748.7864022044439</c:v>
                </c:pt>
                <c:pt idx="7">
                  <c:v>786.43668047336757</c:v>
                </c:pt>
                <c:pt idx="8">
                  <c:v>819.76781817698748</c:v>
                </c:pt>
                <c:pt idx="9">
                  <c:v>851.05593336499021</c:v>
                </c:pt>
                <c:pt idx="10">
                  <c:v>897.18624059148499</c:v>
                </c:pt>
                <c:pt idx="11">
                  <c:v>938.33426132213356</c:v>
                </c:pt>
                <c:pt idx="12">
                  <c:v>987.48714332280463</c:v>
                </c:pt>
                <c:pt idx="13">
                  <c:v>1037.4957403927285</c:v>
                </c:pt>
                <c:pt idx="14">
                  <c:v>997.49193913716897</c:v>
                </c:pt>
                <c:pt idx="15">
                  <c:v>1087.8083336505024</c:v>
                </c:pt>
                <c:pt idx="16">
                  <c:v>1169.6970580794014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0C7-4B33-945B-7EE33C335C10}"/>
            </c:ext>
          </c:extLst>
        </c:ser>
        <c:ser>
          <c:idx val="0"/>
          <c:order val="1"/>
          <c:tx>
            <c:strRef>
              <c:f>'Emissions CO2eq.'!$B$94:$C$94</c:f>
              <c:strCache>
                <c:ptCount val="2"/>
                <c:pt idx="0">
                  <c:v>1.A.3.a Civil Aviation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'Emissions CO2eq.'!$D$94:$T$94</c:f>
              <c:numCache>
                <c:formatCode>#,##0.00</c:formatCode>
                <c:ptCount val="17"/>
                <c:pt idx="0">
                  <c:v>4.8130588011961386</c:v>
                </c:pt>
                <c:pt idx="1">
                  <c:v>5.0988328646250372</c:v>
                </c:pt>
                <c:pt idx="2">
                  <c:v>5.9647799064258376</c:v>
                </c:pt>
                <c:pt idx="3">
                  <c:v>6.3471243034964644</c:v>
                </c:pt>
                <c:pt idx="4">
                  <c:v>6.0668894331657617</c:v>
                </c:pt>
                <c:pt idx="5">
                  <c:v>5.4340960866017696</c:v>
                </c:pt>
                <c:pt idx="6">
                  <c:v>5.6365122629042101</c:v>
                </c:pt>
                <c:pt idx="7">
                  <c:v>6.3065137617595903</c:v>
                </c:pt>
                <c:pt idx="8">
                  <c:v>5.6397416921445593</c:v>
                </c:pt>
                <c:pt idx="9">
                  <c:v>4.2895908348274787</c:v>
                </c:pt>
                <c:pt idx="10">
                  <c:v>5.8667480752116594</c:v>
                </c:pt>
                <c:pt idx="11">
                  <c:v>6.3944944958062351</c:v>
                </c:pt>
                <c:pt idx="12">
                  <c:v>6.7901989774600802</c:v>
                </c:pt>
                <c:pt idx="13">
                  <c:v>6.973987950931364</c:v>
                </c:pt>
                <c:pt idx="14">
                  <c:v>7.2050243566391998</c:v>
                </c:pt>
                <c:pt idx="15">
                  <c:v>8.5624408333859847</c:v>
                </c:pt>
                <c:pt idx="16">
                  <c:v>9.7929292865940898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0C7-4B33-945B-7EE33C335C10}"/>
            </c:ext>
          </c:extLst>
        </c:ser>
        <c:ser>
          <c:idx val="2"/>
          <c:order val="2"/>
          <c:tx>
            <c:strRef>
              <c:f>'Emissions CO2eq.'!$B$95:$C$95</c:f>
              <c:strCache>
                <c:ptCount val="2"/>
                <c:pt idx="0">
                  <c:v>1.A.3.b Road Transport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'Emissions CO2eq.'!$D$95:$T$95</c:f>
              <c:numCache>
                <c:formatCode>#,##0.00</c:formatCode>
                <c:ptCount val="17"/>
                <c:pt idx="0">
                  <c:v>539.47656831526012</c:v>
                </c:pt>
                <c:pt idx="1">
                  <c:v>562.89335103839016</c:v>
                </c:pt>
                <c:pt idx="2">
                  <c:v>586.89251305150674</c:v>
                </c:pt>
                <c:pt idx="3">
                  <c:v>610.54797020938338</c:v>
                </c:pt>
                <c:pt idx="4">
                  <c:v>644.54398793560074</c:v>
                </c:pt>
                <c:pt idx="5">
                  <c:v>675.68670615010592</c:v>
                </c:pt>
                <c:pt idx="6">
                  <c:v>707.04777283110093</c:v>
                </c:pt>
                <c:pt idx="7">
                  <c:v>739.73665956285799</c:v>
                </c:pt>
                <c:pt idx="8">
                  <c:v>778.00527473340685</c:v>
                </c:pt>
                <c:pt idx="9">
                  <c:v>811.37219357424067</c:v>
                </c:pt>
                <c:pt idx="10">
                  <c:v>850.19372019811306</c:v>
                </c:pt>
                <c:pt idx="11">
                  <c:v>887.61383255924829</c:v>
                </c:pt>
                <c:pt idx="12">
                  <c:v>934.48970819116471</c:v>
                </c:pt>
                <c:pt idx="13">
                  <c:v>982.78353362833809</c:v>
                </c:pt>
                <c:pt idx="14">
                  <c:v>942.69733020291233</c:v>
                </c:pt>
                <c:pt idx="15">
                  <c:v>1022.8222399848643</c:v>
                </c:pt>
                <c:pt idx="16">
                  <c:v>1094.3571798411385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0C7-4B33-945B-7EE33C335C10}"/>
            </c:ext>
          </c:extLst>
        </c:ser>
        <c:ser>
          <c:idx val="3"/>
          <c:order val="3"/>
          <c:tx>
            <c:strRef>
              <c:f>'Emissions CO2eq.'!$B$96:$C$96</c:f>
              <c:strCache>
                <c:ptCount val="2"/>
                <c:pt idx="0">
                  <c:v>1.A.3.d. Water-borne Navigation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'Emissions CO2eq.'!$D$96:$T$96</c:f>
              <c:numCache>
                <c:formatCode>#,##0.00</c:formatCode>
                <c:ptCount val="17"/>
                <c:pt idx="0">
                  <c:v>30.827860278739184</c:v>
                </c:pt>
                <c:pt idx="1">
                  <c:v>32.658256137706076</c:v>
                </c:pt>
                <c:pt idx="2">
                  <c:v>38.20468628038131</c:v>
                </c:pt>
                <c:pt idx="3">
                  <c:v>40.653619513510066</c:v>
                </c:pt>
                <c:pt idx="4">
                  <c:v>38.85870243798243</c:v>
                </c:pt>
                <c:pt idx="5">
                  <c:v>34.805632305462439</c:v>
                </c:pt>
                <c:pt idx="6">
                  <c:v>36.102117110438748</c:v>
                </c:pt>
                <c:pt idx="7">
                  <c:v>40.393507148750011</c:v>
                </c:pt>
                <c:pt idx="8">
                  <c:v>36.122801751436043</c:v>
                </c:pt>
                <c:pt idx="9">
                  <c:v>35.394148955922134</c:v>
                </c:pt>
                <c:pt idx="10">
                  <c:v>41.125772318160323</c:v>
                </c:pt>
                <c:pt idx="11">
                  <c:v>44.32593426707902</c:v>
                </c:pt>
                <c:pt idx="12">
                  <c:v>46.207236154179768</c:v>
                </c:pt>
                <c:pt idx="13">
                  <c:v>47.738218813459113</c:v>
                </c:pt>
                <c:pt idx="14">
                  <c:v>47.58958457761738</c:v>
                </c:pt>
                <c:pt idx="15">
                  <c:v>56.423652832252131</c:v>
                </c:pt>
                <c:pt idx="16">
                  <c:v>65.54694895166871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0C7-4B33-945B-7EE33C335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334288"/>
        <c:axId val="714327072"/>
      </c:scatterChart>
      <c:valAx>
        <c:axId val="714334288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27072"/>
        <c:crosses val="autoZero"/>
        <c:crossBetween val="midCat"/>
        <c:majorUnit val="2"/>
      </c:valAx>
      <c:valAx>
        <c:axId val="714327072"/>
        <c:scaling>
          <c:orientation val="minMax"/>
          <c:max val="14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Gg CO2eq/year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34288"/>
        <c:crosses val="autoZero"/>
        <c:crossBetween val="midCat"/>
        <c:majorUnit val="2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800" b="1">
                <a:solidFill>
                  <a:sysClr val="windowText" lastClr="000000"/>
                </a:solidFill>
              </a:rPr>
              <a:t>GHG Emission Trend for Other Sector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'Emissions CO2eq.'!$B$97:$C$97</c:f>
              <c:strCache>
                <c:ptCount val="2"/>
                <c:pt idx="0">
                  <c:v>1.A.4. Energy Other Sectors</c:v>
                </c:pt>
              </c:strCache>
            </c:strRef>
          </c:tx>
          <c:spPr>
            <a:ln w="25400" cap="rnd">
              <a:solidFill>
                <a:schemeClr val="bg2">
                  <a:lumMod val="2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'Emissions CO2eq.'!$D$97:$T$97</c:f>
              <c:numCache>
                <c:formatCode>#,##0.00</c:formatCode>
                <c:ptCount val="17"/>
                <c:pt idx="0">
                  <c:v>198.42012972039998</c:v>
                </c:pt>
                <c:pt idx="1">
                  <c:v>200.74250100960003</c:v>
                </c:pt>
                <c:pt idx="2">
                  <c:v>200.83058247096</c:v>
                </c:pt>
                <c:pt idx="3">
                  <c:v>217.96112741739998</c:v>
                </c:pt>
                <c:pt idx="4">
                  <c:v>220.65117408704</c:v>
                </c:pt>
                <c:pt idx="5">
                  <c:v>227.15545777600002</c:v>
                </c:pt>
                <c:pt idx="6">
                  <c:v>219.09352763671995</c:v>
                </c:pt>
                <c:pt idx="7">
                  <c:v>210.88322173966799</c:v>
                </c:pt>
                <c:pt idx="8">
                  <c:v>220.97156619125047</c:v>
                </c:pt>
                <c:pt idx="9">
                  <c:v>230.76842706560703</c:v>
                </c:pt>
                <c:pt idx="10">
                  <c:v>236.08764277671196</c:v>
                </c:pt>
                <c:pt idx="11">
                  <c:v>238.45887502537173</c:v>
                </c:pt>
                <c:pt idx="12">
                  <c:v>233.5427526903409</c:v>
                </c:pt>
                <c:pt idx="13">
                  <c:v>233.30167375698255</c:v>
                </c:pt>
                <c:pt idx="14">
                  <c:v>236.74701333253054</c:v>
                </c:pt>
                <c:pt idx="15">
                  <c:v>246.87072595066269</c:v>
                </c:pt>
                <c:pt idx="16">
                  <c:v>248.0972569878505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B93-495F-BD0C-F7ED682F5BDD}"/>
            </c:ext>
          </c:extLst>
        </c:ser>
        <c:ser>
          <c:idx val="0"/>
          <c:order val="1"/>
          <c:tx>
            <c:strRef>
              <c:f>'Emissions CO2eq.'!$B$98:$C$98</c:f>
              <c:strCache>
                <c:ptCount val="2"/>
                <c:pt idx="0">
                  <c:v>1.A.4.a Commercial/Institutional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'Emissions CO2eq.'!$D$98:$T$98</c:f>
              <c:numCache>
                <c:formatCode>#,##0.00</c:formatCode>
                <c:ptCount val="17"/>
                <c:pt idx="0">
                  <c:v>12.452824120000001</c:v>
                </c:pt>
                <c:pt idx="1">
                  <c:v>13.354134309999999</c:v>
                </c:pt>
                <c:pt idx="2">
                  <c:v>13.681490605199997</c:v>
                </c:pt>
                <c:pt idx="3">
                  <c:v>17.242185787199997</c:v>
                </c:pt>
                <c:pt idx="4">
                  <c:v>19.106948361600001</c:v>
                </c:pt>
                <c:pt idx="5">
                  <c:v>20.943130757999995</c:v>
                </c:pt>
                <c:pt idx="6">
                  <c:v>34.258080865799997</c:v>
                </c:pt>
                <c:pt idx="7">
                  <c:v>32.737492530599994</c:v>
                </c:pt>
                <c:pt idx="8">
                  <c:v>30.247932893199991</c:v>
                </c:pt>
                <c:pt idx="9">
                  <c:v>31.688656383999994</c:v>
                </c:pt>
                <c:pt idx="10">
                  <c:v>32.737630475000003</c:v>
                </c:pt>
                <c:pt idx="11">
                  <c:v>33.741765232999995</c:v>
                </c:pt>
                <c:pt idx="12">
                  <c:v>35.710549780400001</c:v>
                </c:pt>
                <c:pt idx="13">
                  <c:v>39.800530032999994</c:v>
                </c:pt>
                <c:pt idx="14">
                  <c:v>42.024752323400001</c:v>
                </c:pt>
                <c:pt idx="15">
                  <c:v>45.221927467199997</c:v>
                </c:pt>
                <c:pt idx="16">
                  <c:v>48.161141912399998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B93-495F-BD0C-F7ED682F5BDD}"/>
            </c:ext>
          </c:extLst>
        </c:ser>
        <c:ser>
          <c:idx val="2"/>
          <c:order val="2"/>
          <c:tx>
            <c:strRef>
              <c:f>'Emissions CO2eq.'!$B$99:$C$99</c:f>
              <c:strCache>
                <c:ptCount val="2"/>
                <c:pt idx="0">
                  <c:v>1.A.4.b Residential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'Emissions CO2eq.'!$D$99:$T$99</c:f>
              <c:numCache>
                <c:formatCode>#,##0.00</c:formatCode>
                <c:ptCount val="17"/>
                <c:pt idx="0">
                  <c:v>144.91349020199999</c:v>
                </c:pt>
                <c:pt idx="1">
                  <c:v>144.94274445320002</c:v>
                </c:pt>
                <c:pt idx="2">
                  <c:v>145.07145966096002</c:v>
                </c:pt>
                <c:pt idx="3">
                  <c:v>149.20355464779999</c:v>
                </c:pt>
                <c:pt idx="4">
                  <c:v>157.54330148864003</c:v>
                </c:pt>
                <c:pt idx="5">
                  <c:v>161.93260910440003</c:v>
                </c:pt>
                <c:pt idx="6">
                  <c:v>138.84552334051997</c:v>
                </c:pt>
                <c:pt idx="7">
                  <c:v>131.85961851031996</c:v>
                </c:pt>
                <c:pt idx="8">
                  <c:v>134.36417233467998</c:v>
                </c:pt>
                <c:pt idx="9">
                  <c:v>135.94131322643997</c:v>
                </c:pt>
                <c:pt idx="10">
                  <c:v>139.20005991923998</c:v>
                </c:pt>
                <c:pt idx="11">
                  <c:v>137.0790827136</c:v>
                </c:pt>
                <c:pt idx="12">
                  <c:v>138.24429724831998</c:v>
                </c:pt>
                <c:pt idx="13">
                  <c:v>141.13546129068001</c:v>
                </c:pt>
                <c:pt idx="14">
                  <c:v>144.48912860651998</c:v>
                </c:pt>
                <c:pt idx="15">
                  <c:v>148.86826903744</c:v>
                </c:pt>
                <c:pt idx="16">
                  <c:v>149.75459350163996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B93-495F-BD0C-F7ED682F5BDD}"/>
            </c:ext>
          </c:extLst>
        </c:ser>
        <c:ser>
          <c:idx val="3"/>
          <c:order val="3"/>
          <c:tx>
            <c:strRef>
              <c:f>'Emissions CO2eq.'!$B$100:$C$100</c:f>
              <c:strCache>
                <c:ptCount val="2"/>
                <c:pt idx="0">
                  <c:v>1.A.4.c Agriculture/Forestry/Fishing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'Emissions CO2eq.'!$D$100:$T$100</c:f>
              <c:numCache>
                <c:formatCode>#,##0.00</c:formatCode>
                <c:ptCount val="17"/>
                <c:pt idx="0">
                  <c:v>41.053815398400005</c:v>
                </c:pt>
                <c:pt idx="1">
                  <c:v>42.445622246399999</c:v>
                </c:pt>
                <c:pt idx="2">
                  <c:v>42.07763220479999</c:v>
                </c:pt>
                <c:pt idx="3">
                  <c:v>51.515386982399995</c:v>
                </c:pt>
                <c:pt idx="4">
                  <c:v>44.000924236799996</c:v>
                </c:pt>
                <c:pt idx="5">
                  <c:v>44.279717913600003</c:v>
                </c:pt>
                <c:pt idx="6">
                  <c:v>45.98992343039999</c:v>
                </c:pt>
                <c:pt idx="7">
                  <c:v>46.286110698748033</c:v>
                </c:pt>
                <c:pt idx="8">
                  <c:v>56.359460963370495</c:v>
                </c:pt>
                <c:pt idx="9">
                  <c:v>63.138457455167071</c:v>
                </c:pt>
                <c:pt idx="10">
                  <c:v>64.149952382471966</c:v>
                </c:pt>
                <c:pt idx="11">
                  <c:v>67.638027078771728</c:v>
                </c:pt>
                <c:pt idx="12">
                  <c:v>59.587905661620916</c:v>
                </c:pt>
                <c:pt idx="13">
                  <c:v>52.365682433302553</c:v>
                </c:pt>
                <c:pt idx="14">
                  <c:v>50.233132402610551</c:v>
                </c:pt>
                <c:pt idx="15">
                  <c:v>52.780529446022683</c:v>
                </c:pt>
                <c:pt idx="16">
                  <c:v>50.181521573810549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B93-495F-BD0C-F7ED682F5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334288"/>
        <c:axId val="714327072"/>
        <c:extLst>
          <c:ext xmlns:c15="http://schemas.microsoft.com/office/drawing/2012/chart" uri="{02D57815-91ED-43cb-92C2-25804820EDAC}">
            <c15:filteredScatte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'Emissions CO2eq.'!$B$103:$C$103</c15:sqref>
                        </c15:formulaRef>
                      </c:ext>
                    </c:extLst>
                    <c:strCache>
                      <c:ptCount val="2"/>
                      <c:pt idx="0">
                        <c:v>1.A.5 Non-Specified</c:v>
                      </c:pt>
                    </c:strCache>
                  </c:strRef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'Emissions CO2eq.'!$D$3:$T$3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'Emissions CO2eq.'!$D$103:$T$103</c15:sqref>
                        </c15:formulaRef>
                      </c:ext>
                    </c:extLst>
                    <c:numCache>
                      <c:formatCode>#,##0.00</c:formatCode>
                      <c:ptCount val="1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0.77169420239999997</c:v>
                      </c:pt>
                      <c:pt idx="14">
                        <c:v>0.80758695600000008</c:v>
                      </c:pt>
                      <c:pt idx="15">
                        <c:v>0.85245289799999979</c:v>
                      </c:pt>
                      <c:pt idx="16">
                        <c:v>0.87339033759999984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4-7B93-495F-BD0C-F7ED682F5BDD}"/>
                  </c:ext>
                </c:extLst>
              </c15:ser>
            </c15:filteredScatterSeries>
          </c:ext>
        </c:extLst>
      </c:scatterChart>
      <c:valAx>
        <c:axId val="714334288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27072"/>
        <c:crosses val="autoZero"/>
        <c:crossBetween val="midCat"/>
        <c:majorUnit val="2"/>
      </c:valAx>
      <c:valAx>
        <c:axId val="714327072"/>
        <c:scaling>
          <c:orientation val="minMax"/>
          <c:max val="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Gg CO2eq/year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34288"/>
        <c:crosses val="autoZero"/>
        <c:crossBetween val="midCat"/>
        <c:majorUnit val="6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800" b="1" i="0" baseline="0">
                <a:effectLst/>
              </a:rPr>
              <a:t>GHG Emission Trend for Lime Production</a:t>
            </a:r>
            <a:endParaRPr lang="es-ES" sz="18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2.A.2. Lime Production</c:v>
          </c:tx>
          <c:spPr>
            <a:ln w="25400" cap="rnd">
              <a:solidFill>
                <a:schemeClr val="bg2">
                  <a:lumMod val="2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'Emissions CO2eq.'!$D$106:$T$106</c:f>
              <c:numCache>
                <c:formatCode>#,##0.00</c:formatCode>
                <c:ptCount val="17"/>
                <c:pt idx="0">
                  <c:v>2.7547100000000002</c:v>
                </c:pt>
                <c:pt idx="1">
                  <c:v>2.6980699999999995</c:v>
                </c:pt>
                <c:pt idx="2">
                  <c:v>2.4720999999999997</c:v>
                </c:pt>
                <c:pt idx="3">
                  <c:v>2.3487900000000002</c:v>
                </c:pt>
                <c:pt idx="4">
                  <c:v>1.9169099999999999</c:v>
                </c:pt>
                <c:pt idx="5">
                  <c:v>1.9705999999999999</c:v>
                </c:pt>
                <c:pt idx="6">
                  <c:v>2.0354999999999999</c:v>
                </c:pt>
                <c:pt idx="7">
                  <c:v>1.4401899999999999</c:v>
                </c:pt>
                <c:pt idx="8">
                  <c:v>1.3623099999999999</c:v>
                </c:pt>
                <c:pt idx="9">
                  <c:v>1.9458199999999999</c:v>
                </c:pt>
                <c:pt idx="10">
                  <c:v>2.1558599999999997</c:v>
                </c:pt>
                <c:pt idx="11">
                  <c:v>1.36585</c:v>
                </c:pt>
                <c:pt idx="12">
                  <c:v>1.79183</c:v>
                </c:pt>
                <c:pt idx="13">
                  <c:v>1.2909199999999998</c:v>
                </c:pt>
                <c:pt idx="14">
                  <c:v>0.8024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DCB-45DE-A246-AFBBC0E21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334288"/>
        <c:axId val="714327072"/>
      </c:scatterChart>
      <c:valAx>
        <c:axId val="714334288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27072"/>
        <c:crosses val="autoZero"/>
        <c:crossBetween val="midCat"/>
        <c:majorUnit val="2"/>
      </c:valAx>
      <c:valAx>
        <c:axId val="714327072"/>
        <c:scaling>
          <c:orientation val="minMax"/>
          <c:max val="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Gg CO2eq/year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34288"/>
        <c:crosses val="autoZero"/>
        <c:crossBetween val="midCat"/>
        <c:majorUnit val="0.30000000000000004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800" b="1" i="0" baseline="0">
                <a:effectLst/>
              </a:rPr>
              <a:t>GHG Emission Trend for Iron and Steel Production</a:t>
            </a:r>
            <a:endParaRPr lang="es-ES" sz="18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2.C.1. Iron and Steel Production</c:v>
          </c:tx>
          <c:spPr>
            <a:ln w="25400" cap="rnd">
              <a:solidFill>
                <a:schemeClr val="bg2">
                  <a:lumMod val="2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'Emissions CO2eq.'!$D$108:$T$108</c:f>
              <c:numCache>
                <c:formatCode>#,##0.00</c:formatCode>
                <c:ptCount val="17"/>
                <c:pt idx="0">
                  <c:v>19.570562830282945</c:v>
                </c:pt>
                <c:pt idx="1">
                  <c:v>20.22387731510333</c:v>
                </c:pt>
                <c:pt idx="2">
                  <c:v>20.899001076426266</c:v>
                </c:pt>
                <c:pt idx="3">
                  <c:v>21.574124837749199</c:v>
                </c:pt>
                <c:pt idx="4">
                  <c:v>22.249248599072132</c:v>
                </c:pt>
                <c:pt idx="5">
                  <c:v>22.924372360395068</c:v>
                </c:pt>
                <c:pt idx="6">
                  <c:v>23.599496121718001</c:v>
                </c:pt>
                <c:pt idx="7">
                  <c:v>24.274619883040934</c:v>
                </c:pt>
                <c:pt idx="8">
                  <c:v>28.567309941520467</c:v>
                </c:pt>
                <c:pt idx="9">
                  <c:v>32.86</c:v>
                </c:pt>
                <c:pt idx="10">
                  <c:v>34.979999999999997</c:v>
                </c:pt>
                <c:pt idx="11">
                  <c:v>37.1</c:v>
                </c:pt>
                <c:pt idx="12">
                  <c:v>34.131999999999998</c:v>
                </c:pt>
                <c:pt idx="13">
                  <c:v>28.302</c:v>
                </c:pt>
                <c:pt idx="14">
                  <c:v>26.5</c:v>
                </c:pt>
                <c:pt idx="15">
                  <c:v>25.44</c:v>
                </c:pt>
                <c:pt idx="16">
                  <c:v>21.411999999999999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25A-4B59-89FB-74517D391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334288"/>
        <c:axId val="714327072"/>
      </c:scatterChart>
      <c:valAx>
        <c:axId val="714334288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27072"/>
        <c:crosses val="autoZero"/>
        <c:crossBetween val="midCat"/>
        <c:majorUnit val="2"/>
      </c:valAx>
      <c:valAx>
        <c:axId val="714327072"/>
        <c:scaling>
          <c:orientation val="minMax"/>
          <c:max val="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Gg CO2eq/year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34288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</a:rPr>
              <a:t>Fuel consumption in Commercial/Institutional</a:t>
            </a:r>
            <a:r>
              <a:rPr lang="es-ES" b="1" baseline="0">
                <a:solidFill>
                  <a:sysClr val="windowText" lastClr="000000"/>
                </a:solidFill>
              </a:rPr>
              <a:t> sector</a:t>
            </a:r>
            <a:endParaRPr lang="es-E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'Activity Data Rep. Mauritius'!$C$62</c:f>
              <c:strCache>
                <c:ptCount val="1"/>
                <c:pt idx="0">
                  <c:v>Liquefied Petroleum Gas (LPG)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'Activity Data Rep. Mauritius'!$M$2:$AC$2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'Activity Data Rep. Mauritius'!$M$62:$AC$62</c:f>
              <c:numCache>
                <c:formatCode>0.00</c:formatCode>
                <c:ptCount val="17"/>
                <c:pt idx="0">
                  <c:v>4.1500000000000004</c:v>
                </c:pt>
                <c:pt idx="1">
                  <c:v>4.45</c:v>
                </c:pt>
                <c:pt idx="2">
                  <c:v>4.5590000000000002</c:v>
                </c:pt>
                <c:pt idx="3">
                  <c:v>5.7489999999999997</c:v>
                </c:pt>
                <c:pt idx="4">
                  <c:v>6.3719999999999999</c:v>
                </c:pt>
                <c:pt idx="5">
                  <c:v>6.9850000000000003</c:v>
                </c:pt>
                <c:pt idx="6">
                  <c:v>11.436</c:v>
                </c:pt>
                <c:pt idx="7">
                  <c:v>10.927</c:v>
                </c:pt>
                <c:pt idx="8">
                  <c:v>10.093999999999999</c:v>
                </c:pt>
                <c:pt idx="9">
                  <c:v>10.574999999999999</c:v>
                </c:pt>
                <c:pt idx="10">
                  <c:v>10.925000000000001</c:v>
                </c:pt>
                <c:pt idx="11">
                  <c:v>11.26</c:v>
                </c:pt>
                <c:pt idx="12">
                  <c:v>11.917999999999999</c:v>
                </c:pt>
                <c:pt idx="13">
                  <c:v>13.285</c:v>
                </c:pt>
                <c:pt idx="14">
                  <c:v>14.028</c:v>
                </c:pt>
                <c:pt idx="15">
                  <c:v>15.099</c:v>
                </c:pt>
                <c:pt idx="16">
                  <c:v>16.082999999999998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BE3-44B1-8C25-282CB1FF7924}"/>
            </c:ext>
          </c:extLst>
        </c:ser>
        <c:ser>
          <c:idx val="1"/>
          <c:order val="1"/>
          <c:tx>
            <c:strRef>
              <c:f>'Activity Data Rep. Mauritius'!$C$63</c:f>
              <c:strCache>
                <c:ptCount val="1"/>
                <c:pt idx="0">
                  <c:v>Charcoal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'Activity Data Rep. Mauritius'!$M$2:$AC$2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'Activity Data Rep. Mauritius'!$M$63:$AC$63</c:f>
              <c:numCache>
                <c:formatCode>0.00</c:formatCode>
                <c:ptCount val="17"/>
                <c:pt idx="0">
                  <c:v>0.3</c:v>
                </c:pt>
                <c:pt idx="1">
                  <c:v>0.33</c:v>
                </c:pt>
                <c:pt idx="2">
                  <c:v>0.34</c:v>
                </c:pt>
                <c:pt idx="3">
                  <c:v>0.35</c:v>
                </c:pt>
                <c:pt idx="4">
                  <c:v>0.36</c:v>
                </c:pt>
                <c:pt idx="5">
                  <c:v>0.38</c:v>
                </c:pt>
                <c:pt idx="6">
                  <c:v>0.39300000000000002</c:v>
                </c:pt>
                <c:pt idx="7">
                  <c:v>0.40699999999999997</c:v>
                </c:pt>
                <c:pt idx="8">
                  <c:v>0.42199999999999999</c:v>
                </c:pt>
                <c:pt idx="9">
                  <c:v>0.43719999999999998</c:v>
                </c:pt>
                <c:pt idx="10">
                  <c:v>0.45300000000000001</c:v>
                </c:pt>
                <c:pt idx="11">
                  <c:v>0.46899999999999997</c:v>
                </c:pt>
                <c:pt idx="12">
                  <c:v>0.47399999999999998</c:v>
                </c:pt>
                <c:pt idx="13">
                  <c:v>0.48299999999999998</c:v>
                </c:pt>
                <c:pt idx="14">
                  <c:v>0.497</c:v>
                </c:pt>
                <c:pt idx="15">
                  <c:v>0.45</c:v>
                </c:pt>
                <c:pt idx="16">
                  <c:v>0.42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BE3-44B1-8C25-282CB1FF7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0449024"/>
        <c:axId val="710449680"/>
      </c:scatterChart>
      <c:valAx>
        <c:axId val="710449024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449680"/>
        <c:crosses val="autoZero"/>
        <c:crossBetween val="midCat"/>
        <c:majorUnit val="2"/>
      </c:valAx>
      <c:valAx>
        <c:axId val="71044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 b="1">
                    <a:solidFill>
                      <a:sysClr val="windowText" lastClr="000000"/>
                    </a:solidFill>
                  </a:rPr>
                  <a:t>Gg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449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800" b="1">
                <a:solidFill>
                  <a:sysClr val="windowText" lastClr="000000"/>
                </a:solidFill>
              </a:rPr>
              <a:t>GHG Emission</a:t>
            </a:r>
            <a:r>
              <a:rPr lang="es-ES" sz="1800" b="1" baseline="0">
                <a:solidFill>
                  <a:sysClr val="windowText" lastClr="000000"/>
                </a:solidFill>
              </a:rPr>
              <a:t> trend for Product Uses as ODS</a:t>
            </a:r>
            <a:endParaRPr lang="es-ES" sz="18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183540633827824E-2"/>
          <c:y val="0.10056292786519612"/>
          <c:w val="0.8920331303775566"/>
          <c:h val="0.75077342553611548"/>
        </c:manualLayout>
      </c:layout>
      <c:scatterChart>
        <c:scatterStyle val="smoothMarker"/>
        <c:varyColors val="0"/>
        <c:ser>
          <c:idx val="2"/>
          <c:order val="0"/>
          <c:tx>
            <c:v>2.F.1.a. Stationary Refrigeration and Air Conditioning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'Emissions CO2eq.'!$D$112:$T$112</c:f>
              <c:numCache>
                <c:formatCode>#,##0.00</c:formatCode>
                <c:ptCount val="17"/>
                <c:pt idx="0">
                  <c:v>48.375967663574457</c:v>
                </c:pt>
                <c:pt idx="1">
                  <c:v>50.440647514038282</c:v>
                </c:pt>
                <c:pt idx="2">
                  <c:v>52.236500386932541</c:v>
                </c:pt>
                <c:pt idx="3">
                  <c:v>54.031850328892666</c:v>
                </c:pt>
                <c:pt idx="4">
                  <c:v>55.818672779558767</c:v>
                </c:pt>
                <c:pt idx="5">
                  <c:v>86.680756862624946</c:v>
                </c:pt>
                <c:pt idx="6">
                  <c:v>80.56238239573122</c:v>
                </c:pt>
                <c:pt idx="7">
                  <c:v>85.245670973871512</c:v>
                </c:pt>
                <c:pt idx="8">
                  <c:v>84.059339159665797</c:v>
                </c:pt>
                <c:pt idx="9">
                  <c:v>98.147312990598735</c:v>
                </c:pt>
                <c:pt idx="10">
                  <c:v>104.05309580962611</c:v>
                </c:pt>
                <c:pt idx="11">
                  <c:v>139.64794968080741</c:v>
                </c:pt>
                <c:pt idx="12">
                  <c:v>162.87016794590841</c:v>
                </c:pt>
                <c:pt idx="13">
                  <c:v>260.36999119942914</c:v>
                </c:pt>
                <c:pt idx="14">
                  <c:v>266.88789835636055</c:v>
                </c:pt>
                <c:pt idx="15">
                  <c:v>273.38853626972337</c:v>
                </c:pt>
                <c:pt idx="16">
                  <c:v>290.26495819888515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CB6-44FC-938D-D6E541BA5A36}"/>
            </c:ext>
          </c:extLst>
        </c:ser>
        <c:ser>
          <c:idx val="3"/>
          <c:order val="1"/>
          <c:tx>
            <c:v>2.F.1.b. Mobile Air Conditioning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'Emissions CO2eq.'!$D$113:$T$113</c:f>
              <c:numCache>
                <c:formatCode>#,##0.00</c:formatCode>
                <c:ptCount val="17"/>
                <c:pt idx="0">
                  <c:v>0.43484999999999996</c:v>
                </c:pt>
                <c:pt idx="1">
                  <c:v>0.80447249999999992</c:v>
                </c:pt>
                <c:pt idx="2">
                  <c:v>1.1342516250000001</c:v>
                </c:pt>
                <c:pt idx="3">
                  <c:v>1.4340638812499999</c:v>
                </c:pt>
                <c:pt idx="4">
                  <c:v>1.6986542990625</c:v>
                </c:pt>
                <c:pt idx="5">
                  <c:v>1.9391561542031248</c:v>
                </c:pt>
                <c:pt idx="6">
                  <c:v>2.1533327310726564</c:v>
                </c:pt>
                <c:pt idx="7">
                  <c:v>2.6980828214117576</c:v>
                </c:pt>
                <c:pt idx="8">
                  <c:v>5.6161703981999933</c:v>
                </c:pt>
                <c:pt idx="9">
                  <c:v>5.9320448384699942</c:v>
                </c:pt>
                <c:pt idx="10">
                  <c:v>5.9977381126994951</c:v>
                </c:pt>
                <c:pt idx="11">
                  <c:v>6.8979273957945715</c:v>
                </c:pt>
                <c:pt idx="12">
                  <c:v>6.9825382864253847</c:v>
                </c:pt>
                <c:pt idx="13">
                  <c:v>6.9082075434615753</c:v>
                </c:pt>
                <c:pt idx="14">
                  <c:v>6.9347264119423402</c:v>
                </c:pt>
                <c:pt idx="15">
                  <c:v>8.6736574501509889</c:v>
                </c:pt>
                <c:pt idx="16">
                  <c:v>8.9474532076283388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CB6-44FC-938D-D6E541BA5A36}"/>
            </c:ext>
          </c:extLst>
        </c:ser>
        <c:ser>
          <c:idx val="4"/>
          <c:order val="2"/>
          <c:tx>
            <c:strRef>
              <c:f>'Emissions CO2eq.'!$B$111:$C$111</c:f>
              <c:strCache>
                <c:ptCount val="2"/>
                <c:pt idx="0">
                  <c:v>2.F. Product Uses as Substitutes for Ozone Depleting Substances</c:v>
                </c:pt>
              </c:strCache>
            </c:strRef>
          </c:tx>
          <c:spPr>
            <a:ln w="25400" cap="rnd">
              <a:solidFill>
                <a:schemeClr val="bg2">
                  <a:lumMod val="2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'Emissions CO2eq.'!$D$111:$T$111</c:f>
              <c:numCache>
                <c:formatCode>#,##0.00</c:formatCode>
                <c:ptCount val="17"/>
                <c:pt idx="0">
                  <c:v>48.810817663574454</c:v>
                </c:pt>
                <c:pt idx="1">
                  <c:v>51.245120014038285</c:v>
                </c:pt>
                <c:pt idx="2">
                  <c:v>53.370752011932538</c:v>
                </c:pt>
                <c:pt idx="3">
                  <c:v>55.465914210142664</c:v>
                </c:pt>
                <c:pt idx="4">
                  <c:v>57.517327078621264</c:v>
                </c:pt>
                <c:pt idx="5">
                  <c:v>88.619913016828065</c:v>
                </c:pt>
                <c:pt idx="6">
                  <c:v>82.715715126803872</c:v>
                </c:pt>
                <c:pt idx="7">
                  <c:v>87.943753795283271</c:v>
                </c:pt>
                <c:pt idx="8">
                  <c:v>89.675509557865794</c:v>
                </c:pt>
                <c:pt idx="9">
                  <c:v>104.07935782906873</c:v>
                </c:pt>
                <c:pt idx="10">
                  <c:v>110.05083392232561</c:v>
                </c:pt>
                <c:pt idx="11">
                  <c:v>146.54587707660198</c:v>
                </c:pt>
                <c:pt idx="12">
                  <c:v>169.85270623233379</c:v>
                </c:pt>
                <c:pt idx="13">
                  <c:v>267.27819874289071</c:v>
                </c:pt>
                <c:pt idx="14">
                  <c:v>273.82262476830289</c:v>
                </c:pt>
                <c:pt idx="15">
                  <c:v>282.06219371987436</c:v>
                </c:pt>
                <c:pt idx="16">
                  <c:v>299.21241140651347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CB6-44FC-938D-D6E541BA5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334288"/>
        <c:axId val="714327072"/>
      </c:scatterChart>
      <c:valAx>
        <c:axId val="714334288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27072"/>
        <c:crosses val="autoZero"/>
        <c:crossBetween val="midCat"/>
        <c:majorUnit val="2"/>
      </c:valAx>
      <c:valAx>
        <c:axId val="714327072"/>
        <c:scaling>
          <c:orientation val="minMax"/>
          <c:max val="3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Gg CO2eq/year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34288"/>
        <c:crosses val="autoZero"/>
        <c:crossBetween val="midCat"/>
        <c:maj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950926896798537E-3"/>
          <c:y val="0.90680778103262139"/>
          <c:w val="0.97610314209711802"/>
          <c:h val="8.86745672214129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800" b="1" i="0" baseline="0">
                <a:effectLst/>
              </a:rPr>
              <a:t>GHG Emission Trend for Manufacturing Industries</a:t>
            </a:r>
            <a:endParaRPr lang="es-ES" sz="18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Manufactu+'Emissions CO2eq.'!$B$48:$C$48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'Emissions CO2eq.'!$D$85:$T$85</c:f>
              <c:numCache>
                <c:formatCode>#,##0.00</c:formatCode>
                <c:ptCount val="17"/>
                <c:pt idx="0">
                  <c:v>372.20092308465735</c:v>
                </c:pt>
                <c:pt idx="1">
                  <c:v>394.10775759207081</c:v>
                </c:pt>
                <c:pt idx="2">
                  <c:v>394.750797880562</c:v>
                </c:pt>
                <c:pt idx="3">
                  <c:v>395.11746970234856</c:v>
                </c:pt>
                <c:pt idx="4">
                  <c:v>371.79472004089337</c:v>
                </c:pt>
                <c:pt idx="5">
                  <c:v>353.55691741383441</c:v>
                </c:pt>
                <c:pt idx="6">
                  <c:v>415.49319267504495</c:v>
                </c:pt>
                <c:pt idx="7">
                  <c:v>412.41712441481548</c:v>
                </c:pt>
                <c:pt idx="8">
                  <c:v>441.14248042189286</c:v>
                </c:pt>
                <c:pt idx="9">
                  <c:v>366.15004601504097</c:v>
                </c:pt>
                <c:pt idx="10">
                  <c:v>372.21341358586267</c:v>
                </c:pt>
                <c:pt idx="11">
                  <c:v>355.67786204235318</c:v>
                </c:pt>
                <c:pt idx="12">
                  <c:v>348.50336453614892</c:v>
                </c:pt>
                <c:pt idx="13">
                  <c:v>333.95731106553285</c:v>
                </c:pt>
                <c:pt idx="14">
                  <c:v>349.14824224133673</c:v>
                </c:pt>
                <c:pt idx="15">
                  <c:v>352.16844480889631</c:v>
                </c:pt>
                <c:pt idx="16">
                  <c:v>340.00252513938403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BBB-499C-846C-79717A200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334288"/>
        <c:axId val="714327072"/>
      </c:scatterChart>
      <c:valAx>
        <c:axId val="714334288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27072"/>
        <c:crosses val="autoZero"/>
        <c:crossBetween val="midCat"/>
        <c:majorUnit val="2"/>
      </c:valAx>
      <c:valAx>
        <c:axId val="714327072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Gg CO2eq/year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34288"/>
        <c:crosses val="autoZero"/>
        <c:crossBetween val="midCat"/>
        <c:majorUnit val="1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800" b="1" i="0" baseline="0">
                <a:effectLst/>
              </a:rPr>
              <a:t>GHG Emission Trend for Transport</a:t>
            </a:r>
            <a:endParaRPr lang="es-ES" sz="1800">
              <a:effectLst/>
            </a:endParaRPr>
          </a:p>
        </c:rich>
      </c:tx>
      <c:layout>
        <c:manualLayout>
          <c:xMode val="edge"/>
          <c:yMode val="edge"/>
          <c:x val="0.35101814831609174"/>
          <c:y val="1.56628724968180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'Emissions CO2eq.'!$B$93:$C$93</c:f>
              <c:strCache>
                <c:ptCount val="2"/>
                <c:pt idx="0">
                  <c:v>1.A.3. Transport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'Emissions CO2eq.'!$D$93:$T$93</c:f>
              <c:numCache>
                <c:formatCode>#,##0.00</c:formatCode>
                <c:ptCount val="17"/>
                <c:pt idx="0">
                  <c:v>575.11748739519544</c:v>
                </c:pt>
                <c:pt idx="1">
                  <c:v>600.65044004072126</c:v>
                </c:pt>
                <c:pt idx="2">
                  <c:v>631.06197923831394</c:v>
                </c:pt>
                <c:pt idx="3">
                  <c:v>657.54871402638992</c:v>
                </c:pt>
                <c:pt idx="4">
                  <c:v>689.46957980674892</c:v>
                </c:pt>
                <c:pt idx="5">
                  <c:v>715.92643454217023</c:v>
                </c:pt>
                <c:pt idx="6">
                  <c:v>748.7864022044439</c:v>
                </c:pt>
                <c:pt idx="7">
                  <c:v>786.43668047336757</c:v>
                </c:pt>
                <c:pt idx="8">
                  <c:v>819.76781817698748</c:v>
                </c:pt>
                <c:pt idx="9">
                  <c:v>851.05593336499021</c:v>
                </c:pt>
                <c:pt idx="10">
                  <c:v>897.18624059148499</c:v>
                </c:pt>
                <c:pt idx="11">
                  <c:v>938.33426132213356</c:v>
                </c:pt>
                <c:pt idx="12">
                  <c:v>987.48714332280463</c:v>
                </c:pt>
                <c:pt idx="13">
                  <c:v>1037.4957403927285</c:v>
                </c:pt>
                <c:pt idx="14">
                  <c:v>997.49193913716897</c:v>
                </c:pt>
                <c:pt idx="15">
                  <c:v>1087.8083336505024</c:v>
                </c:pt>
                <c:pt idx="16">
                  <c:v>1169.6970580794014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840-4CD7-81D3-A7EE4E32E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334288"/>
        <c:axId val="714327072"/>
      </c:scatterChart>
      <c:valAx>
        <c:axId val="714334288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27072"/>
        <c:crosses val="autoZero"/>
        <c:crossBetween val="midCat"/>
        <c:majorUnit val="2"/>
      </c:valAx>
      <c:valAx>
        <c:axId val="714327072"/>
        <c:scaling>
          <c:orientation val="minMax"/>
          <c:max val="1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Gg CO2eq/year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34288"/>
        <c:crosses val="autoZero"/>
        <c:crossBetween val="midCat"/>
        <c:majorUnit val="2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800" b="1" i="0" baseline="0">
                <a:effectLst/>
              </a:rPr>
              <a:t>GHG Emission Trend for Other Sector</a:t>
            </a:r>
            <a:endParaRPr lang="es-ES" sz="1800">
              <a:effectLst/>
            </a:endParaRPr>
          </a:p>
        </c:rich>
      </c:tx>
      <c:layout>
        <c:manualLayout>
          <c:xMode val="edge"/>
          <c:yMode val="edge"/>
          <c:x val="0.35101814831609174"/>
          <c:y val="1.56628724968180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'Emissions CO2eq.'!$B$97:$C$97</c:f>
              <c:strCache>
                <c:ptCount val="2"/>
                <c:pt idx="0">
                  <c:v>1.A.4. Energy Other Sectors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'Emissions CO2eq.'!$D$97:$T$97</c:f>
              <c:numCache>
                <c:formatCode>#,##0.00</c:formatCode>
                <c:ptCount val="17"/>
                <c:pt idx="0">
                  <c:v>198.42012972039998</c:v>
                </c:pt>
                <c:pt idx="1">
                  <c:v>200.74250100960003</c:v>
                </c:pt>
                <c:pt idx="2">
                  <c:v>200.83058247096</c:v>
                </c:pt>
                <c:pt idx="3">
                  <c:v>217.96112741739998</c:v>
                </c:pt>
                <c:pt idx="4">
                  <c:v>220.65117408704</c:v>
                </c:pt>
                <c:pt idx="5">
                  <c:v>227.15545777600002</c:v>
                </c:pt>
                <c:pt idx="6">
                  <c:v>219.09352763671995</c:v>
                </c:pt>
                <c:pt idx="7">
                  <c:v>210.88322173966799</c:v>
                </c:pt>
                <c:pt idx="8">
                  <c:v>220.97156619125047</c:v>
                </c:pt>
                <c:pt idx="9">
                  <c:v>230.76842706560703</c:v>
                </c:pt>
                <c:pt idx="10">
                  <c:v>236.08764277671196</c:v>
                </c:pt>
                <c:pt idx="11">
                  <c:v>238.45887502537173</c:v>
                </c:pt>
                <c:pt idx="12">
                  <c:v>233.5427526903409</c:v>
                </c:pt>
                <c:pt idx="13">
                  <c:v>233.30167375698255</c:v>
                </c:pt>
                <c:pt idx="14">
                  <c:v>236.74701333253054</c:v>
                </c:pt>
                <c:pt idx="15">
                  <c:v>246.87072595066269</c:v>
                </c:pt>
                <c:pt idx="16">
                  <c:v>248.0972569878505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20F-4B9B-879F-E7EBD9CD8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334288"/>
        <c:axId val="714327072"/>
      </c:scatterChart>
      <c:valAx>
        <c:axId val="714334288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27072"/>
        <c:crosses val="autoZero"/>
        <c:crossBetween val="midCat"/>
        <c:majorUnit val="2"/>
      </c:valAx>
      <c:valAx>
        <c:axId val="714327072"/>
        <c:scaling>
          <c:orientation val="minMax"/>
          <c:max val="3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Gg CO2eq/year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34288"/>
        <c:crosses val="autoZero"/>
        <c:crossBetween val="midCat"/>
        <c:majorUnit val="6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800" b="1" i="0" baseline="0">
                <a:effectLst/>
              </a:rPr>
              <a:t>GHG Emission Trend for Energy Industries</a:t>
            </a:r>
            <a:endParaRPr lang="es-ES" sz="1800">
              <a:effectLst/>
            </a:endParaRPr>
          </a:p>
        </c:rich>
      </c:tx>
      <c:layout>
        <c:manualLayout>
          <c:xMode val="edge"/>
          <c:yMode val="edge"/>
          <c:x val="0.35101814831609174"/>
          <c:y val="1.56628724968180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'Emissions CO2eq.'!$B$84:$C$84</c:f>
              <c:strCache>
                <c:ptCount val="2"/>
                <c:pt idx="0">
                  <c:v>1.A.1. Energy Industries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'Emissions CO2eq.'!$D$84:$T$84</c:f>
              <c:numCache>
                <c:formatCode>#,##0.00</c:formatCode>
                <c:ptCount val="17"/>
                <c:pt idx="0">
                  <c:v>1178.4061063613099</c:v>
                </c:pt>
                <c:pt idx="1">
                  <c:v>1288.8626659119898</c:v>
                </c:pt>
                <c:pt idx="2">
                  <c:v>1310.3005011934199</c:v>
                </c:pt>
                <c:pt idx="3">
                  <c:v>1400.82584978711</c:v>
                </c:pt>
                <c:pt idx="4">
                  <c:v>1415.9085036841898</c:v>
                </c:pt>
                <c:pt idx="5">
                  <c:v>1587.1896978407945</c:v>
                </c:pt>
                <c:pt idx="6">
                  <c:v>1866.7430373599504</c:v>
                </c:pt>
                <c:pt idx="7">
                  <c:v>2007.5820614474637</c:v>
                </c:pt>
                <c:pt idx="8">
                  <c:v>2037.2660099691734</c:v>
                </c:pt>
                <c:pt idx="9">
                  <c:v>2018.9191138806914</c:v>
                </c:pt>
                <c:pt idx="10">
                  <c:v>2219.6497974532685</c:v>
                </c:pt>
                <c:pt idx="11">
                  <c:v>2204.4674169626501</c:v>
                </c:pt>
                <c:pt idx="12">
                  <c:v>2265.2554418766299</c:v>
                </c:pt>
                <c:pt idx="13">
                  <c:v>2339.2437806019884</c:v>
                </c:pt>
                <c:pt idx="14">
                  <c:v>2418.9198789977681</c:v>
                </c:pt>
                <c:pt idx="15">
                  <c:v>2360.7174073732699</c:v>
                </c:pt>
                <c:pt idx="16">
                  <c:v>2418.2769844539207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615-4274-B34F-971D1BD0B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334288"/>
        <c:axId val="714327072"/>
      </c:scatterChart>
      <c:valAx>
        <c:axId val="714334288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27072"/>
        <c:crosses val="autoZero"/>
        <c:crossBetween val="midCat"/>
        <c:majorUnit val="2"/>
      </c:valAx>
      <c:valAx>
        <c:axId val="714327072"/>
        <c:scaling>
          <c:orientation val="minMax"/>
          <c:max val="2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Gg CO2eq/year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34288"/>
        <c:crosses val="autoZero"/>
        <c:crossBetween val="midCat"/>
        <c:majorUnit val="65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800" b="1">
                <a:solidFill>
                  <a:sysClr val="windowText" lastClr="000000"/>
                </a:solidFill>
              </a:rPr>
              <a:t>GHG Emission Trend for Product Uses as Substitutes for ODS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2"/>
          <c:order val="0"/>
          <c:tx>
            <c:v>2.F. Product Uses as Substitutes for ODS</c:v>
          </c:tx>
          <c:spPr>
            <a:ln w="25400" cap="rnd">
              <a:solidFill>
                <a:schemeClr val="bg2">
                  <a:lumMod val="2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'Emissions CO2eq.'!$D$111:$T$111</c:f>
              <c:numCache>
                <c:formatCode>#,##0.00</c:formatCode>
                <c:ptCount val="17"/>
                <c:pt idx="0">
                  <c:v>48.810817663574454</c:v>
                </c:pt>
                <c:pt idx="1">
                  <c:v>51.245120014038285</c:v>
                </c:pt>
                <c:pt idx="2">
                  <c:v>53.370752011932538</c:v>
                </c:pt>
                <c:pt idx="3">
                  <c:v>55.465914210142664</c:v>
                </c:pt>
                <c:pt idx="4">
                  <c:v>57.517327078621264</c:v>
                </c:pt>
                <c:pt idx="5">
                  <c:v>88.619913016828065</c:v>
                </c:pt>
                <c:pt idx="6">
                  <c:v>82.715715126803872</c:v>
                </c:pt>
                <c:pt idx="7">
                  <c:v>87.943753795283271</c:v>
                </c:pt>
                <c:pt idx="8">
                  <c:v>89.675509557865794</c:v>
                </c:pt>
                <c:pt idx="9">
                  <c:v>104.07935782906873</c:v>
                </c:pt>
                <c:pt idx="10">
                  <c:v>110.05083392232561</c:v>
                </c:pt>
                <c:pt idx="11">
                  <c:v>146.54587707660198</c:v>
                </c:pt>
                <c:pt idx="12">
                  <c:v>169.85270623233379</c:v>
                </c:pt>
                <c:pt idx="13">
                  <c:v>267.27819874289071</c:v>
                </c:pt>
                <c:pt idx="14">
                  <c:v>273.82262476830289</c:v>
                </c:pt>
                <c:pt idx="15">
                  <c:v>282.06219371987436</c:v>
                </c:pt>
                <c:pt idx="16">
                  <c:v>299.21241140651347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D38-441A-A81A-62C40E44FCF6}"/>
            </c:ext>
          </c:extLst>
        </c:ser>
        <c:ser>
          <c:idx val="1"/>
          <c:order val="1"/>
          <c:tx>
            <c:v>2.F.a. Refrigeration and Stationary Air Conditioning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'Emissions CO2eq.'!$D$112:$T$112</c:f>
              <c:numCache>
                <c:formatCode>#,##0.00</c:formatCode>
                <c:ptCount val="17"/>
                <c:pt idx="0">
                  <c:v>48.375967663574457</c:v>
                </c:pt>
                <c:pt idx="1">
                  <c:v>50.440647514038282</c:v>
                </c:pt>
                <c:pt idx="2">
                  <c:v>52.236500386932541</c:v>
                </c:pt>
                <c:pt idx="3">
                  <c:v>54.031850328892666</c:v>
                </c:pt>
                <c:pt idx="4">
                  <c:v>55.818672779558767</c:v>
                </c:pt>
                <c:pt idx="5">
                  <c:v>86.680756862624946</c:v>
                </c:pt>
                <c:pt idx="6">
                  <c:v>80.56238239573122</c:v>
                </c:pt>
                <c:pt idx="7">
                  <c:v>85.245670973871512</c:v>
                </c:pt>
                <c:pt idx="8">
                  <c:v>84.059339159665797</c:v>
                </c:pt>
                <c:pt idx="9">
                  <c:v>98.147312990598735</c:v>
                </c:pt>
                <c:pt idx="10">
                  <c:v>104.05309580962611</c:v>
                </c:pt>
                <c:pt idx="11">
                  <c:v>139.64794968080741</c:v>
                </c:pt>
                <c:pt idx="12">
                  <c:v>162.87016794590841</c:v>
                </c:pt>
                <c:pt idx="13">
                  <c:v>260.36999119942914</c:v>
                </c:pt>
                <c:pt idx="14">
                  <c:v>266.88789835636055</c:v>
                </c:pt>
                <c:pt idx="15">
                  <c:v>273.38853626972337</c:v>
                </c:pt>
                <c:pt idx="16">
                  <c:v>290.26495819888515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D38-441A-A81A-62C40E44FCF6}"/>
            </c:ext>
          </c:extLst>
        </c:ser>
        <c:ser>
          <c:idx val="0"/>
          <c:order val="2"/>
          <c:tx>
            <c:v>2.F.b Mobile Air Conditioning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'Emissions CO2eq.'!$D$113:$T$113</c:f>
              <c:numCache>
                <c:formatCode>#,##0.00</c:formatCode>
                <c:ptCount val="17"/>
                <c:pt idx="0">
                  <c:v>0.43484999999999996</c:v>
                </c:pt>
                <c:pt idx="1">
                  <c:v>0.80447249999999992</c:v>
                </c:pt>
                <c:pt idx="2">
                  <c:v>1.1342516250000001</c:v>
                </c:pt>
                <c:pt idx="3">
                  <c:v>1.4340638812499999</c:v>
                </c:pt>
                <c:pt idx="4">
                  <c:v>1.6986542990625</c:v>
                </c:pt>
                <c:pt idx="5">
                  <c:v>1.9391561542031248</c:v>
                </c:pt>
                <c:pt idx="6">
                  <c:v>2.1533327310726564</c:v>
                </c:pt>
                <c:pt idx="7">
                  <c:v>2.6980828214117576</c:v>
                </c:pt>
                <c:pt idx="8">
                  <c:v>5.6161703981999933</c:v>
                </c:pt>
                <c:pt idx="9">
                  <c:v>5.9320448384699942</c:v>
                </c:pt>
                <c:pt idx="10">
                  <c:v>5.9977381126994951</c:v>
                </c:pt>
                <c:pt idx="11">
                  <c:v>6.8979273957945715</c:v>
                </c:pt>
                <c:pt idx="12">
                  <c:v>6.9825382864253847</c:v>
                </c:pt>
                <c:pt idx="13">
                  <c:v>6.9082075434615753</c:v>
                </c:pt>
                <c:pt idx="14">
                  <c:v>6.9347264119423402</c:v>
                </c:pt>
                <c:pt idx="15">
                  <c:v>8.6736574501509889</c:v>
                </c:pt>
                <c:pt idx="16">
                  <c:v>8.9474532076283388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D38-441A-A81A-62C40E44F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334288"/>
        <c:axId val="714327072"/>
      </c:scatterChart>
      <c:valAx>
        <c:axId val="714334288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27072"/>
        <c:crosses val="autoZero"/>
        <c:crossBetween val="midCat"/>
        <c:majorUnit val="2"/>
      </c:valAx>
      <c:valAx>
        <c:axId val="714327072"/>
        <c:scaling>
          <c:orientation val="minMax"/>
          <c:max val="3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Gg CO2eq/year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34288"/>
        <c:crosses val="autoZero"/>
        <c:crossBetween val="midCat"/>
        <c:majorUnit val="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</a:rPr>
              <a:t>CO2eq. Emissions for Memo</a:t>
            </a:r>
            <a:r>
              <a:rPr lang="es-ES" b="1" baseline="0">
                <a:solidFill>
                  <a:sysClr val="windowText" lastClr="000000"/>
                </a:solidFill>
              </a:rPr>
              <a:t> Items</a:t>
            </a:r>
            <a:r>
              <a:rPr lang="es-ES" b="1">
                <a:solidFill>
                  <a:sysClr val="windowText" lastClr="000000"/>
                </a:solidFill>
              </a:rPr>
              <a:t> in the Republic of Mauritius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'Emissions CO2eq.'!$B$115:$C$115</c:f>
              <c:strCache>
                <c:ptCount val="2"/>
                <c:pt idx="0">
                  <c:v>1.A.3.a.i. International Aviation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'Emissions CO2eq.'!$D$115:$T$115</c:f>
              <c:numCache>
                <c:formatCode>#,##0.00</c:formatCode>
                <c:ptCount val="17"/>
                <c:pt idx="0">
                  <c:v>610.74336960000005</c:v>
                </c:pt>
                <c:pt idx="1">
                  <c:v>623.46718980000003</c:v>
                </c:pt>
                <c:pt idx="2">
                  <c:v>629.82909990000007</c:v>
                </c:pt>
                <c:pt idx="3">
                  <c:v>664.81960545000004</c:v>
                </c:pt>
                <c:pt idx="4">
                  <c:v>702.99106604999997</c:v>
                </c:pt>
                <c:pt idx="5">
                  <c:v>728.43870644999993</c:v>
                </c:pt>
                <c:pt idx="6">
                  <c:v>750.70539180000014</c:v>
                </c:pt>
                <c:pt idx="7">
                  <c:v>795.23876250000001</c:v>
                </c:pt>
                <c:pt idx="8">
                  <c:v>801.60067260000005</c:v>
                </c:pt>
                <c:pt idx="9">
                  <c:v>661.63865040000019</c:v>
                </c:pt>
                <c:pt idx="10">
                  <c:v>728.43870644999993</c:v>
                </c:pt>
                <c:pt idx="11">
                  <c:v>769.79112210000005</c:v>
                </c:pt>
                <c:pt idx="12">
                  <c:v>792.05780745000004</c:v>
                </c:pt>
                <c:pt idx="13">
                  <c:v>731.61966150000001</c:v>
                </c:pt>
                <c:pt idx="14">
                  <c:v>769.79112210000005</c:v>
                </c:pt>
                <c:pt idx="15">
                  <c:v>823.86735794999993</c:v>
                </c:pt>
                <c:pt idx="16">
                  <c:v>925.65791954999997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73D-4D97-9898-98235AA0BCA4}"/>
            </c:ext>
          </c:extLst>
        </c:ser>
        <c:ser>
          <c:idx val="1"/>
          <c:order val="1"/>
          <c:tx>
            <c:strRef>
              <c:f>'Emissions CO2eq.'!$B$116:$C$116</c:f>
              <c:strCache>
                <c:ptCount val="2"/>
                <c:pt idx="0">
                  <c:v>1.A.3.d.i. International Navigation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'Emissions CO2eq.'!$D$116:$T$116</c:f>
              <c:numCache>
                <c:formatCode>#,##0.00</c:formatCode>
                <c:ptCount val="17"/>
                <c:pt idx="0">
                  <c:v>698.24587439999993</c:v>
                </c:pt>
                <c:pt idx="1">
                  <c:v>644.37677619999999</c:v>
                </c:pt>
                <c:pt idx="2">
                  <c:v>532.74462259999996</c:v>
                </c:pt>
                <c:pt idx="3">
                  <c:v>426.01767599999999</c:v>
                </c:pt>
                <c:pt idx="4">
                  <c:v>464.34237699999994</c:v>
                </c:pt>
                <c:pt idx="5">
                  <c:v>608.29000900000005</c:v>
                </c:pt>
                <c:pt idx="6">
                  <c:v>547.49167520000003</c:v>
                </c:pt>
                <c:pt idx="7">
                  <c:v>619.87911480000002</c:v>
                </c:pt>
                <c:pt idx="8">
                  <c:v>679.81876979999993</c:v>
                </c:pt>
                <c:pt idx="9">
                  <c:v>691.95988339999997</c:v>
                </c:pt>
                <c:pt idx="10">
                  <c:v>752.20620940000003</c:v>
                </c:pt>
                <c:pt idx="11">
                  <c:v>906.14825799999994</c:v>
                </c:pt>
                <c:pt idx="12">
                  <c:v>846.33127139999999</c:v>
                </c:pt>
                <c:pt idx="13">
                  <c:v>859.63773480000009</c:v>
                </c:pt>
                <c:pt idx="14">
                  <c:v>916.66477979999991</c:v>
                </c:pt>
                <c:pt idx="15">
                  <c:v>900.81371160000003</c:v>
                </c:pt>
                <c:pt idx="16">
                  <c:v>1071.5881755999999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73D-4D97-9898-98235AA0B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334288"/>
        <c:axId val="714327072"/>
      </c:scatterChart>
      <c:valAx>
        <c:axId val="714334288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27072"/>
        <c:crosses val="autoZero"/>
        <c:crossBetween val="midCat"/>
        <c:majorUnit val="2"/>
      </c:valAx>
      <c:valAx>
        <c:axId val="714327072"/>
        <c:scaling>
          <c:orientation val="minMax"/>
          <c:max val="1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ysClr val="windowText" lastClr="000000"/>
                    </a:solidFill>
                  </a:rPr>
                  <a:t>Gg CO2eq/year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34288"/>
        <c:crosses val="autoZero"/>
        <c:crossBetween val="midCat"/>
        <c:majorUnit val="2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</a:rPr>
              <a:t>GHG Emission</a:t>
            </a:r>
            <a:r>
              <a:rPr lang="es-ES" b="1" baseline="0">
                <a:solidFill>
                  <a:sysClr val="windowText" lastClr="000000"/>
                </a:solidFill>
              </a:rPr>
              <a:t> Trend for Memo Items</a:t>
            </a:r>
            <a:endParaRPr lang="es-ES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6679481219212867"/>
          <c:y val="1.54589387661697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GHG Emissions for Memo Items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'Emissions CO2eq.'!$D$114:$T$114</c:f>
              <c:numCache>
                <c:formatCode>#,##0.00</c:formatCode>
                <c:ptCount val="17"/>
                <c:pt idx="0">
                  <c:v>1308.9892439999999</c:v>
                </c:pt>
                <c:pt idx="1">
                  <c:v>1267.8439659999999</c:v>
                </c:pt>
                <c:pt idx="2">
                  <c:v>1162.5737225</c:v>
                </c:pt>
                <c:pt idx="3">
                  <c:v>1090.8372814500001</c:v>
                </c:pt>
                <c:pt idx="4">
                  <c:v>1167.3334430499999</c:v>
                </c:pt>
                <c:pt idx="5">
                  <c:v>1336.72871545</c:v>
                </c:pt>
                <c:pt idx="6">
                  <c:v>1298.1970670000001</c:v>
                </c:pt>
                <c:pt idx="7">
                  <c:v>1415.1178773000001</c:v>
                </c:pt>
                <c:pt idx="8">
                  <c:v>1481.4194424</c:v>
                </c:pt>
                <c:pt idx="9">
                  <c:v>1353.5985338</c:v>
                </c:pt>
                <c:pt idx="10">
                  <c:v>1480.64491585</c:v>
                </c:pt>
                <c:pt idx="11">
                  <c:v>1675.9393801000001</c:v>
                </c:pt>
                <c:pt idx="12">
                  <c:v>1638.38907885</c:v>
                </c:pt>
                <c:pt idx="13">
                  <c:v>1591.2573963</c:v>
                </c:pt>
                <c:pt idx="14">
                  <c:v>1686.4559018999998</c:v>
                </c:pt>
                <c:pt idx="15">
                  <c:v>1724.6810695499998</c:v>
                </c:pt>
                <c:pt idx="16">
                  <c:v>1997.2460951499997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91-49C2-B9C2-5D34299BD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334288"/>
        <c:axId val="714327072"/>
      </c:scatterChart>
      <c:valAx>
        <c:axId val="714334288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27072"/>
        <c:crosses val="autoZero"/>
        <c:crossBetween val="midCat"/>
        <c:majorUnit val="2"/>
      </c:valAx>
      <c:valAx>
        <c:axId val="714327072"/>
        <c:scaling>
          <c:orientation val="minMax"/>
          <c:max val="2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</a:rPr>
                  <a:t>Gg CO2eq/year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34288"/>
        <c:crosses val="autoZero"/>
        <c:crossBetween val="midCat"/>
        <c:majorUnit val="65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</a:rPr>
              <a:t>GHG Emission</a:t>
            </a:r>
            <a:r>
              <a:rPr lang="es-ES" b="1" baseline="0">
                <a:solidFill>
                  <a:sysClr val="windowText" lastClr="000000"/>
                </a:solidFill>
              </a:rPr>
              <a:t> Trend for Non-Energy Products</a:t>
            </a:r>
            <a:endParaRPr lang="es-ES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6679481219212867"/>
          <c:y val="1.54589387661697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GHG Emissions for Memo Items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'Emissions CO2eq.'!$D$3:$T$3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'Emissions CO2eq.'!$D$109:$T$109</c:f>
              <c:numCache>
                <c:formatCode>#,##0.00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9.4336000000000002</c:v>
                </c:pt>
                <c:pt idx="12">
                  <c:v>10.6128</c:v>
                </c:pt>
                <c:pt idx="13">
                  <c:v>10.023200000000001</c:v>
                </c:pt>
                <c:pt idx="14">
                  <c:v>8.8439999999999994</c:v>
                </c:pt>
                <c:pt idx="15">
                  <c:v>6.4856000000000007</c:v>
                </c:pt>
                <c:pt idx="16">
                  <c:v>7.6648000000000005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98-4F00-B15A-7C6178D25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334288"/>
        <c:axId val="714327072"/>
      </c:scatterChart>
      <c:valAx>
        <c:axId val="714334288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27072"/>
        <c:crosses val="autoZero"/>
        <c:crossBetween val="midCat"/>
        <c:majorUnit val="2"/>
      </c:valAx>
      <c:valAx>
        <c:axId val="714327072"/>
        <c:scaling>
          <c:orientation val="minMax"/>
          <c:max val="1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</a:rPr>
                  <a:t>Gg CO2eq/year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34288"/>
        <c:crosses val="autoZero"/>
        <c:crossBetween val="midCat"/>
        <c:majorUnit val="3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0.13609755030621173"/>
                  <c:y val="-0.1068981481481481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'Transport QA-QC'!$G$42:$X$42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xVal>
          <c:yVal>
            <c:numRef>
              <c:f>'Transport QA-QC'!$G$62:$X$62</c:f>
              <c:numCache>
                <c:formatCode>#,##0</c:formatCode>
                <c:ptCount val="18"/>
                <c:pt idx="0">
                  <c:v>255149</c:v>
                </c:pt>
                <c:pt idx="1">
                  <c:v>265841</c:v>
                </c:pt>
                <c:pt idx="2">
                  <c:v>276371</c:v>
                </c:pt>
                <c:pt idx="3">
                  <c:v>291605</c:v>
                </c:pt>
                <c:pt idx="4">
                  <c:v>305496</c:v>
                </c:pt>
                <c:pt idx="5">
                  <c:v>319440</c:v>
                </c:pt>
                <c:pt idx="6">
                  <c:v>334145</c:v>
                </c:pt>
                <c:pt idx="7">
                  <c:v>351406</c:v>
                </c:pt>
                <c:pt idx="8">
                  <c:v>366520</c:v>
                </c:pt>
                <c:pt idx="9">
                  <c:v>384115</c:v>
                </c:pt>
                <c:pt idx="10">
                  <c:v>400919</c:v>
                </c:pt>
                <c:pt idx="11">
                  <c:v>421926</c:v>
                </c:pt>
                <c:pt idx="12">
                  <c:v>443495</c:v>
                </c:pt>
                <c:pt idx="13">
                  <c:v>465052</c:v>
                </c:pt>
                <c:pt idx="14">
                  <c:v>486144</c:v>
                </c:pt>
                <c:pt idx="15">
                  <c:v>507676</c:v>
                </c:pt>
                <c:pt idx="16">
                  <c:v>531797</c:v>
                </c:pt>
                <c:pt idx="17">
                  <c:v>556001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EFB-40F6-950D-587A5C81F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571448"/>
        <c:axId val="828567512"/>
      </c:scatterChart>
      <c:valAx>
        <c:axId val="828571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8567512"/>
        <c:crosses val="autoZero"/>
        <c:crossBetween val="midCat"/>
      </c:valAx>
      <c:valAx>
        <c:axId val="828567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8571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</a:rPr>
              <a:t>Fuel consumption in Residential</a:t>
            </a:r>
            <a:r>
              <a:rPr lang="es-ES" b="1" baseline="0">
                <a:solidFill>
                  <a:sysClr val="windowText" lastClr="000000"/>
                </a:solidFill>
              </a:rPr>
              <a:t> sector</a:t>
            </a:r>
            <a:endParaRPr lang="es-E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'Activity Data Rep. Mauritius'!$C$64</c:f>
              <c:strCache>
                <c:ptCount val="1"/>
                <c:pt idx="0">
                  <c:v>Kerosene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'Activity Data Rep. Mauritius'!$M$2:$AC$2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'Activity Data Rep. Mauritius'!$M$64:$AC$64</c:f>
              <c:numCache>
                <c:formatCode>0.00</c:formatCode>
                <c:ptCount val="17"/>
                <c:pt idx="0">
                  <c:v>9.6</c:v>
                </c:pt>
                <c:pt idx="1">
                  <c:v>9.48</c:v>
                </c:pt>
                <c:pt idx="2">
                  <c:v>8.4090000000000007</c:v>
                </c:pt>
                <c:pt idx="3">
                  <c:v>8.2650000000000006</c:v>
                </c:pt>
                <c:pt idx="4">
                  <c:v>8.7260000000000009</c:v>
                </c:pt>
                <c:pt idx="5">
                  <c:v>9.7650000000000006</c:v>
                </c:pt>
                <c:pt idx="6">
                  <c:v>3.923</c:v>
                </c:pt>
                <c:pt idx="7">
                  <c:v>1.238</c:v>
                </c:pt>
                <c:pt idx="8">
                  <c:v>1.772</c:v>
                </c:pt>
                <c:pt idx="9">
                  <c:v>1.476</c:v>
                </c:pt>
                <c:pt idx="10">
                  <c:v>1.7310000000000001</c:v>
                </c:pt>
                <c:pt idx="11">
                  <c:v>0.51500000000000001</c:v>
                </c:pt>
                <c:pt idx="12">
                  <c:v>0.24299999999999999</c:v>
                </c:pt>
                <c:pt idx="13">
                  <c:v>0.20200000000000001</c:v>
                </c:pt>
                <c:pt idx="14">
                  <c:v>0.153</c:v>
                </c:pt>
                <c:pt idx="15">
                  <c:v>0.13100000000000001</c:v>
                </c:pt>
                <c:pt idx="16">
                  <c:v>7.0999999999999994E-2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AC3-48BA-B2CF-3CB707622151}"/>
            </c:ext>
          </c:extLst>
        </c:ser>
        <c:ser>
          <c:idx val="1"/>
          <c:order val="1"/>
          <c:tx>
            <c:strRef>
              <c:f>'Activity Data Rep. Mauritius'!$C$65</c:f>
              <c:strCache>
                <c:ptCount val="1"/>
                <c:pt idx="0">
                  <c:v>Liquefied Petroleum Gas (LPG)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'Activity Data Rep. Mauritius'!$M$2:$AC$2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'Activity Data Rep. Mauritius'!$M$65:$AC$65</c:f>
              <c:numCache>
                <c:formatCode>0.00</c:formatCode>
                <c:ptCount val="17"/>
                <c:pt idx="0">
                  <c:v>37.71</c:v>
                </c:pt>
                <c:pt idx="1">
                  <c:v>37.85</c:v>
                </c:pt>
                <c:pt idx="2">
                  <c:v>39.023000000000003</c:v>
                </c:pt>
                <c:pt idx="3">
                  <c:v>40.558999999999997</c:v>
                </c:pt>
                <c:pt idx="4">
                  <c:v>42.856000000000002</c:v>
                </c:pt>
                <c:pt idx="5">
                  <c:v>43.206000000000003</c:v>
                </c:pt>
                <c:pt idx="6">
                  <c:v>41.598999999999997</c:v>
                </c:pt>
                <c:pt idx="7">
                  <c:v>42.088000000000001</c:v>
                </c:pt>
                <c:pt idx="8">
                  <c:v>42.393999999999998</c:v>
                </c:pt>
                <c:pt idx="9">
                  <c:v>43.237000000000002</c:v>
                </c:pt>
                <c:pt idx="10">
                  <c:v>44.058999999999997</c:v>
                </c:pt>
                <c:pt idx="11">
                  <c:v>44.64</c:v>
                </c:pt>
                <c:pt idx="12">
                  <c:v>45.329000000000001</c:v>
                </c:pt>
                <c:pt idx="13">
                  <c:v>46.36</c:v>
                </c:pt>
                <c:pt idx="14">
                  <c:v>47.57</c:v>
                </c:pt>
                <c:pt idx="15">
                  <c:v>49.093000000000004</c:v>
                </c:pt>
                <c:pt idx="16">
                  <c:v>49.454999999999998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AC3-48BA-B2CF-3CB707622151}"/>
            </c:ext>
          </c:extLst>
        </c:ser>
        <c:ser>
          <c:idx val="2"/>
          <c:order val="2"/>
          <c:tx>
            <c:strRef>
              <c:f>'Activity Data Rep. Mauritius'!$C$66</c:f>
              <c:strCache>
                <c:ptCount val="1"/>
                <c:pt idx="0">
                  <c:v>Wood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'Activity Data Rep. Mauritius'!$M$2:$AC$2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'Activity Data Rep. Mauritius'!$M$66:$AC$66</c:f>
              <c:numCache>
                <c:formatCode>0.00</c:formatCode>
                <c:ptCount val="17"/>
                <c:pt idx="0">
                  <c:v>16</c:v>
                </c:pt>
                <c:pt idx="1">
                  <c:v>15.9</c:v>
                </c:pt>
                <c:pt idx="2">
                  <c:v>15.85</c:v>
                </c:pt>
                <c:pt idx="3">
                  <c:v>15.78</c:v>
                </c:pt>
                <c:pt idx="4">
                  <c:v>15.94</c:v>
                </c:pt>
                <c:pt idx="5">
                  <c:v>16.54</c:v>
                </c:pt>
                <c:pt idx="6">
                  <c:v>17.472999999999999</c:v>
                </c:pt>
                <c:pt idx="7">
                  <c:v>17.497</c:v>
                </c:pt>
                <c:pt idx="8">
                  <c:v>16.725999999999999</c:v>
                </c:pt>
                <c:pt idx="9">
                  <c:v>16.619</c:v>
                </c:pt>
                <c:pt idx="10">
                  <c:v>16.597000000000001</c:v>
                </c:pt>
                <c:pt idx="11">
                  <c:v>16.335999999999999</c:v>
                </c:pt>
                <c:pt idx="12">
                  <c:v>16.003</c:v>
                </c:pt>
                <c:pt idx="13">
                  <c:v>15.465999999999999</c:v>
                </c:pt>
                <c:pt idx="14">
                  <c:v>14.529</c:v>
                </c:pt>
                <c:pt idx="15">
                  <c:v>13.625</c:v>
                </c:pt>
                <c:pt idx="16">
                  <c:v>13.564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AC3-48BA-B2CF-3CB707622151}"/>
            </c:ext>
          </c:extLst>
        </c:ser>
        <c:ser>
          <c:idx val="3"/>
          <c:order val="3"/>
          <c:tx>
            <c:strRef>
              <c:f>'Activity Data Rep. Mauritius'!$C$67</c:f>
              <c:strCache>
                <c:ptCount val="1"/>
                <c:pt idx="0">
                  <c:v>Charcoal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'Activity Data Rep. Mauritius'!$M$2:$AC$2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'Activity Data Rep. Mauritius'!$M$67:$AC$67</c:f>
              <c:numCache>
                <c:formatCode>0.00</c:formatCode>
                <c:ptCount val="17"/>
                <c:pt idx="0">
                  <c:v>0.15</c:v>
                </c:pt>
                <c:pt idx="1">
                  <c:v>0.15</c:v>
                </c:pt>
                <c:pt idx="2">
                  <c:v>0.13</c:v>
                </c:pt>
                <c:pt idx="3">
                  <c:v>0.125</c:v>
                </c:pt>
                <c:pt idx="4">
                  <c:v>0.12</c:v>
                </c:pt>
                <c:pt idx="5">
                  <c:v>0.13</c:v>
                </c:pt>
                <c:pt idx="6">
                  <c:v>0.123</c:v>
                </c:pt>
                <c:pt idx="7">
                  <c:v>0.126</c:v>
                </c:pt>
                <c:pt idx="8">
                  <c:v>0.11899999999999999</c:v>
                </c:pt>
                <c:pt idx="9">
                  <c:v>0.11899999999999999</c:v>
                </c:pt>
                <c:pt idx="10">
                  <c:v>0.11899999999999999</c:v>
                </c:pt>
                <c:pt idx="11">
                  <c:v>0.11600000000000001</c:v>
                </c:pt>
                <c:pt idx="12">
                  <c:v>0.114</c:v>
                </c:pt>
                <c:pt idx="13">
                  <c:v>0.111</c:v>
                </c:pt>
                <c:pt idx="14">
                  <c:v>0.10299999999999999</c:v>
                </c:pt>
                <c:pt idx="15">
                  <c:v>9.8000000000000004E-2</c:v>
                </c:pt>
                <c:pt idx="16">
                  <c:v>9.5000000000000001E-2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AC3-48BA-B2CF-3CB707622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0449024"/>
        <c:axId val="710449680"/>
      </c:scatterChart>
      <c:valAx>
        <c:axId val="710449024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449680"/>
        <c:crosses val="autoZero"/>
        <c:crossBetween val="midCat"/>
        <c:majorUnit val="2"/>
      </c:valAx>
      <c:valAx>
        <c:axId val="71044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 b="1">
                    <a:solidFill>
                      <a:sysClr val="windowText" lastClr="000000"/>
                    </a:solidFill>
                  </a:rPr>
                  <a:t>Gg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449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</a:rPr>
              <a:t>Comparison between</a:t>
            </a:r>
            <a:r>
              <a:rPr lang="es-ES" b="1" baseline="0">
                <a:solidFill>
                  <a:sysClr val="windowText" lastClr="000000"/>
                </a:solidFill>
              </a:rPr>
              <a:t> Consultant and Statistics of Mauritius Emissions for</a:t>
            </a:r>
            <a:r>
              <a:rPr lang="es-ES" b="1">
                <a:solidFill>
                  <a:sysClr val="windowText" lastClr="000000"/>
                </a:solidFill>
              </a:rPr>
              <a:t> 1.A. Fuel Combustion</a:t>
            </a:r>
            <a:r>
              <a:rPr lang="es-ES" b="1" baseline="0">
                <a:solidFill>
                  <a:sysClr val="windowText" lastClr="000000"/>
                </a:solidFill>
              </a:rPr>
              <a:t> Activities category </a:t>
            </a:r>
            <a:endParaRPr lang="es-E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1.A. Fuel Combustion Activities (Consultant)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Comparissons!$C$3:$S$3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Comparissons!$C$40:$S$40</c:f>
              <c:numCache>
                <c:formatCode>#,##0.00</c:formatCode>
                <c:ptCount val="17"/>
                <c:pt idx="0">
                  <c:v>2324.1446465615627</c:v>
                </c:pt>
                <c:pt idx="1">
                  <c:v>2484.3633645543819</c:v>
                </c:pt>
                <c:pt idx="2">
                  <c:v>2536.9438607832558</c:v>
                </c:pt>
                <c:pt idx="3">
                  <c:v>2671.4531609332485</c:v>
                </c:pt>
                <c:pt idx="4">
                  <c:v>2697.823977618872</c:v>
                </c:pt>
                <c:pt idx="5">
                  <c:v>2883.828507572799</c:v>
                </c:pt>
                <c:pt idx="6">
                  <c:v>3250.1161598761591</c:v>
                </c:pt>
                <c:pt idx="7">
                  <c:v>3417.319088075315</c:v>
                </c:pt>
                <c:pt idx="8">
                  <c:v>3519.1478747593042</c:v>
                </c:pt>
                <c:pt idx="9">
                  <c:v>3466.8935203263295</c:v>
                </c:pt>
                <c:pt idx="10">
                  <c:v>3725.1370944073283</c:v>
                </c:pt>
                <c:pt idx="11">
                  <c:v>3736.9384153525084</c:v>
                </c:pt>
                <c:pt idx="12">
                  <c:v>3834.7887024259244</c:v>
                </c:pt>
                <c:pt idx="13">
                  <c:v>3944.7702000196323</c:v>
                </c:pt>
                <c:pt idx="14">
                  <c:v>4003.1146606648044</c:v>
                </c:pt>
                <c:pt idx="15">
                  <c:v>4048.4173646813315</c:v>
                </c:pt>
                <c:pt idx="16">
                  <c:v>4176.9472149981566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957-45A5-A576-E133BA9BA40A}"/>
            </c:ext>
          </c:extLst>
        </c:ser>
        <c:ser>
          <c:idx val="1"/>
          <c:order val="1"/>
          <c:tx>
            <c:v>1.A. Fuel Combustion Activities (Statistics Mauritius)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Comparissons!$T$3:$AJ$3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Comparissons!$T$40:$AJ$40</c:f>
              <c:numCache>
                <c:formatCode>#,##0.00</c:formatCode>
                <c:ptCount val="17"/>
                <c:pt idx="0">
                  <c:v>2315.3599999999997</c:v>
                </c:pt>
                <c:pt idx="1">
                  <c:v>2504.2200000000003</c:v>
                </c:pt>
                <c:pt idx="2">
                  <c:v>2521.5100000000002</c:v>
                </c:pt>
                <c:pt idx="3">
                  <c:v>2692.3299999999995</c:v>
                </c:pt>
                <c:pt idx="4">
                  <c:v>2692.89</c:v>
                </c:pt>
                <c:pt idx="5">
                  <c:v>2855.3599999999997</c:v>
                </c:pt>
                <c:pt idx="6">
                  <c:v>3327.74</c:v>
                </c:pt>
                <c:pt idx="7">
                  <c:v>3477.0800000000004</c:v>
                </c:pt>
                <c:pt idx="8">
                  <c:v>3595.26</c:v>
                </c:pt>
                <c:pt idx="9">
                  <c:v>3553.52</c:v>
                </c:pt>
                <c:pt idx="10">
                  <c:v>3788.9799999999996</c:v>
                </c:pt>
                <c:pt idx="11">
                  <c:v>3752.91</c:v>
                </c:pt>
                <c:pt idx="12">
                  <c:v>3875.83</c:v>
                </c:pt>
                <c:pt idx="13">
                  <c:v>3965.63</c:v>
                </c:pt>
                <c:pt idx="14">
                  <c:v>4086.7</c:v>
                </c:pt>
                <c:pt idx="15">
                  <c:v>4087.4600000000005</c:v>
                </c:pt>
                <c:pt idx="16">
                  <c:v>4114.45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957-45A5-A576-E133BA9BA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260776"/>
        <c:axId val="511269632"/>
      </c:scatterChart>
      <c:valAx>
        <c:axId val="511260776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269632"/>
        <c:crosses val="autoZero"/>
        <c:crossBetween val="midCat"/>
      </c:valAx>
      <c:valAx>
        <c:axId val="51126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 b="1">
                    <a:solidFill>
                      <a:sysClr val="windowText" lastClr="000000"/>
                    </a:solidFill>
                  </a:rPr>
                  <a:t>Gg CO2eq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260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1" i="0" baseline="0">
                <a:effectLst/>
              </a:rPr>
              <a:t>Comparison between Consultant and Statistics of Mauritius Emissions for 2. IPPU category 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2"/>
          <c:order val="0"/>
          <c:tx>
            <c:v>2. IPPU (Consultant)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Comparissons!$C$3:$S$3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Comparissons!$C$45:$S$45</c:f>
              <c:numCache>
                <c:formatCode>#,##0.00</c:formatCode>
                <c:ptCount val="17"/>
                <c:pt idx="0">
                  <c:v>71.136090493857395</c:v>
                </c:pt>
                <c:pt idx="1">
                  <c:v>74.167067329141616</c:v>
                </c:pt>
                <c:pt idx="2">
                  <c:v>76.741853088358809</c:v>
                </c:pt>
                <c:pt idx="3">
                  <c:v>79.388829047891861</c:v>
                </c:pt>
                <c:pt idx="4">
                  <c:v>81.683485677693398</c:v>
                </c:pt>
                <c:pt idx="5">
                  <c:v>113.51488537722314</c:v>
                </c:pt>
                <c:pt idx="6">
                  <c:v>108.35071124852188</c:v>
                </c:pt>
                <c:pt idx="7">
                  <c:v>113.65856367832421</c:v>
                </c:pt>
                <c:pt idx="8">
                  <c:v>119.60512949938627</c:v>
                </c:pt>
                <c:pt idx="9">
                  <c:v>138.88517782906871</c:v>
                </c:pt>
                <c:pt idx="10">
                  <c:v>147.18669392232562</c:v>
                </c:pt>
                <c:pt idx="11">
                  <c:v>194.44532707660198</c:v>
                </c:pt>
                <c:pt idx="12">
                  <c:v>216.38933623233379</c:v>
                </c:pt>
                <c:pt idx="13">
                  <c:v>306.89431874289073</c:v>
                </c:pt>
                <c:pt idx="14">
                  <c:v>309.96902476830292</c:v>
                </c:pt>
                <c:pt idx="15">
                  <c:v>313.98779371987439</c:v>
                </c:pt>
                <c:pt idx="16">
                  <c:v>328.28921140651346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86F-44CE-9945-FEC06A5E68C8}"/>
            </c:ext>
          </c:extLst>
        </c:ser>
        <c:ser>
          <c:idx val="3"/>
          <c:order val="1"/>
          <c:tx>
            <c:v>2. IPPU (Statistics Mauritius)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Comparissons!$T$3:$AJ$3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Comparissons!$T$45:$AJ$45</c:f>
              <c:numCache>
                <c:formatCode>General</c:formatCode>
                <c:ptCount val="17"/>
                <c:pt idx="0">
                  <c:v>44.2</c:v>
                </c:pt>
                <c:pt idx="1">
                  <c:v>44.1</c:v>
                </c:pt>
                <c:pt idx="2">
                  <c:v>43.9</c:v>
                </c:pt>
                <c:pt idx="3">
                  <c:v>43.9</c:v>
                </c:pt>
                <c:pt idx="4">
                  <c:v>43.5</c:v>
                </c:pt>
                <c:pt idx="5">
                  <c:v>43.5</c:v>
                </c:pt>
                <c:pt idx="6">
                  <c:v>42.9</c:v>
                </c:pt>
                <c:pt idx="7">
                  <c:v>44.79</c:v>
                </c:pt>
                <c:pt idx="8">
                  <c:v>47.14</c:v>
                </c:pt>
                <c:pt idx="9">
                  <c:v>49.29</c:v>
                </c:pt>
                <c:pt idx="10">
                  <c:v>49.89</c:v>
                </c:pt>
                <c:pt idx="11">
                  <c:v>54.5</c:v>
                </c:pt>
                <c:pt idx="12">
                  <c:v>51</c:v>
                </c:pt>
                <c:pt idx="13">
                  <c:v>43.74</c:v>
                </c:pt>
                <c:pt idx="14">
                  <c:v>44.86</c:v>
                </c:pt>
                <c:pt idx="15">
                  <c:v>40.17</c:v>
                </c:pt>
                <c:pt idx="16">
                  <c:v>42.67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86F-44CE-9945-FEC06A5E6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260776"/>
        <c:axId val="511269632"/>
      </c:scatterChart>
      <c:valAx>
        <c:axId val="511260776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269632"/>
        <c:crosses val="autoZero"/>
        <c:crossBetween val="midCat"/>
      </c:valAx>
      <c:valAx>
        <c:axId val="51126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 b="1">
                    <a:solidFill>
                      <a:sysClr val="windowText" lastClr="000000"/>
                    </a:solidFill>
                  </a:rPr>
                  <a:t>Gg CO2eq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260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1" i="0" baseline="0">
                <a:effectLst/>
              </a:rPr>
              <a:t>Comparison between Consultant and Statistics of Mauritius Emissions for 2. IPPU category 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2"/>
          <c:order val="0"/>
          <c:tx>
            <c:v>2.F (Consultant)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Comparissons!$C$3:$S$3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Comparissons!$C$50:$S$50</c:f>
              <c:numCache>
                <c:formatCode>#,##0.00</c:formatCode>
                <c:ptCount val="17"/>
                <c:pt idx="0">
                  <c:v>48.810817663574454</c:v>
                </c:pt>
                <c:pt idx="1">
                  <c:v>51.245120014038285</c:v>
                </c:pt>
                <c:pt idx="2">
                  <c:v>53.370752011932538</c:v>
                </c:pt>
                <c:pt idx="3">
                  <c:v>55.465914210142664</c:v>
                </c:pt>
                <c:pt idx="4">
                  <c:v>57.517327078621264</c:v>
                </c:pt>
                <c:pt idx="5">
                  <c:v>88.619913016828065</c:v>
                </c:pt>
                <c:pt idx="6">
                  <c:v>82.715715126803872</c:v>
                </c:pt>
                <c:pt idx="7">
                  <c:v>87.943753795283271</c:v>
                </c:pt>
                <c:pt idx="8">
                  <c:v>89.675509557865794</c:v>
                </c:pt>
                <c:pt idx="9">
                  <c:v>104.07935782906873</c:v>
                </c:pt>
                <c:pt idx="10">
                  <c:v>110.05083392232561</c:v>
                </c:pt>
                <c:pt idx="11">
                  <c:v>146.54587707660198</c:v>
                </c:pt>
                <c:pt idx="12">
                  <c:v>169.85270623233379</c:v>
                </c:pt>
                <c:pt idx="13">
                  <c:v>267.27819874289071</c:v>
                </c:pt>
                <c:pt idx="14">
                  <c:v>273.82262476830289</c:v>
                </c:pt>
                <c:pt idx="15">
                  <c:v>282.06219371987436</c:v>
                </c:pt>
                <c:pt idx="16">
                  <c:v>299.21241140651347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8C8-47A3-9DDA-06CEE3FC8946}"/>
            </c:ext>
          </c:extLst>
        </c:ser>
        <c:ser>
          <c:idx val="3"/>
          <c:order val="1"/>
          <c:tx>
            <c:v>2.F (Statistics Mauritius)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Comparissons!$T$3:$AJ$3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Comparissons!$T$50:$AJ$50</c:f>
              <c:numCache>
                <c:formatCode>General</c:formatCode>
                <c:ptCount val="17"/>
                <c:pt idx="6">
                  <c:v>0.9</c:v>
                </c:pt>
                <c:pt idx="7">
                  <c:v>2.8</c:v>
                </c:pt>
                <c:pt idx="8">
                  <c:v>3.8</c:v>
                </c:pt>
                <c:pt idx="9">
                  <c:v>4.5999999999999996</c:v>
                </c:pt>
                <c:pt idx="10">
                  <c:v>5.2</c:v>
                </c:pt>
                <c:pt idx="11">
                  <c:v>5.7</c:v>
                </c:pt>
                <c:pt idx="12">
                  <c:v>6</c:v>
                </c:pt>
                <c:pt idx="13">
                  <c:v>6.2</c:v>
                </c:pt>
                <c:pt idx="14">
                  <c:v>6.92</c:v>
                </c:pt>
                <c:pt idx="15">
                  <c:v>7.77</c:v>
                </c:pt>
                <c:pt idx="16">
                  <c:v>8.92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8C8-47A3-9DDA-06CEE3FC8946}"/>
            </c:ext>
          </c:extLst>
        </c:ser>
        <c:ser>
          <c:idx val="0"/>
          <c:order val="2"/>
          <c:tx>
            <c:v>2.A.2 Lime production (Consultant)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Comparissons!$C$3:$S$3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Comparissons!$C$11:$S$11</c:f>
              <c:numCache>
                <c:formatCode>#,##0.00</c:formatCode>
                <c:ptCount val="17"/>
                <c:pt idx="0">
                  <c:v>2.7547100000000002</c:v>
                </c:pt>
                <c:pt idx="1">
                  <c:v>2.6980699999999995</c:v>
                </c:pt>
                <c:pt idx="2">
                  <c:v>2.4720999999999997</c:v>
                </c:pt>
                <c:pt idx="3">
                  <c:v>2.3487900000000002</c:v>
                </c:pt>
                <c:pt idx="4">
                  <c:v>1.9169099999999999</c:v>
                </c:pt>
                <c:pt idx="5">
                  <c:v>1.9705999999999999</c:v>
                </c:pt>
                <c:pt idx="6">
                  <c:v>2.0354999999999999</c:v>
                </c:pt>
                <c:pt idx="7">
                  <c:v>1.4401899999999999</c:v>
                </c:pt>
                <c:pt idx="8">
                  <c:v>1.3623099999999999</c:v>
                </c:pt>
                <c:pt idx="9">
                  <c:v>1.9458199999999999</c:v>
                </c:pt>
                <c:pt idx="10">
                  <c:v>2.1558599999999997</c:v>
                </c:pt>
                <c:pt idx="11">
                  <c:v>1.36585</c:v>
                </c:pt>
                <c:pt idx="12">
                  <c:v>1.79183</c:v>
                </c:pt>
                <c:pt idx="13">
                  <c:v>1.2909199999999998</c:v>
                </c:pt>
                <c:pt idx="14">
                  <c:v>0.8024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8C8-47A3-9DDA-06CEE3FC8946}"/>
            </c:ext>
          </c:extLst>
        </c:ser>
        <c:ser>
          <c:idx val="1"/>
          <c:order val="3"/>
          <c:tx>
            <c:v>2.C.1 Iron and Steel (Consultant)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Comparissons!$C$3:$S$3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Comparissons!$C$13:$S$13</c:f>
              <c:numCache>
                <c:formatCode>#,##0.00</c:formatCode>
                <c:ptCount val="17"/>
                <c:pt idx="0">
                  <c:v>19.570562830282945</c:v>
                </c:pt>
                <c:pt idx="1">
                  <c:v>20.22387731510333</c:v>
                </c:pt>
                <c:pt idx="2">
                  <c:v>20.899001076426266</c:v>
                </c:pt>
                <c:pt idx="3">
                  <c:v>21.574124837749199</c:v>
                </c:pt>
                <c:pt idx="4">
                  <c:v>22.249248599072132</c:v>
                </c:pt>
                <c:pt idx="5">
                  <c:v>22.924372360395068</c:v>
                </c:pt>
                <c:pt idx="6">
                  <c:v>23.599496121718001</c:v>
                </c:pt>
                <c:pt idx="7">
                  <c:v>24.274619883040934</c:v>
                </c:pt>
                <c:pt idx="8">
                  <c:v>28.567309941520467</c:v>
                </c:pt>
                <c:pt idx="9">
                  <c:v>32.86</c:v>
                </c:pt>
                <c:pt idx="10">
                  <c:v>34.979999999999997</c:v>
                </c:pt>
                <c:pt idx="11">
                  <c:v>37.1</c:v>
                </c:pt>
                <c:pt idx="12">
                  <c:v>34.131999999999998</c:v>
                </c:pt>
                <c:pt idx="13">
                  <c:v>28.302</c:v>
                </c:pt>
                <c:pt idx="14">
                  <c:v>26.5</c:v>
                </c:pt>
                <c:pt idx="15">
                  <c:v>25.44</c:v>
                </c:pt>
                <c:pt idx="16">
                  <c:v>21.411999999999999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8C8-47A3-9DDA-06CEE3FC8946}"/>
            </c:ext>
          </c:extLst>
        </c:ser>
        <c:ser>
          <c:idx val="4"/>
          <c:order val="4"/>
          <c:tx>
            <c:v>2.A.2 Lime production (RoM)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Comparissons!$T$3:$AJ$3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Comparissons!$T$11:$AG$11</c:f>
              <c:numCache>
                <c:formatCode>General</c:formatCode>
                <c:ptCount val="14"/>
                <c:pt idx="0">
                  <c:v>2.57</c:v>
                </c:pt>
                <c:pt idx="1">
                  <c:v>2.52</c:v>
                </c:pt>
                <c:pt idx="2">
                  <c:v>2.31</c:v>
                </c:pt>
                <c:pt idx="3">
                  <c:v>2.19</c:v>
                </c:pt>
                <c:pt idx="4">
                  <c:v>1.79</c:v>
                </c:pt>
                <c:pt idx="5">
                  <c:v>1.84</c:v>
                </c:pt>
                <c:pt idx="6">
                  <c:v>1.53</c:v>
                </c:pt>
                <c:pt idx="7">
                  <c:v>1.49</c:v>
                </c:pt>
                <c:pt idx="8">
                  <c:v>1.49</c:v>
                </c:pt>
                <c:pt idx="9">
                  <c:v>1.49</c:v>
                </c:pt>
                <c:pt idx="10">
                  <c:v>1.49</c:v>
                </c:pt>
                <c:pt idx="11">
                  <c:v>1.49</c:v>
                </c:pt>
                <c:pt idx="12">
                  <c:v>1.49</c:v>
                </c:pt>
                <c:pt idx="13">
                  <c:v>1.49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8C8-47A3-9DDA-06CEE3FC8946}"/>
            </c:ext>
          </c:extLst>
        </c:ser>
        <c:ser>
          <c:idx val="5"/>
          <c:order val="5"/>
          <c:tx>
            <c:v>2.C.1 Iron and Steel (RoM)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Comparissons!$T$3:$AJ$3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Comparissons!$T$13:$AG$13</c:f>
              <c:numCache>
                <c:formatCode>General</c:formatCode>
                <c:ptCount val="14"/>
                <c:pt idx="0">
                  <c:v>41.56</c:v>
                </c:pt>
                <c:pt idx="1">
                  <c:v>41.59</c:v>
                </c:pt>
                <c:pt idx="2">
                  <c:v>41.62</c:v>
                </c:pt>
                <c:pt idx="3">
                  <c:v>41.66</c:v>
                </c:pt>
                <c:pt idx="4">
                  <c:v>41.69</c:v>
                </c:pt>
                <c:pt idx="5">
                  <c:v>41.72</c:v>
                </c:pt>
                <c:pt idx="6">
                  <c:v>40.5</c:v>
                </c:pt>
                <c:pt idx="7">
                  <c:v>40.5</c:v>
                </c:pt>
                <c:pt idx="8">
                  <c:v>41.85</c:v>
                </c:pt>
                <c:pt idx="9">
                  <c:v>43.2</c:v>
                </c:pt>
                <c:pt idx="10">
                  <c:v>43.2</c:v>
                </c:pt>
                <c:pt idx="11">
                  <c:v>47.25</c:v>
                </c:pt>
                <c:pt idx="12">
                  <c:v>43.47</c:v>
                </c:pt>
                <c:pt idx="13">
                  <c:v>36.049999999999997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8C8-47A3-9DDA-06CEE3FC8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260776"/>
        <c:axId val="511269632"/>
      </c:scatterChart>
      <c:valAx>
        <c:axId val="511260776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269632"/>
        <c:crosses val="autoZero"/>
        <c:crossBetween val="midCat"/>
      </c:valAx>
      <c:valAx>
        <c:axId val="5112696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 b="1">
                    <a:solidFill>
                      <a:sysClr val="windowText" lastClr="000000"/>
                    </a:solidFill>
                  </a:rPr>
                  <a:t>Gg CO2eq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260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300"/>
              <a:t>Primary Energy Requirement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143488232040529"/>
          <c:y val="8.0493481176285325E-2"/>
          <c:w val="0.54472572497316774"/>
          <c:h val="0.8961831927888682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75E0-4EBD-9110-6E187F04F3A5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5E0-4EBD-9110-6E187F04F3A5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75E0-4EBD-9110-6E187F04F3A5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6BF-45F7-B313-E57373EAB8E3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5E0-4EBD-9110-6E187F04F3A5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A6BF-45F7-B313-E57373EAB8E3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5E0-4EBD-9110-6E187F04F3A5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75E0-4EBD-9110-6E187F04F3A5}"/>
              </c:ext>
            </c:extLst>
          </c:dPt>
          <c:dLbls>
            <c:dLbl>
              <c:idx val="3"/>
              <c:layout>
                <c:manualLayout>
                  <c:x val="-0.11518473929877267"/>
                  <c:y val="7.87162253676062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BF-45F7-B313-E57373EAB8E3}"/>
                </c:ext>
              </c:extLst>
            </c:dLbl>
            <c:numFmt formatCode="0.00%" sourceLinked="0"/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'Cualitative Analysis'!$B$23:$B$30</c:f>
              <c:strCache>
                <c:ptCount val="8"/>
                <c:pt idx="0">
                  <c:v>Coal</c:v>
                </c:pt>
                <c:pt idx="1">
                  <c:v>Gasolene</c:v>
                </c:pt>
                <c:pt idx="2">
                  <c:v>Diesel Oil</c:v>
                </c:pt>
                <c:pt idx="3">
                  <c:v>Kerosene</c:v>
                </c:pt>
                <c:pt idx="4">
                  <c:v>Aviation Kerosene</c:v>
                </c:pt>
                <c:pt idx="5">
                  <c:v>Fuel Oil</c:v>
                </c:pt>
                <c:pt idx="6">
                  <c:v>LPG</c:v>
                </c:pt>
                <c:pt idx="7">
                  <c:v>Renewable energy</c:v>
                </c:pt>
              </c:strCache>
            </c:strRef>
          </c:cat>
          <c:val>
            <c:numRef>
              <c:f>'Cualitative Analysis'!$AF$23:$AF$30</c:f>
              <c:numCache>
                <c:formatCode>#,##0.00</c:formatCode>
                <c:ptCount val="8"/>
                <c:pt idx="0">
                  <c:v>18744.303600000003</c:v>
                </c:pt>
                <c:pt idx="1">
                  <c:v>8017.7220000000007</c:v>
                </c:pt>
                <c:pt idx="2">
                  <c:v>9068.6088</c:v>
                </c:pt>
                <c:pt idx="3">
                  <c:v>29.307600000000001</c:v>
                </c:pt>
                <c:pt idx="4">
                  <c:v>6803.55</c:v>
                </c:pt>
                <c:pt idx="5">
                  <c:v>11668.6116</c:v>
                </c:pt>
                <c:pt idx="6">
                  <c:v>3525.2856000000002</c:v>
                </c:pt>
                <c:pt idx="7">
                  <c:v>8553.6324000000004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E0-4EBD-9110-6E187F04F3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1">
                <a:solidFill>
                  <a:sysClr val="windowText" lastClr="000000"/>
                </a:solidFill>
              </a:rPr>
              <a:t>Share</a:t>
            </a:r>
            <a:r>
              <a:rPr lang="es-ES" sz="1100" b="1" baseline="0">
                <a:solidFill>
                  <a:sysClr val="windowText" lastClr="000000"/>
                </a:solidFill>
              </a:rPr>
              <a:t> of Industrial activities according to their value added (% of R Million)</a:t>
            </a:r>
            <a:endParaRPr lang="es-ES" sz="11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28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3832287312930977E-6"/>
          <c:y val="0.22745890958301529"/>
          <c:w val="0.82408122546766571"/>
          <c:h val="0.6582259658754235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BCF-4036-8093-13B2B83FCBCD}"/>
              </c:ext>
            </c:extLst>
          </c:dPt>
          <c:dPt>
            <c:idx val="1"/>
            <c:bubble3D val="0"/>
            <c:spPr>
              <a:solidFill>
                <a:schemeClr val="accent1">
                  <a:tint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246-4BEE-A0D7-BFBC54B5BC4B}"/>
              </c:ext>
            </c:extLst>
          </c:dPt>
          <c:dPt>
            <c:idx val="2"/>
            <c:bubble3D val="0"/>
            <c:spPr>
              <a:solidFill>
                <a:schemeClr val="accent1">
                  <a:shade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BBCF-4036-8093-13B2B83FCBCD}"/>
              </c:ext>
            </c:extLst>
          </c:dPt>
          <c:dPt>
            <c:idx val="3"/>
            <c:bubble3D val="0"/>
            <c:spPr>
              <a:solidFill>
                <a:schemeClr val="accent1">
                  <a:shade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BCF-4036-8093-13B2B83FCBCD}"/>
              </c:ext>
            </c:extLst>
          </c:dPt>
          <c:dLbls>
            <c:dLbl>
              <c:idx val="0"/>
              <c:layout>
                <c:manualLayout>
                  <c:x val="6.9358151216664915E-2"/>
                  <c:y val="8.39425474124899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441024241597305"/>
                      <c:h val="0.175807545306866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BCF-4036-8093-13B2B83FCBCD}"/>
                </c:ext>
              </c:extLst>
            </c:dLbl>
            <c:dLbl>
              <c:idx val="2"/>
              <c:layout>
                <c:manualLayout>
                  <c:x val="-1.9037036740046646E-2"/>
                  <c:y val="-0.3034065098080097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7155563201708136"/>
                      <c:h val="0.1774353900579721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BBCF-4036-8093-13B2B83FCBCD}"/>
                </c:ext>
              </c:extLst>
            </c:dLbl>
            <c:dLbl>
              <c:idx val="3"/>
              <c:layout>
                <c:manualLayout>
                  <c:x val="3.1132395602376815E-2"/>
                  <c:y val="-0.176360942686866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658037894380797"/>
                      <c:h val="0.313007944195250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BCF-4036-8093-13B2B83FCB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12700" cap="flat" cmpd="sng" algn="ctr">
                  <a:solidFill>
                    <a:schemeClr val="accent1">
                      <a:lumMod val="7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'Cualitative Analysis'!$B$137:$B$140</c:f>
              <c:strCache>
                <c:ptCount val="4"/>
                <c:pt idx="0">
                  <c:v>Mining and quarrying</c:v>
                </c:pt>
                <c:pt idx="1">
                  <c:v>Manufacture industries</c:v>
                </c:pt>
                <c:pt idx="2">
                  <c:v>Electricity, gas, steam and air conditioning supply</c:v>
                </c:pt>
                <c:pt idx="3">
                  <c:v>Water supply, sewerage, waste management and remediation activities</c:v>
                </c:pt>
              </c:strCache>
            </c:strRef>
          </c:cat>
          <c:val>
            <c:numRef>
              <c:f>'Cualitative Analysis'!$J$137:$J$140</c:f>
              <c:numCache>
                <c:formatCode>0%</c:formatCode>
                <c:ptCount val="4"/>
                <c:pt idx="0">
                  <c:v>1.6105462320601761E-2</c:v>
                </c:pt>
                <c:pt idx="1">
                  <c:v>0.83911458413450446</c:v>
                </c:pt>
                <c:pt idx="2">
                  <c:v>0.11861434570597917</c:v>
                </c:pt>
                <c:pt idx="3">
                  <c:v>2.6165607838914612E-2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CF-4036-8093-13B2B83FCBC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>
                <a:solidFill>
                  <a:sysClr val="windowText" lastClr="000000"/>
                </a:solidFill>
              </a:rPr>
              <a:t>Percentage of primary energy requirement locally produced and imported (% of TJ of energy required)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618096025519901"/>
          <c:y val="0.16670708942130896"/>
          <c:w val="0.5433391318433658"/>
          <c:h val="0.7466783172045268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F2D-4B7E-B481-8BD9E3D1E531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464-450F-9751-578CBBE462B3}"/>
              </c:ext>
            </c:extLst>
          </c:dPt>
          <c:dLbls>
            <c:dLbl>
              <c:idx val="1"/>
              <c:layout>
                <c:manualLayout>
                  <c:x val="-3.2505373841876226E-2"/>
                  <c:y val="0.1053710289951172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64-450F-9751-578CBBE462B3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'Cualitative Analysis'!$AL$31:$AL$32</c:f>
              <c:strCache>
                <c:ptCount val="2"/>
                <c:pt idx="0">
                  <c:v>Energy imported</c:v>
                </c:pt>
                <c:pt idx="1">
                  <c:v>Local energy</c:v>
                </c:pt>
              </c:strCache>
            </c:strRef>
          </c:cat>
          <c:val>
            <c:numRef>
              <c:f>'Cualitative Analysis'!$AM$31:$AM$32</c:f>
              <c:numCache>
                <c:formatCode>0%</c:formatCode>
                <c:ptCount val="2"/>
                <c:pt idx="0">
                  <c:v>0.87120161392006046</c:v>
                </c:pt>
                <c:pt idx="1">
                  <c:v>0.12879838607993946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64-450F-9751-578CBBE462B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68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300" b="1">
                <a:solidFill>
                  <a:sysClr val="windowText" lastClr="000000"/>
                </a:solidFill>
              </a:rPr>
              <a:t>Distribution of Electricity consumption</a:t>
            </a:r>
            <a:r>
              <a:rPr lang="es-ES" sz="1300" b="1" baseline="0">
                <a:solidFill>
                  <a:sysClr val="windowText" lastClr="000000"/>
                </a:solidFill>
              </a:rPr>
              <a:t> by sector (% of GWh)</a:t>
            </a:r>
            <a:endParaRPr lang="es-ES" sz="13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3E4-472E-85AC-0E7C002D713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3E4-472E-85AC-0E7C002D713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3E4-472E-85AC-0E7C002D713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3E4-472E-85AC-0E7C002D7131}"/>
              </c:ext>
            </c:extLst>
          </c:dPt>
          <c:cat>
            <c:strRef>
              <c:f>'Cualitative Analysis'!$AI$52:$AI$55</c:f>
              <c:strCache>
                <c:ptCount val="4"/>
                <c:pt idx="0">
                  <c:v>Manufacturing sector</c:v>
                </c:pt>
                <c:pt idx="1">
                  <c:v>Commercial and Distributive Trade</c:v>
                </c:pt>
                <c:pt idx="2">
                  <c:v>Household</c:v>
                </c:pt>
                <c:pt idx="3">
                  <c:v>Agriculture</c:v>
                </c:pt>
              </c:strCache>
            </c:strRef>
          </c:cat>
          <c:val>
            <c:numRef>
              <c:f>'Cualitative Analysis'!$AJ$52:$AJ$55</c:f>
              <c:numCache>
                <c:formatCode>#,##0.00</c:formatCode>
                <c:ptCount val="4"/>
                <c:pt idx="0">
                  <c:v>1002</c:v>
                </c:pt>
                <c:pt idx="1">
                  <c:v>959</c:v>
                </c:pt>
                <c:pt idx="2">
                  <c:v>901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6D-4B92-B213-E01689B91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cap="none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300" cap="none" baseline="0">
                <a:solidFill>
                  <a:sysClr val="windowText" lastClr="000000"/>
                </a:solidFill>
              </a:rPr>
              <a:t>Distribution of the energy consumption by sector (% of TJ consumed)</a:t>
            </a:r>
          </a:p>
        </c:rich>
      </c:tx>
      <c:layout>
        <c:manualLayout>
          <c:xMode val="edge"/>
          <c:yMode val="edge"/>
          <c:x val="0.16051663885690817"/>
          <c:y val="2.17222679758181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cap="none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3409667977227736E-2"/>
          <c:y val="0.1939761471253201"/>
          <c:w val="0.83318066404554458"/>
          <c:h val="0.7165680184930047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9497-4D7F-B2F4-2A94B8CCDC48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9497-4D7F-B2F4-2A94B8CCDC48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9497-4D7F-B2F4-2A94B8CCDC48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9497-4D7F-B2F4-2A94B8CCDC48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9497-4D7F-B2F4-2A94B8CCDC48}"/>
              </c:ext>
            </c:extLst>
          </c:dPt>
          <c:dLbls>
            <c:dLbl>
              <c:idx val="0"/>
              <c:numFmt formatCode="0.0%" sourceLinked="0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9497-4D7F-B2F4-2A94B8CCDC48}"/>
                </c:ext>
              </c:extLst>
            </c:dLbl>
            <c:dLbl>
              <c:idx val="1"/>
              <c:numFmt formatCode="0.0%" sourceLinked="0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2-9497-4D7F-B2F4-2A94B8CCDC48}"/>
                </c:ext>
              </c:extLst>
            </c:dLbl>
            <c:dLbl>
              <c:idx val="2"/>
              <c:numFmt formatCode="0.0%" sourceLinked="0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9497-4D7F-B2F4-2A94B8CCDC48}"/>
                </c:ext>
              </c:extLst>
            </c:dLbl>
            <c:dLbl>
              <c:idx val="3"/>
              <c:numFmt formatCode="0.0%" sourceLinked="0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9497-4D7F-B2F4-2A94B8CCDC48}"/>
                </c:ext>
              </c:extLst>
            </c:dLbl>
            <c:dLbl>
              <c:idx val="4"/>
              <c:numFmt formatCode="0.0%" sourceLinked="0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9497-4D7F-B2F4-2A94B8CCDC48}"/>
                </c:ext>
              </c:extLst>
            </c:dLbl>
            <c:numFmt formatCode="0.0%" sourceLinked="0"/>
            <c:spPr>
              <a:solidFill>
                <a:sysClr val="window" lastClr="FFFFFF"/>
              </a:solidFill>
              <a:ln>
                <a:solidFill>
                  <a:srgbClr val="4472C4"/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'Cualitative Analysis'!$AI$59:$AI$63</c:f>
              <c:strCache>
                <c:ptCount val="5"/>
                <c:pt idx="0">
                  <c:v>Manufacturing sector</c:v>
                </c:pt>
                <c:pt idx="1">
                  <c:v>Transport sector</c:v>
                </c:pt>
                <c:pt idx="2">
                  <c:v>Commercial and Distributive Trade</c:v>
                </c:pt>
                <c:pt idx="3">
                  <c:v>Household</c:v>
                </c:pt>
                <c:pt idx="4">
                  <c:v>Agriculture</c:v>
                </c:pt>
              </c:strCache>
            </c:strRef>
          </c:cat>
          <c:val>
            <c:numRef>
              <c:f>'Cualitative Analysis'!$AJ$59:$AJ$63</c:f>
              <c:numCache>
                <c:formatCode>#,##0.00</c:formatCode>
                <c:ptCount val="5"/>
                <c:pt idx="0">
                  <c:v>8524.3248000000058</c:v>
                </c:pt>
                <c:pt idx="1">
                  <c:v>22617.093600000004</c:v>
                </c:pt>
                <c:pt idx="2">
                  <c:v>4241.2284000000009</c:v>
                </c:pt>
                <c:pt idx="3">
                  <c:v>5786.408808000001</c:v>
                </c:pt>
                <c:pt idx="4">
                  <c:v>154.91160000000002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97-4D7F-B2F4-2A94B8CCDC48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/>
              <a:t>Distribution of the Primary Electricity Generation by Fuel type</a:t>
            </a:r>
          </a:p>
        </c:rich>
      </c:tx>
      <c:layout>
        <c:manualLayout>
          <c:xMode val="edge"/>
          <c:yMode val="edge"/>
          <c:x val="0.13559322357432593"/>
          <c:y val="2.3275142422795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648723455022666"/>
          <c:y val="9.7313691190175328E-2"/>
          <c:w val="0.73433070866141736"/>
          <c:h val="0.88128829745998549"/>
        </c:manualLayout>
      </c:layout>
      <c:doughnut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A8D-46F4-B846-D2B22C0F6464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8E4-460C-AB98-28E83C65544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8E4-460C-AB98-28E83C65544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8E4-460C-AB98-28E83C65544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8E4-460C-AB98-28E83C65544D}"/>
              </c:ext>
            </c:extLst>
          </c:dPt>
          <c:dLbls>
            <c:dLbl>
              <c:idx val="0"/>
              <c:layout>
                <c:manualLayout>
                  <c:x val="-9.0725650202815561E-2"/>
                  <c:y val="-3.1924294985034844E-2"/>
                </c:manualLayout>
              </c:layout>
              <c:tx>
                <c:rich>
                  <a:bodyPr/>
                  <a:lstStyle/>
                  <a:p>
                    <a:fld id="{88404DA8-E63A-46AB-84DE-0505A33DAA6C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0.001%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A8D-46F4-B846-D2B22C0F6464}"/>
                </c:ext>
              </c:extLst>
            </c:dLbl>
            <c:numFmt formatCode="0%" sourceLinked="0"/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'Cualitative Analysis'!$AK$121:$AK$127</c:f>
              <c:strCache>
                <c:ptCount val="5"/>
                <c:pt idx="0">
                  <c:v>Kerosene</c:v>
                </c:pt>
                <c:pt idx="1">
                  <c:v>Diesel &amp; Fuel oil</c:v>
                </c:pt>
                <c:pt idx="2">
                  <c:v>Coal</c:v>
                </c:pt>
                <c:pt idx="4">
                  <c:v>Revewable</c:v>
                </c:pt>
              </c:strCache>
            </c:strRef>
          </c:cat>
          <c:val>
            <c:numRef>
              <c:f>'Cualitative Analysis'!$AL$121:$AL$127</c:f>
              <c:numCache>
                <c:formatCode>#,##0.00</c:formatCode>
                <c:ptCount val="5"/>
                <c:pt idx="0">
                  <c:v>1.7999999999999999E-2</c:v>
                </c:pt>
                <c:pt idx="1">
                  <c:v>1221.5999999999999</c:v>
                </c:pt>
                <c:pt idx="2">
                  <c:v>1259.5</c:v>
                </c:pt>
                <c:pt idx="4">
                  <c:v>648.70000000000005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8D-46F4-B846-D2B22C0F6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25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/>
              <a:t>Electricity</a:t>
            </a:r>
            <a:r>
              <a:rPr lang="es-ES" sz="1200" baseline="0"/>
              <a:t> Generation by Renewable Energies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968479818669354E-2"/>
          <c:y val="0.14841950664777204"/>
          <c:w val="0.70695324005968552"/>
          <c:h val="0.7596264911696779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5E9-4F3D-9E95-195B754BF8E4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5E9-4F3D-9E95-195B754BF8E4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5E9-4F3D-9E95-195B754BF8E4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5E9-4F3D-9E95-195B754BF8E4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1D2A-4963-9303-0E6FD5D0A76F}"/>
              </c:ext>
            </c:extLst>
          </c:dPt>
          <c:dLbls>
            <c:dLbl>
              <c:idx val="3"/>
              <c:layout>
                <c:manualLayout>
                  <c:x val="2.9417375919529698E-2"/>
                  <c:y val="2.01149379774328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E9-4F3D-9E95-195B754BF8E4}"/>
                </c:ext>
              </c:extLst>
            </c:dLbl>
            <c:dLbl>
              <c:idx val="4"/>
              <c:layout>
                <c:manualLayout>
                  <c:x val="0.12569242438344591"/>
                  <c:y val="-0.1408045658420296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2A-4963-9303-0E6FD5D0A76F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'Cualitative Analysis'!$AK$128:$AK$132</c:f>
              <c:strCache>
                <c:ptCount val="5"/>
                <c:pt idx="0">
                  <c:v>Hydro</c:v>
                </c:pt>
                <c:pt idx="1">
                  <c:v>Landfill gas</c:v>
                </c:pt>
                <c:pt idx="2">
                  <c:v>Photovoltaic</c:v>
                </c:pt>
                <c:pt idx="3">
                  <c:v>Wind</c:v>
                </c:pt>
                <c:pt idx="4">
                  <c:v>Bagasse</c:v>
                </c:pt>
              </c:strCache>
            </c:strRef>
          </c:cat>
          <c:val>
            <c:numRef>
              <c:f>'Cualitative Analysis'!$AM$128:$AM$132</c:f>
              <c:numCache>
                <c:formatCode>0%</c:formatCode>
                <c:ptCount val="5"/>
                <c:pt idx="0">
                  <c:v>0.19192230615076306</c:v>
                </c:pt>
                <c:pt idx="1">
                  <c:v>3.4838908586403573E-2</c:v>
                </c:pt>
                <c:pt idx="2">
                  <c:v>7.615230460921843E-2</c:v>
                </c:pt>
                <c:pt idx="3">
                  <c:v>2.3277323878526282E-2</c:v>
                </c:pt>
                <c:pt idx="4">
                  <c:v>0.67380915677508868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94-443D-8486-F198FA27940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Fuel consumption in Stationary sector (Agriculture)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'Activity Data Rep. Mauritius'!$C$68</c:f>
              <c:strCache>
                <c:ptCount val="1"/>
                <c:pt idx="0">
                  <c:v>Diesel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'Activity Data Rep. Mauritius'!$M$2:$AC$2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'Activity Data Rep. Mauritius'!$M$68:$AC$68</c:f>
              <c:numCache>
                <c:formatCode>0.00</c:formatCode>
                <c:ptCount val="17"/>
                <c:pt idx="0">
                  <c:v>2.456</c:v>
                </c:pt>
                <c:pt idx="1">
                  <c:v>2.7909999999999999</c:v>
                </c:pt>
                <c:pt idx="2">
                  <c:v>2.75</c:v>
                </c:pt>
                <c:pt idx="3">
                  <c:v>2.9289999999999998</c:v>
                </c:pt>
                <c:pt idx="4">
                  <c:v>3.1469999999999998</c:v>
                </c:pt>
                <c:pt idx="5">
                  <c:v>2.9950000000000001</c:v>
                </c:pt>
                <c:pt idx="6">
                  <c:v>3.0489999999999999</c:v>
                </c:pt>
                <c:pt idx="7">
                  <c:v>3.1039736227045074</c:v>
                </c:pt>
                <c:pt idx="8">
                  <c:v>3.1599384225796472</c:v>
                </c:pt>
                <c:pt idx="9">
                  <c:v>3.2169122705994471</c:v>
                </c:pt>
                <c:pt idx="10">
                  <c:v>3.274913359952492</c:v>
                </c:pt>
                <c:pt idx="11">
                  <c:v>3.3339602118514686</c:v>
                </c:pt>
                <c:pt idx="12">
                  <c:v>3.3940716814474547</c:v>
                </c:pt>
                <c:pt idx="13">
                  <c:v>3.4552669638508484</c:v>
                </c:pt>
                <c:pt idx="14">
                  <c:v>2.2829999999999999</c:v>
                </c:pt>
                <c:pt idx="15">
                  <c:v>2.306</c:v>
                </c:pt>
                <c:pt idx="16">
                  <c:v>2.2669999999999999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787-4EA5-96B1-2AA32BFFD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0449024"/>
        <c:axId val="710449680"/>
      </c:scatterChart>
      <c:valAx>
        <c:axId val="710449024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449680"/>
        <c:crosses val="autoZero"/>
        <c:crossBetween val="midCat"/>
        <c:majorUnit val="2"/>
      </c:valAx>
      <c:valAx>
        <c:axId val="71044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 b="1">
                    <a:solidFill>
                      <a:sysClr val="windowText" lastClr="000000"/>
                    </a:solidFill>
                  </a:rPr>
                  <a:t>Gg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449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b="1">
                <a:solidFill>
                  <a:sysClr val="windowText" lastClr="000000"/>
                </a:solidFill>
              </a:rPr>
              <a:t>Evolution of Fuel Mix for</a:t>
            </a:r>
            <a:r>
              <a:rPr lang="es-ES" sz="1400" b="1" baseline="0">
                <a:solidFill>
                  <a:sysClr val="windowText" lastClr="000000"/>
                </a:solidFill>
              </a:rPr>
              <a:t> Electricity Generation in Mauritius</a:t>
            </a:r>
            <a:endParaRPr lang="es-ES" sz="14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'Cualitative Analysis'!$B$121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'Cualitative Analysis'!$D$118:$AD$118</c15:sqref>
                  </c15:fullRef>
                </c:ext>
              </c:extLst>
              <c:f>'Cualitative Analysis'!$N$118:$AD$118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'Cualitative Analysis'!$D$121:$AF$121</c15:sqref>
                  </c15:fullRef>
                </c:ext>
              </c:extLst>
              <c:f>'Cualitative Analysis'!$N$121:$AF$121</c:f>
              <c:numCache>
                <c:formatCode>#,##0.00</c:formatCode>
                <c:ptCount val="19"/>
                <c:pt idx="0">
                  <c:v>95.65285999999999</c:v>
                </c:pt>
                <c:pt idx="1">
                  <c:v>70.819982999999993</c:v>
                </c:pt>
                <c:pt idx="2">
                  <c:v>85.862152000000009</c:v>
                </c:pt>
                <c:pt idx="3">
                  <c:v>117.77066599999999</c:v>
                </c:pt>
                <c:pt idx="4">
                  <c:v>122.27339599999999</c:v>
                </c:pt>
                <c:pt idx="5">
                  <c:v>114.881326</c:v>
                </c:pt>
                <c:pt idx="6">
                  <c:v>76.642099999999985</c:v>
                </c:pt>
                <c:pt idx="7">
                  <c:v>83.858481999999995</c:v>
                </c:pt>
                <c:pt idx="8">
                  <c:v>108.03488499999999</c:v>
                </c:pt>
                <c:pt idx="9">
                  <c:v>122.41049</c:v>
                </c:pt>
                <c:pt idx="10">
                  <c:v>100.72934000000001</c:v>
                </c:pt>
                <c:pt idx="11">
                  <c:v>56.484045000000002</c:v>
                </c:pt>
                <c:pt idx="12">
                  <c:v>74.072968000000003</c:v>
                </c:pt>
                <c:pt idx="13">
                  <c:v>94.835795999999988</c:v>
                </c:pt>
                <c:pt idx="14">
                  <c:v>90.839302000000004</c:v>
                </c:pt>
                <c:pt idx="15">
                  <c:v>121.88387200000003</c:v>
                </c:pt>
                <c:pt idx="16">
                  <c:v>99.5</c:v>
                </c:pt>
                <c:pt idx="17">
                  <c:v>89.8</c:v>
                </c:pt>
                <c:pt idx="18" formatCode="0.00">
                  <c:v>124.5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F9-4B64-B0CB-A1B448BB1E0B}"/>
            </c:ext>
          </c:extLst>
        </c:ser>
        <c:ser>
          <c:idx val="1"/>
          <c:order val="1"/>
          <c:tx>
            <c:strRef>
              <c:f>'Cualitative Analysis'!$B$122</c:f>
              <c:strCache>
                <c:ptCount val="1"/>
                <c:pt idx="0">
                  <c:v>Landfill gas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'Cualitative Analysis'!$D$118:$AD$118</c15:sqref>
                  </c15:fullRef>
                </c:ext>
              </c:extLst>
              <c:f>'Cualitative Analysis'!$N$118:$AD$118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'Cualitative Analysis'!$D$122:$AF$122</c15:sqref>
                  </c15:fullRef>
                </c:ext>
              </c:extLst>
              <c:f>'Cualitative Analysis'!$N$122:$AF$122</c:f>
              <c:numCache>
                <c:formatCode>#,##0.00</c:formatCode>
                <c:ptCount val="19"/>
                <c:pt idx="11">
                  <c:v>3.141086</c:v>
                </c:pt>
                <c:pt idx="12">
                  <c:v>17.795811</c:v>
                </c:pt>
                <c:pt idx="13">
                  <c:v>20.014196999999999</c:v>
                </c:pt>
                <c:pt idx="14">
                  <c:v>21.326725</c:v>
                </c:pt>
                <c:pt idx="15">
                  <c:v>20.358331</c:v>
                </c:pt>
                <c:pt idx="16">
                  <c:v>18.7</c:v>
                </c:pt>
                <c:pt idx="17">
                  <c:v>16.899999999999999</c:v>
                </c:pt>
                <c:pt idx="18" formatCode="0.00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F9-4B64-B0CB-A1B448BB1E0B}"/>
            </c:ext>
          </c:extLst>
        </c:ser>
        <c:ser>
          <c:idx val="2"/>
          <c:order val="2"/>
          <c:tx>
            <c:strRef>
              <c:f>'Cualitative Analysis'!$B$123</c:f>
              <c:strCache>
                <c:ptCount val="1"/>
                <c:pt idx="0">
                  <c:v>Photovoltaic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'Cualitative Analysis'!$D$118:$AD$118</c15:sqref>
                  </c15:fullRef>
                </c:ext>
              </c:extLst>
              <c:f>'Cualitative Analysis'!$N$118:$AD$118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'Cualitative Analysis'!$D$123:$AF$123</c15:sqref>
                  </c15:fullRef>
                </c:ext>
              </c:extLst>
              <c:f>'Cualitative Analysis'!$N$123:$AF$123</c:f>
              <c:numCache>
                <c:formatCode>#,##0.00</c:formatCode>
                <c:ptCount val="19"/>
                <c:pt idx="12">
                  <c:v>0.9</c:v>
                </c:pt>
                <c:pt idx="13">
                  <c:v>2.7</c:v>
                </c:pt>
                <c:pt idx="14">
                  <c:v>24.6</c:v>
                </c:pt>
                <c:pt idx="15">
                  <c:v>25.9</c:v>
                </c:pt>
                <c:pt idx="16">
                  <c:v>30.3</c:v>
                </c:pt>
                <c:pt idx="17">
                  <c:v>39.200000000000003</c:v>
                </c:pt>
                <c:pt idx="18" formatCode="0.00">
                  <c:v>49.4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F9-4B64-B0CB-A1B448BB1E0B}"/>
            </c:ext>
          </c:extLst>
        </c:ser>
        <c:ser>
          <c:idx val="3"/>
          <c:order val="3"/>
          <c:tx>
            <c:strRef>
              <c:f>'Cualitative Analysis'!$B$124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'Cualitative Analysis'!$D$118:$AD$118</c15:sqref>
                  </c15:fullRef>
                </c:ext>
              </c:extLst>
              <c:f>'Cualitative Analysis'!$N$118:$AD$118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'Cualitative Analysis'!$D$124:$AF$124</c15:sqref>
                  </c15:fullRef>
                </c:ext>
              </c:extLst>
              <c:f>'Cualitative Analysis'!$N$124:$AF$124</c:f>
              <c:numCache>
                <c:formatCode>#,##0.00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0.43359999999999999</c:v>
                </c:pt>
                <c:pt idx="5">
                  <c:v>0.44169999999999998</c:v>
                </c:pt>
                <c:pt idx="6">
                  <c:v>0.40789999999999998</c:v>
                </c:pt>
                <c:pt idx="7">
                  <c:v>0.39856999999999998</c:v>
                </c:pt>
                <c:pt idx="8">
                  <c:v>0.36770000000000003</c:v>
                </c:pt>
                <c:pt idx="9">
                  <c:v>1.50078</c:v>
                </c:pt>
                <c:pt idx="10">
                  <c:v>2.510583</c:v>
                </c:pt>
                <c:pt idx="11">
                  <c:v>2.8251900000000001</c:v>
                </c:pt>
                <c:pt idx="12">
                  <c:v>3.5693370000000004</c:v>
                </c:pt>
                <c:pt idx="13">
                  <c:v>3.6216532864706794</c:v>
                </c:pt>
                <c:pt idx="14">
                  <c:v>3.1943897210000003</c:v>
                </c:pt>
                <c:pt idx="15">
                  <c:v>2.6567930000000004</c:v>
                </c:pt>
                <c:pt idx="16">
                  <c:v>3.4999999999999964</c:v>
                </c:pt>
                <c:pt idx="17">
                  <c:v>14.6</c:v>
                </c:pt>
                <c:pt idx="18" formatCode="0.00">
                  <c:v>15.1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F9-4B64-B0CB-A1B448BB1E0B}"/>
            </c:ext>
          </c:extLst>
        </c:ser>
        <c:ser>
          <c:idx val="4"/>
          <c:order val="4"/>
          <c:tx>
            <c:strRef>
              <c:f>'Cualitative Analysis'!$B$128</c:f>
              <c:strCache>
                <c:ptCount val="1"/>
                <c:pt idx="0">
                  <c:v>Gas turbine (kerosene)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'Cualitative Analysis'!$D$118:$AD$118</c15:sqref>
                  </c15:fullRef>
                </c:ext>
              </c:extLst>
              <c:f>'Cualitative Analysis'!$N$118:$AD$118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'Cualitative Analysis'!$D$128:$AF$128</c15:sqref>
                  </c15:fullRef>
                </c:ext>
              </c:extLst>
              <c:f>'Cualitative Analysis'!$N$128:$AF$128</c:f>
              <c:numCache>
                <c:formatCode>#,##0.00</c:formatCode>
                <c:ptCount val="19"/>
                <c:pt idx="0">
                  <c:v>42.772599999999997</c:v>
                </c:pt>
                <c:pt idx="1">
                  <c:v>12.0517</c:v>
                </c:pt>
                <c:pt idx="2">
                  <c:v>17.98555</c:v>
                </c:pt>
                <c:pt idx="3">
                  <c:v>32.274529999999999</c:v>
                </c:pt>
                <c:pt idx="4">
                  <c:v>44.286560000000001</c:v>
                </c:pt>
                <c:pt idx="5">
                  <c:v>56.203600000000002</c:v>
                </c:pt>
                <c:pt idx="6">
                  <c:v>5.7321</c:v>
                </c:pt>
                <c:pt idx="7">
                  <c:v>3.1876000000000002</c:v>
                </c:pt>
                <c:pt idx="8">
                  <c:v>6.5815000000000001</c:v>
                </c:pt>
                <c:pt idx="9">
                  <c:v>15.277304000000001</c:v>
                </c:pt>
                <c:pt idx="10">
                  <c:v>18.948927000000001</c:v>
                </c:pt>
                <c:pt idx="11">
                  <c:v>11.58</c:v>
                </c:pt>
                <c:pt idx="12">
                  <c:v>10.9838</c:v>
                </c:pt>
                <c:pt idx="13">
                  <c:v>1.6682999999999999</c:v>
                </c:pt>
                <c:pt idx="14">
                  <c:v>1.9911000000000001</c:v>
                </c:pt>
                <c:pt idx="15">
                  <c:v>2.0057999999999998</c:v>
                </c:pt>
                <c:pt idx="16">
                  <c:v>2.1</c:v>
                </c:pt>
                <c:pt idx="17">
                  <c:v>2.7</c:v>
                </c:pt>
                <c:pt idx="18" formatCode="0.00">
                  <c:v>1.7999999999999999E-2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F9-4B64-B0CB-A1B448BB1E0B}"/>
            </c:ext>
          </c:extLst>
        </c:ser>
        <c:ser>
          <c:idx val="5"/>
          <c:order val="5"/>
          <c:tx>
            <c:strRef>
              <c:f>'Cualitative Analysis'!$B$129</c:f>
              <c:strCache>
                <c:ptCount val="1"/>
                <c:pt idx="0">
                  <c:v>Diesel &amp; Fuel oil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'Cualitative Analysis'!$D$118:$AD$118</c15:sqref>
                  </c15:fullRef>
                </c:ext>
              </c:extLst>
              <c:f>'Cualitative Analysis'!$N$118:$AD$118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'Cualitative Analysis'!$D$129:$AF$129</c15:sqref>
                  </c15:fullRef>
                </c:ext>
              </c:extLst>
              <c:f>'Cualitative Analysis'!$N$129:$AF$129</c:f>
              <c:numCache>
                <c:formatCode>#,##0.00</c:formatCode>
                <c:ptCount val="19"/>
                <c:pt idx="0">
                  <c:v>845.3029150000001</c:v>
                </c:pt>
                <c:pt idx="1">
                  <c:v>885.04018800000006</c:v>
                </c:pt>
                <c:pt idx="2">
                  <c:v>887.40720599999997</c:v>
                </c:pt>
                <c:pt idx="3">
                  <c:v>984.974468</c:v>
                </c:pt>
                <c:pt idx="4">
                  <c:v>1058.3066119999999</c:v>
                </c:pt>
                <c:pt idx="5">
                  <c:v>1038.01827</c:v>
                </c:pt>
                <c:pt idx="6">
                  <c:v>1023.350864</c:v>
                </c:pt>
                <c:pt idx="7">
                  <c:v>915.68177500000002</c:v>
                </c:pt>
                <c:pt idx="8">
                  <c:v>827.12251900000001</c:v>
                </c:pt>
                <c:pt idx="9">
                  <c:v>937.96146799999985</c:v>
                </c:pt>
                <c:pt idx="10">
                  <c:v>976.58942400000001</c:v>
                </c:pt>
                <c:pt idx="11">
                  <c:v>1058.6862819999999</c:v>
                </c:pt>
                <c:pt idx="12">
                  <c:v>1057.0487660000001</c:v>
                </c:pt>
                <c:pt idx="13">
                  <c:v>1076.113102</c:v>
                </c:pt>
                <c:pt idx="14">
                  <c:v>1079.25884</c:v>
                </c:pt>
                <c:pt idx="15">
                  <c:v>1131.2438750000001</c:v>
                </c:pt>
                <c:pt idx="16">
                  <c:v>1109.8</c:v>
                </c:pt>
                <c:pt idx="17">
                  <c:v>1181.3</c:v>
                </c:pt>
                <c:pt idx="18" formatCode="0.00">
                  <c:v>1221.5999999999999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FF9-4B64-B0CB-A1B448BB1E0B}"/>
            </c:ext>
          </c:extLst>
        </c:ser>
        <c:ser>
          <c:idx val="6"/>
          <c:order val="6"/>
          <c:tx>
            <c:strRef>
              <c:f>'Cualitative Analysis'!$B$132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'Cualitative Analysis'!$D$118:$AD$118</c15:sqref>
                  </c15:fullRef>
                </c:ext>
              </c:extLst>
              <c:f>'Cualitative Analysis'!$N$118:$AD$118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'Cualitative Analysis'!$D$132:$AF$132</c15:sqref>
                  </c15:fullRef>
                </c:ext>
              </c:extLst>
              <c:f>'Cualitative Analysis'!$N$132:$AF$132</c:f>
              <c:numCache>
                <c:formatCode>#,##0.00</c:formatCode>
                <c:ptCount val="19"/>
                <c:pt idx="0">
                  <c:v>363.29</c:v>
                </c:pt>
                <c:pt idx="1">
                  <c:v>465.29</c:v>
                </c:pt>
                <c:pt idx="2">
                  <c:v>505.46899999999999</c:v>
                </c:pt>
                <c:pt idx="3">
                  <c:v>497.58</c:v>
                </c:pt>
                <c:pt idx="4">
                  <c:v>470.34</c:v>
                </c:pt>
                <c:pt idx="5">
                  <c:v>609.73400000000004</c:v>
                </c:pt>
                <c:pt idx="6">
                  <c:v>798.34836700000005</c:v>
                </c:pt>
                <c:pt idx="7">
                  <c:v>993.60206600000004</c:v>
                </c:pt>
                <c:pt idx="8">
                  <c:v>1128.729734</c:v>
                </c:pt>
                <c:pt idx="9">
                  <c:v>1015.25578</c:v>
                </c:pt>
                <c:pt idx="10">
                  <c:v>1115.853357</c:v>
                </c:pt>
                <c:pt idx="11">
                  <c:v>1119.3828610000003</c:v>
                </c:pt>
                <c:pt idx="12">
                  <c:v>1162.2731080000001</c:v>
                </c:pt>
                <c:pt idx="13">
                  <c:v>1213.5528300000001</c:v>
                </c:pt>
                <c:pt idx="14">
                  <c:v>1259.4965419999999</c:v>
                </c:pt>
                <c:pt idx="15">
                  <c:v>1181.6926880000001</c:v>
                </c:pt>
                <c:pt idx="16">
                  <c:v>1266.8</c:v>
                </c:pt>
                <c:pt idx="17">
                  <c:v>1312</c:v>
                </c:pt>
                <c:pt idx="18" formatCode="0.00">
                  <c:v>1259.5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FF9-4B64-B0CB-A1B448BB1E0B}"/>
            </c:ext>
          </c:extLst>
        </c:ser>
        <c:ser>
          <c:idx val="7"/>
          <c:order val="7"/>
          <c:tx>
            <c:strRef>
              <c:f>'Cualitative Analysis'!$B$133</c:f>
              <c:strCache>
                <c:ptCount val="1"/>
                <c:pt idx="0">
                  <c:v>Bagasse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'Cualitative Analysis'!$D$118:$AD$118</c15:sqref>
                  </c15:fullRef>
                </c:ext>
              </c:extLst>
              <c:f>'Cualitative Analysis'!$N$118:$AD$118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'Cualitative Analysis'!$D$133:$AF$133</c15:sqref>
                  </c15:fullRef>
                </c:ext>
              </c:extLst>
              <c:f>'Cualitative Analysis'!$N$133:$AF$133</c:f>
              <c:numCache>
                <c:formatCode>#,##0.00</c:formatCode>
                <c:ptCount val="19"/>
                <c:pt idx="0">
                  <c:v>430.49</c:v>
                </c:pt>
                <c:pt idx="1">
                  <c:v>477.62</c:v>
                </c:pt>
                <c:pt idx="2">
                  <c:v>452.13400000000001</c:v>
                </c:pt>
                <c:pt idx="3">
                  <c:v>448.92</c:v>
                </c:pt>
                <c:pt idx="4">
                  <c:v>469.58</c:v>
                </c:pt>
                <c:pt idx="5">
                  <c:v>452.87099999999998</c:v>
                </c:pt>
                <c:pt idx="6">
                  <c:v>445.74503799999991</c:v>
                </c:pt>
                <c:pt idx="7">
                  <c:v>467.92107400000003</c:v>
                </c:pt>
                <c:pt idx="8">
                  <c:v>486.40424999999999</c:v>
                </c:pt>
                <c:pt idx="9">
                  <c:v>485.03085499999992</c:v>
                </c:pt>
                <c:pt idx="10">
                  <c:v>474.07597800000002</c:v>
                </c:pt>
                <c:pt idx="11">
                  <c:v>486.49219000000005</c:v>
                </c:pt>
                <c:pt idx="12">
                  <c:v>470.49515900000006</c:v>
                </c:pt>
                <c:pt idx="13">
                  <c:v>472.78504700000002</c:v>
                </c:pt>
                <c:pt idx="14">
                  <c:v>456.22989100000001</c:v>
                </c:pt>
                <c:pt idx="15">
                  <c:v>509.8410164</c:v>
                </c:pt>
                <c:pt idx="16">
                  <c:v>497</c:v>
                </c:pt>
                <c:pt idx="17">
                  <c:v>463.2</c:v>
                </c:pt>
                <c:pt idx="18" formatCode="0.00">
                  <c:v>437.1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FF9-4B64-B0CB-A1B448BB1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4986104"/>
        <c:axId val="644986432"/>
      </c:areaChart>
      <c:catAx>
        <c:axId val="644986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986432"/>
        <c:crosses val="autoZero"/>
        <c:auto val="1"/>
        <c:lblAlgn val="ctr"/>
        <c:lblOffset val="100"/>
        <c:tickMarkSkip val="2"/>
        <c:noMultiLvlLbl val="0"/>
      </c:catAx>
      <c:valAx>
        <c:axId val="64498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>
                    <a:solidFill>
                      <a:sysClr val="windowText" lastClr="000000"/>
                    </a:solidFill>
                  </a:rPr>
                  <a:t>Electricity Generation 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9861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Lime Production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'Activity Data Rep. Mauritius'!$C$72</c:f>
              <c:strCache>
                <c:ptCount val="1"/>
                <c:pt idx="0">
                  <c:v>Hydrated lime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'Activity Data Rep. Mauritius'!$M$2:$AC$2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'Activity Data Rep. Mauritius'!$M$72:$AC$72</c:f>
              <c:numCache>
                <c:formatCode>0.00</c:formatCode>
                <c:ptCount val="17"/>
                <c:pt idx="0">
                  <c:v>4669</c:v>
                </c:pt>
                <c:pt idx="1">
                  <c:v>4573</c:v>
                </c:pt>
                <c:pt idx="2">
                  <c:v>4190</c:v>
                </c:pt>
                <c:pt idx="3">
                  <c:v>3981</c:v>
                </c:pt>
                <c:pt idx="4">
                  <c:v>3249</c:v>
                </c:pt>
                <c:pt idx="5">
                  <c:v>3340</c:v>
                </c:pt>
                <c:pt idx="6">
                  <c:v>3450</c:v>
                </c:pt>
                <c:pt idx="7">
                  <c:v>2441</c:v>
                </c:pt>
                <c:pt idx="8">
                  <c:v>2309</c:v>
                </c:pt>
                <c:pt idx="9">
                  <c:v>3298</c:v>
                </c:pt>
                <c:pt idx="10">
                  <c:v>3654</c:v>
                </c:pt>
                <c:pt idx="11">
                  <c:v>2315</c:v>
                </c:pt>
                <c:pt idx="12">
                  <c:v>3037</c:v>
                </c:pt>
                <c:pt idx="13">
                  <c:v>2188</c:v>
                </c:pt>
                <c:pt idx="14">
                  <c:v>1360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91F-409E-A542-88AB7D2DB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0449024"/>
        <c:axId val="710449680"/>
      </c:scatterChart>
      <c:valAx>
        <c:axId val="710449024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449680"/>
        <c:crosses val="autoZero"/>
        <c:crossBetween val="midCat"/>
        <c:majorUnit val="2"/>
      </c:valAx>
      <c:valAx>
        <c:axId val="7104496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 b="1">
                    <a:solidFill>
                      <a:sysClr val="windowText" lastClr="000000"/>
                    </a:solidFill>
                  </a:rPr>
                  <a:t>Gg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449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Iron and Steel Production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'Activity Data Rep. Mauritius'!$C$73</c:f>
              <c:strCache>
                <c:ptCount val="1"/>
                <c:pt idx="0">
                  <c:v>Iron and steel production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'Activity Data Rep. Mauritius'!$M$2:$AC$2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'Activity Data Rep. Mauritius'!$M$73:$AC$73</c:f>
              <c:numCache>
                <c:formatCode>0.00</c:formatCode>
                <c:ptCount val="17"/>
                <c:pt idx="0">
                  <c:v>18462.795122908439</c:v>
                </c:pt>
                <c:pt idx="1">
                  <c:v>19079.129542550312</c:v>
                </c:pt>
                <c:pt idx="2">
                  <c:v>19716.038751345532</c:v>
                </c:pt>
                <c:pt idx="3">
                  <c:v>20352.947960140751</c:v>
                </c:pt>
                <c:pt idx="4">
                  <c:v>20989.857168935974</c:v>
                </c:pt>
                <c:pt idx="5">
                  <c:v>21626.766377731194</c:v>
                </c:pt>
                <c:pt idx="6">
                  <c:v>22263.675586526417</c:v>
                </c:pt>
                <c:pt idx="7">
                  <c:v>22900.584795321636</c:v>
                </c:pt>
                <c:pt idx="8">
                  <c:v>26950.292397660818</c:v>
                </c:pt>
                <c:pt idx="9">
                  <c:v>31000</c:v>
                </c:pt>
                <c:pt idx="10">
                  <c:v>33000</c:v>
                </c:pt>
                <c:pt idx="11">
                  <c:v>35000</c:v>
                </c:pt>
                <c:pt idx="12">
                  <c:v>32200</c:v>
                </c:pt>
                <c:pt idx="13">
                  <c:v>26700</c:v>
                </c:pt>
                <c:pt idx="14">
                  <c:v>25000</c:v>
                </c:pt>
                <c:pt idx="15">
                  <c:v>24000</c:v>
                </c:pt>
                <c:pt idx="16">
                  <c:v>20200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BD-4E79-8B6B-368881677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0449024"/>
        <c:axId val="710449680"/>
      </c:scatterChart>
      <c:valAx>
        <c:axId val="710449024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449680"/>
        <c:crosses val="autoZero"/>
        <c:crossBetween val="midCat"/>
        <c:majorUnit val="2"/>
      </c:valAx>
      <c:valAx>
        <c:axId val="71044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 b="1">
                    <a:solidFill>
                      <a:sysClr val="windowText" lastClr="000000"/>
                    </a:solidFill>
                  </a:rPr>
                  <a:t>Gg</a:t>
                </a:r>
              </a:p>
            </c:rich>
          </c:tx>
          <c:layout>
            <c:manualLayout>
              <c:xMode val="edge"/>
              <c:yMode val="edge"/>
              <c:x val="1.6943442920942828E-2"/>
              <c:y val="0.384718728340775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449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6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13" Type="http://schemas.openxmlformats.org/officeDocument/2006/relationships/chart" Target="../charts/chart36.xml"/><Relationship Id="rId18" Type="http://schemas.openxmlformats.org/officeDocument/2006/relationships/chart" Target="../charts/chart41.xml"/><Relationship Id="rId26" Type="http://schemas.openxmlformats.org/officeDocument/2006/relationships/chart" Target="../charts/chart49.xml"/><Relationship Id="rId3" Type="http://schemas.openxmlformats.org/officeDocument/2006/relationships/chart" Target="../charts/chart26.xml"/><Relationship Id="rId21" Type="http://schemas.openxmlformats.org/officeDocument/2006/relationships/chart" Target="../charts/chart44.xml"/><Relationship Id="rId34" Type="http://schemas.openxmlformats.org/officeDocument/2006/relationships/chart" Target="../charts/chart57.xml"/><Relationship Id="rId7" Type="http://schemas.openxmlformats.org/officeDocument/2006/relationships/chart" Target="../charts/chart30.xml"/><Relationship Id="rId12" Type="http://schemas.openxmlformats.org/officeDocument/2006/relationships/chart" Target="../charts/chart35.xml"/><Relationship Id="rId17" Type="http://schemas.openxmlformats.org/officeDocument/2006/relationships/chart" Target="../charts/chart40.xml"/><Relationship Id="rId25" Type="http://schemas.openxmlformats.org/officeDocument/2006/relationships/chart" Target="../charts/chart48.xml"/><Relationship Id="rId33" Type="http://schemas.openxmlformats.org/officeDocument/2006/relationships/chart" Target="../charts/chart56.xml"/><Relationship Id="rId2" Type="http://schemas.openxmlformats.org/officeDocument/2006/relationships/chart" Target="../charts/chart25.xml"/><Relationship Id="rId16" Type="http://schemas.openxmlformats.org/officeDocument/2006/relationships/chart" Target="../charts/chart39.xml"/><Relationship Id="rId20" Type="http://schemas.openxmlformats.org/officeDocument/2006/relationships/chart" Target="../charts/chart43.xml"/><Relationship Id="rId29" Type="http://schemas.openxmlformats.org/officeDocument/2006/relationships/chart" Target="../charts/chart52.xml"/><Relationship Id="rId1" Type="http://schemas.openxmlformats.org/officeDocument/2006/relationships/chart" Target="../charts/chart24.xml"/><Relationship Id="rId6" Type="http://schemas.openxmlformats.org/officeDocument/2006/relationships/chart" Target="../charts/chart29.xml"/><Relationship Id="rId11" Type="http://schemas.openxmlformats.org/officeDocument/2006/relationships/chart" Target="../charts/chart34.xml"/><Relationship Id="rId24" Type="http://schemas.openxmlformats.org/officeDocument/2006/relationships/chart" Target="../charts/chart47.xml"/><Relationship Id="rId32" Type="http://schemas.openxmlformats.org/officeDocument/2006/relationships/chart" Target="../charts/chart55.xml"/><Relationship Id="rId5" Type="http://schemas.openxmlformats.org/officeDocument/2006/relationships/chart" Target="../charts/chart28.xml"/><Relationship Id="rId15" Type="http://schemas.openxmlformats.org/officeDocument/2006/relationships/chart" Target="../charts/chart38.xml"/><Relationship Id="rId23" Type="http://schemas.openxmlformats.org/officeDocument/2006/relationships/chart" Target="../charts/chart46.xml"/><Relationship Id="rId28" Type="http://schemas.openxmlformats.org/officeDocument/2006/relationships/chart" Target="../charts/chart51.xml"/><Relationship Id="rId10" Type="http://schemas.openxmlformats.org/officeDocument/2006/relationships/chart" Target="../charts/chart33.xml"/><Relationship Id="rId19" Type="http://schemas.openxmlformats.org/officeDocument/2006/relationships/chart" Target="../charts/chart42.xml"/><Relationship Id="rId31" Type="http://schemas.openxmlformats.org/officeDocument/2006/relationships/chart" Target="../charts/chart54.xml"/><Relationship Id="rId4" Type="http://schemas.openxmlformats.org/officeDocument/2006/relationships/chart" Target="../charts/chart27.xml"/><Relationship Id="rId9" Type="http://schemas.openxmlformats.org/officeDocument/2006/relationships/chart" Target="../charts/chart32.xml"/><Relationship Id="rId14" Type="http://schemas.openxmlformats.org/officeDocument/2006/relationships/chart" Target="../charts/chart37.xml"/><Relationship Id="rId22" Type="http://schemas.openxmlformats.org/officeDocument/2006/relationships/chart" Target="../charts/chart45.xml"/><Relationship Id="rId27" Type="http://schemas.openxmlformats.org/officeDocument/2006/relationships/chart" Target="../charts/chart50.xml"/><Relationship Id="rId30" Type="http://schemas.openxmlformats.org/officeDocument/2006/relationships/chart" Target="../charts/chart53.xml"/><Relationship Id="rId35" Type="http://schemas.openxmlformats.org/officeDocument/2006/relationships/chart" Target="../charts/chart5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0.xml"/><Relationship Id="rId3" Type="http://schemas.openxmlformats.org/officeDocument/2006/relationships/chart" Target="../charts/chart65.xml"/><Relationship Id="rId7" Type="http://schemas.openxmlformats.org/officeDocument/2006/relationships/chart" Target="../charts/chart69.xml"/><Relationship Id="rId2" Type="http://schemas.openxmlformats.org/officeDocument/2006/relationships/chart" Target="../charts/chart64.xml"/><Relationship Id="rId1" Type="http://schemas.openxmlformats.org/officeDocument/2006/relationships/chart" Target="../charts/chart63.xml"/><Relationship Id="rId6" Type="http://schemas.openxmlformats.org/officeDocument/2006/relationships/chart" Target="../charts/chart68.xml"/><Relationship Id="rId5" Type="http://schemas.openxmlformats.org/officeDocument/2006/relationships/chart" Target="../charts/chart67.xml"/><Relationship Id="rId4" Type="http://schemas.openxmlformats.org/officeDocument/2006/relationships/chart" Target="../charts/chart6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219074</xdr:colOff>
      <xdr:row>95</xdr:row>
      <xdr:rowOff>180976</xdr:rowOff>
    </xdr:from>
    <xdr:to>
      <xdr:col>23</xdr:col>
      <xdr:colOff>566736</xdr:colOff>
      <xdr:row>120</xdr:row>
      <xdr:rowOff>66676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3AE045B-8ECB-4A0D-AA2E-99693AF206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457198</xdr:colOff>
      <xdr:row>96</xdr:row>
      <xdr:rowOff>9526</xdr:rowOff>
    </xdr:from>
    <xdr:to>
      <xdr:col>45</xdr:col>
      <xdr:colOff>562236</xdr:colOff>
      <xdr:row>120</xdr:row>
      <xdr:rowOff>33338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5E95E1BA-D47E-4EA0-8CCD-17042AE296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219074</xdr:colOff>
      <xdr:row>120</xdr:row>
      <xdr:rowOff>180976</xdr:rowOff>
    </xdr:from>
    <xdr:to>
      <xdr:col>23</xdr:col>
      <xdr:colOff>566736</xdr:colOff>
      <xdr:row>143</xdr:row>
      <xdr:rowOff>180976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6572D8AD-D9FA-489E-A439-0C643D953B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195262</xdr:colOff>
      <xdr:row>120</xdr:row>
      <xdr:rowOff>180976</xdr:rowOff>
    </xdr:from>
    <xdr:to>
      <xdr:col>34</xdr:col>
      <xdr:colOff>380999</xdr:colOff>
      <xdr:row>144</xdr:row>
      <xdr:rowOff>9526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528A2AFF-DA01-40AF-A96E-81AE1CF7F7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514348</xdr:colOff>
      <xdr:row>121</xdr:row>
      <xdr:rowOff>9526</xdr:rowOff>
    </xdr:from>
    <xdr:to>
      <xdr:col>45</xdr:col>
      <xdr:colOff>357187</xdr:colOff>
      <xdr:row>144</xdr:row>
      <xdr:rowOff>28576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E2781590-0EF8-4D5F-929E-1464587F9F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180974</xdr:colOff>
      <xdr:row>144</xdr:row>
      <xdr:rowOff>142876</xdr:rowOff>
    </xdr:from>
    <xdr:to>
      <xdr:col>23</xdr:col>
      <xdr:colOff>442911</xdr:colOff>
      <xdr:row>167</xdr:row>
      <xdr:rowOff>161926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F5E3EF2-53CD-4251-9C07-040CE74E5E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628649</xdr:colOff>
      <xdr:row>144</xdr:row>
      <xdr:rowOff>123826</xdr:rowOff>
    </xdr:from>
    <xdr:to>
      <xdr:col>34</xdr:col>
      <xdr:colOff>276224</xdr:colOff>
      <xdr:row>167</xdr:row>
      <xdr:rowOff>142876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1B23832F-6904-496D-BF32-C4026CFE2E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34</xdr:col>
      <xdr:colOff>609598</xdr:colOff>
      <xdr:row>144</xdr:row>
      <xdr:rowOff>161926</xdr:rowOff>
    </xdr:from>
    <xdr:to>
      <xdr:col>45</xdr:col>
      <xdr:colOff>452437</xdr:colOff>
      <xdr:row>167</xdr:row>
      <xdr:rowOff>180976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67581EC5-B14A-498E-83BE-D1E47DD295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85724</xdr:colOff>
      <xdr:row>168</xdr:row>
      <xdr:rowOff>123826</xdr:rowOff>
    </xdr:from>
    <xdr:to>
      <xdr:col>23</xdr:col>
      <xdr:colOff>347661</xdr:colOff>
      <xdr:row>191</xdr:row>
      <xdr:rowOff>142876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7B2435D0-7BB1-47EA-9B81-990F24917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585786</xdr:colOff>
      <xdr:row>168</xdr:row>
      <xdr:rowOff>142876</xdr:rowOff>
    </xdr:from>
    <xdr:to>
      <xdr:col>34</xdr:col>
      <xdr:colOff>276224</xdr:colOff>
      <xdr:row>191</xdr:row>
      <xdr:rowOff>161926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B0E4B9EE-2166-476D-B49A-1F70017D55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34</xdr:col>
      <xdr:colOff>609598</xdr:colOff>
      <xdr:row>168</xdr:row>
      <xdr:rowOff>142876</xdr:rowOff>
    </xdr:from>
    <xdr:to>
      <xdr:col>45</xdr:col>
      <xdr:colOff>452437</xdr:colOff>
      <xdr:row>191</xdr:row>
      <xdr:rowOff>161926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4416D6F8-0E08-4B3C-BF36-D42C2376F1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176892</xdr:colOff>
      <xdr:row>96</xdr:row>
      <xdr:rowOff>13607</xdr:rowOff>
    </xdr:from>
    <xdr:to>
      <xdr:col>35</xdr:col>
      <xdr:colOff>157161</xdr:colOff>
      <xdr:row>120</xdr:row>
      <xdr:rowOff>89807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EA109AA7-71B1-4AC3-83A2-17EFBA2124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545524</xdr:colOff>
      <xdr:row>46</xdr:row>
      <xdr:rowOff>34636</xdr:rowOff>
    </xdr:from>
    <xdr:to>
      <xdr:col>19</xdr:col>
      <xdr:colOff>796636</xdr:colOff>
      <xdr:row>72</xdr:row>
      <xdr:rowOff>17318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362514B-E17C-4783-BBAB-6324130FB3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865907</xdr:colOff>
      <xdr:row>72</xdr:row>
      <xdr:rowOff>83127</xdr:rowOff>
    </xdr:from>
    <xdr:to>
      <xdr:col>32</xdr:col>
      <xdr:colOff>381000</xdr:colOff>
      <xdr:row>98</xdr:row>
      <xdr:rowOff>0</xdr:rowOff>
    </xdr:to>
    <xdr:graphicFrame macro="">
      <xdr:nvGraphicFramePr>
        <xdr:cNvPr id="3" name="Gráfico 1">
          <a:extLst>
            <a:ext uri="{FF2B5EF4-FFF2-40B4-BE49-F238E27FC236}">
              <a16:creationId xmlns:a16="http://schemas.microsoft.com/office/drawing/2014/main" id="{5610E48D-9AA3-4FF9-B4F2-3A463B6BC4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883227</xdr:colOff>
      <xdr:row>46</xdr:row>
      <xdr:rowOff>34636</xdr:rowOff>
    </xdr:from>
    <xdr:to>
      <xdr:col>32</xdr:col>
      <xdr:colOff>389657</xdr:colOff>
      <xdr:row>72</xdr:row>
      <xdr:rowOff>17318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709A969-7C99-4321-A2E1-E91CCA4302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554182</xdr:colOff>
      <xdr:row>72</xdr:row>
      <xdr:rowOff>103909</xdr:rowOff>
    </xdr:from>
    <xdr:to>
      <xdr:col>19</xdr:col>
      <xdr:colOff>813957</xdr:colOff>
      <xdr:row>98</xdr:row>
      <xdr:rowOff>20782</xdr:rowOff>
    </xdr:to>
    <xdr:graphicFrame macro="">
      <xdr:nvGraphicFramePr>
        <xdr:cNvPr id="6" name="Gráfico 1">
          <a:extLst>
            <a:ext uri="{FF2B5EF4-FFF2-40B4-BE49-F238E27FC236}">
              <a16:creationId xmlns:a16="http://schemas.microsoft.com/office/drawing/2014/main" id="{BCC85A2B-F60B-4F45-9C79-904172A854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640771</xdr:colOff>
      <xdr:row>46</xdr:row>
      <xdr:rowOff>51954</xdr:rowOff>
    </xdr:from>
    <xdr:to>
      <xdr:col>20</xdr:col>
      <xdr:colOff>138544</xdr:colOff>
      <xdr:row>71</xdr:row>
      <xdr:rowOff>173182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A3B1915-BA23-404F-8E46-E0B7A6E86A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259773</xdr:colOff>
      <xdr:row>46</xdr:row>
      <xdr:rowOff>34637</xdr:rowOff>
    </xdr:from>
    <xdr:to>
      <xdr:col>34</xdr:col>
      <xdr:colOff>519546</xdr:colOff>
      <xdr:row>71</xdr:row>
      <xdr:rowOff>155865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3F5B3A8-CEDB-428A-BF17-4B18413B74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268430</xdr:colOff>
      <xdr:row>72</xdr:row>
      <xdr:rowOff>100445</xdr:rowOff>
    </xdr:from>
    <xdr:to>
      <xdr:col>34</xdr:col>
      <xdr:colOff>554181</xdr:colOff>
      <xdr:row>97</xdr:row>
      <xdr:rowOff>121227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03549A3D-7BE0-457C-A625-425C307774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606136</xdr:colOff>
      <xdr:row>72</xdr:row>
      <xdr:rowOff>103909</xdr:rowOff>
    </xdr:from>
    <xdr:to>
      <xdr:col>20</xdr:col>
      <xdr:colOff>129887</xdr:colOff>
      <xdr:row>97</xdr:row>
      <xdr:rowOff>124691</xdr:rowOff>
    </xdr:to>
    <xdr:graphicFrame macro="">
      <xdr:nvGraphicFramePr>
        <xdr:cNvPr id="7" name="Gráfico 2">
          <a:extLst>
            <a:ext uri="{FF2B5EF4-FFF2-40B4-BE49-F238E27FC236}">
              <a16:creationId xmlns:a16="http://schemas.microsoft.com/office/drawing/2014/main" id="{A6804618-CFE1-4A13-B22C-C77FF5E346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275544</xdr:colOff>
      <xdr:row>106</xdr:row>
      <xdr:rowOff>146277</xdr:rowOff>
    </xdr:from>
    <xdr:to>
      <xdr:col>10</xdr:col>
      <xdr:colOff>746846</xdr:colOff>
      <xdr:row>129</xdr:row>
      <xdr:rowOff>136381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E2739C7-5834-429E-8759-FC7DFD7D73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847042</xdr:colOff>
      <xdr:row>106</xdr:row>
      <xdr:rowOff>171017</xdr:rowOff>
    </xdr:from>
    <xdr:to>
      <xdr:col>18</xdr:col>
      <xdr:colOff>32470</xdr:colOff>
      <xdr:row>129</xdr:row>
      <xdr:rowOff>136381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07FAB89-CFBA-4454-AD15-0881E0E8B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311727</xdr:colOff>
      <xdr:row>106</xdr:row>
      <xdr:rowOff>178440</xdr:rowOff>
    </xdr:from>
    <xdr:to>
      <xdr:col>30</xdr:col>
      <xdr:colOff>17318</xdr:colOff>
      <xdr:row>129</xdr:row>
      <xdr:rowOff>136381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2AB2603-A06F-4D70-A6E2-76312761DA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509587</xdr:colOff>
      <xdr:row>117</xdr:row>
      <xdr:rowOff>171843</xdr:rowOff>
    </xdr:from>
    <xdr:to>
      <xdr:col>12</xdr:col>
      <xdr:colOff>428624</xdr:colOff>
      <xdr:row>143</xdr:row>
      <xdr:rowOff>87026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E3C6EFE-28BD-4A92-89EA-A25DDCE769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619124</xdr:colOff>
      <xdr:row>117</xdr:row>
      <xdr:rowOff>164956</xdr:rowOff>
    </xdr:from>
    <xdr:to>
      <xdr:col>21</xdr:col>
      <xdr:colOff>604837</xdr:colOff>
      <xdr:row>143</xdr:row>
      <xdr:rowOff>80139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3384807-BD17-4F50-93EC-17817D565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743381</xdr:colOff>
      <xdr:row>117</xdr:row>
      <xdr:rowOff>164957</xdr:rowOff>
    </xdr:from>
    <xdr:to>
      <xdr:col>35</xdr:col>
      <xdr:colOff>501793</xdr:colOff>
      <xdr:row>143</xdr:row>
      <xdr:rowOff>80140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C5174F1-FDCE-4A54-A13E-1649F76195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295274</xdr:colOff>
      <xdr:row>144</xdr:row>
      <xdr:rowOff>109538</xdr:rowOff>
    </xdr:from>
    <xdr:to>
      <xdr:col>28</xdr:col>
      <xdr:colOff>166686</xdr:colOff>
      <xdr:row>174</xdr:row>
      <xdr:rowOff>133350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FCC90AA0-F140-46EA-88AB-6A7744EFE0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602673</xdr:colOff>
      <xdr:row>144</xdr:row>
      <xdr:rowOff>90054</xdr:rowOff>
    </xdr:from>
    <xdr:to>
      <xdr:col>15</xdr:col>
      <xdr:colOff>187036</xdr:colOff>
      <xdr:row>174</xdr:row>
      <xdr:rowOff>142009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8C3A6F-CECE-4FC4-AD60-FA30042058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27710</xdr:colOff>
      <xdr:row>176</xdr:row>
      <xdr:rowOff>62346</xdr:rowOff>
    </xdr:from>
    <xdr:to>
      <xdr:col>12</xdr:col>
      <xdr:colOff>583626</xdr:colOff>
      <xdr:row>199</xdr:row>
      <xdr:rowOff>65809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FCC29046-27E6-4048-8DBE-38E2C250D9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852055</xdr:colOff>
      <xdr:row>176</xdr:row>
      <xdr:rowOff>79664</xdr:rowOff>
    </xdr:from>
    <xdr:to>
      <xdr:col>21</xdr:col>
      <xdr:colOff>656361</xdr:colOff>
      <xdr:row>199</xdr:row>
      <xdr:rowOff>83127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D8AC742C-0D69-40E2-86AC-A0BE01FB6E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186458</xdr:colOff>
      <xdr:row>176</xdr:row>
      <xdr:rowOff>79664</xdr:rowOff>
    </xdr:from>
    <xdr:to>
      <xdr:col>33</xdr:col>
      <xdr:colOff>393699</xdr:colOff>
      <xdr:row>199</xdr:row>
      <xdr:rowOff>139699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E6233E43-52BC-4D26-A63C-00CFA2981D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33</xdr:col>
      <xdr:colOff>694459</xdr:colOff>
      <xdr:row>176</xdr:row>
      <xdr:rowOff>3463</xdr:rowOff>
    </xdr:from>
    <xdr:to>
      <xdr:col>45</xdr:col>
      <xdr:colOff>10393</xdr:colOff>
      <xdr:row>199</xdr:row>
      <xdr:rowOff>13276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3840DE26-D7A4-4492-B06A-A49911E230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52387</xdr:colOff>
      <xdr:row>201</xdr:row>
      <xdr:rowOff>47625</xdr:rowOff>
    </xdr:from>
    <xdr:to>
      <xdr:col>14</xdr:col>
      <xdr:colOff>542924</xdr:colOff>
      <xdr:row>227</xdr:row>
      <xdr:rowOff>23812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22B572A2-A408-49FF-93E1-A191E79F19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807026</xdr:colOff>
      <xdr:row>201</xdr:row>
      <xdr:rowOff>17318</xdr:rowOff>
    </xdr:from>
    <xdr:to>
      <xdr:col>27</xdr:col>
      <xdr:colOff>477981</xdr:colOff>
      <xdr:row>227</xdr:row>
      <xdr:rowOff>69273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52C1B4C8-2C40-4B47-8649-72A5A6953F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27</xdr:col>
      <xdr:colOff>668482</xdr:colOff>
      <xdr:row>201</xdr:row>
      <xdr:rowOff>51955</xdr:rowOff>
    </xdr:from>
    <xdr:to>
      <xdr:col>42</xdr:col>
      <xdr:colOff>169719</xdr:colOff>
      <xdr:row>227</xdr:row>
      <xdr:rowOff>103910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CF57925C-5404-4F94-A63C-E7C1BB87CF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51089</xdr:colOff>
      <xdr:row>228</xdr:row>
      <xdr:rowOff>149370</xdr:rowOff>
    </xdr:from>
    <xdr:to>
      <xdr:col>12</xdr:col>
      <xdr:colOff>607005</xdr:colOff>
      <xdr:row>251</xdr:row>
      <xdr:rowOff>152833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150D7566-F7AD-4167-8157-D9CB5E81FA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754208</xdr:colOff>
      <xdr:row>228</xdr:row>
      <xdr:rowOff>166688</xdr:rowOff>
    </xdr:from>
    <xdr:to>
      <xdr:col>21</xdr:col>
      <xdr:colOff>669351</xdr:colOff>
      <xdr:row>251</xdr:row>
      <xdr:rowOff>170151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87D6E23-9D2E-4D8F-BACC-C2724FF03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22</xdr:col>
      <xdr:colOff>54552</xdr:colOff>
      <xdr:row>228</xdr:row>
      <xdr:rowOff>166688</xdr:rowOff>
    </xdr:from>
    <xdr:to>
      <xdr:col>33</xdr:col>
      <xdr:colOff>139413</xdr:colOff>
      <xdr:row>251</xdr:row>
      <xdr:rowOff>170151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87572BB4-ABB0-499A-8BEA-9E1BF870F2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137679</xdr:colOff>
      <xdr:row>252</xdr:row>
      <xdr:rowOff>97416</xdr:rowOff>
    </xdr:from>
    <xdr:to>
      <xdr:col>12</xdr:col>
      <xdr:colOff>693595</xdr:colOff>
      <xdr:row>275</xdr:row>
      <xdr:rowOff>100879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483F6A46-AFFA-4E44-864D-535FED406A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840798</xdr:colOff>
      <xdr:row>252</xdr:row>
      <xdr:rowOff>62779</xdr:rowOff>
    </xdr:from>
    <xdr:to>
      <xdr:col>21</xdr:col>
      <xdr:colOff>755941</xdr:colOff>
      <xdr:row>275</xdr:row>
      <xdr:rowOff>66242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4F99ABEA-2733-4853-918A-DFFD9DA645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22</xdr:col>
      <xdr:colOff>196561</xdr:colOff>
      <xdr:row>252</xdr:row>
      <xdr:rowOff>80097</xdr:rowOff>
    </xdr:from>
    <xdr:to>
      <xdr:col>33</xdr:col>
      <xdr:colOff>277959</xdr:colOff>
      <xdr:row>275</xdr:row>
      <xdr:rowOff>83560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E3521EEE-B722-40CE-BE4C-535C7EC8F6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</xdr:col>
      <xdr:colOff>68408</xdr:colOff>
      <xdr:row>276</xdr:row>
      <xdr:rowOff>45460</xdr:rowOff>
    </xdr:from>
    <xdr:to>
      <xdr:col>12</xdr:col>
      <xdr:colOff>624324</xdr:colOff>
      <xdr:row>299</xdr:row>
      <xdr:rowOff>48923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4805705F-EA27-4EE0-AD54-0F33652FC4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12</xdr:col>
      <xdr:colOff>806161</xdr:colOff>
      <xdr:row>276</xdr:row>
      <xdr:rowOff>45461</xdr:rowOff>
    </xdr:from>
    <xdr:to>
      <xdr:col>21</xdr:col>
      <xdr:colOff>721304</xdr:colOff>
      <xdr:row>299</xdr:row>
      <xdr:rowOff>48924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426D808E-E27B-4E56-A0AE-55B05F6742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22</xdr:col>
      <xdr:colOff>317789</xdr:colOff>
      <xdr:row>276</xdr:row>
      <xdr:rowOff>28143</xdr:rowOff>
    </xdr:from>
    <xdr:to>
      <xdr:col>33</xdr:col>
      <xdr:colOff>399187</xdr:colOff>
      <xdr:row>299</xdr:row>
      <xdr:rowOff>31606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54D52CDF-D3F7-401E-AD5A-D47704D2B0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33</xdr:col>
      <xdr:colOff>529070</xdr:colOff>
      <xdr:row>276</xdr:row>
      <xdr:rowOff>28142</xdr:rowOff>
    </xdr:from>
    <xdr:to>
      <xdr:col>44</xdr:col>
      <xdr:colOff>607004</xdr:colOff>
      <xdr:row>299</xdr:row>
      <xdr:rowOff>31605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id="{5F0AD358-C695-44DC-9456-47904AA966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33</xdr:col>
      <xdr:colOff>414338</xdr:colOff>
      <xdr:row>229</xdr:row>
      <xdr:rowOff>0</xdr:rowOff>
    </xdr:from>
    <xdr:to>
      <xdr:col>47</xdr:col>
      <xdr:colOff>57150</xdr:colOff>
      <xdr:row>260</xdr:row>
      <xdr:rowOff>47624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73AD2058-F2A8-41D8-8D26-6D262C2988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47</xdr:col>
      <xdr:colOff>533400</xdr:colOff>
      <xdr:row>228</xdr:row>
      <xdr:rowOff>142874</xdr:rowOff>
    </xdr:from>
    <xdr:to>
      <xdr:col>61</xdr:col>
      <xdr:colOff>700087</xdr:colOff>
      <xdr:row>259</xdr:row>
      <xdr:rowOff>119061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id="{32432223-F93D-43A2-A8FD-DC035A6552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36</xdr:col>
      <xdr:colOff>148997</xdr:colOff>
      <xdr:row>117</xdr:row>
      <xdr:rowOff>138567</xdr:rowOff>
    </xdr:from>
    <xdr:to>
      <xdr:col>49</xdr:col>
      <xdr:colOff>615434</xdr:colOff>
      <xdr:row>143</xdr:row>
      <xdr:rowOff>56925</xdr:rowOff>
    </xdr:to>
    <xdr:graphicFrame macro="">
      <xdr:nvGraphicFramePr>
        <xdr:cNvPr id="36" name="Gráfico 35">
          <a:extLst>
            <a:ext uri="{FF2B5EF4-FFF2-40B4-BE49-F238E27FC236}">
              <a16:creationId xmlns:a16="http://schemas.microsoft.com/office/drawing/2014/main" id="{C4F00B2A-D540-4580-A445-931903EB36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29</xdr:col>
      <xdr:colOff>346364</xdr:colOff>
      <xdr:row>144</xdr:row>
      <xdr:rowOff>107372</xdr:rowOff>
    </xdr:from>
    <xdr:to>
      <xdr:col>43</xdr:col>
      <xdr:colOff>155865</xdr:colOff>
      <xdr:row>170</xdr:row>
      <xdr:rowOff>22555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1DE0F81B-7D86-4D22-9BBB-C492CA081F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50</xdr:col>
      <xdr:colOff>156729</xdr:colOff>
      <xdr:row>110</xdr:row>
      <xdr:rowOff>130175</xdr:rowOff>
    </xdr:from>
    <xdr:to>
      <xdr:col>67</xdr:col>
      <xdr:colOff>111124</xdr:colOff>
      <xdr:row>143</xdr:row>
      <xdr:rowOff>21690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4DB46E47-B38B-48D9-ACE7-0CD2AF137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43</xdr:col>
      <xdr:colOff>635000</xdr:colOff>
      <xdr:row>144</xdr:row>
      <xdr:rowOff>63500</xdr:rowOff>
    </xdr:from>
    <xdr:to>
      <xdr:col>57</xdr:col>
      <xdr:colOff>444501</xdr:colOff>
      <xdr:row>169</xdr:row>
      <xdr:rowOff>169183</xdr:rowOff>
    </xdr:to>
    <xdr:graphicFrame macro="">
      <xdr:nvGraphicFramePr>
        <xdr:cNvPr id="40" name="Gráfico 39">
          <a:extLst>
            <a:ext uri="{FF2B5EF4-FFF2-40B4-BE49-F238E27FC236}">
              <a16:creationId xmlns:a16="http://schemas.microsoft.com/office/drawing/2014/main" id="{3CB41D87-6397-41C6-B0F7-8C5A91AB6A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57</xdr:col>
      <xdr:colOff>650875</xdr:colOff>
      <xdr:row>144</xdr:row>
      <xdr:rowOff>31750</xdr:rowOff>
    </xdr:from>
    <xdr:to>
      <xdr:col>71</xdr:col>
      <xdr:colOff>460376</xdr:colOff>
      <xdr:row>169</xdr:row>
      <xdr:rowOff>137433</xdr:rowOff>
    </xdr:to>
    <xdr:graphicFrame macro="">
      <xdr:nvGraphicFramePr>
        <xdr:cNvPr id="41" name="Gráfico 40">
          <a:extLst>
            <a:ext uri="{FF2B5EF4-FFF2-40B4-BE49-F238E27FC236}">
              <a16:creationId xmlns:a16="http://schemas.microsoft.com/office/drawing/2014/main" id="{EAC11E74-C3F6-4A5B-AB2C-0B25856110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42</xdr:col>
      <xdr:colOff>381000</xdr:colOff>
      <xdr:row>201</xdr:row>
      <xdr:rowOff>47625</xdr:rowOff>
    </xdr:from>
    <xdr:to>
      <xdr:col>56</xdr:col>
      <xdr:colOff>190501</xdr:colOff>
      <xdr:row>226</xdr:row>
      <xdr:rowOff>153308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id="{321F67C2-C717-4199-8326-C65F23D71D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72</xdr:col>
      <xdr:colOff>0</xdr:colOff>
      <xdr:row>144</xdr:row>
      <xdr:rowOff>25400</xdr:rowOff>
    </xdr:from>
    <xdr:to>
      <xdr:col>85</xdr:col>
      <xdr:colOff>571501</xdr:colOff>
      <xdr:row>169</xdr:row>
      <xdr:rowOff>131083</xdr:rowOff>
    </xdr:to>
    <xdr:graphicFrame macro="">
      <xdr:nvGraphicFramePr>
        <xdr:cNvPr id="43" name="Gráfico 42">
          <a:extLst>
            <a:ext uri="{FF2B5EF4-FFF2-40B4-BE49-F238E27FC236}">
              <a16:creationId xmlns:a16="http://schemas.microsoft.com/office/drawing/2014/main" id="{0F94841B-2979-40F1-AAA4-81494A4A0F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62</xdr:col>
      <xdr:colOff>307975</xdr:colOff>
      <xdr:row>228</xdr:row>
      <xdr:rowOff>53975</xdr:rowOff>
    </xdr:from>
    <xdr:to>
      <xdr:col>76</xdr:col>
      <xdr:colOff>714375</xdr:colOff>
      <xdr:row>259</xdr:row>
      <xdr:rowOff>111125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1857F0C9-8E70-477C-8333-3C1DC121B9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4</xdr:col>
      <xdr:colOff>0</xdr:colOff>
      <xdr:row>303</xdr:row>
      <xdr:rowOff>0</xdr:rowOff>
    </xdr:from>
    <xdr:to>
      <xdr:col>13</xdr:col>
      <xdr:colOff>428625</xdr:colOff>
      <xdr:row>329</xdr:row>
      <xdr:rowOff>174625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id="{FC480D14-F23B-452F-87F8-33DD1E83CF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14</xdr:col>
      <xdr:colOff>0</xdr:colOff>
      <xdr:row>303</xdr:row>
      <xdr:rowOff>0</xdr:rowOff>
    </xdr:from>
    <xdr:to>
      <xdr:col>26</xdr:col>
      <xdr:colOff>46037</xdr:colOff>
      <xdr:row>328</xdr:row>
      <xdr:rowOff>166687</xdr:rowOff>
    </xdr:to>
    <xdr:graphicFrame macro="">
      <xdr:nvGraphicFramePr>
        <xdr:cNvPr id="46" name="Gráfico 45">
          <a:extLst>
            <a:ext uri="{FF2B5EF4-FFF2-40B4-BE49-F238E27FC236}">
              <a16:creationId xmlns:a16="http://schemas.microsoft.com/office/drawing/2014/main" id="{B102F003-B995-48E5-BB94-26EFBCF483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26</xdr:col>
      <xdr:colOff>508000</xdr:colOff>
      <xdr:row>302</xdr:row>
      <xdr:rowOff>158750</xdr:rowOff>
    </xdr:from>
    <xdr:to>
      <xdr:col>40</xdr:col>
      <xdr:colOff>649287</xdr:colOff>
      <xdr:row>328</xdr:row>
      <xdr:rowOff>134937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id="{211A91BE-74E1-46CC-9440-AD05648819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402957</xdr:colOff>
      <xdr:row>42</xdr:row>
      <xdr:rowOff>180851</xdr:rowOff>
    </xdr:from>
    <xdr:to>
      <xdr:col>41</xdr:col>
      <xdr:colOff>398627</xdr:colOff>
      <xdr:row>57</xdr:row>
      <xdr:rowOff>52944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5A7086E-548F-4AF9-BA5F-B2BE3267A9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103910</xdr:colOff>
      <xdr:row>51</xdr:row>
      <xdr:rowOff>152399</xdr:rowOff>
    </xdr:from>
    <xdr:to>
      <xdr:col>28</xdr:col>
      <xdr:colOff>259774</xdr:colOff>
      <xdr:row>74</xdr:row>
      <xdr:rowOff>155863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C0F4110-F2B4-4DA1-92AE-4C5875B1F5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329046</xdr:colOff>
      <xdr:row>51</xdr:row>
      <xdr:rowOff>155863</xdr:rowOff>
    </xdr:from>
    <xdr:to>
      <xdr:col>37</xdr:col>
      <xdr:colOff>381000</xdr:colOff>
      <xdr:row>74</xdr:row>
      <xdr:rowOff>155862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D3AC037-03AE-45E8-965C-EF717636E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312965</xdr:colOff>
      <xdr:row>75</xdr:row>
      <xdr:rowOff>40822</xdr:rowOff>
    </xdr:from>
    <xdr:to>
      <xdr:col>37</xdr:col>
      <xdr:colOff>364919</xdr:colOff>
      <xdr:row>98</xdr:row>
      <xdr:rowOff>40821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9FAD9E-5300-4932-B859-7E8536EEC8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249145</xdr:colOff>
      <xdr:row>3</xdr:row>
      <xdr:rowOff>188633</xdr:rowOff>
    </xdr:from>
    <xdr:to>
      <xdr:col>45</xdr:col>
      <xdr:colOff>557893</xdr:colOff>
      <xdr:row>26</xdr:row>
      <xdr:rowOff>163287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3AACA07-9088-446E-9AEF-5DCCD0EE33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532451</xdr:colOff>
      <xdr:row>148</xdr:row>
      <xdr:rowOff>272</xdr:rowOff>
    </xdr:from>
    <xdr:to>
      <xdr:col>16</xdr:col>
      <xdr:colOff>640772</xdr:colOff>
      <xdr:row>159</xdr:row>
      <xdr:rowOff>62143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E54CC52-F5E9-40B1-8F34-1B970A1D86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39</xdr:col>
      <xdr:colOff>619124</xdr:colOff>
      <xdr:row>27</xdr:row>
      <xdr:rowOff>84364</xdr:rowOff>
    </xdr:from>
    <xdr:to>
      <xdr:col>46</xdr:col>
      <xdr:colOff>421821</xdr:colOff>
      <xdr:row>46</xdr:row>
      <xdr:rowOff>136071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416FD67-B1CD-41A9-A218-FD37B15F34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585105</xdr:colOff>
      <xdr:row>50</xdr:row>
      <xdr:rowOff>57149</xdr:rowOff>
    </xdr:from>
    <xdr:to>
      <xdr:col>47</xdr:col>
      <xdr:colOff>353784</xdr:colOff>
      <xdr:row>67</xdr:row>
      <xdr:rowOff>40820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5A5EADB2-3F16-4497-836A-22CC30BD63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</xdr:col>
      <xdr:colOff>530678</xdr:colOff>
      <xdr:row>67</xdr:row>
      <xdr:rowOff>125185</xdr:rowOff>
    </xdr:from>
    <xdr:to>
      <xdr:col>47</xdr:col>
      <xdr:colOff>353786</xdr:colOff>
      <xdr:row>87</xdr:row>
      <xdr:rowOff>13606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B6A2946-3A8C-4764-A815-8CD3033C6A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39</xdr:col>
      <xdr:colOff>517071</xdr:colOff>
      <xdr:row>112</xdr:row>
      <xdr:rowOff>166006</xdr:rowOff>
    </xdr:from>
    <xdr:to>
      <xdr:col>46</xdr:col>
      <xdr:colOff>421821</xdr:colOff>
      <xdr:row>138</xdr:row>
      <xdr:rowOff>68035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5D163FBB-F90E-461F-9021-0FE95A119B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46</xdr:col>
      <xdr:colOff>571499</xdr:colOff>
      <xdr:row>112</xdr:row>
      <xdr:rowOff>179613</xdr:rowOff>
    </xdr:from>
    <xdr:to>
      <xdr:col>52</xdr:col>
      <xdr:colOff>748393</xdr:colOff>
      <xdr:row>138</xdr:row>
      <xdr:rowOff>136071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1D9D602A-3BC6-4DD3-A1EF-E490A8165F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640773</xdr:colOff>
      <xdr:row>134</xdr:row>
      <xdr:rowOff>1</xdr:rowOff>
    </xdr:from>
    <xdr:to>
      <xdr:col>30</xdr:col>
      <xdr:colOff>675409</xdr:colOff>
      <xdr:row>160</xdr:row>
      <xdr:rowOff>121227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B11D273-BD29-46FB-8791-9A49930C7E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maia de Vega Gomez" refreshedDate="44139.446476041667" createdVersion="6" refreshedVersion="6" minRefreshableVersion="3" recordCount="450" xr:uid="{7E7586D6-FE16-453A-B9CE-22972F6FDEB7}">
  <cacheSource type="worksheet">
    <worksheetSource name="Tabla1"/>
  </cacheSource>
  <cacheFields count="11">
    <cacheField name="Year" numFmtId="0">
      <sharedItems containsSemiMixedTypes="0" containsString="0" containsNumber="1" containsInteger="1" minValue="2014" maxValue="2016" count="3">
        <n v="2014"/>
        <n v="2015"/>
        <n v="2016"/>
      </sharedItems>
    </cacheField>
    <cacheField name="Island" numFmtId="0">
      <sharedItems count="2">
        <s v="Mauritius"/>
        <s v="Rodrigues"/>
      </sharedItems>
    </cacheField>
    <cacheField name="Type of Vehicle" numFmtId="0">
      <sharedItems count="8">
        <s v="Buses"/>
        <s v="Car"/>
        <s v="DPV"/>
        <s v="Heavy duty trucks"/>
        <s v="Light duty trucks"/>
        <s v="Medium duty"/>
        <s v="Motorcycle"/>
        <s v="Taxi"/>
      </sharedItems>
    </cacheField>
    <cacheField name="Fuel type" numFmtId="0">
      <sharedItems count="4">
        <s v="Diesel"/>
        <s v="Gasoline"/>
        <s v="Hybrid"/>
        <s v="LPG"/>
      </sharedItems>
    </cacheField>
    <cacheField name="Technology" numFmtId="0">
      <sharedItems containsBlank="1" count="3">
        <m/>
        <s v="without 3 way catalyst"/>
        <s v="3 way catalyst"/>
      </sharedItems>
    </cacheField>
    <cacheField name="Number of vehicle" numFmtId="0">
      <sharedItems containsString="0" containsBlank="1" containsNumber="1" containsInteger="1" minValue="0" maxValue="124200"/>
    </cacheField>
    <cacheField name="km travelled" numFmtId="0">
      <sharedItems containsSemiMixedTypes="0" containsString="0" containsNumber="1" containsInteger="1" minValue="0" maxValue="60000" count="33">
        <n v="0"/>
        <n v="10000"/>
        <n v="50000"/>
        <n v="9000"/>
        <n v="54000"/>
        <n v="55000"/>
        <n v="15000"/>
        <n v="60000"/>
        <n v="13500"/>
        <n v="16000"/>
        <n v="12000"/>
        <n v="11000"/>
        <n v="11500"/>
        <n v="14000"/>
        <n v="13000"/>
        <n v="15500"/>
        <n v="14500"/>
        <n v="8500"/>
        <n v="7000"/>
        <n v="3000"/>
        <n v="17000"/>
        <n v="18000"/>
        <n v="9500"/>
        <n v="8000"/>
        <n v="22500"/>
        <n v="17500"/>
        <n v="16500"/>
        <n v="5000"/>
        <n v="6000"/>
        <n v="4000"/>
        <n v="28000"/>
        <n v="20000"/>
        <n v="23000"/>
      </sharedItems>
    </cacheField>
    <cacheField name="Fuel economy (km/L)" numFmtId="170">
      <sharedItems containsSemiMixedTypes="0" containsString="0" containsNumber="1" minValue="0" maxValue="45.45454545454546"/>
    </cacheField>
    <cacheField name="Consumption (L)" numFmtId="4">
      <sharedItems containsSemiMixedTypes="0" containsString="0" containsNumber="1" minValue="0" maxValue="54312370.370370373"/>
    </cacheField>
    <cacheField name="Consumption (ton)" numFmtId="4">
      <sharedItems containsString="0" containsBlank="1" containsNumber="1" minValue="0" maxValue="39243.042175123104"/>
    </cacheField>
    <cacheField name="Consumption (Gg)" numFmtId="4">
      <sharedItems containsSemiMixedTypes="0" containsString="0" containsNumber="1" minValue="0" maxValue="39.2430421751231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0">
  <r>
    <x v="0"/>
    <x v="0"/>
    <x v="0"/>
    <x v="0"/>
    <x v="0"/>
    <m/>
    <n v="0"/>
    <n v="0"/>
    <n v="0"/>
    <n v="0"/>
    <n v="0"/>
  </r>
  <r>
    <x v="0"/>
    <x v="0"/>
    <x v="0"/>
    <x v="0"/>
    <x v="0"/>
    <n v="1061"/>
    <n v="10000"/>
    <n v="3.8461538461538458"/>
    <n v="2758600.0000000005"/>
    <n v="2349.7444633730838"/>
    <n v="2.3497444633730837"/>
  </r>
  <r>
    <x v="0"/>
    <x v="0"/>
    <x v="0"/>
    <x v="0"/>
    <x v="0"/>
    <n v="2183"/>
    <n v="50000"/>
    <n v="3.3333333333333335"/>
    <n v="32745000"/>
    <n v="27891.822827938671"/>
    <n v="27.891822827938672"/>
  </r>
  <r>
    <x v="0"/>
    <x v="1"/>
    <x v="0"/>
    <x v="0"/>
    <x v="0"/>
    <m/>
    <n v="9000"/>
    <n v="3.8461538461538458"/>
    <n v="0"/>
    <n v="0"/>
    <n v="0"/>
  </r>
  <r>
    <x v="0"/>
    <x v="1"/>
    <x v="0"/>
    <x v="0"/>
    <x v="0"/>
    <n v="103"/>
    <n v="10000"/>
    <n v="3.8461538461538458"/>
    <n v="267800"/>
    <n v="228.10902896081771"/>
    <n v="0.22810902896081772"/>
  </r>
  <r>
    <x v="0"/>
    <x v="1"/>
    <x v="0"/>
    <x v="0"/>
    <x v="0"/>
    <n v="69"/>
    <n v="54000"/>
    <n v="3.3333333333333335"/>
    <n v="1117800"/>
    <n v="952.12947189097099"/>
    <n v="0.95212947189097097"/>
  </r>
  <r>
    <x v="1"/>
    <x v="0"/>
    <x v="0"/>
    <x v="0"/>
    <x v="0"/>
    <m/>
    <n v="0"/>
    <n v="0"/>
    <n v="0"/>
    <n v="0"/>
    <n v="0"/>
  </r>
  <r>
    <x v="1"/>
    <x v="0"/>
    <x v="0"/>
    <x v="0"/>
    <x v="0"/>
    <n v="1615"/>
    <n v="10000"/>
    <n v="3.8461538461538458"/>
    <n v="4199000"/>
    <n v="3576.6609880749575"/>
    <n v="3.5766609880749574"/>
  </r>
  <r>
    <x v="1"/>
    <x v="0"/>
    <x v="0"/>
    <x v="0"/>
    <x v="0"/>
    <n v="1937"/>
    <n v="55000"/>
    <n v="3.3333333333333335"/>
    <n v="31960500"/>
    <n v="27223.594548551959"/>
    <n v="27.223594548551958"/>
  </r>
  <r>
    <x v="1"/>
    <x v="1"/>
    <x v="0"/>
    <x v="0"/>
    <x v="0"/>
    <m/>
    <n v="9000"/>
    <n v="3.8461538461538458"/>
    <n v="0"/>
    <n v="0"/>
    <n v="0"/>
  </r>
  <r>
    <x v="1"/>
    <x v="1"/>
    <x v="0"/>
    <x v="0"/>
    <x v="0"/>
    <n v="108"/>
    <n v="10000"/>
    <n v="3.8461538461538458"/>
    <n v="280800"/>
    <n v="239.18228279386713"/>
    <n v="0.23918228279386713"/>
  </r>
  <r>
    <x v="1"/>
    <x v="1"/>
    <x v="0"/>
    <x v="0"/>
    <x v="0"/>
    <n v="69"/>
    <n v="54000"/>
    <n v="3.3333333333333335"/>
    <n v="1117800"/>
    <n v="952.12947189097099"/>
    <n v="0.95212947189097097"/>
  </r>
  <r>
    <x v="2"/>
    <x v="0"/>
    <x v="0"/>
    <x v="0"/>
    <x v="0"/>
    <m/>
    <n v="0"/>
    <n v="0"/>
    <n v="0"/>
    <n v="0"/>
    <n v="0"/>
  </r>
  <r>
    <x v="2"/>
    <x v="0"/>
    <x v="0"/>
    <x v="0"/>
    <x v="0"/>
    <n v="1796"/>
    <n v="15000"/>
    <n v="3.8461538461538458"/>
    <n v="7004400.0000000009"/>
    <n v="5966.2691652470194"/>
    <n v="5.9662691652470192"/>
  </r>
  <r>
    <x v="2"/>
    <x v="0"/>
    <x v="0"/>
    <x v="0"/>
    <x v="0"/>
    <n v="2032"/>
    <n v="60000"/>
    <n v="3.3333333333333335"/>
    <n v="36576000"/>
    <n v="31155.02555366269"/>
    <n v="31.155025553662689"/>
  </r>
  <r>
    <x v="2"/>
    <x v="1"/>
    <x v="0"/>
    <x v="0"/>
    <x v="0"/>
    <m/>
    <n v="9000"/>
    <n v="3.8461538461538458"/>
    <n v="0"/>
    <n v="0"/>
    <n v="0"/>
  </r>
  <r>
    <x v="2"/>
    <x v="1"/>
    <x v="0"/>
    <x v="0"/>
    <x v="0"/>
    <n v="115"/>
    <n v="10000"/>
    <n v="3.8461538461538458"/>
    <n v="299000"/>
    <n v="254.68483816013628"/>
    <n v="0.25468483816013626"/>
  </r>
  <r>
    <x v="2"/>
    <x v="1"/>
    <x v="0"/>
    <x v="0"/>
    <x v="0"/>
    <n v="70"/>
    <n v="54000"/>
    <n v="3.3333333333333335"/>
    <n v="1134000"/>
    <n v="965.92844974446336"/>
    <n v="0.96592844974446335"/>
  </r>
  <r>
    <x v="0"/>
    <x v="0"/>
    <x v="1"/>
    <x v="0"/>
    <x v="1"/>
    <n v="52"/>
    <n v="10000"/>
    <n v="15.5"/>
    <n v="33548.387096774197"/>
    <n v="28.576138923998464"/>
    <n v="2.8576138923998465E-2"/>
  </r>
  <r>
    <x v="0"/>
    <x v="0"/>
    <x v="1"/>
    <x v="0"/>
    <x v="2"/>
    <n v="2"/>
    <n v="10000"/>
    <n v="15.5"/>
    <n v="1290.3225806451612"/>
    <n v="1.0990822663076332"/>
    <n v="1.0990822663076332E-3"/>
  </r>
  <r>
    <x v="0"/>
    <x v="0"/>
    <x v="1"/>
    <x v="0"/>
    <x v="1"/>
    <n v="671"/>
    <n v="10000"/>
    <n v="15.2"/>
    <n v="441447.36842105264"/>
    <n v="376.01990495830717"/>
    <n v="0.37601990495830717"/>
  </r>
  <r>
    <x v="0"/>
    <x v="0"/>
    <x v="1"/>
    <x v="0"/>
    <x v="2"/>
    <n v="153"/>
    <n v="10000"/>
    <n v="15.2"/>
    <n v="100657.89473684211"/>
    <n v="85.739262978570792"/>
    <n v="8.573926297857079E-2"/>
  </r>
  <r>
    <x v="0"/>
    <x v="0"/>
    <x v="1"/>
    <x v="0"/>
    <x v="1"/>
    <n v="2243"/>
    <n v="10000"/>
    <n v="12.7"/>
    <n v="1766141.7322834646"/>
    <n v="1504.3796697474145"/>
    <n v="1.5043796697474145"/>
  </r>
  <r>
    <x v="0"/>
    <x v="0"/>
    <x v="1"/>
    <x v="0"/>
    <x v="2"/>
    <n v="642"/>
    <n v="10000"/>
    <n v="12.7"/>
    <n v="505511.81102362205"/>
    <n v="430.58927685146682"/>
    <n v="0.43058927685146681"/>
  </r>
  <r>
    <x v="0"/>
    <x v="0"/>
    <x v="1"/>
    <x v="0"/>
    <x v="1"/>
    <n v="5347"/>
    <n v="10000"/>
    <n v="10.6"/>
    <n v="5044339.6226415094"/>
    <n v="4296.7117739706209"/>
    <n v="4.2967117739706211"/>
  </r>
  <r>
    <x v="0"/>
    <x v="0"/>
    <x v="1"/>
    <x v="0"/>
    <x v="2"/>
    <n v="4619"/>
    <n v="10000"/>
    <n v="10.6"/>
    <n v="4357547.1698113205"/>
    <n v="3711.7096846774452"/>
    <n v="3.7117096846774453"/>
  </r>
  <r>
    <x v="0"/>
    <x v="1"/>
    <x v="1"/>
    <x v="0"/>
    <x v="1"/>
    <n v="9"/>
    <n v="13500"/>
    <n v="15.2"/>
    <n v="7993.4210526315792"/>
    <n v="6.8087061777100333"/>
    <n v="6.8087061777100336E-3"/>
  </r>
  <r>
    <x v="0"/>
    <x v="1"/>
    <x v="1"/>
    <x v="0"/>
    <x v="2"/>
    <n v="2"/>
    <n v="13500"/>
    <n v="15.2"/>
    <n v="1776.3157894736844"/>
    <n v="1.5130458172688963"/>
    <n v="1.5130458172688964E-3"/>
  </r>
  <r>
    <x v="0"/>
    <x v="1"/>
    <x v="1"/>
    <x v="0"/>
    <x v="1"/>
    <n v="11"/>
    <n v="13500"/>
    <n v="15.2"/>
    <n v="9769.7368421052633"/>
    <n v="8.3217519949789303"/>
    <n v="8.3217519949789296E-3"/>
  </r>
  <r>
    <x v="0"/>
    <x v="1"/>
    <x v="1"/>
    <x v="0"/>
    <x v="2"/>
    <n v="2"/>
    <n v="13500"/>
    <n v="15.2"/>
    <n v="1776.3157894736844"/>
    <n v="1.5130458172688963"/>
    <n v="1.5130458172688964E-3"/>
  </r>
  <r>
    <x v="0"/>
    <x v="1"/>
    <x v="1"/>
    <x v="0"/>
    <x v="1"/>
    <n v="57"/>
    <n v="13500"/>
    <n v="15.2"/>
    <n v="50625"/>
    <n v="43.121805792163542"/>
    <n v="4.3121805792163542E-2"/>
  </r>
  <r>
    <x v="0"/>
    <x v="1"/>
    <x v="1"/>
    <x v="0"/>
    <x v="2"/>
    <n v="13"/>
    <n v="13500"/>
    <n v="15.2"/>
    <n v="11546.052631578948"/>
    <n v="9.8347978122478263"/>
    <n v="9.8347978122478256E-3"/>
  </r>
  <r>
    <x v="0"/>
    <x v="1"/>
    <x v="1"/>
    <x v="0"/>
    <x v="1"/>
    <n v="326"/>
    <n v="13500"/>
    <n v="15.2"/>
    <n v="289539.47368421056"/>
    <n v="246.62646821483011"/>
    <n v="0.24662646821483011"/>
  </r>
  <r>
    <x v="0"/>
    <x v="1"/>
    <x v="1"/>
    <x v="0"/>
    <x v="2"/>
    <n v="52"/>
    <n v="13500"/>
    <n v="15.2"/>
    <n v="46184.210526315794"/>
    <n v="39.339191248991305"/>
    <n v="3.9339191248991302E-2"/>
  </r>
  <r>
    <x v="0"/>
    <x v="0"/>
    <x v="1"/>
    <x v="1"/>
    <x v="1"/>
    <n v="11949"/>
    <n v="10000"/>
    <n v="15.5"/>
    <n v="7709032.2580645159"/>
    <n v="5570.1100130523955"/>
    <n v="5.5701100130523953"/>
  </r>
  <r>
    <x v="0"/>
    <x v="0"/>
    <x v="1"/>
    <x v="1"/>
    <x v="2"/>
    <n v="7852"/>
    <n v="10000"/>
    <n v="15.5"/>
    <n v="5065806.4516129028"/>
    <n v="3660.264777176953"/>
    <n v="3.6602647771769528"/>
  </r>
  <r>
    <x v="0"/>
    <x v="0"/>
    <x v="1"/>
    <x v="1"/>
    <x v="1"/>
    <n v="66461"/>
    <n v="10000"/>
    <n v="13.5"/>
    <n v="49230370.370370373"/>
    <n v="35571.076857204025"/>
    <n v="35.571076857204027"/>
  </r>
  <r>
    <x v="0"/>
    <x v="0"/>
    <x v="1"/>
    <x v="1"/>
    <x v="2"/>
    <n v="41036"/>
    <n v="10000"/>
    <n v="13.5"/>
    <n v="30397037.037037037"/>
    <n v="21963.177049882252"/>
    <n v="21.963177049882251"/>
  </r>
  <r>
    <x v="0"/>
    <x v="0"/>
    <x v="1"/>
    <x v="1"/>
    <x v="1"/>
    <n v="17415"/>
    <n v="10000"/>
    <n v="10.3"/>
    <n v="16907766.99029126"/>
    <n v="12216.594646164205"/>
    <n v="12.216594646164205"/>
  </r>
  <r>
    <x v="0"/>
    <x v="0"/>
    <x v="1"/>
    <x v="1"/>
    <x v="2"/>
    <n v="19000"/>
    <n v="10000"/>
    <n v="10.3"/>
    <n v="18446601.941747572"/>
    <n v="13328.469611089286"/>
    <n v="13.328469611089286"/>
  </r>
  <r>
    <x v="0"/>
    <x v="0"/>
    <x v="1"/>
    <x v="1"/>
    <x v="1"/>
    <n v="1568"/>
    <n v="10000"/>
    <n v="7.6"/>
    <n v="2063157.8947368423"/>
    <n v="1490.721022208701"/>
    <n v="1.4907210222087011"/>
  </r>
  <r>
    <x v="0"/>
    <x v="0"/>
    <x v="1"/>
    <x v="1"/>
    <x v="2"/>
    <n v="1993"/>
    <n v="10000"/>
    <n v="7.6"/>
    <n v="2622368.4210526319"/>
    <n v="1894.7748707027688"/>
    <n v="1.8947748707027687"/>
  </r>
  <r>
    <x v="0"/>
    <x v="1"/>
    <x v="1"/>
    <x v="1"/>
    <x v="1"/>
    <n v="89"/>
    <n v="16000"/>
    <n v="15.5"/>
    <n v="91870.967741935485"/>
    <n v="66.380757038970728"/>
    <n v="6.6380757038970728E-2"/>
  </r>
  <r>
    <x v="0"/>
    <x v="1"/>
    <x v="1"/>
    <x v="1"/>
    <x v="2"/>
    <n v="21"/>
    <n v="16000"/>
    <n v="15.5"/>
    <n v="21677.419354838708"/>
    <n v="15.66287525638635"/>
    <n v="1.5662875256386349E-2"/>
  </r>
  <r>
    <x v="0"/>
    <x v="1"/>
    <x v="1"/>
    <x v="1"/>
    <x v="1"/>
    <n v="339"/>
    <n v="16000"/>
    <n v="15.5"/>
    <n v="349935.48387096776"/>
    <n v="252.84355771023681"/>
    <n v="0.25284355771023681"/>
  </r>
  <r>
    <x v="0"/>
    <x v="1"/>
    <x v="1"/>
    <x v="1"/>
    <x v="2"/>
    <n v="109"/>
    <n v="16000"/>
    <n v="15.5"/>
    <n v="112516.12903225806"/>
    <n v="81.297781092672011"/>
    <n v="8.1297781092672008E-2"/>
  </r>
  <r>
    <x v="0"/>
    <x v="1"/>
    <x v="1"/>
    <x v="1"/>
    <x v="1"/>
    <n v="88"/>
    <n v="16000"/>
    <n v="15.5"/>
    <n v="90838.709677419349"/>
    <n v="65.634905836285654"/>
    <n v="6.5634905836285659E-2"/>
  </r>
  <r>
    <x v="0"/>
    <x v="1"/>
    <x v="1"/>
    <x v="1"/>
    <x v="2"/>
    <n v="35"/>
    <n v="16000"/>
    <n v="15.5"/>
    <n v="36129.032258064515"/>
    <n v="26.104792093977252"/>
    <n v="2.6104792093977251E-2"/>
  </r>
  <r>
    <x v="0"/>
    <x v="1"/>
    <x v="1"/>
    <x v="1"/>
    <x v="1"/>
    <n v="9"/>
    <n v="16000"/>
    <n v="15.5"/>
    <n v="9290.322580645161"/>
    <n v="6.712660824165579"/>
    <n v="6.7126608241655792E-3"/>
  </r>
  <r>
    <x v="0"/>
    <x v="1"/>
    <x v="1"/>
    <x v="1"/>
    <x v="2"/>
    <n v="4"/>
    <n v="16000"/>
    <n v="15.5"/>
    <n v="4129.0322580645161"/>
    <n v="2.9834048107402573"/>
    <n v="2.9834048107402573E-3"/>
  </r>
  <r>
    <x v="0"/>
    <x v="0"/>
    <x v="1"/>
    <x v="2"/>
    <x v="2"/>
    <m/>
    <n v="9000"/>
    <n v="24"/>
    <n v="0"/>
    <m/>
    <n v="0"/>
  </r>
  <r>
    <x v="0"/>
    <x v="0"/>
    <x v="1"/>
    <x v="2"/>
    <x v="1"/>
    <m/>
    <n v="9000"/>
    <n v="24"/>
    <n v="0"/>
    <m/>
    <n v="0"/>
  </r>
  <r>
    <x v="0"/>
    <x v="0"/>
    <x v="1"/>
    <x v="2"/>
    <x v="2"/>
    <n v="1662"/>
    <n v="9000"/>
    <n v="24"/>
    <n v="623250"/>
    <m/>
    <n v="0"/>
  </r>
  <r>
    <x v="0"/>
    <x v="0"/>
    <x v="1"/>
    <x v="2"/>
    <x v="1"/>
    <m/>
    <n v="9000"/>
    <n v="24"/>
    <n v="0"/>
    <m/>
    <n v="0"/>
  </r>
  <r>
    <x v="0"/>
    <x v="0"/>
    <x v="1"/>
    <x v="2"/>
    <x v="2"/>
    <n v="141"/>
    <n v="9000"/>
    <n v="24"/>
    <n v="52875"/>
    <m/>
    <n v="0"/>
  </r>
  <r>
    <x v="0"/>
    <x v="0"/>
    <x v="1"/>
    <x v="2"/>
    <x v="1"/>
    <m/>
    <n v="9000"/>
    <n v="24"/>
    <n v="0"/>
    <m/>
    <n v="0"/>
  </r>
  <r>
    <x v="0"/>
    <x v="0"/>
    <x v="1"/>
    <x v="2"/>
    <x v="2"/>
    <n v="26"/>
    <n v="9000"/>
    <n v="24"/>
    <n v="9750"/>
    <m/>
    <n v="0"/>
  </r>
  <r>
    <x v="0"/>
    <x v="0"/>
    <x v="1"/>
    <x v="2"/>
    <x v="1"/>
    <m/>
    <n v="9000"/>
    <n v="24"/>
    <n v="0"/>
    <m/>
    <n v="0"/>
  </r>
  <r>
    <x v="0"/>
    <x v="1"/>
    <x v="1"/>
    <x v="2"/>
    <x v="1"/>
    <n v="0"/>
    <n v="12000"/>
    <n v="24"/>
    <n v="0"/>
    <m/>
    <n v="0"/>
  </r>
  <r>
    <x v="0"/>
    <x v="1"/>
    <x v="1"/>
    <x v="2"/>
    <x v="2"/>
    <n v="0"/>
    <n v="12000"/>
    <n v="24"/>
    <n v="0"/>
    <m/>
    <n v="0"/>
  </r>
  <r>
    <x v="0"/>
    <x v="1"/>
    <x v="1"/>
    <x v="2"/>
    <x v="1"/>
    <n v="0"/>
    <n v="12000"/>
    <n v="24"/>
    <n v="0"/>
    <m/>
    <n v="0"/>
  </r>
  <r>
    <x v="0"/>
    <x v="1"/>
    <x v="1"/>
    <x v="2"/>
    <x v="2"/>
    <n v="0"/>
    <n v="12000"/>
    <n v="24"/>
    <n v="0"/>
    <m/>
    <n v="0"/>
  </r>
  <r>
    <x v="0"/>
    <x v="1"/>
    <x v="1"/>
    <x v="2"/>
    <x v="1"/>
    <n v="0"/>
    <n v="12000"/>
    <n v="24"/>
    <n v="0"/>
    <m/>
    <n v="0"/>
  </r>
  <r>
    <x v="0"/>
    <x v="1"/>
    <x v="1"/>
    <x v="2"/>
    <x v="2"/>
    <n v="3"/>
    <n v="12000"/>
    <n v="24"/>
    <n v="1500"/>
    <m/>
    <n v="0"/>
  </r>
  <r>
    <x v="0"/>
    <x v="1"/>
    <x v="1"/>
    <x v="2"/>
    <x v="1"/>
    <n v="0"/>
    <n v="12000"/>
    <n v="24"/>
    <n v="0"/>
    <m/>
    <n v="0"/>
  </r>
  <r>
    <x v="0"/>
    <x v="1"/>
    <x v="1"/>
    <x v="2"/>
    <x v="2"/>
    <n v="0"/>
    <n v="12000"/>
    <n v="24"/>
    <n v="0"/>
    <m/>
    <n v="0"/>
  </r>
  <r>
    <x v="0"/>
    <x v="0"/>
    <x v="1"/>
    <x v="3"/>
    <x v="1"/>
    <n v="6"/>
    <n v="11000"/>
    <n v="13.7"/>
    <n v="4817.5182481751826"/>
    <n v="2.7233003098785655"/>
    <n v="2.7233003098785656E-3"/>
  </r>
  <r>
    <x v="0"/>
    <x v="0"/>
    <x v="1"/>
    <x v="3"/>
    <x v="2"/>
    <n v="1"/>
    <n v="11000"/>
    <n v="13.7"/>
    <n v="802.91970802919707"/>
    <n v="0.45388338497976094"/>
    <n v="4.5388338497976094E-4"/>
  </r>
  <r>
    <x v="0"/>
    <x v="0"/>
    <x v="1"/>
    <x v="3"/>
    <x v="1"/>
    <n v="19"/>
    <n v="11000"/>
    <n v="13.698630136986303"/>
    <n v="15256.999999999998"/>
    <n v="8.6246466930469179"/>
    <n v="8.6246466930469182E-3"/>
  </r>
  <r>
    <x v="0"/>
    <x v="0"/>
    <x v="1"/>
    <x v="3"/>
    <x v="2"/>
    <n v="3"/>
    <n v="11000"/>
    <n v="13.698630136986303"/>
    <n v="2408.9999999999995"/>
    <n v="1.3617863199547764"/>
    <n v="1.3617863199547765E-3"/>
  </r>
  <r>
    <x v="0"/>
    <x v="0"/>
    <x v="1"/>
    <x v="3"/>
    <x v="1"/>
    <n v="9"/>
    <n v="11000"/>
    <n v="13.698630136986303"/>
    <n v="7226.9999999999991"/>
    <n v="4.0853589598643296"/>
    <n v="4.0853589598643294E-3"/>
  </r>
  <r>
    <x v="0"/>
    <x v="0"/>
    <x v="1"/>
    <x v="3"/>
    <x v="2"/>
    <n v="173"/>
    <n v="11000"/>
    <n v="13.698630136986303"/>
    <n v="138918.99999999997"/>
    <n v="78.529677784058777"/>
    <n v="7.8529677784058782E-2"/>
  </r>
  <r>
    <x v="0"/>
    <x v="0"/>
    <x v="1"/>
    <x v="3"/>
    <x v="1"/>
    <n v="6"/>
    <n v="11000"/>
    <n v="13.7"/>
    <n v="4817.5182481751826"/>
    <n v="2.7233003098785655"/>
    <n v="2.7233003098785656E-3"/>
  </r>
  <r>
    <x v="0"/>
    <x v="0"/>
    <x v="1"/>
    <x v="3"/>
    <x v="2"/>
    <n v="1"/>
    <n v="11000"/>
    <n v="13.7"/>
    <n v="802.91970802919707"/>
    <n v="0.45388338497976094"/>
    <n v="4.5388338497976094E-4"/>
  </r>
  <r>
    <x v="1"/>
    <x v="0"/>
    <x v="1"/>
    <x v="0"/>
    <x v="1"/>
    <n v="52"/>
    <n v="12000"/>
    <n v="15.5"/>
    <n v="40258.06451612903"/>
    <n v="34.291366708798151"/>
    <n v="3.4291366708798149E-2"/>
  </r>
  <r>
    <x v="1"/>
    <x v="0"/>
    <x v="1"/>
    <x v="0"/>
    <x v="2"/>
    <n v="2"/>
    <n v="10000"/>
    <n v="15.5"/>
    <n v="1290.3225806451612"/>
    <n v="1.0990822663076332"/>
    <n v="1.0990822663076332E-3"/>
  </r>
  <r>
    <x v="1"/>
    <x v="0"/>
    <x v="1"/>
    <x v="0"/>
    <x v="1"/>
    <n v="668"/>
    <n v="10000"/>
    <n v="15.2"/>
    <n v="439473.68421052635"/>
    <n v="374.33874293911953"/>
    <n v="0.37433874293911951"/>
  </r>
  <r>
    <x v="1"/>
    <x v="0"/>
    <x v="1"/>
    <x v="0"/>
    <x v="2"/>
    <n v="212"/>
    <n v="10000"/>
    <n v="15.2"/>
    <n v="139473.68421052632"/>
    <n v="118.80211602259482"/>
    <n v="0.11880211602259481"/>
  </r>
  <r>
    <x v="1"/>
    <x v="0"/>
    <x v="1"/>
    <x v="0"/>
    <x v="1"/>
    <n v="2238"/>
    <n v="10000"/>
    <n v="12.7"/>
    <n v="1762204.7244094489"/>
    <n v="1501.0261707065154"/>
    <n v="1.5010261707065153"/>
  </r>
  <r>
    <x v="1"/>
    <x v="0"/>
    <x v="1"/>
    <x v="0"/>
    <x v="2"/>
    <n v="928"/>
    <n v="10000"/>
    <n v="12.7"/>
    <n v="730708.66141732293"/>
    <n v="622.40942199090534"/>
    <n v="0.62240942199090532"/>
  </r>
  <r>
    <x v="1"/>
    <x v="0"/>
    <x v="1"/>
    <x v="0"/>
    <x v="1"/>
    <n v="5261"/>
    <n v="10000"/>
    <n v="10.6"/>
    <n v="4963207.5471698111"/>
    <n v="4227.6043843013722"/>
    <n v="4.2276043843013724"/>
  </r>
  <r>
    <x v="1"/>
    <x v="0"/>
    <x v="1"/>
    <x v="0"/>
    <x v="2"/>
    <n v="4980"/>
    <n v="10000"/>
    <n v="10.6"/>
    <n v="4698113.2075471701"/>
    <n v="4001.8000064285948"/>
    <n v="4.0018000064285948"/>
  </r>
  <r>
    <x v="1"/>
    <x v="1"/>
    <x v="1"/>
    <x v="0"/>
    <x v="1"/>
    <n v="11"/>
    <n v="13500"/>
    <n v="15.2"/>
    <n v="9769.7368421052633"/>
    <n v="8.3217519949789303"/>
    <n v="8.3217519949789296E-3"/>
  </r>
  <r>
    <x v="1"/>
    <x v="1"/>
    <x v="1"/>
    <x v="0"/>
    <x v="2"/>
    <n v="3"/>
    <n v="13500"/>
    <n v="15.2"/>
    <n v="2664.4736842105262"/>
    <n v="2.2695687259033441"/>
    <n v="2.269568725903344E-3"/>
  </r>
  <r>
    <x v="1"/>
    <x v="1"/>
    <x v="1"/>
    <x v="0"/>
    <x v="1"/>
    <n v="12"/>
    <n v="13500"/>
    <n v="15.2"/>
    <n v="10657.894736842105"/>
    <n v="9.0782749036133765"/>
    <n v="9.0782749036133759E-3"/>
  </r>
  <r>
    <x v="1"/>
    <x v="1"/>
    <x v="1"/>
    <x v="0"/>
    <x v="2"/>
    <n v="3"/>
    <n v="13500"/>
    <n v="15.2"/>
    <n v="2664.4736842105262"/>
    <n v="2.2695687259033441"/>
    <n v="2.269568725903344E-3"/>
  </r>
  <r>
    <x v="1"/>
    <x v="1"/>
    <x v="1"/>
    <x v="0"/>
    <x v="1"/>
    <n v="68"/>
    <n v="13500"/>
    <n v="15.2"/>
    <n v="60394.736842105267"/>
    <n v="51.443557787142474"/>
    <n v="5.1443557787142477E-2"/>
  </r>
  <r>
    <x v="1"/>
    <x v="1"/>
    <x v="1"/>
    <x v="0"/>
    <x v="2"/>
    <m/>
    <n v="13500"/>
    <n v="15.2"/>
    <n v="0"/>
    <n v="0"/>
    <n v="0"/>
  </r>
  <r>
    <x v="1"/>
    <x v="1"/>
    <x v="1"/>
    <x v="0"/>
    <x v="1"/>
    <n v="310"/>
    <n v="13500"/>
    <n v="15.2"/>
    <n v="275328.94736842107"/>
    <n v="234.52210167667894"/>
    <n v="0.23452210167667895"/>
  </r>
  <r>
    <x v="1"/>
    <x v="1"/>
    <x v="1"/>
    <x v="0"/>
    <x v="2"/>
    <n v="20"/>
    <n v="13500"/>
    <n v="15.2"/>
    <n v="17763.157894736843"/>
    <n v="15.130458172688964"/>
    <n v="1.5130458172688965E-2"/>
  </r>
  <r>
    <x v="1"/>
    <x v="0"/>
    <x v="1"/>
    <x v="1"/>
    <x v="1"/>
    <n v="11798"/>
    <n v="11500"/>
    <n v="15.5"/>
    <n v="8753354.8387096766"/>
    <n v="6324.6783516688411"/>
    <n v="6.3246783516688412"/>
  </r>
  <r>
    <x v="1"/>
    <x v="0"/>
    <x v="1"/>
    <x v="1"/>
    <x v="2"/>
    <n v="8826"/>
    <n v="11500"/>
    <n v="15.5"/>
    <n v="6548322.5806451617"/>
    <n v="4731.4469513332097"/>
    <n v="4.7314469513332096"/>
  </r>
  <r>
    <x v="1"/>
    <x v="0"/>
    <x v="1"/>
    <x v="1"/>
    <x v="1"/>
    <n v="62631"/>
    <n v="11500"/>
    <n v="13.5"/>
    <n v="53352333.333333336"/>
    <n v="38549.373795761079"/>
    <n v="38.549373795761078"/>
  </r>
  <r>
    <x v="1"/>
    <x v="0"/>
    <x v="1"/>
    <x v="1"/>
    <x v="2"/>
    <n v="49938"/>
    <n v="11500"/>
    <n v="13.5"/>
    <n v="42539777.777777776"/>
    <n v="30736.83365446371"/>
    <n v="30.736833654463709"/>
  </r>
  <r>
    <x v="1"/>
    <x v="0"/>
    <x v="1"/>
    <x v="1"/>
    <x v="1"/>
    <n v="17196"/>
    <n v="11500"/>
    <n v="10.3"/>
    <n v="19199417.475728154"/>
    <n v="13872.411470901845"/>
    <n v="13.872411470901845"/>
  </r>
  <r>
    <x v="1"/>
    <x v="0"/>
    <x v="1"/>
    <x v="1"/>
    <x v="2"/>
    <n v="19984"/>
    <n v="11500"/>
    <n v="10.3"/>
    <n v="22312233.009708736"/>
    <n v="16121.555642853133"/>
    <n v="16.121555642853131"/>
  </r>
  <r>
    <x v="1"/>
    <x v="0"/>
    <x v="1"/>
    <x v="1"/>
    <x v="1"/>
    <n v="1541"/>
    <n v="11500"/>
    <n v="7.6"/>
    <n v="2331776.3157894737"/>
    <n v="1684.8094767264984"/>
    <n v="1.6848094767264983"/>
  </r>
  <r>
    <x v="1"/>
    <x v="0"/>
    <x v="1"/>
    <x v="1"/>
    <x v="2"/>
    <n v="2106"/>
    <n v="11500"/>
    <n v="7.6"/>
    <n v="3186710.5263157897"/>
    <n v="2302.5365074536053"/>
    <n v="2.3025365074536053"/>
  </r>
  <r>
    <x v="1"/>
    <x v="1"/>
    <x v="1"/>
    <x v="1"/>
    <x v="1"/>
    <n v="104"/>
    <n v="16000"/>
    <n v="15.5"/>
    <n v="107354.83870967742"/>
    <n v="77.568525079246697"/>
    <n v="7.7568525079246692E-2"/>
  </r>
  <r>
    <x v="1"/>
    <x v="1"/>
    <x v="1"/>
    <x v="1"/>
    <x v="2"/>
    <n v="24"/>
    <n v="16000"/>
    <n v="15.5"/>
    <n v="24774.193548387098"/>
    <n v="17.900428864441544"/>
    <n v="1.7900428864441546E-2"/>
  </r>
  <r>
    <x v="1"/>
    <x v="1"/>
    <x v="1"/>
    <x v="1"/>
    <x v="1"/>
    <n v="439"/>
    <n v="16000"/>
    <n v="15.5"/>
    <n v="453161.29032258067"/>
    <n v="327.42867797874328"/>
    <n v="0.32742867797874325"/>
  </r>
  <r>
    <x v="1"/>
    <x v="1"/>
    <x v="1"/>
    <x v="1"/>
    <x v="2"/>
    <n v="70"/>
    <n v="16000"/>
    <n v="15.5"/>
    <n v="72258.06451612903"/>
    <n v="52.209584187954505"/>
    <n v="5.2209584187954503E-2"/>
  </r>
  <r>
    <x v="1"/>
    <x v="1"/>
    <x v="1"/>
    <x v="1"/>
    <x v="1"/>
    <n v="121"/>
    <n v="16000"/>
    <n v="15.5"/>
    <n v="124903.22580645161"/>
    <n v="90.247995524892772"/>
    <n v="9.0247995524892766E-2"/>
  </r>
  <r>
    <x v="1"/>
    <x v="1"/>
    <x v="1"/>
    <x v="1"/>
    <x v="2"/>
    <n v="32"/>
    <n v="16000"/>
    <n v="15.5"/>
    <n v="33032.258064516129"/>
    <n v="23.867238485922059"/>
    <n v="2.3867238485922058E-2"/>
  </r>
  <r>
    <x v="1"/>
    <x v="1"/>
    <x v="1"/>
    <x v="1"/>
    <x v="1"/>
    <n v="13"/>
    <n v="16000"/>
    <n v="15.5"/>
    <n v="13419.354838709678"/>
    <n v="9.6960656349058372"/>
    <n v="9.6960656349058365E-3"/>
  </r>
  <r>
    <x v="1"/>
    <x v="1"/>
    <x v="1"/>
    <x v="1"/>
    <x v="2"/>
    <n v="3"/>
    <n v="16000"/>
    <n v="15.5"/>
    <n v="3096.7741935483873"/>
    <n v="2.237553608055193"/>
    <n v="2.2375536080551932E-3"/>
  </r>
  <r>
    <x v="1"/>
    <x v="0"/>
    <x v="1"/>
    <x v="2"/>
    <x v="2"/>
    <m/>
    <n v="9000"/>
    <n v="24"/>
    <n v="0"/>
    <m/>
    <n v="0"/>
  </r>
  <r>
    <x v="1"/>
    <x v="0"/>
    <x v="1"/>
    <x v="2"/>
    <x v="1"/>
    <m/>
    <n v="9000"/>
    <n v="24"/>
    <n v="0"/>
    <m/>
    <n v="0"/>
  </r>
  <r>
    <x v="1"/>
    <x v="0"/>
    <x v="1"/>
    <x v="2"/>
    <x v="2"/>
    <n v="1659"/>
    <n v="9000"/>
    <n v="24"/>
    <n v="622125"/>
    <m/>
    <n v="0"/>
  </r>
  <r>
    <x v="1"/>
    <x v="0"/>
    <x v="1"/>
    <x v="2"/>
    <x v="1"/>
    <m/>
    <n v="9000"/>
    <n v="24"/>
    <n v="0"/>
    <m/>
    <n v="0"/>
  </r>
  <r>
    <x v="1"/>
    <x v="0"/>
    <x v="1"/>
    <x v="2"/>
    <x v="2"/>
    <n v="732"/>
    <n v="9000"/>
    <n v="24"/>
    <n v="274500"/>
    <m/>
    <n v="0"/>
  </r>
  <r>
    <x v="1"/>
    <x v="0"/>
    <x v="1"/>
    <x v="2"/>
    <x v="1"/>
    <m/>
    <n v="9000"/>
    <n v="24"/>
    <n v="0"/>
    <m/>
    <n v="0"/>
  </r>
  <r>
    <x v="1"/>
    <x v="0"/>
    <x v="1"/>
    <x v="2"/>
    <x v="2"/>
    <n v="33"/>
    <n v="9000"/>
    <n v="24"/>
    <n v="12375"/>
    <m/>
    <n v="0"/>
  </r>
  <r>
    <x v="1"/>
    <x v="0"/>
    <x v="1"/>
    <x v="2"/>
    <x v="1"/>
    <m/>
    <n v="9000"/>
    <n v="24"/>
    <n v="0"/>
    <m/>
    <n v="0"/>
  </r>
  <r>
    <x v="1"/>
    <x v="1"/>
    <x v="1"/>
    <x v="2"/>
    <x v="1"/>
    <n v="0"/>
    <n v="12000"/>
    <n v="24"/>
    <n v="0"/>
    <m/>
    <n v="0"/>
  </r>
  <r>
    <x v="1"/>
    <x v="1"/>
    <x v="1"/>
    <x v="2"/>
    <x v="2"/>
    <n v="0"/>
    <n v="12000"/>
    <n v="24"/>
    <n v="0"/>
    <m/>
    <n v="0"/>
  </r>
  <r>
    <x v="1"/>
    <x v="1"/>
    <x v="1"/>
    <x v="2"/>
    <x v="1"/>
    <n v="0"/>
    <n v="12000"/>
    <n v="24"/>
    <n v="0"/>
    <m/>
    <n v="0"/>
  </r>
  <r>
    <x v="1"/>
    <x v="1"/>
    <x v="1"/>
    <x v="2"/>
    <x v="2"/>
    <n v="0"/>
    <n v="12000"/>
    <n v="24"/>
    <n v="0"/>
    <m/>
    <n v="0"/>
  </r>
  <r>
    <x v="1"/>
    <x v="1"/>
    <x v="1"/>
    <x v="2"/>
    <x v="1"/>
    <n v="0"/>
    <n v="12000"/>
    <n v="24"/>
    <n v="0"/>
    <m/>
    <n v="0"/>
  </r>
  <r>
    <x v="1"/>
    <x v="1"/>
    <x v="1"/>
    <x v="2"/>
    <x v="2"/>
    <n v="3"/>
    <n v="12000"/>
    <n v="24"/>
    <n v="1500"/>
    <m/>
    <n v="0"/>
  </r>
  <r>
    <x v="1"/>
    <x v="1"/>
    <x v="1"/>
    <x v="2"/>
    <x v="1"/>
    <n v="0"/>
    <n v="12000"/>
    <n v="24"/>
    <n v="0"/>
    <m/>
    <n v="0"/>
  </r>
  <r>
    <x v="1"/>
    <x v="1"/>
    <x v="1"/>
    <x v="2"/>
    <x v="2"/>
    <n v="0"/>
    <n v="12000"/>
    <n v="24"/>
    <n v="0"/>
    <m/>
    <n v="0"/>
  </r>
  <r>
    <x v="1"/>
    <x v="0"/>
    <x v="1"/>
    <x v="3"/>
    <x v="1"/>
    <n v="6"/>
    <n v="14000"/>
    <n v="13.7"/>
    <n v="6131.3868613138693"/>
    <n v="3.466018576209084"/>
    <n v="3.4660185762090839E-3"/>
  </r>
  <r>
    <x v="1"/>
    <x v="0"/>
    <x v="1"/>
    <x v="3"/>
    <x v="2"/>
    <n v="1"/>
    <n v="14000"/>
    <n v="13.7"/>
    <n v="1021.8978102189782"/>
    <n v="0.57766976270151393"/>
    <n v="5.7766976270151398E-4"/>
  </r>
  <r>
    <x v="1"/>
    <x v="0"/>
    <x v="1"/>
    <x v="3"/>
    <x v="1"/>
    <n v="19"/>
    <n v="14000"/>
    <n v="13.698630136986303"/>
    <n v="19417.999999999996"/>
    <n v="10.976823063877895"/>
    <n v="1.0976823063877894E-2"/>
  </r>
  <r>
    <x v="1"/>
    <x v="0"/>
    <x v="1"/>
    <x v="3"/>
    <x v="2"/>
    <n v="3"/>
    <n v="14000"/>
    <n v="13.698630136986303"/>
    <n v="3065.9999999999995"/>
    <n v="1.7331825890333519"/>
    <n v="1.7331825890333518E-3"/>
  </r>
  <r>
    <x v="1"/>
    <x v="0"/>
    <x v="1"/>
    <x v="3"/>
    <x v="1"/>
    <n v="173"/>
    <n v="14000"/>
    <n v="13.698630136986303"/>
    <n v="176805.99999999997"/>
    <n v="99.946862634256632"/>
    <n v="9.9946862634256631E-2"/>
  </r>
  <r>
    <x v="1"/>
    <x v="0"/>
    <x v="1"/>
    <x v="3"/>
    <x v="2"/>
    <n v="9"/>
    <n v="14000"/>
    <n v="13.698630136986303"/>
    <n v="9197.9999999999982"/>
    <n v="5.1995477671000554"/>
    <n v="5.199547767100055E-3"/>
  </r>
  <r>
    <x v="1"/>
    <x v="0"/>
    <x v="1"/>
    <x v="3"/>
    <x v="1"/>
    <n v="6"/>
    <n v="14000"/>
    <n v="13.7"/>
    <n v="6131.3868613138693"/>
    <n v="3.466018576209084"/>
    <n v="3.4660185762090839E-3"/>
  </r>
  <r>
    <x v="1"/>
    <x v="0"/>
    <x v="1"/>
    <x v="3"/>
    <x v="2"/>
    <n v="4"/>
    <n v="14000"/>
    <n v="13.7"/>
    <n v="4087.5912408759127"/>
    <n v="2.3106790508060557"/>
    <n v="2.3106790508060559E-3"/>
  </r>
  <r>
    <x v="2"/>
    <x v="0"/>
    <x v="1"/>
    <x v="0"/>
    <x v="1"/>
    <n v="32"/>
    <n v="12000"/>
    <n v="15.5"/>
    <n v="24774.193548387098"/>
    <n v="21.102379513106559"/>
    <n v="2.1102379513106558E-2"/>
  </r>
  <r>
    <x v="2"/>
    <x v="0"/>
    <x v="1"/>
    <x v="0"/>
    <x v="2"/>
    <n v="2"/>
    <n v="12000"/>
    <n v="15.5"/>
    <n v="1548.3870967741937"/>
    <n v="1.3188987195691599"/>
    <n v="1.3188987195691599E-3"/>
  </r>
  <r>
    <x v="2"/>
    <x v="0"/>
    <x v="1"/>
    <x v="0"/>
    <x v="1"/>
    <n v="652"/>
    <n v="12000"/>
    <n v="15.2"/>
    <n v="514736.8421052632"/>
    <n v="438.44705460414241"/>
    <n v="0.43844705460414241"/>
  </r>
  <r>
    <x v="2"/>
    <x v="0"/>
    <x v="1"/>
    <x v="0"/>
    <x v="2"/>
    <n v="324"/>
    <n v="12000"/>
    <n v="15.2"/>
    <n v="255789.47368421053"/>
    <n v="217.87859768672106"/>
    <n v="0.21787859768672108"/>
  </r>
  <r>
    <x v="2"/>
    <x v="0"/>
    <x v="1"/>
    <x v="0"/>
    <x v="1"/>
    <n v="2202"/>
    <n v="12000"/>
    <n v="12.7"/>
    <n v="2080629.9212598426"/>
    <n v="1772.2571731344485"/>
    <n v="1.7722571731344485"/>
  </r>
  <r>
    <x v="2"/>
    <x v="0"/>
    <x v="1"/>
    <x v="0"/>
    <x v="2"/>
    <n v="1300"/>
    <n v="12000"/>
    <n v="12.7"/>
    <n v="1228346.4566929135"/>
    <n v="1046.2917007605738"/>
    <n v="1.0462917007605739"/>
  </r>
  <r>
    <x v="2"/>
    <x v="0"/>
    <x v="1"/>
    <x v="0"/>
    <x v="1"/>
    <n v="5203"/>
    <n v="12000"/>
    <n v="10.6"/>
    <n v="5890188.6792452829"/>
    <n v="5017.1964899874638"/>
    <n v="5.0171964899874641"/>
  </r>
  <r>
    <x v="2"/>
    <x v="0"/>
    <x v="1"/>
    <x v="0"/>
    <x v="2"/>
    <n v="5564"/>
    <n v="12000"/>
    <n v="10.6"/>
    <n v="6298867.9245283017"/>
    <n v="5365.3048760888432"/>
    <n v="5.3653048760888433"/>
  </r>
  <r>
    <x v="2"/>
    <x v="1"/>
    <x v="1"/>
    <x v="0"/>
    <x v="1"/>
    <n v="11"/>
    <n v="13500"/>
    <n v="15.2"/>
    <n v="9769.7368421052633"/>
    <n v="8.3217519949789303"/>
    <n v="8.3217519949789296E-3"/>
  </r>
  <r>
    <x v="2"/>
    <x v="1"/>
    <x v="1"/>
    <x v="0"/>
    <x v="2"/>
    <n v="0"/>
    <n v="13500"/>
    <n v="15.2"/>
    <n v="0"/>
    <n v="0"/>
    <n v="0"/>
  </r>
  <r>
    <x v="2"/>
    <x v="1"/>
    <x v="1"/>
    <x v="0"/>
    <x v="1"/>
    <n v="12"/>
    <n v="13500"/>
    <n v="15.2"/>
    <n v="10657.894736842105"/>
    <n v="9.0782749036133765"/>
    <n v="9.0782749036133759E-3"/>
  </r>
  <r>
    <x v="2"/>
    <x v="1"/>
    <x v="1"/>
    <x v="0"/>
    <x v="2"/>
    <n v="6"/>
    <n v="13500"/>
    <n v="15.2"/>
    <n v="5328.9473684210525"/>
    <n v="4.5391374518066883"/>
    <n v="4.5391374518066879E-3"/>
  </r>
  <r>
    <x v="2"/>
    <x v="1"/>
    <x v="1"/>
    <x v="0"/>
    <x v="1"/>
    <n v="68"/>
    <n v="13500"/>
    <n v="15.2"/>
    <n v="60394.736842105267"/>
    <n v="51.443557787142474"/>
    <n v="5.1443557787142477E-2"/>
  </r>
  <r>
    <x v="2"/>
    <x v="1"/>
    <x v="1"/>
    <x v="0"/>
    <x v="2"/>
    <n v="4"/>
    <n v="13500"/>
    <n v="15.2"/>
    <n v="3552.6315789473688"/>
    <n v="3.0260916345377926"/>
    <n v="3.0260916345377928E-3"/>
  </r>
  <r>
    <x v="2"/>
    <x v="1"/>
    <x v="1"/>
    <x v="0"/>
    <x v="1"/>
    <n v="310"/>
    <n v="13500"/>
    <n v="15.2"/>
    <n v="275328.94736842107"/>
    <n v="234.52210167667894"/>
    <n v="0.23452210167667895"/>
  </r>
  <r>
    <x v="2"/>
    <x v="1"/>
    <x v="1"/>
    <x v="0"/>
    <x v="2"/>
    <n v="34"/>
    <n v="13500"/>
    <n v="15.2"/>
    <n v="30197.368421052633"/>
    <n v="25.721778893571237"/>
    <n v="2.5721778893571239E-2"/>
  </r>
  <r>
    <x v="2"/>
    <x v="0"/>
    <x v="1"/>
    <x v="1"/>
    <x v="1"/>
    <n v="11650"/>
    <n v="12000"/>
    <n v="15.5"/>
    <n v="9019354.8387096766"/>
    <n v="6516.8748834607486"/>
    <n v="6.5168748834607486"/>
  </r>
  <r>
    <x v="2"/>
    <x v="0"/>
    <x v="1"/>
    <x v="1"/>
    <x v="2"/>
    <n v="9887"/>
    <n v="11500"/>
    <n v="15.5"/>
    <n v="7335516.1290322579"/>
    <n v="5300.2284169308223"/>
    <n v="5.300228416930822"/>
  </r>
  <r>
    <x v="2"/>
    <x v="0"/>
    <x v="1"/>
    <x v="1"/>
    <x v="1"/>
    <n v="63758"/>
    <n v="11500"/>
    <n v="13.5"/>
    <n v="54312370.370370373"/>
    <n v="39243.042175123104"/>
    <n v="39.243042175123101"/>
  </r>
  <r>
    <x v="2"/>
    <x v="0"/>
    <x v="1"/>
    <x v="1"/>
    <x v="2"/>
    <n v="59880"/>
    <n v="11500"/>
    <n v="13.5"/>
    <n v="51008888.888888888"/>
    <n v="36856.133590237638"/>
    <n v="36.85613359023764"/>
  </r>
  <r>
    <x v="2"/>
    <x v="0"/>
    <x v="1"/>
    <x v="1"/>
    <x v="1"/>
    <n v="16865"/>
    <n v="11500"/>
    <n v="10.3"/>
    <n v="18829854.368932039"/>
    <n v="13605.386104719681"/>
    <n v="13.605386104719681"/>
  </r>
  <r>
    <x v="2"/>
    <x v="0"/>
    <x v="1"/>
    <x v="1"/>
    <x v="2"/>
    <n v="24740"/>
    <n v="11500"/>
    <n v="10.3"/>
    <n v="27622330.097087376"/>
    <n v="19958.33099500533"/>
    <n v="19.95833099500533"/>
  </r>
  <r>
    <x v="2"/>
    <x v="0"/>
    <x v="1"/>
    <x v="1"/>
    <x v="1"/>
    <n v="1502"/>
    <n v="11500"/>
    <n v="7.6"/>
    <n v="2272763.1578947371"/>
    <n v="1642.1699117736539"/>
    <n v="1.6421699117736539"/>
  </r>
  <r>
    <x v="2"/>
    <x v="0"/>
    <x v="1"/>
    <x v="1"/>
    <x v="2"/>
    <n v="2215"/>
    <n v="11500"/>
    <n v="7.6"/>
    <n v="3351644.7368421056"/>
    <n v="2421.7086248859146"/>
    <n v="2.4217086248859148"/>
  </r>
  <r>
    <x v="2"/>
    <x v="1"/>
    <x v="1"/>
    <x v="1"/>
    <x v="1"/>
    <n v="104"/>
    <n v="16000"/>
    <n v="15.5"/>
    <n v="107354.83870967742"/>
    <n v="77.568525079246697"/>
    <n v="7.7568525079246692E-2"/>
  </r>
  <r>
    <x v="2"/>
    <x v="1"/>
    <x v="1"/>
    <x v="1"/>
    <x v="2"/>
    <n v="46"/>
    <n v="16000"/>
    <n v="15.5"/>
    <n v="47483.870967741932"/>
    <n v="34.309155323512954"/>
    <n v="3.4309155323512953E-2"/>
  </r>
  <r>
    <x v="2"/>
    <x v="1"/>
    <x v="1"/>
    <x v="1"/>
    <x v="1"/>
    <n v="439"/>
    <n v="16000"/>
    <n v="15.5"/>
    <n v="453161.29032258067"/>
    <n v="327.42867797874328"/>
    <n v="0.32742867797874325"/>
  </r>
  <r>
    <x v="2"/>
    <x v="1"/>
    <x v="1"/>
    <x v="1"/>
    <x v="2"/>
    <n v="154"/>
    <n v="16000"/>
    <n v="15.5"/>
    <n v="158967.74193548388"/>
    <n v="114.86108521349992"/>
    <n v="0.11486108521349991"/>
  </r>
  <r>
    <x v="2"/>
    <x v="1"/>
    <x v="1"/>
    <x v="1"/>
    <x v="1"/>
    <n v="121"/>
    <n v="16000"/>
    <n v="15.5"/>
    <n v="124903.22580645161"/>
    <n v="90.247995524892772"/>
    <n v="9.0247995524892766E-2"/>
  </r>
  <r>
    <x v="2"/>
    <x v="1"/>
    <x v="1"/>
    <x v="1"/>
    <x v="2"/>
    <n v="69"/>
    <n v="16000"/>
    <n v="15.5"/>
    <n v="71225.806451612909"/>
    <n v="51.463732985269445"/>
    <n v="5.1463732985269448E-2"/>
  </r>
  <r>
    <x v="2"/>
    <x v="1"/>
    <x v="1"/>
    <x v="1"/>
    <x v="1"/>
    <n v="13"/>
    <n v="16000"/>
    <n v="15.5"/>
    <n v="13419.354838709678"/>
    <n v="9.6960656349058372"/>
    <n v="9.6960656349058365E-3"/>
  </r>
  <r>
    <x v="2"/>
    <x v="1"/>
    <x v="1"/>
    <x v="1"/>
    <x v="2"/>
    <n v="7"/>
    <n v="16000"/>
    <n v="15.5"/>
    <n v="7225.8064516129034"/>
    <n v="5.2209584187954503"/>
    <n v="5.2209584187954501E-3"/>
  </r>
  <r>
    <x v="2"/>
    <x v="0"/>
    <x v="1"/>
    <x v="2"/>
    <x v="2"/>
    <m/>
    <n v="9000"/>
    <n v="24"/>
    <n v="0"/>
    <m/>
    <n v="0"/>
  </r>
  <r>
    <x v="2"/>
    <x v="0"/>
    <x v="1"/>
    <x v="2"/>
    <x v="1"/>
    <m/>
    <n v="9000"/>
    <n v="24"/>
    <n v="0"/>
    <m/>
    <n v="0"/>
  </r>
  <r>
    <x v="2"/>
    <x v="0"/>
    <x v="1"/>
    <x v="2"/>
    <x v="2"/>
    <n v="2930"/>
    <n v="9000"/>
    <n v="24"/>
    <n v="1098750"/>
    <m/>
    <n v="0"/>
  </r>
  <r>
    <x v="2"/>
    <x v="0"/>
    <x v="1"/>
    <x v="2"/>
    <x v="1"/>
    <m/>
    <n v="9000"/>
    <n v="24"/>
    <n v="0"/>
    <m/>
    <n v="0"/>
  </r>
  <r>
    <x v="2"/>
    <x v="0"/>
    <x v="1"/>
    <x v="2"/>
    <x v="2"/>
    <n v="813"/>
    <n v="9000"/>
    <n v="24"/>
    <n v="304875"/>
    <m/>
    <n v="0"/>
  </r>
  <r>
    <x v="2"/>
    <x v="0"/>
    <x v="1"/>
    <x v="2"/>
    <x v="1"/>
    <m/>
    <n v="9000"/>
    <n v="24"/>
    <n v="0"/>
    <m/>
    <n v="0"/>
  </r>
  <r>
    <x v="2"/>
    <x v="0"/>
    <x v="1"/>
    <x v="2"/>
    <x v="2"/>
    <n v="34"/>
    <n v="9000"/>
    <n v="24"/>
    <n v="12750"/>
    <m/>
    <n v="0"/>
  </r>
  <r>
    <x v="2"/>
    <x v="0"/>
    <x v="1"/>
    <x v="2"/>
    <x v="1"/>
    <m/>
    <n v="9000"/>
    <n v="24"/>
    <n v="0"/>
    <m/>
    <n v="0"/>
  </r>
  <r>
    <x v="2"/>
    <x v="1"/>
    <x v="1"/>
    <x v="2"/>
    <x v="1"/>
    <n v="0"/>
    <n v="12000"/>
    <n v="24"/>
    <n v="0"/>
    <m/>
    <n v="0"/>
  </r>
  <r>
    <x v="2"/>
    <x v="1"/>
    <x v="1"/>
    <x v="2"/>
    <x v="2"/>
    <n v="0"/>
    <n v="12000"/>
    <n v="24"/>
    <n v="0"/>
    <m/>
    <n v="0"/>
  </r>
  <r>
    <x v="2"/>
    <x v="1"/>
    <x v="1"/>
    <x v="2"/>
    <x v="1"/>
    <n v="0"/>
    <n v="12000"/>
    <n v="24"/>
    <n v="0"/>
    <m/>
    <n v="0"/>
  </r>
  <r>
    <x v="2"/>
    <x v="1"/>
    <x v="1"/>
    <x v="2"/>
    <x v="2"/>
    <n v="6"/>
    <n v="12000"/>
    <n v="24"/>
    <n v="3000"/>
    <m/>
    <n v="0"/>
  </r>
  <r>
    <x v="2"/>
    <x v="1"/>
    <x v="1"/>
    <x v="2"/>
    <x v="1"/>
    <n v="0"/>
    <n v="12000"/>
    <n v="24"/>
    <n v="0"/>
    <m/>
    <n v="0"/>
  </r>
  <r>
    <x v="2"/>
    <x v="1"/>
    <x v="1"/>
    <x v="2"/>
    <x v="2"/>
    <n v="0"/>
    <n v="12000"/>
    <n v="24"/>
    <n v="0"/>
    <m/>
    <n v="0"/>
  </r>
  <r>
    <x v="2"/>
    <x v="1"/>
    <x v="1"/>
    <x v="2"/>
    <x v="1"/>
    <n v="0"/>
    <n v="12000"/>
    <n v="24"/>
    <n v="0"/>
    <m/>
    <n v="0"/>
  </r>
  <r>
    <x v="2"/>
    <x v="1"/>
    <x v="1"/>
    <x v="2"/>
    <x v="2"/>
    <n v="0"/>
    <n v="12000"/>
    <n v="24"/>
    <n v="0"/>
    <m/>
    <n v="0"/>
  </r>
  <r>
    <x v="2"/>
    <x v="0"/>
    <x v="1"/>
    <x v="3"/>
    <x v="1"/>
    <n v="5"/>
    <n v="14000"/>
    <n v="13.7"/>
    <n v="5109.4890510948908"/>
    <n v="2.8883488135075699"/>
    <n v="2.8883488135075697E-3"/>
  </r>
  <r>
    <x v="2"/>
    <x v="0"/>
    <x v="1"/>
    <x v="3"/>
    <x v="2"/>
    <n v="1"/>
    <n v="14000"/>
    <n v="13.7"/>
    <n v="1021.8978102189782"/>
    <n v="0.57766976270151393"/>
    <n v="5.7766976270151398E-4"/>
  </r>
  <r>
    <x v="2"/>
    <x v="0"/>
    <x v="1"/>
    <x v="3"/>
    <x v="1"/>
    <n v="19"/>
    <n v="14000"/>
    <n v="13.698630136986303"/>
    <n v="19417.999999999996"/>
    <n v="10.976823063877895"/>
    <n v="1.0976823063877894E-2"/>
  </r>
  <r>
    <x v="2"/>
    <x v="0"/>
    <x v="1"/>
    <x v="3"/>
    <x v="2"/>
    <n v="4"/>
    <n v="14000"/>
    <n v="13.698630136986303"/>
    <n v="4087.9999999999995"/>
    <n v="2.3109101187111358"/>
    <n v="2.3109101187111358E-3"/>
  </r>
  <r>
    <x v="2"/>
    <x v="0"/>
    <x v="1"/>
    <x v="3"/>
    <x v="1"/>
    <n v="173"/>
    <n v="14000"/>
    <n v="13.698630136986303"/>
    <n v="176805.99999999997"/>
    <n v="99.946862634256632"/>
    <n v="9.9946862634256631E-2"/>
  </r>
  <r>
    <x v="2"/>
    <x v="0"/>
    <x v="1"/>
    <x v="3"/>
    <x v="2"/>
    <n v="11"/>
    <n v="14000"/>
    <n v="13.698630136986303"/>
    <n v="11241.999999999998"/>
    <n v="6.3550028264556238"/>
    <n v="6.3550028264556238E-3"/>
  </r>
  <r>
    <x v="2"/>
    <x v="0"/>
    <x v="1"/>
    <x v="3"/>
    <x v="1"/>
    <n v="6"/>
    <n v="14000"/>
    <n v="13.7"/>
    <n v="6131.3868613138693"/>
    <n v="3.466018576209084"/>
    <n v="3.4660185762090839E-3"/>
  </r>
  <r>
    <x v="2"/>
    <x v="0"/>
    <x v="1"/>
    <x v="3"/>
    <x v="2"/>
    <n v="4"/>
    <n v="14000"/>
    <n v="13.7"/>
    <n v="4087.5912408759127"/>
    <n v="2.3106790508060557"/>
    <n v="2.3106790508060559E-3"/>
  </r>
  <r>
    <x v="0"/>
    <x v="0"/>
    <x v="2"/>
    <x v="0"/>
    <x v="1"/>
    <n v="4"/>
    <n v="13000"/>
    <n v="15.5"/>
    <n v="3354.8387096774195"/>
    <n v="2.8576138923998462"/>
    <n v="2.857613892399846E-3"/>
  </r>
  <r>
    <x v="0"/>
    <x v="0"/>
    <x v="2"/>
    <x v="0"/>
    <x v="2"/>
    <n v="0"/>
    <n v="13000"/>
    <n v="15.5"/>
    <n v="0"/>
    <n v="0"/>
    <n v="0"/>
  </r>
  <r>
    <x v="0"/>
    <x v="0"/>
    <x v="2"/>
    <x v="0"/>
    <x v="1"/>
    <n v="98"/>
    <n v="13000"/>
    <n v="15.2"/>
    <n v="83815.789473684214"/>
    <n v="71.393347081502739"/>
    <n v="7.1393347081502745E-2"/>
  </r>
  <r>
    <x v="0"/>
    <x v="0"/>
    <x v="2"/>
    <x v="0"/>
    <x v="2"/>
    <n v="4"/>
    <n v="13000"/>
    <n v="15.2"/>
    <n v="3421.0526315789475"/>
    <n v="2.9140141665919486"/>
    <n v="2.9140141665919485E-3"/>
  </r>
  <r>
    <x v="0"/>
    <x v="0"/>
    <x v="2"/>
    <x v="0"/>
    <x v="1"/>
    <n v="975"/>
    <n v="13000"/>
    <n v="12.7"/>
    <n v="998031.49606299214"/>
    <n v="850.1120068679661"/>
    <n v="0.85011200686796606"/>
  </r>
  <r>
    <x v="0"/>
    <x v="0"/>
    <x v="2"/>
    <x v="0"/>
    <x v="2"/>
    <n v="176"/>
    <n v="13000"/>
    <n v="12.7"/>
    <n v="180157.48031496065"/>
    <n v="153.45611611155081"/>
    <n v="0.1534561161115508"/>
  </r>
  <r>
    <x v="0"/>
    <x v="0"/>
    <x v="2"/>
    <x v="0"/>
    <x v="1"/>
    <n v="18724"/>
    <n v="13000"/>
    <n v="10.6"/>
    <n v="22963396.226415094"/>
    <n v="19559.962714152549"/>
    <n v="19.559962714152547"/>
  </r>
  <r>
    <x v="0"/>
    <x v="0"/>
    <x v="2"/>
    <x v="0"/>
    <x v="2"/>
    <n v="11486"/>
    <n v="13000"/>
    <n v="10.6"/>
    <n v="14086603.773584906"/>
    <n v="11998.810710038251"/>
    <n v="11.998810710038251"/>
  </r>
  <r>
    <x v="0"/>
    <x v="1"/>
    <x v="2"/>
    <x v="0"/>
    <x v="1"/>
    <m/>
    <n v="14000"/>
    <n v="15.5"/>
    <n v="0"/>
    <n v="0"/>
    <n v="0"/>
  </r>
  <r>
    <x v="0"/>
    <x v="1"/>
    <x v="2"/>
    <x v="0"/>
    <x v="2"/>
    <m/>
    <n v="14000"/>
    <n v="15.5"/>
    <n v="0"/>
    <n v="0"/>
    <n v="0"/>
  </r>
  <r>
    <x v="0"/>
    <x v="1"/>
    <x v="2"/>
    <x v="0"/>
    <x v="1"/>
    <m/>
    <n v="14000"/>
    <n v="15.2"/>
    <n v="0"/>
    <n v="0"/>
    <n v="0"/>
  </r>
  <r>
    <x v="0"/>
    <x v="1"/>
    <x v="2"/>
    <x v="0"/>
    <x v="2"/>
    <n v="340"/>
    <n v="14000"/>
    <n v="15.2"/>
    <n v="313157.89473684214"/>
    <n v="266.74437371110912"/>
    <n v="0.2667443737111091"/>
  </r>
  <r>
    <x v="0"/>
    <x v="1"/>
    <x v="2"/>
    <x v="0"/>
    <x v="1"/>
    <n v="781"/>
    <n v="14000"/>
    <n v="12.7"/>
    <n v="860944.88188976387"/>
    <n v="733.34317026385338"/>
    <n v="0.73334317026385343"/>
  </r>
  <r>
    <x v="0"/>
    <x v="1"/>
    <x v="2"/>
    <x v="0"/>
    <x v="2"/>
    <m/>
    <n v="14000"/>
    <n v="12.7"/>
    <n v="0"/>
    <n v="0"/>
    <n v="0"/>
  </r>
  <r>
    <x v="0"/>
    <x v="1"/>
    <x v="2"/>
    <x v="0"/>
    <x v="1"/>
    <n v="143"/>
    <n v="14000"/>
    <n v="10.6"/>
    <n v="188867.9245283019"/>
    <n v="160.87557455562342"/>
    <n v="0.16087557455562343"/>
  </r>
  <r>
    <x v="0"/>
    <x v="1"/>
    <x v="2"/>
    <x v="0"/>
    <x v="2"/>
    <m/>
    <n v="14000"/>
    <n v="10.6"/>
    <n v="0"/>
    <n v="0"/>
    <n v="0"/>
  </r>
  <r>
    <x v="0"/>
    <x v="0"/>
    <x v="2"/>
    <x v="1"/>
    <x v="1"/>
    <n v="167"/>
    <n v="11000"/>
    <n v="15.5"/>
    <n v="118516.12903225806"/>
    <n v="85.633041208278939"/>
    <n v="8.5633041208278943E-2"/>
  </r>
  <r>
    <x v="0"/>
    <x v="0"/>
    <x v="2"/>
    <x v="1"/>
    <x v="2"/>
    <n v="2"/>
    <n v="11000"/>
    <n v="15.5"/>
    <n v="1419.3548387096773"/>
    <n v="1.0255454036919633"/>
    <n v="1.0255454036919634E-3"/>
  </r>
  <r>
    <x v="0"/>
    <x v="0"/>
    <x v="2"/>
    <x v="1"/>
    <x v="1"/>
    <n v="4160"/>
    <n v="11000"/>
    <n v="12.8"/>
    <n v="3575000"/>
    <n v="2583.092485549133"/>
    <n v="2.5830924855491331"/>
  </r>
  <r>
    <x v="0"/>
    <x v="0"/>
    <x v="2"/>
    <x v="1"/>
    <x v="2"/>
    <n v="202"/>
    <n v="11000"/>
    <n v="12.8"/>
    <n v="173593.75"/>
    <n v="125.42901011560694"/>
    <n v="0.12542901011560695"/>
  </r>
  <r>
    <x v="0"/>
    <x v="0"/>
    <x v="2"/>
    <x v="1"/>
    <x v="1"/>
    <n v="795"/>
    <n v="11000"/>
    <n v="10.4"/>
    <n v="840865.38461538462"/>
    <n v="607.56169408626056"/>
    <n v="0.6075616940862606"/>
  </r>
  <r>
    <x v="0"/>
    <x v="0"/>
    <x v="2"/>
    <x v="1"/>
    <x v="2"/>
    <n v="189"/>
    <n v="11000"/>
    <n v="10.4"/>
    <n v="199903.84615384616"/>
    <n v="144.43919519786573"/>
    <n v="0.14443919519786572"/>
  </r>
  <r>
    <x v="0"/>
    <x v="0"/>
    <x v="2"/>
    <x v="1"/>
    <x v="1"/>
    <n v="714"/>
    <n v="11000"/>
    <n v="7.6"/>
    <n v="1033421.052631579"/>
    <n v="746.69151201703687"/>
    <n v="0.74669151201703687"/>
  </r>
  <r>
    <x v="0"/>
    <x v="0"/>
    <x v="2"/>
    <x v="1"/>
    <x v="2"/>
    <n v="266"/>
    <n v="11000"/>
    <n v="7.6"/>
    <n v="385000"/>
    <n v="278.17919075144511"/>
    <n v="0.27817919075144509"/>
  </r>
  <r>
    <x v="0"/>
    <x v="1"/>
    <x v="2"/>
    <x v="1"/>
    <x v="1"/>
    <m/>
    <n v="12000"/>
    <n v="15.5"/>
    <n v="0"/>
    <n v="0"/>
    <n v="0"/>
  </r>
  <r>
    <x v="0"/>
    <x v="1"/>
    <x v="2"/>
    <x v="1"/>
    <x v="2"/>
    <n v="3"/>
    <n v="12000"/>
    <n v="15.5"/>
    <n v="2322.5806451612902"/>
    <n v="1.6781652060413947"/>
    <n v="1.6781652060413948E-3"/>
  </r>
  <r>
    <x v="0"/>
    <x v="1"/>
    <x v="2"/>
    <x v="1"/>
    <x v="1"/>
    <n v="1"/>
    <n v="12000"/>
    <n v="12.8"/>
    <n v="937.5"/>
    <n v="0.67738439306358378"/>
    <n v="6.773843930635838E-4"/>
  </r>
  <r>
    <x v="0"/>
    <x v="1"/>
    <x v="2"/>
    <x v="1"/>
    <x v="2"/>
    <n v="2"/>
    <n v="12000"/>
    <n v="12.8"/>
    <n v="1875"/>
    <n v="1.3547687861271676"/>
    <n v="1.3547687861271676E-3"/>
  </r>
  <r>
    <x v="0"/>
    <x v="1"/>
    <x v="2"/>
    <x v="1"/>
    <x v="1"/>
    <n v="2"/>
    <n v="12000"/>
    <n v="10.4"/>
    <n v="2307.6923076923076"/>
    <n v="1.6674077367718985"/>
    <n v="1.6674077367718984E-3"/>
  </r>
  <r>
    <x v="0"/>
    <x v="1"/>
    <x v="2"/>
    <x v="1"/>
    <x v="2"/>
    <m/>
    <n v="12000"/>
    <n v="10.4"/>
    <n v="0"/>
    <n v="0"/>
    <n v="0"/>
  </r>
  <r>
    <x v="0"/>
    <x v="1"/>
    <x v="2"/>
    <x v="1"/>
    <x v="1"/>
    <n v="11"/>
    <n v="12000"/>
    <n v="7.6"/>
    <n v="17368.42105263158"/>
    <n v="12.549437176756921"/>
    <n v="1.2549437176756922E-2"/>
  </r>
  <r>
    <x v="0"/>
    <x v="1"/>
    <x v="2"/>
    <x v="1"/>
    <x v="2"/>
    <n v="1"/>
    <n v="12000"/>
    <n v="7.6"/>
    <n v="1578.9473684210527"/>
    <n v="1.1408579251597202"/>
    <n v="1.1408579251597202E-3"/>
  </r>
  <r>
    <x v="0"/>
    <x v="0"/>
    <x v="2"/>
    <x v="3"/>
    <x v="1"/>
    <m/>
    <n v="11000"/>
    <n v="15.5"/>
    <n v="0"/>
    <n v="0"/>
    <n v="0"/>
  </r>
  <r>
    <x v="0"/>
    <x v="0"/>
    <x v="2"/>
    <x v="3"/>
    <x v="2"/>
    <m/>
    <n v="11000"/>
    <n v="15.5"/>
    <n v="0"/>
    <n v="0"/>
    <n v="0"/>
  </r>
  <r>
    <x v="0"/>
    <x v="0"/>
    <x v="2"/>
    <x v="3"/>
    <x v="1"/>
    <n v="4"/>
    <n v="11000"/>
    <n v="12.8"/>
    <n v="3437.5"/>
    <n v="1.9431882419446014"/>
    <n v="1.9431882419446013E-3"/>
  </r>
  <r>
    <x v="0"/>
    <x v="0"/>
    <x v="2"/>
    <x v="3"/>
    <x v="2"/>
    <n v="1"/>
    <n v="11000"/>
    <n v="12.8"/>
    <n v="859.375"/>
    <n v="0.48579706048615034"/>
    <n v="4.8579706048615032E-4"/>
  </r>
  <r>
    <x v="0"/>
    <x v="0"/>
    <x v="2"/>
    <x v="3"/>
    <x v="1"/>
    <n v="1"/>
    <n v="11000"/>
    <n v="10.4"/>
    <n v="1057.6923076923076"/>
    <n v="0.59790407444449267"/>
    <n v="5.9790407444449268E-4"/>
  </r>
  <r>
    <x v="0"/>
    <x v="0"/>
    <x v="2"/>
    <x v="3"/>
    <x v="2"/>
    <m/>
    <n v="11000"/>
    <n v="10.4"/>
    <n v="0"/>
    <n v="0"/>
    <n v="0"/>
  </r>
  <r>
    <x v="0"/>
    <x v="0"/>
    <x v="2"/>
    <x v="3"/>
    <x v="1"/>
    <n v="4"/>
    <n v="11000"/>
    <n v="7.6"/>
    <n v="5789.4736842105267"/>
    <n v="3.272738091696171"/>
    <n v="3.2727380916961709E-3"/>
  </r>
  <r>
    <x v="0"/>
    <x v="0"/>
    <x v="2"/>
    <x v="3"/>
    <x v="2"/>
    <n v="4"/>
    <n v="11000"/>
    <n v="7.6"/>
    <n v="5789.4736842105267"/>
    <n v="3.272738091696171"/>
    <n v="3.2727380916961709E-3"/>
  </r>
  <r>
    <x v="0"/>
    <x v="1"/>
    <x v="2"/>
    <x v="3"/>
    <x v="1"/>
    <m/>
    <n v="12000"/>
    <n v="15.5"/>
    <n v="0"/>
    <n v="0"/>
    <n v="0"/>
  </r>
  <r>
    <x v="0"/>
    <x v="1"/>
    <x v="2"/>
    <x v="3"/>
    <x v="2"/>
    <m/>
    <n v="12000"/>
    <n v="15.5"/>
    <n v="0"/>
    <n v="0"/>
    <n v="0"/>
  </r>
  <r>
    <x v="0"/>
    <x v="1"/>
    <x v="2"/>
    <x v="3"/>
    <x v="1"/>
    <m/>
    <n v="12000"/>
    <n v="12.8"/>
    <n v="0"/>
    <n v="0"/>
    <n v="0"/>
  </r>
  <r>
    <x v="0"/>
    <x v="1"/>
    <x v="2"/>
    <x v="3"/>
    <x v="2"/>
    <m/>
    <n v="12000"/>
    <n v="12.8"/>
    <n v="0"/>
    <n v="0"/>
    <n v="0"/>
  </r>
  <r>
    <x v="0"/>
    <x v="1"/>
    <x v="2"/>
    <x v="3"/>
    <x v="1"/>
    <m/>
    <n v="12000"/>
    <n v="10.4"/>
    <n v="0"/>
    <n v="0"/>
    <n v="0"/>
  </r>
  <r>
    <x v="0"/>
    <x v="1"/>
    <x v="2"/>
    <x v="3"/>
    <x v="2"/>
    <m/>
    <n v="12000"/>
    <n v="10.4"/>
    <n v="0"/>
    <n v="0"/>
    <n v="0"/>
  </r>
  <r>
    <x v="0"/>
    <x v="1"/>
    <x v="2"/>
    <x v="3"/>
    <x v="1"/>
    <n v="5"/>
    <n v="12000"/>
    <n v="7.6"/>
    <n v="7894.7368421052633"/>
    <n v="4.4628246704947783"/>
    <n v="4.4628246704947784E-3"/>
  </r>
  <r>
    <x v="0"/>
    <x v="1"/>
    <x v="2"/>
    <x v="3"/>
    <x v="2"/>
    <m/>
    <n v="12000"/>
    <n v="7.6"/>
    <n v="0"/>
    <n v="0"/>
    <n v="0"/>
  </r>
  <r>
    <x v="1"/>
    <x v="0"/>
    <x v="2"/>
    <x v="0"/>
    <x v="1"/>
    <n v="4"/>
    <n v="13000"/>
    <n v="15.5"/>
    <n v="3354.8387096774195"/>
    <n v="2.8576138923998462"/>
    <n v="2.857613892399846E-3"/>
  </r>
  <r>
    <x v="1"/>
    <x v="0"/>
    <x v="2"/>
    <x v="0"/>
    <x v="2"/>
    <m/>
    <n v="13000"/>
    <n v="15.5"/>
    <n v="0"/>
    <n v="0"/>
    <n v="0"/>
  </r>
  <r>
    <x v="1"/>
    <x v="0"/>
    <x v="2"/>
    <x v="0"/>
    <x v="1"/>
    <n v="88"/>
    <n v="13000"/>
    <n v="15.2"/>
    <n v="75263.15789473684"/>
    <n v="64.108311665022867"/>
    <n v="6.4108311665022871E-2"/>
  </r>
  <r>
    <x v="1"/>
    <x v="0"/>
    <x v="2"/>
    <x v="0"/>
    <x v="2"/>
    <n v="4"/>
    <n v="13000"/>
    <n v="15.2"/>
    <n v="3421.0526315789475"/>
    <n v="2.9140141665919486"/>
    <n v="2.9140141665919485E-3"/>
  </r>
  <r>
    <x v="1"/>
    <x v="0"/>
    <x v="2"/>
    <x v="0"/>
    <x v="1"/>
    <n v="964"/>
    <n v="13000"/>
    <n v="12.7"/>
    <n v="986771.6535433071"/>
    <n v="840.52099961099407"/>
    <n v="0.84052099961099402"/>
  </r>
  <r>
    <x v="1"/>
    <x v="0"/>
    <x v="2"/>
    <x v="0"/>
    <x v="2"/>
    <n v="176"/>
    <n v="13000"/>
    <n v="12.7"/>
    <n v="180157.48031496065"/>
    <n v="153.45611611155081"/>
    <n v="0.1534561161115508"/>
  </r>
  <r>
    <x v="1"/>
    <x v="0"/>
    <x v="2"/>
    <x v="0"/>
    <x v="1"/>
    <n v="18554"/>
    <n v="13000"/>
    <n v="10.6"/>
    <n v="22754905.660377361"/>
    <n v="19382.372794188552"/>
    <n v="19.382372794188552"/>
  </r>
  <r>
    <x v="1"/>
    <x v="0"/>
    <x v="2"/>
    <x v="0"/>
    <x v="2"/>
    <n v="11501"/>
    <n v="13000"/>
    <n v="10.6"/>
    <n v="14105000"/>
    <n v="12014.480408858602"/>
    <n v="12.014480408858603"/>
  </r>
  <r>
    <x v="1"/>
    <x v="1"/>
    <x v="2"/>
    <x v="0"/>
    <x v="1"/>
    <m/>
    <n v="14000"/>
    <n v="15.5"/>
    <n v="0"/>
    <n v="0"/>
    <n v="0"/>
  </r>
  <r>
    <x v="1"/>
    <x v="1"/>
    <x v="2"/>
    <x v="0"/>
    <x v="2"/>
    <m/>
    <n v="14000"/>
    <n v="15.5"/>
    <n v="0"/>
    <n v="0"/>
    <n v="0"/>
  </r>
  <r>
    <x v="1"/>
    <x v="1"/>
    <x v="2"/>
    <x v="0"/>
    <x v="1"/>
    <n v="1"/>
    <n v="14000"/>
    <n v="15.2"/>
    <n v="921.0526315789474"/>
    <n v="0.78454227562090917"/>
    <n v="7.8454227562090918E-4"/>
  </r>
  <r>
    <x v="1"/>
    <x v="1"/>
    <x v="2"/>
    <x v="0"/>
    <x v="2"/>
    <n v="366"/>
    <n v="14000"/>
    <n v="15.2"/>
    <n v="337105.26315789478"/>
    <n v="287.14247287725277"/>
    <n v="0.28714247287725275"/>
  </r>
  <r>
    <x v="1"/>
    <x v="1"/>
    <x v="2"/>
    <x v="0"/>
    <x v="1"/>
    <n v="764"/>
    <n v="14000"/>
    <n v="12.7"/>
    <n v="842204.72440944891"/>
    <n v="717.38051482917285"/>
    <n v="0.71738051482917287"/>
  </r>
  <r>
    <x v="1"/>
    <x v="1"/>
    <x v="2"/>
    <x v="0"/>
    <x v="2"/>
    <n v="3"/>
    <n v="14000"/>
    <n v="12.7"/>
    <n v="3307.0866141732286"/>
    <n v="2.8169391943553905"/>
    <n v="2.8169391943553904E-3"/>
  </r>
  <r>
    <x v="1"/>
    <x v="1"/>
    <x v="2"/>
    <x v="0"/>
    <x v="1"/>
    <n v="151"/>
    <n v="14000"/>
    <n v="10.6"/>
    <n v="199433.96226415096"/>
    <n v="169.87560669859536"/>
    <n v="0.16987560669859536"/>
  </r>
  <r>
    <x v="1"/>
    <x v="1"/>
    <x v="2"/>
    <x v="0"/>
    <x v="2"/>
    <n v="216"/>
    <n v="14000"/>
    <n v="10.6"/>
    <n v="285283.01886792452"/>
    <n v="243.00086786024235"/>
    <n v="0.24300086786024236"/>
  </r>
  <r>
    <x v="1"/>
    <x v="0"/>
    <x v="2"/>
    <x v="1"/>
    <x v="1"/>
    <n v="162"/>
    <n v="15500"/>
    <n v="15.5"/>
    <n v="162000"/>
    <n v="117.05202312138728"/>
    <n v="0.11705202312138728"/>
  </r>
  <r>
    <x v="1"/>
    <x v="0"/>
    <x v="2"/>
    <x v="1"/>
    <x v="2"/>
    <n v="2"/>
    <n v="15500"/>
    <n v="15.5"/>
    <n v="2000"/>
    <n v="1.4450867052023122"/>
    <n v="1.4450867052023123E-3"/>
  </r>
  <r>
    <x v="1"/>
    <x v="0"/>
    <x v="2"/>
    <x v="1"/>
    <x v="1"/>
    <n v="4003"/>
    <n v="15500"/>
    <n v="12.8"/>
    <n v="4847382.8125"/>
    <n v="3502.4442286849712"/>
    <n v="3.5024442286849711"/>
  </r>
  <r>
    <x v="1"/>
    <x v="0"/>
    <x v="2"/>
    <x v="1"/>
    <x v="2"/>
    <n v="215"/>
    <n v="15500"/>
    <n v="12.8"/>
    <n v="260351.5625"/>
    <n v="188.11529082369941"/>
    <n v="0.1881152908236994"/>
  </r>
  <r>
    <x v="1"/>
    <x v="0"/>
    <x v="2"/>
    <x v="1"/>
    <x v="1"/>
    <n v="783"/>
    <n v="15500"/>
    <n v="10.4"/>
    <n v="1166971.1538461538"/>
    <n v="843.18724988883946"/>
    <n v="0.84318724988883942"/>
  </r>
  <r>
    <x v="1"/>
    <x v="0"/>
    <x v="2"/>
    <x v="1"/>
    <x v="2"/>
    <n v="192"/>
    <n v="15500"/>
    <n v="10.4"/>
    <n v="286153.84615384613"/>
    <n v="206.75855935971541"/>
    <n v="0.2067585593597154"/>
  </r>
  <r>
    <x v="1"/>
    <x v="0"/>
    <x v="2"/>
    <x v="1"/>
    <x v="1"/>
    <n v="708"/>
    <n v="15500"/>
    <n v="7.6"/>
    <n v="1443947.3684210528"/>
    <n v="1043.3145725585641"/>
    <n v="1.0433145725585642"/>
  </r>
  <r>
    <x v="1"/>
    <x v="0"/>
    <x v="2"/>
    <x v="1"/>
    <x v="2"/>
    <n v="283"/>
    <n v="15500"/>
    <n v="7.6"/>
    <n v="577171.05263157899"/>
    <n v="417.0311073927594"/>
    <n v="0.41703110739275939"/>
  </r>
  <r>
    <x v="1"/>
    <x v="1"/>
    <x v="2"/>
    <x v="1"/>
    <x v="1"/>
    <m/>
    <n v="12000"/>
    <n v="15.5"/>
    <n v="0"/>
    <n v="0"/>
    <n v="0"/>
  </r>
  <r>
    <x v="1"/>
    <x v="1"/>
    <x v="2"/>
    <x v="1"/>
    <x v="2"/>
    <n v="3"/>
    <n v="12000"/>
    <n v="15.5"/>
    <n v="2322.5806451612902"/>
    <n v="1.6781652060413947"/>
    <n v="1.6781652060413948E-3"/>
  </r>
  <r>
    <x v="1"/>
    <x v="1"/>
    <x v="2"/>
    <x v="1"/>
    <x v="1"/>
    <n v="1"/>
    <n v="12000"/>
    <n v="12.8"/>
    <n v="937.5"/>
    <n v="0.67738439306358378"/>
    <n v="6.773843930635838E-4"/>
  </r>
  <r>
    <x v="1"/>
    <x v="1"/>
    <x v="2"/>
    <x v="1"/>
    <x v="2"/>
    <n v="2"/>
    <n v="12000"/>
    <n v="12.8"/>
    <n v="1875"/>
    <n v="1.3547687861271676"/>
    <n v="1.3547687861271676E-3"/>
  </r>
  <r>
    <x v="1"/>
    <x v="1"/>
    <x v="2"/>
    <x v="1"/>
    <x v="1"/>
    <n v="2"/>
    <n v="12000"/>
    <n v="10.4"/>
    <n v="2307.6923076923076"/>
    <n v="1.6674077367718985"/>
    <n v="1.6674077367718984E-3"/>
  </r>
  <r>
    <x v="1"/>
    <x v="1"/>
    <x v="2"/>
    <x v="1"/>
    <x v="2"/>
    <m/>
    <n v="12000"/>
    <n v="10.4"/>
    <n v="0"/>
    <n v="0"/>
    <n v="0"/>
  </r>
  <r>
    <x v="1"/>
    <x v="1"/>
    <x v="2"/>
    <x v="1"/>
    <x v="1"/>
    <n v="11"/>
    <n v="12000"/>
    <n v="7.6"/>
    <n v="17368.42105263158"/>
    <n v="12.549437176756921"/>
    <n v="1.2549437176756922E-2"/>
  </r>
  <r>
    <x v="1"/>
    <x v="1"/>
    <x v="2"/>
    <x v="1"/>
    <x v="2"/>
    <n v="1"/>
    <n v="12000"/>
    <n v="7.6"/>
    <n v="1578.9473684210527"/>
    <n v="1.1408579251597202"/>
    <n v="1.1408579251597202E-3"/>
  </r>
  <r>
    <x v="1"/>
    <x v="0"/>
    <x v="2"/>
    <x v="3"/>
    <x v="1"/>
    <m/>
    <n v="13000"/>
    <n v="15.5"/>
    <n v="0"/>
    <n v="0"/>
    <n v="0"/>
  </r>
  <r>
    <x v="1"/>
    <x v="0"/>
    <x v="2"/>
    <x v="3"/>
    <x v="2"/>
    <m/>
    <n v="13000"/>
    <n v="15.5"/>
    <n v="0"/>
    <n v="0"/>
    <n v="0"/>
  </r>
  <r>
    <x v="1"/>
    <x v="0"/>
    <x v="2"/>
    <x v="3"/>
    <x v="1"/>
    <n v="4"/>
    <n v="13000"/>
    <n v="12.8"/>
    <n v="4062.5"/>
    <n v="2.2964951950254382"/>
    <n v="2.296495195025438E-3"/>
  </r>
  <r>
    <x v="1"/>
    <x v="0"/>
    <x v="2"/>
    <x v="3"/>
    <x v="2"/>
    <n v="1"/>
    <n v="13000"/>
    <n v="12.8"/>
    <n v="1015.625"/>
    <n v="0.57412379875635955"/>
    <n v="5.7412379875635951E-4"/>
  </r>
  <r>
    <x v="1"/>
    <x v="0"/>
    <x v="2"/>
    <x v="3"/>
    <x v="1"/>
    <n v="1"/>
    <n v="13000"/>
    <n v="10.4"/>
    <n v="1250"/>
    <n v="0.7066139061616733"/>
    <n v="7.0661390616167329E-4"/>
  </r>
  <r>
    <x v="1"/>
    <x v="0"/>
    <x v="2"/>
    <x v="3"/>
    <x v="2"/>
    <m/>
    <n v="13000"/>
    <n v="10.4"/>
    <n v="0"/>
    <n v="0"/>
    <n v="0"/>
  </r>
  <r>
    <x v="1"/>
    <x v="0"/>
    <x v="2"/>
    <x v="3"/>
    <x v="1"/>
    <n v="5"/>
    <n v="13000"/>
    <n v="7.6"/>
    <n v="8552.6315789473683"/>
    <n v="4.8347267263693432"/>
    <n v="4.8347267263693433E-3"/>
  </r>
  <r>
    <x v="1"/>
    <x v="0"/>
    <x v="2"/>
    <x v="3"/>
    <x v="2"/>
    <n v="3"/>
    <n v="13000"/>
    <n v="7.6"/>
    <n v="5131.5789473684217"/>
    <n v="2.9008360358216065"/>
    <n v="2.9008360358216065E-3"/>
  </r>
  <r>
    <x v="1"/>
    <x v="1"/>
    <x v="2"/>
    <x v="3"/>
    <x v="1"/>
    <m/>
    <n v="12000"/>
    <n v="15.5"/>
    <n v="0"/>
    <n v="0"/>
    <n v="0"/>
  </r>
  <r>
    <x v="1"/>
    <x v="1"/>
    <x v="2"/>
    <x v="3"/>
    <x v="2"/>
    <m/>
    <n v="12000"/>
    <n v="15.5"/>
    <n v="0"/>
    <n v="0"/>
    <n v="0"/>
  </r>
  <r>
    <x v="1"/>
    <x v="1"/>
    <x v="2"/>
    <x v="3"/>
    <x v="1"/>
    <m/>
    <n v="12000"/>
    <n v="12.8"/>
    <n v="0"/>
    <n v="0"/>
    <n v="0"/>
  </r>
  <r>
    <x v="1"/>
    <x v="1"/>
    <x v="2"/>
    <x v="3"/>
    <x v="2"/>
    <n v="1"/>
    <n v="12000"/>
    <n v="12.8"/>
    <n v="937.5"/>
    <n v="0.52996042962125489"/>
    <n v="5.2996042962125491E-4"/>
  </r>
  <r>
    <x v="1"/>
    <x v="1"/>
    <x v="2"/>
    <x v="3"/>
    <x v="1"/>
    <m/>
    <n v="12000"/>
    <n v="10.4"/>
    <n v="0"/>
    <n v="0"/>
    <n v="0"/>
  </r>
  <r>
    <x v="1"/>
    <x v="1"/>
    <x v="2"/>
    <x v="3"/>
    <x v="2"/>
    <m/>
    <n v="12000"/>
    <n v="10.4"/>
    <n v="0"/>
    <n v="0"/>
    <n v="0"/>
  </r>
  <r>
    <x v="1"/>
    <x v="1"/>
    <x v="2"/>
    <x v="3"/>
    <x v="1"/>
    <n v="5"/>
    <n v="12000"/>
    <n v="7.6"/>
    <n v="7894.7368421052633"/>
    <n v="4.4628246704947783"/>
    <n v="4.4628246704947784E-3"/>
  </r>
  <r>
    <x v="1"/>
    <x v="1"/>
    <x v="2"/>
    <x v="3"/>
    <x v="2"/>
    <n v="1"/>
    <n v="12000"/>
    <n v="7.6"/>
    <n v="1578.9473684210527"/>
    <n v="0.89256493409895576"/>
    <n v="8.9256493409895572E-4"/>
  </r>
  <r>
    <x v="2"/>
    <x v="0"/>
    <x v="2"/>
    <x v="0"/>
    <x v="1"/>
    <n v="4"/>
    <n v="13000"/>
    <n v="15.5"/>
    <n v="3354.8387096774195"/>
    <n v="2.8576138923998462"/>
    <n v="2.857613892399846E-3"/>
  </r>
  <r>
    <x v="2"/>
    <x v="0"/>
    <x v="2"/>
    <x v="0"/>
    <x v="2"/>
    <m/>
    <n v="13000"/>
    <n v="15.5"/>
    <n v="0"/>
    <n v="0"/>
    <n v="0"/>
  </r>
  <r>
    <x v="2"/>
    <x v="0"/>
    <x v="2"/>
    <x v="0"/>
    <x v="1"/>
    <n v="83"/>
    <n v="13000"/>
    <n v="15.2"/>
    <n v="70986.84210526316"/>
    <n v="60.465793956782932"/>
    <n v="6.0465793956782934E-2"/>
  </r>
  <r>
    <x v="2"/>
    <x v="0"/>
    <x v="2"/>
    <x v="0"/>
    <x v="2"/>
    <n v="4"/>
    <n v="13000"/>
    <n v="15.2"/>
    <n v="3421.0526315789475"/>
    <n v="2.9140141665919486"/>
    <n v="2.9140141665919485E-3"/>
  </r>
  <r>
    <x v="2"/>
    <x v="0"/>
    <x v="2"/>
    <x v="0"/>
    <x v="1"/>
    <n v="951"/>
    <n v="13000"/>
    <n v="12.7"/>
    <n v="973464.56692913396"/>
    <n v="829.18617285275468"/>
    <n v="0.82918617285275464"/>
  </r>
  <r>
    <x v="2"/>
    <x v="0"/>
    <x v="2"/>
    <x v="0"/>
    <x v="2"/>
    <n v="225"/>
    <n v="13000"/>
    <n v="12.7"/>
    <n v="230314.96062992126"/>
    <n v="196.17969389260756"/>
    <n v="0.19617969389260756"/>
  </r>
  <r>
    <x v="2"/>
    <x v="0"/>
    <x v="2"/>
    <x v="0"/>
    <x v="1"/>
    <n v="18535"/>
    <n v="13000"/>
    <n v="10.6"/>
    <n v="22731603.773584906"/>
    <n v="19362.524509016104"/>
    <n v="19.362524509016104"/>
  </r>
  <r>
    <x v="2"/>
    <x v="0"/>
    <x v="2"/>
    <x v="0"/>
    <x v="2"/>
    <n v="13661"/>
    <n v="13000"/>
    <n v="10.6"/>
    <n v="16754056.603773585"/>
    <n v="14270.917038989424"/>
    <n v="14.270917038989424"/>
  </r>
  <r>
    <x v="2"/>
    <x v="1"/>
    <x v="2"/>
    <x v="0"/>
    <x v="1"/>
    <m/>
    <n v="14000"/>
    <n v="15.5"/>
    <n v="0"/>
    <n v="0"/>
    <n v="0"/>
  </r>
  <r>
    <x v="2"/>
    <x v="1"/>
    <x v="2"/>
    <x v="0"/>
    <x v="2"/>
    <m/>
    <n v="14000"/>
    <n v="15.5"/>
    <n v="0"/>
    <n v="0"/>
    <n v="0"/>
  </r>
  <r>
    <x v="2"/>
    <x v="1"/>
    <x v="2"/>
    <x v="0"/>
    <x v="1"/>
    <n v="1"/>
    <n v="14000"/>
    <n v="15.2"/>
    <n v="921.0526315789474"/>
    <n v="0.78454227562090917"/>
    <n v="7.8454227562090918E-4"/>
  </r>
  <r>
    <x v="2"/>
    <x v="1"/>
    <x v="2"/>
    <x v="0"/>
    <x v="2"/>
    <n v="375"/>
    <n v="14000"/>
    <n v="15.2"/>
    <n v="345394.73684210528"/>
    <n v="294.20335335784097"/>
    <n v="0.29420335335784098"/>
  </r>
  <r>
    <x v="2"/>
    <x v="1"/>
    <x v="2"/>
    <x v="0"/>
    <x v="1"/>
    <n v="781"/>
    <n v="14000"/>
    <n v="12.7"/>
    <n v="860944.88188976387"/>
    <n v="733.34317026385338"/>
    <n v="0.73334317026385343"/>
  </r>
  <r>
    <x v="2"/>
    <x v="1"/>
    <x v="2"/>
    <x v="0"/>
    <x v="2"/>
    <n v="7"/>
    <n v="14000"/>
    <n v="12.7"/>
    <n v="7716.5354330708669"/>
    <n v="6.5728581201625786"/>
    <n v="6.5728581201625787E-3"/>
  </r>
  <r>
    <x v="2"/>
    <x v="1"/>
    <x v="2"/>
    <x v="0"/>
    <x v="1"/>
    <n v="192"/>
    <n v="14000"/>
    <n v="10.6"/>
    <n v="253584.90566037738"/>
    <n v="216.00077143132657"/>
    <n v="0.21600077143132657"/>
  </r>
  <r>
    <x v="2"/>
    <x v="1"/>
    <x v="2"/>
    <x v="0"/>
    <x v="2"/>
    <n v="303"/>
    <n v="14000"/>
    <n v="10.6"/>
    <n v="400188.67924528301"/>
    <n v="340.87621741506217"/>
    <n v="0.34087621741506219"/>
  </r>
  <r>
    <x v="2"/>
    <x v="0"/>
    <x v="2"/>
    <x v="1"/>
    <x v="1"/>
    <n v="149"/>
    <n v="16000"/>
    <n v="15.5"/>
    <n v="153806.45161290321"/>
    <n v="111.13182920007458"/>
    <n v="0.11113182920007458"/>
  </r>
  <r>
    <x v="2"/>
    <x v="0"/>
    <x v="2"/>
    <x v="1"/>
    <x v="2"/>
    <n v="3"/>
    <n v="16000"/>
    <n v="15.5"/>
    <n v="3096.7741935483873"/>
    <n v="2.237553608055193"/>
    <n v="2.2375536080551932E-3"/>
  </r>
  <r>
    <x v="2"/>
    <x v="0"/>
    <x v="2"/>
    <x v="1"/>
    <x v="1"/>
    <n v="3806"/>
    <n v="16000"/>
    <n v="12.8"/>
    <n v="4757500"/>
    <n v="3437.5"/>
    <n v="3.4375"/>
  </r>
  <r>
    <x v="2"/>
    <x v="0"/>
    <x v="2"/>
    <x v="1"/>
    <x v="2"/>
    <n v="225"/>
    <n v="16000"/>
    <n v="12.8"/>
    <n v="281250"/>
    <n v="203.21531791907515"/>
    <n v="0.20321531791907516"/>
  </r>
  <r>
    <x v="2"/>
    <x v="0"/>
    <x v="2"/>
    <x v="1"/>
    <x v="1"/>
    <n v="756"/>
    <n v="16000"/>
    <n v="10.4"/>
    <n v="1163076.923076923"/>
    <n v="840.37349933303688"/>
    <n v="0.84037349933303684"/>
  </r>
  <r>
    <x v="2"/>
    <x v="0"/>
    <x v="2"/>
    <x v="1"/>
    <x v="2"/>
    <n v="201"/>
    <n v="16000"/>
    <n v="10.4"/>
    <n v="309230.76923076925"/>
    <n v="223.43263672743444"/>
    <n v="0.22343263672743444"/>
  </r>
  <r>
    <x v="2"/>
    <x v="0"/>
    <x v="2"/>
    <x v="1"/>
    <x v="1"/>
    <n v="702"/>
    <n v="16000"/>
    <n v="7.6"/>
    <n v="1477894.7368421054"/>
    <n v="1067.8430179494981"/>
    <n v="1.067843017949498"/>
  </r>
  <r>
    <x v="2"/>
    <x v="0"/>
    <x v="2"/>
    <x v="1"/>
    <x v="2"/>
    <n v="303"/>
    <n v="16000"/>
    <n v="7.6"/>
    <n v="637894.73684210528"/>
    <n v="460.90660176452695"/>
    <n v="0.46090660176452697"/>
  </r>
  <r>
    <x v="2"/>
    <x v="1"/>
    <x v="2"/>
    <x v="1"/>
    <x v="1"/>
    <m/>
    <n v="12000"/>
    <n v="15.5"/>
    <n v="0"/>
    <n v="0"/>
    <n v="0"/>
  </r>
  <r>
    <x v="2"/>
    <x v="1"/>
    <x v="2"/>
    <x v="1"/>
    <x v="2"/>
    <m/>
    <n v="12000"/>
    <n v="15.5"/>
    <n v="0"/>
    <n v="0"/>
    <n v="0"/>
  </r>
  <r>
    <x v="2"/>
    <x v="1"/>
    <x v="2"/>
    <x v="1"/>
    <x v="1"/>
    <n v="1"/>
    <n v="12000"/>
    <n v="12.8"/>
    <n v="937.5"/>
    <n v="0.67738439306358378"/>
    <n v="6.773843930635838E-4"/>
  </r>
  <r>
    <x v="2"/>
    <x v="1"/>
    <x v="2"/>
    <x v="1"/>
    <x v="2"/>
    <n v="3"/>
    <n v="12000"/>
    <n v="12.8"/>
    <n v="2812.5"/>
    <n v="2.0321531791907512"/>
    <n v="2.0321531791907513E-3"/>
  </r>
  <r>
    <x v="2"/>
    <x v="1"/>
    <x v="2"/>
    <x v="1"/>
    <x v="1"/>
    <n v="2"/>
    <n v="12000"/>
    <n v="10.4"/>
    <n v="2307.6923076923076"/>
    <n v="1.6674077367718985"/>
    <n v="1.6674077367718984E-3"/>
  </r>
  <r>
    <x v="2"/>
    <x v="1"/>
    <x v="2"/>
    <x v="1"/>
    <x v="2"/>
    <n v="4"/>
    <n v="12000"/>
    <n v="10.4"/>
    <n v="4615.3846153846152"/>
    <n v="3.3348154735437969"/>
    <n v="3.3348154735437967E-3"/>
  </r>
  <r>
    <x v="2"/>
    <x v="1"/>
    <x v="2"/>
    <x v="1"/>
    <x v="1"/>
    <n v="11"/>
    <n v="12000"/>
    <n v="7.6"/>
    <n v="17368.42105263158"/>
    <n v="12.549437176756921"/>
    <n v="1.2549437176756922E-2"/>
  </r>
  <r>
    <x v="2"/>
    <x v="1"/>
    <x v="2"/>
    <x v="1"/>
    <x v="2"/>
    <n v="5"/>
    <n v="12000"/>
    <n v="7.6"/>
    <n v="7894.7368421052633"/>
    <n v="5.7042896257986007"/>
    <n v="5.7042896257986008E-3"/>
  </r>
  <r>
    <x v="2"/>
    <x v="0"/>
    <x v="2"/>
    <x v="3"/>
    <x v="1"/>
    <m/>
    <n v="13000"/>
    <n v="15.5"/>
    <n v="0"/>
    <n v="0"/>
    <n v="0"/>
  </r>
  <r>
    <x v="2"/>
    <x v="0"/>
    <x v="2"/>
    <x v="3"/>
    <x v="2"/>
    <m/>
    <n v="13000"/>
    <n v="15.5"/>
    <n v="0"/>
    <n v="0"/>
    <n v="0"/>
  </r>
  <r>
    <x v="2"/>
    <x v="0"/>
    <x v="2"/>
    <x v="3"/>
    <x v="1"/>
    <n v="3"/>
    <n v="13000"/>
    <n v="12.8"/>
    <n v="3046.875"/>
    <n v="1.7223713962690785"/>
    <n v="1.7223713962690786E-3"/>
  </r>
  <r>
    <x v="2"/>
    <x v="0"/>
    <x v="2"/>
    <x v="3"/>
    <x v="2"/>
    <n v="1"/>
    <n v="13000"/>
    <n v="12.8"/>
    <n v="1015.625"/>
    <n v="0.57412379875635955"/>
    <n v="5.7412379875635951E-4"/>
  </r>
  <r>
    <x v="2"/>
    <x v="0"/>
    <x v="2"/>
    <x v="3"/>
    <x v="1"/>
    <n v="1"/>
    <n v="13000"/>
    <n v="10.4"/>
    <n v="1250"/>
    <n v="0.7066139061616733"/>
    <n v="7.0661390616167329E-4"/>
  </r>
  <r>
    <x v="2"/>
    <x v="0"/>
    <x v="2"/>
    <x v="3"/>
    <x v="2"/>
    <m/>
    <n v="13000"/>
    <n v="10.4"/>
    <n v="0"/>
    <n v="0"/>
    <n v="0"/>
  </r>
  <r>
    <x v="2"/>
    <x v="0"/>
    <x v="2"/>
    <x v="3"/>
    <x v="1"/>
    <n v="5"/>
    <n v="13000"/>
    <n v="7.6"/>
    <n v="8552.6315789473683"/>
    <n v="4.8347267263693432"/>
    <n v="4.8347267263693433E-3"/>
  </r>
  <r>
    <x v="2"/>
    <x v="0"/>
    <x v="2"/>
    <x v="3"/>
    <x v="2"/>
    <n v="4"/>
    <n v="13000"/>
    <n v="7.6"/>
    <n v="6842.105263157895"/>
    <n v="3.8677813810954746"/>
    <n v="3.8677813810954744E-3"/>
  </r>
  <r>
    <x v="2"/>
    <x v="1"/>
    <x v="2"/>
    <x v="3"/>
    <x v="1"/>
    <m/>
    <n v="12000"/>
    <n v="15.5"/>
    <n v="0"/>
    <n v="0"/>
    <n v="0"/>
  </r>
  <r>
    <x v="2"/>
    <x v="1"/>
    <x v="2"/>
    <x v="3"/>
    <x v="2"/>
    <m/>
    <n v="12000"/>
    <n v="15.5"/>
    <n v="0"/>
    <n v="0"/>
    <n v="0"/>
  </r>
  <r>
    <x v="2"/>
    <x v="1"/>
    <x v="2"/>
    <x v="3"/>
    <x v="1"/>
    <m/>
    <n v="12000"/>
    <n v="12.8"/>
    <n v="0"/>
    <n v="0"/>
    <n v="0"/>
  </r>
  <r>
    <x v="2"/>
    <x v="1"/>
    <x v="2"/>
    <x v="3"/>
    <x v="2"/>
    <n v="1"/>
    <n v="12000"/>
    <n v="12.8"/>
    <n v="937.5"/>
    <n v="0.52996042962125489"/>
    <n v="5.2996042962125491E-4"/>
  </r>
  <r>
    <x v="2"/>
    <x v="1"/>
    <x v="2"/>
    <x v="3"/>
    <x v="1"/>
    <m/>
    <n v="12000"/>
    <n v="10.4"/>
    <n v="0"/>
    <n v="0"/>
    <n v="0"/>
  </r>
  <r>
    <x v="2"/>
    <x v="1"/>
    <x v="2"/>
    <x v="3"/>
    <x v="2"/>
    <m/>
    <n v="12000"/>
    <n v="10.4"/>
    <n v="0"/>
    <n v="0"/>
    <n v="0"/>
  </r>
  <r>
    <x v="2"/>
    <x v="1"/>
    <x v="2"/>
    <x v="3"/>
    <x v="1"/>
    <n v="5"/>
    <n v="12000"/>
    <n v="7.6"/>
    <n v="7894.7368421052633"/>
    <n v="4.4628246704947783"/>
    <n v="4.4628246704947784E-3"/>
  </r>
  <r>
    <x v="2"/>
    <x v="1"/>
    <x v="2"/>
    <x v="3"/>
    <x v="2"/>
    <n v="2"/>
    <n v="12000"/>
    <n v="7.6"/>
    <n v="3157.8947368421054"/>
    <n v="1.7851298681979115"/>
    <n v="1.7851298681979114E-3"/>
  </r>
  <r>
    <x v="0"/>
    <x v="0"/>
    <x v="3"/>
    <x v="0"/>
    <x v="0"/>
    <n v="2850"/>
    <n v="15000"/>
    <n v="2.8571428571428572"/>
    <n v="14962500"/>
    <n v="12744.889267461669"/>
    <n v="12.744889267461669"/>
  </r>
  <r>
    <x v="0"/>
    <x v="0"/>
    <x v="3"/>
    <x v="0"/>
    <x v="0"/>
    <n v="1102"/>
    <n v="14500"/>
    <n v="1.8518518518518516"/>
    <n v="8628660.0000000019"/>
    <n v="7349.7955706984685"/>
    <n v="7.3497955706984683"/>
  </r>
  <r>
    <x v="0"/>
    <x v="0"/>
    <x v="3"/>
    <x v="0"/>
    <x v="0"/>
    <n v="3441"/>
    <n v="8500"/>
    <n v="1.8518518518518516"/>
    <n v="15794190.000000002"/>
    <n v="13453.313458262353"/>
    <n v="13.453313458262354"/>
  </r>
  <r>
    <x v="0"/>
    <x v="0"/>
    <x v="3"/>
    <x v="0"/>
    <x v="0"/>
    <n v="1420"/>
    <n v="7000"/>
    <n v="3.3333333333333335"/>
    <n v="2982000"/>
    <n v="2540.0340715502557"/>
    <n v="2.5400340715502558"/>
  </r>
  <r>
    <x v="0"/>
    <x v="0"/>
    <x v="3"/>
    <x v="0"/>
    <x v="0"/>
    <n v="20"/>
    <n v="3000"/>
    <n v="2.2222222222222223"/>
    <n v="27000"/>
    <n v="22.998296422487222"/>
    <n v="2.299829642248722E-2"/>
  </r>
  <r>
    <x v="0"/>
    <x v="0"/>
    <x v="3"/>
    <x v="0"/>
    <x v="0"/>
    <n v="888"/>
    <n v="7000"/>
    <n v="3.3333333333333335"/>
    <n v="1864800"/>
    <n v="1588.4156729131175"/>
    <n v="1.5884156729131176"/>
  </r>
  <r>
    <x v="0"/>
    <x v="1"/>
    <x v="3"/>
    <x v="0"/>
    <x v="0"/>
    <m/>
    <n v="17000"/>
    <n v="2.8571428571428572"/>
    <n v="0"/>
    <n v="0"/>
    <n v="0"/>
  </r>
  <r>
    <x v="0"/>
    <x v="1"/>
    <x v="3"/>
    <x v="0"/>
    <x v="0"/>
    <m/>
    <n v="18000"/>
    <n v="1.8518518518518516"/>
    <n v="0"/>
    <n v="0"/>
    <n v="0"/>
  </r>
  <r>
    <x v="0"/>
    <x v="1"/>
    <x v="3"/>
    <x v="0"/>
    <x v="0"/>
    <m/>
    <n v="9500"/>
    <n v="1.8518518518518516"/>
    <n v="0"/>
    <n v="0"/>
    <n v="0"/>
  </r>
  <r>
    <x v="0"/>
    <x v="1"/>
    <x v="3"/>
    <x v="0"/>
    <x v="0"/>
    <n v="66"/>
    <n v="8500"/>
    <n v="3.3333333333333335"/>
    <n v="168300"/>
    <n v="143.35604770017036"/>
    <n v="0.14335604770017035"/>
  </r>
  <r>
    <x v="0"/>
    <x v="1"/>
    <x v="3"/>
    <x v="0"/>
    <x v="0"/>
    <m/>
    <n v="3000"/>
    <n v="2.2222222222222223"/>
    <n v="0"/>
    <n v="0"/>
    <n v="0"/>
  </r>
  <r>
    <x v="0"/>
    <x v="1"/>
    <x v="3"/>
    <x v="0"/>
    <x v="0"/>
    <m/>
    <n v="8500"/>
    <n v="3.3333333333333335"/>
    <n v="0"/>
    <n v="0"/>
    <n v="0"/>
  </r>
  <r>
    <x v="1"/>
    <x v="0"/>
    <x v="3"/>
    <x v="0"/>
    <x v="0"/>
    <n v="2743"/>
    <n v="15000"/>
    <n v="2.8571428571428572"/>
    <n v="14400750"/>
    <n v="12266.396933560476"/>
    <n v="12.266396933560475"/>
  </r>
  <r>
    <x v="1"/>
    <x v="0"/>
    <x v="3"/>
    <x v="0"/>
    <x v="0"/>
    <n v="1111"/>
    <n v="14500"/>
    <n v="1.8518518518518516"/>
    <n v="8699130.0000000019"/>
    <n v="7409.8211243611604"/>
    <n v="7.4098211243611605"/>
  </r>
  <r>
    <x v="1"/>
    <x v="0"/>
    <x v="3"/>
    <x v="0"/>
    <x v="0"/>
    <n v="1554"/>
    <n v="8500"/>
    <n v="1.8518518518518516"/>
    <n v="7132860.0000000009"/>
    <n v="6075.6899488926756"/>
    <n v="6.0756899488926752"/>
  </r>
  <r>
    <x v="1"/>
    <x v="0"/>
    <x v="3"/>
    <x v="0"/>
    <x v="0"/>
    <n v="1430"/>
    <n v="7000"/>
    <n v="3.3333333333333335"/>
    <n v="3003000"/>
    <n v="2557.9216354344121"/>
    <n v="2.5579216354344121"/>
  </r>
  <r>
    <x v="1"/>
    <x v="0"/>
    <x v="3"/>
    <x v="0"/>
    <x v="0"/>
    <n v="13"/>
    <n v="3000"/>
    <n v="2.2222222222222223"/>
    <n v="17550"/>
    <n v="14.948892674616696"/>
    <n v="1.4948892674616696E-2"/>
  </r>
  <r>
    <x v="1"/>
    <x v="0"/>
    <x v="3"/>
    <x v="0"/>
    <x v="0"/>
    <n v="898"/>
    <n v="7000"/>
    <n v="3.3333333333333335"/>
    <n v="1885800"/>
    <n v="1606.3032367972742"/>
    <n v="1.6063032367972743"/>
  </r>
  <r>
    <x v="1"/>
    <x v="1"/>
    <x v="3"/>
    <x v="0"/>
    <x v="0"/>
    <m/>
    <n v="17000"/>
    <n v="2.8571428571428572"/>
    <n v="0"/>
    <n v="0"/>
    <n v="0"/>
  </r>
  <r>
    <x v="1"/>
    <x v="1"/>
    <x v="3"/>
    <x v="0"/>
    <x v="0"/>
    <m/>
    <n v="18000"/>
    <n v="1.8518518518518516"/>
    <n v="0"/>
    <n v="0"/>
    <n v="0"/>
  </r>
  <r>
    <x v="1"/>
    <x v="1"/>
    <x v="3"/>
    <x v="0"/>
    <x v="0"/>
    <m/>
    <n v="9500"/>
    <n v="1.8518518518518516"/>
    <n v="0"/>
    <n v="0"/>
    <n v="0"/>
  </r>
  <r>
    <x v="1"/>
    <x v="1"/>
    <x v="3"/>
    <x v="0"/>
    <x v="0"/>
    <n v="71"/>
    <n v="8500"/>
    <n v="3.3333333333333335"/>
    <n v="181050"/>
    <n v="154.21635434412266"/>
    <n v="0.15421635434412267"/>
  </r>
  <r>
    <x v="1"/>
    <x v="1"/>
    <x v="3"/>
    <x v="0"/>
    <x v="0"/>
    <m/>
    <n v="3000"/>
    <n v="2.2222222222222223"/>
    <n v="0"/>
    <n v="0"/>
    <n v="0"/>
  </r>
  <r>
    <x v="1"/>
    <x v="1"/>
    <x v="3"/>
    <x v="0"/>
    <x v="0"/>
    <m/>
    <n v="8500"/>
    <n v="3.3333333333333335"/>
    <n v="0"/>
    <n v="0"/>
    <n v="0"/>
  </r>
  <r>
    <x v="2"/>
    <x v="0"/>
    <x v="3"/>
    <x v="0"/>
    <x v="0"/>
    <n v="2535"/>
    <n v="15000"/>
    <n v="2.8571428571428572"/>
    <n v="13308750"/>
    <n v="11336.243611584327"/>
    <n v="11.336243611584326"/>
  </r>
  <r>
    <x v="2"/>
    <x v="0"/>
    <x v="3"/>
    <x v="0"/>
    <x v="0"/>
    <m/>
    <n v="15000"/>
    <n v="1.8518518518518516"/>
    <n v="0"/>
    <n v="0"/>
    <n v="0"/>
  </r>
  <r>
    <x v="2"/>
    <x v="0"/>
    <x v="3"/>
    <x v="0"/>
    <x v="0"/>
    <n v="1516"/>
    <n v="8500"/>
    <n v="1.8518518518518516"/>
    <n v="6958440.0000000009"/>
    <n v="5927.1209540034079"/>
    <n v="5.9271209540034082"/>
  </r>
  <r>
    <x v="2"/>
    <x v="0"/>
    <x v="3"/>
    <x v="0"/>
    <x v="0"/>
    <n v="1479"/>
    <n v="8000"/>
    <n v="3.3333333333333335"/>
    <n v="3549600"/>
    <n v="3023.5093696763201"/>
    <n v="3.02350936967632"/>
  </r>
  <r>
    <x v="2"/>
    <x v="0"/>
    <x v="3"/>
    <x v="0"/>
    <x v="0"/>
    <n v="20"/>
    <n v="3000"/>
    <n v="2.2222222222222223"/>
    <n v="27000"/>
    <n v="22.998296422487222"/>
    <n v="2.299829642248722E-2"/>
  </r>
  <r>
    <x v="2"/>
    <x v="0"/>
    <x v="3"/>
    <x v="0"/>
    <x v="0"/>
    <n v="987"/>
    <n v="8000"/>
    <n v="3.3333333333333335"/>
    <n v="2368800"/>
    <n v="2017.717206132879"/>
    <n v="2.017717206132879"/>
  </r>
  <r>
    <x v="2"/>
    <x v="1"/>
    <x v="3"/>
    <x v="0"/>
    <x v="0"/>
    <m/>
    <n v="17000"/>
    <n v="2.8571428571428572"/>
    <n v="0"/>
    <n v="0"/>
    <n v="0"/>
  </r>
  <r>
    <x v="2"/>
    <x v="1"/>
    <x v="3"/>
    <x v="0"/>
    <x v="0"/>
    <m/>
    <n v="18000"/>
    <n v="1.8518518518518516"/>
    <n v="0"/>
    <n v="0"/>
    <n v="0"/>
  </r>
  <r>
    <x v="2"/>
    <x v="1"/>
    <x v="3"/>
    <x v="0"/>
    <x v="0"/>
    <m/>
    <n v="9500"/>
    <n v="1.8518518518518516"/>
    <n v="0"/>
    <n v="0"/>
    <n v="0"/>
  </r>
  <r>
    <x v="2"/>
    <x v="1"/>
    <x v="3"/>
    <x v="0"/>
    <x v="0"/>
    <n v="77"/>
    <n v="8500"/>
    <n v="3.3333333333333335"/>
    <n v="196350"/>
    <n v="167.24872231686541"/>
    <n v="0.16724872231686541"/>
  </r>
  <r>
    <x v="2"/>
    <x v="1"/>
    <x v="3"/>
    <x v="0"/>
    <x v="0"/>
    <m/>
    <n v="3000"/>
    <n v="2.2222222222222223"/>
    <n v="0"/>
    <n v="0"/>
    <n v="0"/>
  </r>
  <r>
    <x v="2"/>
    <x v="1"/>
    <x v="3"/>
    <x v="0"/>
    <x v="0"/>
    <m/>
    <n v="8500"/>
    <n v="3.3333333333333335"/>
    <n v="0"/>
    <n v="0"/>
    <n v="0"/>
  </r>
  <r>
    <x v="0"/>
    <x v="0"/>
    <x v="4"/>
    <x v="0"/>
    <x v="1"/>
    <n v="16596"/>
    <n v="15000"/>
    <n v="10"/>
    <n v="24894000"/>
    <n v="21204.429301533219"/>
    <n v="21.204429301533217"/>
  </r>
  <r>
    <x v="0"/>
    <x v="0"/>
    <x v="4"/>
    <x v="0"/>
    <x v="2"/>
    <n v="3163"/>
    <n v="15000"/>
    <n v="10"/>
    <n v="4744500"/>
    <n v="4041.311754684838"/>
    <n v="4.0413117546848376"/>
  </r>
  <r>
    <x v="0"/>
    <x v="1"/>
    <x v="4"/>
    <x v="0"/>
    <x v="1"/>
    <n v="0"/>
    <n v="22500"/>
    <n v="10.416666666666666"/>
    <n v="0"/>
    <n v="0"/>
    <n v="0"/>
  </r>
  <r>
    <x v="0"/>
    <x v="1"/>
    <x v="4"/>
    <x v="0"/>
    <x v="0"/>
    <m/>
    <n v="17500"/>
    <n v="10"/>
    <n v="0"/>
    <n v="0"/>
    <n v="0"/>
  </r>
  <r>
    <x v="1"/>
    <x v="0"/>
    <x v="4"/>
    <x v="0"/>
    <x v="1"/>
    <n v="16237"/>
    <n v="17500"/>
    <n v="10"/>
    <n v="28414750"/>
    <n v="24203.364565587734"/>
    <n v="24.203364565587734"/>
  </r>
  <r>
    <x v="1"/>
    <x v="0"/>
    <x v="4"/>
    <x v="0"/>
    <x v="2"/>
    <n v="4120"/>
    <n v="17500"/>
    <n v="10"/>
    <n v="7210000"/>
    <n v="6141.396933560477"/>
    <n v="6.1413969335604772"/>
  </r>
  <r>
    <x v="1"/>
    <x v="1"/>
    <x v="4"/>
    <x v="0"/>
    <x v="1"/>
    <n v="0"/>
    <n v="22500"/>
    <n v="10.416666666666666"/>
    <n v="0"/>
    <n v="0"/>
    <n v="0"/>
  </r>
  <r>
    <x v="1"/>
    <x v="1"/>
    <x v="4"/>
    <x v="0"/>
    <x v="0"/>
    <m/>
    <n v="17500"/>
    <n v="10"/>
    <n v="0"/>
    <n v="0"/>
    <n v="0"/>
  </r>
  <r>
    <x v="2"/>
    <x v="0"/>
    <x v="4"/>
    <x v="0"/>
    <x v="1"/>
    <n v="15960"/>
    <n v="17500"/>
    <n v="10"/>
    <n v="27930000"/>
    <n v="23790.45996592845"/>
    <n v="23.790459965928452"/>
  </r>
  <r>
    <x v="2"/>
    <x v="0"/>
    <x v="4"/>
    <x v="0"/>
    <x v="2"/>
    <n v="5670"/>
    <n v="17500"/>
    <n v="10"/>
    <n v="9922500"/>
    <n v="8451.873935264055"/>
    <n v="8.4518739352640555"/>
  </r>
  <r>
    <x v="2"/>
    <x v="1"/>
    <x v="4"/>
    <x v="0"/>
    <x v="1"/>
    <n v="0"/>
    <n v="22500"/>
    <n v="10.416666666666666"/>
    <n v="0"/>
    <n v="0"/>
    <n v="0"/>
  </r>
  <r>
    <x v="2"/>
    <x v="1"/>
    <x v="4"/>
    <x v="0"/>
    <x v="0"/>
    <m/>
    <n v="17500"/>
    <n v="10"/>
    <n v="0"/>
    <n v="0"/>
    <n v="0"/>
  </r>
  <r>
    <x v="0"/>
    <x v="0"/>
    <x v="5"/>
    <x v="0"/>
    <x v="0"/>
    <n v="8771"/>
    <n v="16500"/>
    <n v="5.0505050505050502"/>
    <n v="28654857.000000004"/>
    <n v="24407.885008517889"/>
    <n v="24.407885008517891"/>
  </r>
  <r>
    <x v="0"/>
    <x v="1"/>
    <x v="5"/>
    <x v="0"/>
    <x v="0"/>
    <n v="847"/>
    <n v="17500"/>
    <n v="5.0505050505050502"/>
    <n v="2934855"/>
    <n v="2499.8764906303236"/>
    <n v="2.4998764906303235"/>
  </r>
  <r>
    <x v="1"/>
    <x v="0"/>
    <x v="5"/>
    <x v="0"/>
    <x v="0"/>
    <n v="8851"/>
    <n v="16500"/>
    <n v="5.0505050505050502"/>
    <n v="28916217.000000004"/>
    <n v="24630.508517887567"/>
    <n v="24.630508517887566"/>
  </r>
  <r>
    <x v="1"/>
    <x v="1"/>
    <x v="5"/>
    <x v="0"/>
    <x v="0"/>
    <n v="877"/>
    <n v="17500"/>
    <n v="5.0505050505050502"/>
    <n v="3038805"/>
    <n v="2588.4199318568994"/>
    <n v="2.5884199318568992"/>
  </r>
  <r>
    <x v="2"/>
    <x v="0"/>
    <x v="5"/>
    <x v="0"/>
    <x v="0"/>
    <n v="9252"/>
    <n v="16500"/>
    <n v="5.0505050505050502"/>
    <n v="30226284.000000004"/>
    <n v="25746.40885860307"/>
    <n v="25.746408858603072"/>
  </r>
  <r>
    <x v="2"/>
    <x v="1"/>
    <x v="5"/>
    <x v="0"/>
    <x v="0"/>
    <n v="922"/>
    <n v="17500"/>
    <n v="5.0505050505050502"/>
    <n v="3194730"/>
    <n v="2721.2350936967632"/>
    <n v="2.7212350936967633"/>
  </r>
  <r>
    <x v="0"/>
    <x v="0"/>
    <x v="6"/>
    <x v="1"/>
    <x v="0"/>
    <n v="121866"/>
    <n v="3000"/>
    <n v="45.45454545454546"/>
    <n v="8043155.9999999991"/>
    <n v="5811.5289017341038"/>
    <n v="5.8115289017341034"/>
  </r>
  <r>
    <x v="0"/>
    <x v="0"/>
    <x v="6"/>
    <x v="1"/>
    <x v="0"/>
    <n v="66462"/>
    <n v="5000"/>
    <n v="35.714285714285715"/>
    <n v="9304680"/>
    <n v="6723.0346820809245"/>
    <n v="6.7230346820809244"/>
  </r>
  <r>
    <x v="0"/>
    <x v="0"/>
    <x v="6"/>
    <x v="1"/>
    <x v="0"/>
    <n v="7283"/>
    <n v="6000"/>
    <n v="26.315789473684212"/>
    <n v="1660523.9999999998"/>
    <n v="1199.8005780346818"/>
    <n v="1.1998005780346819"/>
  </r>
  <r>
    <x v="0"/>
    <x v="1"/>
    <x v="6"/>
    <x v="1"/>
    <x v="0"/>
    <n v="664"/>
    <n v="8000"/>
    <n v="45.45454545454546"/>
    <n v="116863.99999999999"/>
    <n v="84.439306358381486"/>
    <n v="8.4439306358381483E-2"/>
  </r>
  <r>
    <x v="0"/>
    <x v="1"/>
    <x v="6"/>
    <x v="1"/>
    <x v="0"/>
    <n v="5510"/>
    <n v="9000"/>
    <n v="35.714285714285715"/>
    <n v="1388520"/>
    <n v="1003.2658959537572"/>
    <n v="1.0032658959537573"/>
  </r>
  <r>
    <x v="0"/>
    <x v="1"/>
    <x v="6"/>
    <x v="1"/>
    <x v="0"/>
    <n v="1262"/>
    <n v="9000"/>
    <n v="26.315789473684212"/>
    <n v="431603.99999999994"/>
    <n v="311.85260115606934"/>
    <n v="0.31185260115606933"/>
  </r>
  <r>
    <x v="1"/>
    <x v="0"/>
    <x v="6"/>
    <x v="1"/>
    <x v="0"/>
    <n v="123563"/>
    <n v="4000"/>
    <n v="45.45454545454546"/>
    <n v="10873543.999999998"/>
    <n v="7856.606936416184"/>
    <n v="7.8566069364161839"/>
  </r>
  <r>
    <x v="1"/>
    <x v="0"/>
    <x v="6"/>
    <x v="1"/>
    <x v="0"/>
    <n v="79931"/>
    <n v="6000"/>
    <n v="35.714285714285715"/>
    <n v="13428408"/>
    <n v="9702.6069364161849"/>
    <n v="9.7026069364161849"/>
  </r>
  <r>
    <x v="1"/>
    <x v="0"/>
    <x v="6"/>
    <x v="1"/>
    <x v="0"/>
    <n v="6561"/>
    <n v="7000"/>
    <n v="26.315789473684212"/>
    <n v="1745225.9999999998"/>
    <n v="1261.001445086705"/>
    <n v="1.2610014450867049"/>
  </r>
  <r>
    <x v="1"/>
    <x v="1"/>
    <x v="6"/>
    <x v="1"/>
    <x v="0"/>
    <n v="665"/>
    <n v="8000"/>
    <n v="45.45454545454546"/>
    <n v="117039.99999999999"/>
    <n v="84.566473988439299"/>
    <n v="8.4566473988439292E-2"/>
  </r>
  <r>
    <x v="1"/>
    <x v="1"/>
    <x v="6"/>
    <x v="1"/>
    <x v="0"/>
    <n v="5913"/>
    <n v="9000"/>
    <n v="35.714285714285715"/>
    <n v="1490076"/>
    <n v="1076.6445086705203"/>
    <n v="1.0766445086705203"/>
  </r>
  <r>
    <x v="1"/>
    <x v="1"/>
    <x v="6"/>
    <x v="1"/>
    <x v="0"/>
    <n v="1470"/>
    <n v="9000"/>
    <n v="26.315789473684212"/>
    <n v="502739.99999999994"/>
    <n v="363.25144508670513"/>
    <n v="0.36325144508670515"/>
  </r>
  <r>
    <x v="2"/>
    <x v="0"/>
    <x v="6"/>
    <x v="1"/>
    <x v="0"/>
    <n v="124200"/>
    <n v="5000"/>
    <n v="45.45454545454546"/>
    <n v="13661999.999999998"/>
    <n v="9871.3872832369925"/>
    <n v="9.8713872832369933"/>
  </r>
  <r>
    <x v="2"/>
    <x v="0"/>
    <x v="6"/>
    <x v="1"/>
    <x v="0"/>
    <n v="77572"/>
    <n v="6000"/>
    <n v="35.714285714285715"/>
    <n v="13032096"/>
    <n v="9416.2543352601151"/>
    <n v="9.4162543352601151"/>
  </r>
  <r>
    <x v="2"/>
    <x v="0"/>
    <x v="6"/>
    <x v="1"/>
    <x v="0"/>
    <n v="8328"/>
    <n v="7000"/>
    <n v="26.315789473684212"/>
    <n v="2215248"/>
    <n v="1600.6127167630059"/>
    <n v="1.600612716763006"/>
  </r>
  <r>
    <x v="2"/>
    <x v="1"/>
    <x v="6"/>
    <x v="1"/>
    <x v="0"/>
    <n v="670"/>
    <n v="8000"/>
    <n v="45.45454545454546"/>
    <n v="117919.99999999999"/>
    <n v="85.202312138728317"/>
    <n v="8.5202312138728323E-2"/>
  </r>
  <r>
    <x v="2"/>
    <x v="1"/>
    <x v="6"/>
    <x v="1"/>
    <x v="0"/>
    <n v="6512"/>
    <n v="9000"/>
    <n v="35.714285714285715"/>
    <n v="1641024"/>
    <n v="1185.7109826589594"/>
    <n v="1.1857109826589594"/>
  </r>
  <r>
    <x v="2"/>
    <x v="1"/>
    <x v="6"/>
    <x v="1"/>
    <x v="0"/>
    <n v="1512"/>
    <n v="9000"/>
    <n v="26.315789473684212"/>
    <n v="517103.99999999994"/>
    <n v="373.63005780346816"/>
    <n v="0.37363005780346814"/>
  </r>
  <r>
    <x v="0"/>
    <x v="0"/>
    <x v="7"/>
    <x v="0"/>
    <x v="1"/>
    <m/>
    <n v="28000"/>
    <n v="15.5"/>
    <n v="0"/>
    <n v="0"/>
    <n v="0"/>
  </r>
  <r>
    <x v="0"/>
    <x v="0"/>
    <x v="7"/>
    <x v="0"/>
    <x v="2"/>
    <m/>
    <n v="28000"/>
    <n v="15.5"/>
    <n v="0"/>
    <n v="0"/>
    <n v="0"/>
  </r>
  <r>
    <x v="0"/>
    <x v="0"/>
    <x v="7"/>
    <x v="0"/>
    <x v="1"/>
    <n v="104"/>
    <n v="28000"/>
    <n v="15.2"/>
    <n v="191578.94736842107"/>
    <n v="163.18479332914913"/>
    <n v="0.16318479332914912"/>
  </r>
  <r>
    <x v="0"/>
    <x v="0"/>
    <x v="7"/>
    <x v="0"/>
    <x v="2"/>
    <n v="5"/>
    <n v="28000"/>
    <n v="15.2"/>
    <n v="9210.5263157894733"/>
    <n v="7.845422756209091"/>
    <n v="7.8454227562090913E-3"/>
  </r>
  <r>
    <x v="0"/>
    <x v="0"/>
    <x v="7"/>
    <x v="0"/>
    <x v="1"/>
    <n v="544"/>
    <n v="28000"/>
    <n v="12.7"/>
    <n v="1199370.0787401577"/>
    <n v="1021.609947819555"/>
    <n v="1.0216099478195551"/>
  </r>
  <r>
    <x v="0"/>
    <x v="0"/>
    <x v="7"/>
    <x v="0"/>
    <x v="2"/>
    <n v="130"/>
    <n v="28000"/>
    <n v="12.7"/>
    <n v="286614.17322834645"/>
    <n v="244.13473017746716"/>
    <n v="0.24413473017746717"/>
  </r>
  <r>
    <x v="0"/>
    <x v="0"/>
    <x v="7"/>
    <x v="0"/>
    <x v="1"/>
    <n v="1156"/>
    <n v="28000"/>
    <n v="11.1"/>
    <n v="2916036.036036036"/>
    <n v="2483.8467087189401"/>
    <n v="2.4838467087189402"/>
  </r>
  <r>
    <x v="0"/>
    <x v="0"/>
    <x v="7"/>
    <x v="0"/>
    <x v="2"/>
    <n v="131"/>
    <n v="28000"/>
    <n v="11.1"/>
    <n v="330450.45045045047"/>
    <n v="281.47397823718097"/>
    <n v="0.28147397823718096"/>
  </r>
  <r>
    <x v="0"/>
    <x v="0"/>
    <x v="7"/>
    <x v="1"/>
    <x v="1"/>
    <m/>
    <n v="20000"/>
    <n v="16.5"/>
    <n v="0"/>
    <n v="0"/>
    <n v="0"/>
  </r>
  <r>
    <x v="0"/>
    <x v="0"/>
    <x v="7"/>
    <x v="1"/>
    <x v="2"/>
    <m/>
    <n v="20000"/>
    <n v="16.5"/>
    <n v="0"/>
    <n v="0"/>
    <n v="0"/>
  </r>
  <r>
    <x v="0"/>
    <x v="0"/>
    <x v="7"/>
    <x v="1"/>
    <x v="1"/>
    <n v="2360"/>
    <n v="20000"/>
    <n v="14.1"/>
    <n v="3347517.7304964541"/>
    <n v="2418.7266838847213"/>
    <n v="2.4187266838847212"/>
  </r>
  <r>
    <x v="0"/>
    <x v="0"/>
    <x v="7"/>
    <x v="1"/>
    <x v="2"/>
    <n v="787"/>
    <n v="20000"/>
    <n v="14.1"/>
    <n v="1116312.0567375887"/>
    <n v="806.58385602426927"/>
    <n v="0.8065838560242693"/>
  </r>
  <r>
    <x v="0"/>
    <x v="0"/>
    <x v="7"/>
    <x v="1"/>
    <x v="1"/>
    <n v="1088"/>
    <n v="20000"/>
    <n v="11.2"/>
    <n v="1942857.142857143"/>
    <n v="1403.7985136251034"/>
    <n v="1.4037985136251034"/>
  </r>
  <r>
    <x v="0"/>
    <x v="0"/>
    <x v="7"/>
    <x v="1"/>
    <x v="2"/>
    <n v="363"/>
    <n v="20000"/>
    <n v="11.2"/>
    <n v="648214.2857142858"/>
    <n v="468.3629232039637"/>
    <n v="0.46836292320396372"/>
  </r>
  <r>
    <x v="0"/>
    <x v="0"/>
    <x v="7"/>
    <x v="1"/>
    <x v="1"/>
    <n v="182"/>
    <n v="20000"/>
    <n v="7.9"/>
    <n v="460759.49367088603"/>
    <n v="332.91870929977313"/>
    <n v="0.33291870929977313"/>
  </r>
  <r>
    <x v="0"/>
    <x v="0"/>
    <x v="7"/>
    <x v="1"/>
    <x v="2"/>
    <n v="61"/>
    <n v="20000"/>
    <n v="7.9"/>
    <n v="154430.37974683545"/>
    <n v="111.58264432574815"/>
    <n v="0.11158264432574815"/>
  </r>
  <r>
    <x v="1"/>
    <x v="0"/>
    <x v="7"/>
    <x v="0"/>
    <x v="1"/>
    <m/>
    <n v="28000"/>
    <n v="15.5"/>
    <n v="0"/>
    <n v="0"/>
    <n v="0"/>
  </r>
  <r>
    <x v="1"/>
    <x v="0"/>
    <x v="7"/>
    <x v="0"/>
    <x v="2"/>
    <m/>
    <n v="28000"/>
    <n v="15.5"/>
    <n v="0"/>
    <n v="0"/>
    <n v="0"/>
  </r>
  <r>
    <x v="1"/>
    <x v="0"/>
    <x v="7"/>
    <x v="0"/>
    <x v="1"/>
    <n v="100"/>
    <n v="28000"/>
    <n v="15.2"/>
    <n v="184210.5263157895"/>
    <n v="156.90845512418184"/>
    <n v="0.15690845512418183"/>
  </r>
  <r>
    <x v="1"/>
    <x v="0"/>
    <x v="7"/>
    <x v="0"/>
    <x v="2"/>
    <n v="7"/>
    <n v="28000"/>
    <n v="15.2"/>
    <n v="12894.736842105263"/>
    <n v="10.983591858692728"/>
    <n v="1.0983591858692729E-2"/>
  </r>
  <r>
    <x v="1"/>
    <x v="0"/>
    <x v="7"/>
    <x v="0"/>
    <x v="1"/>
    <n v="530"/>
    <n v="28000"/>
    <n v="12.7"/>
    <n v="1168503.937007874"/>
    <n v="995.3185153389046"/>
    <n v="0.99531851533890459"/>
  </r>
  <r>
    <x v="1"/>
    <x v="0"/>
    <x v="7"/>
    <x v="0"/>
    <x v="2"/>
    <n v="129"/>
    <n v="28000"/>
    <n v="12.7"/>
    <n v="284409.44881889765"/>
    <n v="242.2567707145636"/>
    <n v="0.24225677071456361"/>
  </r>
  <r>
    <x v="1"/>
    <x v="0"/>
    <x v="7"/>
    <x v="0"/>
    <x v="1"/>
    <n v="1155"/>
    <n v="28000"/>
    <n v="11.1"/>
    <n v="2913513.5135135134"/>
    <n v="2481.698052396519"/>
    <n v="2.4816980523965189"/>
  </r>
  <r>
    <x v="1"/>
    <x v="0"/>
    <x v="7"/>
    <x v="0"/>
    <x v="2"/>
    <n v="130"/>
    <n v="28000"/>
    <n v="11.1"/>
    <n v="327927.92792792793"/>
    <n v="279.32532191475974"/>
    <n v="0.27932532191475973"/>
  </r>
  <r>
    <x v="1"/>
    <x v="0"/>
    <x v="7"/>
    <x v="1"/>
    <x v="1"/>
    <m/>
    <n v="23000"/>
    <n v="16.5"/>
    <n v="0"/>
    <n v="0"/>
    <n v="0"/>
  </r>
  <r>
    <x v="1"/>
    <x v="0"/>
    <x v="7"/>
    <x v="1"/>
    <x v="2"/>
    <m/>
    <n v="23000"/>
    <n v="16.5"/>
    <n v="0"/>
    <n v="0"/>
    <n v="0"/>
  </r>
  <r>
    <x v="1"/>
    <x v="0"/>
    <x v="7"/>
    <x v="1"/>
    <x v="1"/>
    <n v="2370"/>
    <n v="23000"/>
    <n v="14.1"/>
    <n v="3865957.4468085109"/>
    <n v="2793.321854630427"/>
    <n v="2.793321854630427"/>
  </r>
  <r>
    <x v="1"/>
    <x v="0"/>
    <x v="7"/>
    <x v="1"/>
    <x v="2"/>
    <n v="790"/>
    <n v="23000"/>
    <n v="14.1"/>
    <n v="1288652.4822695036"/>
    <n v="931.10728487680899"/>
    <n v="0.93110728487680894"/>
  </r>
  <r>
    <x v="1"/>
    <x v="0"/>
    <x v="7"/>
    <x v="1"/>
    <x v="1"/>
    <n v="1087"/>
    <n v="23000"/>
    <n v="11.2"/>
    <n v="2232232.1428571432"/>
    <n v="1612.8844962840631"/>
    <n v="1.6128844962840632"/>
  </r>
  <r>
    <x v="1"/>
    <x v="0"/>
    <x v="7"/>
    <x v="1"/>
    <x v="2"/>
    <n v="365"/>
    <n v="23000"/>
    <n v="11.2"/>
    <n v="749553.57142857148"/>
    <n v="541.5849504541701"/>
    <n v="0.5415849504541701"/>
  </r>
  <r>
    <x v="1"/>
    <x v="0"/>
    <x v="7"/>
    <x v="1"/>
    <x v="1"/>
    <n v="181"/>
    <n v="23000"/>
    <n v="7.9"/>
    <n v="526962.02531645563"/>
    <n v="380.75290846564712"/>
    <n v="0.38075290846564713"/>
  </r>
  <r>
    <x v="1"/>
    <x v="0"/>
    <x v="7"/>
    <x v="1"/>
    <x v="2"/>
    <n v="63"/>
    <n v="23000"/>
    <n v="7.9"/>
    <n v="183417.72151898732"/>
    <n v="132.52725543279431"/>
    <n v="0.13252725543279431"/>
  </r>
  <r>
    <x v="2"/>
    <x v="0"/>
    <x v="7"/>
    <x v="0"/>
    <x v="1"/>
    <m/>
    <n v="28000"/>
    <n v="15.5"/>
    <n v="0"/>
    <n v="0"/>
    <n v="0"/>
  </r>
  <r>
    <x v="2"/>
    <x v="0"/>
    <x v="7"/>
    <x v="0"/>
    <x v="2"/>
    <m/>
    <n v="28000"/>
    <n v="15.5"/>
    <n v="0"/>
    <n v="0"/>
    <n v="0"/>
  </r>
  <r>
    <x v="2"/>
    <x v="0"/>
    <x v="7"/>
    <x v="0"/>
    <x v="1"/>
    <n v="100"/>
    <n v="28000"/>
    <n v="15.2"/>
    <n v="184210.5263157895"/>
    <n v="156.90845512418184"/>
    <n v="0.15690845512418183"/>
  </r>
  <r>
    <x v="2"/>
    <x v="0"/>
    <x v="7"/>
    <x v="0"/>
    <x v="2"/>
    <n v="7"/>
    <n v="28000"/>
    <n v="15.2"/>
    <n v="12894.736842105263"/>
    <n v="10.983591858692728"/>
    <n v="1.0983591858692729E-2"/>
  </r>
  <r>
    <x v="2"/>
    <x v="0"/>
    <x v="7"/>
    <x v="0"/>
    <x v="1"/>
    <n v="530"/>
    <n v="28000"/>
    <n v="12.7"/>
    <n v="1168503.937007874"/>
    <n v="995.3185153389046"/>
    <n v="0.99531851533890459"/>
  </r>
  <r>
    <x v="2"/>
    <x v="0"/>
    <x v="7"/>
    <x v="0"/>
    <x v="2"/>
    <n v="129"/>
    <n v="28000"/>
    <n v="12.7"/>
    <n v="284409.44881889765"/>
    <n v="242.2567707145636"/>
    <n v="0.24225677071456361"/>
  </r>
  <r>
    <x v="2"/>
    <x v="0"/>
    <x v="7"/>
    <x v="0"/>
    <x v="1"/>
    <n v="1155"/>
    <n v="28000"/>
    <n v="11.1"/>
    <n v="2913513.5135135134"/>
    <n v="2481.698052396519"/>
    <n v="2.4816980523965189"/>
  </r>
  <r>
    <x v="2"/>
    <x v="0"/>
    <x v="7"/>
    <x v="0"/>
    <x v="2"/>
    <n v="130"/>
    <n v="28000"/>
    <n v="11.1"/>
    <n v="327927.92792792793"/>
    <n v="279.32532191475974"/>
    <n v="0.27932532191475973"/>
  </r>
  <r>
    <x v="2"/>
    <x v="0"/>
    <x v="7"/>
    <x v="1"/>
    <x v="1"/>
    <m/>
    <n v="28000"/>
    <n v="16.5"/>
    <n v="0"/>
    <n v="0"/>
    <n v="0"/>
  </r>
  <r>
    <x v="2"/>
    <x v="0"/>
    <x v="7"/>
    <x v="1"/>
    <x v="2"/>
    <m/>
    <n v="28000"/>
    <n v="16.5"/>
    <n v="0"/>
    <n v="0"/>
    <n v="0"/>
  </r>
  <r>
    <x v="2"/>
    <x v="0"/>
    <x v="7"/>
    <x v="1"/>
    <x v="1"/>
    <n v="2369"/>
    <n v="28000"/>
    <n v="14.1"/>
    <n v="4704397.1631205678"/>
    <n v="3399.1308982085029"/>
    <n v="3.3991308982085031"/>
  </r>
  <r>
    <x v="2"/>
    <x v="0"/>
    <x v="7"/>
    <x v="1"/>
    <x v="2"/>
    <n v="790"/>
    <n v="28000"/>
    <n v="14.1"/>
    <n v="1568794.3262411349"/>
    <n v="1133.5219120239415"/>
    <n v="1.1335219120239415"/>
  </r>
  <r>
    <x v="2"/>
    <x v="0"/>
    <x v="7"/>
    <x v="1"/>
    <x v="1"/>
    <n v="1086"/>
    <n v="28000"/>
    <n v="11.2"/>
    <n v="2715000"/>
    <n v="1961.7052023121387"/>
    <n v="1.9617052023121386"/>
  </r>
  <r>
    <x v="2"/>
    <x v="0"/>
    <x v="7"/>
    <x v="1"/>
    <x v="2"/>
    <n v="365"/>
    <n v="28000"/>
    <n v="11.2"/>
    <n v="912500"/>
    <n v="659.32080924855495"/>
    <n v="0.65932080924855496"/>
  </r>
  <r>
    <x v="2"/>
    <x v="0"/>
    <x v="7"/>
    <x v="1"/>
    <x v="1"/>
    <n v="181"/>
    <n v="28000"/>
    <n v="7.9"/>
    <n v="641518.98734177207"/>
    <n v="463.52527987122261"/>
    <n v="0.46352527987122261"/>
  </r>
  <r>
    <x v="2"/>
    <x v="0"/>
    <x v="7"/>
    <x v="1"/>
    <x v="2"/>
    <n v="63"/>
    <n v="28000"/>
    <n v="7.9"/>
    <n v="223291.13924050631"/>
    <n v="161.33752835296698"/>
    <n v="0.16133752835296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59DCF2-4396-4415-9C5D-DC86E53CE63F}" name="TablaDinámica2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T85:X122" firstHeaderRow="1" firstDataRow="2" firstDataCol="1" rowPageCount="1" colPageCount="1"/>
  <pivotFields count="11">
    <pivotField axis="axisCol" showAll="0">
      <items count="4">
        <item x="0"/>
        <item x="1"/>
        <item x="2"/>
        <item t="default"/>
      </items>
    </pivotField>
    <pivotField axis="axisPage" showAll="0">
      <items count="3">
        <item x="0"/>
        <item x="1"/>
        <item t="default"/>
      </items>
    </pivotField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4">
        <item x="2"/>
        <item x="1"/>
        <item x="0"/>
        <item t="default"/>
      </items>
    </pivotField>
    <pivotField dataField="1" showAll="0"/>
    <pivotField showAll="0"/>
    <pivotField numFmtId="170" showAll="0"/>
    <pivotField numFmtId="4" showAll="0"/>
    <pivotField showAll="0"/>
    <pivotField numFmtId="4" showAll="0"/>
  </pivotFields>
  <rowFields count="3">
    <field x="2"/>
    <field x="4"/>
    <field x="3"/>
  </rowFields>
  <rowItems count="36">
    <i>
      <x/>
    </i>
    <i r="1">
      <x v="2"/>
    </i>
    <i r="2">
      <x/>
    </i>
    <i>
      <x v="1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>
      <x v="2"/>
    </i>
    <i r="1">
      <x/>
    </i>
    <i r="2">
      <x/>
    </i>
    <i r="2">
      <x v="1"/>
    </i>
    <i r="2">
      <x v="3"/>
    </i>
    <i r="1">
      <x v="1"/>
    </i>
    <i r="2">
      <x/>
    </i>
    <i r="2">
      <x v="1"/>
    </i>
    <i r="2">
      <x v="3"/>
    </i>
    <i>
      <x v="3"/>
    </i>
    <i r="1">
      <x v="2"/>
    </i>
    <i r="2">
      <x/>
    </i>
    <i>
      <x v="4"/>
    </i>
    <i r="1">
      <x v="1"/>
    </i>
    <i r="2">
      <x/>
    </i>
    <i r="1">
      <x v="2"/>
    </i>
    <i r="2">
      <x/>
    </i>
    <i>
      <x v="5"/>
    </i>
    <i r="1">
      <x v="2"/>
    </i>
    <i r="2">
      <x/>
    </i>
    <i>
      <x v="6"/>
    </i>
    <i r="1">
      <x v="2"/>
    </i>
    <i r="2">
      <x v="1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pageFields count="1">
    <pageField fld="1" item="1" hier="-1"/>
  </pageFields>
  <dataFields count="1">
    <dataField name="Suma de Number of vehicle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6E71A83-16D4-495F-B2F8-A3BEDB4BC110}" name="TablaDinámica1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N85:R131" firstHeaderRow="1" firstDataRow="2" firstDataCol="1" rowPageCount="1" colPageCount="1"/>
  <pivotFields count="11">
    <pivotField axis="axisCol" showAll="0">
      <items count="4">
        <item x="0"/>
        <item x="1"/>
        <item x="2"/>
        <item t="default"/>
      </items>
    </pivotField>
    <pivotField axis="axisPage" showAll="0">
      <items count="3">
        <item x="0"/>
        <item x="1"/>
        <item t="default"/>
      </items>
    </pivotField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4">
        <item x="2"/>
        <item x="1"/>
        <item x="0"/>
        <item t="default"/>
      </items>
    </pivotField>
    <pivotField dataField="1" showAll="0"/>
    <pivotField showAll="0"/>
    <pivotField numFmtId="170" showAll="0"/>
    <pivotField numFmtId="4" showAll="0"/>
    <pivotField showAll="0"/>
    <pivotField numFmtId="4" showAll="0"/>
  </pivotFields>
  <rowFields count="3">
    <field x="2"/>
    <field x="4"/>
    <field x="3"/>
  </rowFields>
  <rowItems count="45">
    <i>
      <x/>
    </i>
    <i r="1">
      <x v="2"/>
    </i>
    <i r="2">
      <x/>
    </i>
    <i>
      <x v="1"/>
    </i>
    <i r="1">
      <x/>
    </i>
    <i r="2">
      <x/>
    </i>
    <i r="2">
      <x v="1"/>
    </i>
    <i r="2">
      <x v="2"/>
    </i>
    <i r="2">
      <x v="3"/>
    </i>
    <i r="1">
      <x v="1"/>
    </i>
    <i r="2">
      <x/>
    </i>
    <i r="2">
      <x v="1"/>
    </i>
    <i r="2">
      <x v="2"/>
    </i>
    <i r="2">
      <x v="3"/>
    </i>
    <i>
      <x v="2"/>
    </i>
    <i r="1">
      <x/>
    </i>
    <i r="2">
      <x/>
    </i>
    <i r="2">
      <x v="1"/>
    </i>
    <i r="2">
      <x v="3"/>
    </i>
    <i r="1">
      <x v="1"/>
    </i>
    <i r="2">
      <x/>
    </i>
    <i r="2">
      <x v="1"/>
    </i>
    <i r="2">
      <x v="3"/>
    </i>
    <i>
      <x v="3"/>
    </i>
    <i r="1">
      <x v="2"/>
    </i>
    <i r="2">
      <x/>
    </i>
    <i>
      <x v="4"/>
    </i>
    <i r="1">
      <x/>
    </i>
    <i r="2">
      <x/>
    </i>
    <i r="1">
      <x v="1"/>
    </i>
    <i r="2">
      <x/>
    </i>
    <i>
      <x v="5"/>
    </i>
    <i r="1">
      <x v="2"/>
    </i>
    <i r="2">
      <x/>
    </i>
    <i>
      <x v="6"/>
    </i>
    <i r="1">
      <x v="2"/>
    </i>
    <i r="2">
      <x v="1"/>
    </i>
    <i>
      <x v="7"/>
    </i>
    <i r="1">
      <x/>
    </i>
    <i r="2">
      <x/>
    </i>
    <i r="2">
      <x v="1"/>
    </i>
    <i r="1">
      <x v="1"/>
    </i>
    <i r="2">
      <x/>
    </i>
    <i r="2">
      <x v="1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pageFields count="1">
    <pageField fld="1" item="0" hier="-1"/>
  </pageFields>
  <dataFields count="1">
    <dataField name="Suma de Number of vehicle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0CD9A1-CA7A-495E-B2EA-FC577D588854}" name="TablaDinámica4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N2:V51" firstHeaderRow="1" firstDataRow="3" firstDataCol="1"/>
  <pivotFields count="11">
    <pivotField axis="axisCol" showAll="0">
      <items count="4">
        <item x="0"/>
        <item x="1"/>
        <item x="2"/>
        <item t="default"/>
      </items>
    </pivotField>
    <pivotField showAll="0"/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4">
        <item x="2"/>
        <item x="1"/>
        <item x="0"/>
        <item t="default"/>
      </items>
    </pivotField>
    <pivotField dataField="1" showAll="0"/>
    <pivotField showAll="0"/>
    <pivotField numFmtId="170" showAll="0"/>
    <pivotField numFmtId="4" showAll="0"/>
    <pivotField showAll="0"/>
    <pivotField dataField="1" numFmtId="4" showAll="0"/>
  </pivotFields>
  <rowFields count="3">
    <field x="2"/>
    <field x="4"/>
    <field x="3"/>
  </rowFields>
  <rowItems count="47">
    <i>
      <x/>
    </i>
    <i r="1">
      <x v="2"/>
    </i>
    <i r="2">
      <x/>
    </i>
    <i>
      <x v="1"/>
    </i>
    <i r="1">
      <x/>
    </i>
    <i r="2">
      <x/>
    </i>
    <i r="2">
      <x v="1"/>
    </i>
    <i r="2">
      <x v="2"/>
    </i>
    <i r="2">
      <x v="3"/>
    </i>
    <i r="1">
      <x v="1"/>
    </i>
    <i r="2">
      <x/>
    </i>
    <i r="2">
      <x v="1"/>
    </i>
    <i r="2">
      <x v="2"/>
    </i>
    <i r="2">
      <x v="3"/>
    </i>
    <i>
      <x v="2"/>
    </i>
    <i r="1">
      <x/>
    </i>
    <i r="2">
      <x/>
    </i>
    <i r="2">
      <x v="1"/>
    </i>
    <i r="2">
      <x v="3"/>
    </i>
    <i r="1">
      <x v="1"/>
    </i>
    <i r="2">
      <x/>
    </i>
    <i r="2">
      <x v="1"/>
    </i>
    <i r="2">
      <x v="3"/>
    </i>
    <i>
      <x v="3"/>
    </i>
    <i r="1">
      <x v="2"/>
    </i>
    <i r="2">
      <x/>
    </i>
    <i>
      <x v="4"/>
    </i>
    <i r="1">
      <x/>
    </i>
    <i r="2">
      <x/>
    </i>
    <i r="1">
      <x v="1"/>
    </i>
    <i r="2">
      <x/>
    </i>
    <i r="1">
      <x v="2"/>
    </i>
    <i r="2">
      <x/>
    </i>
    <i>
      <x v="5"/>
    </i>
    <i r="1">
      <x v="2"/>
    </i>
    <i r="2">
      <x/>
    </i>
    <i>
      <x v="6"/>
    </i>
    <i r="1">
      <x v="2"/>
    </i>
    <i r="2">
      <x v="1"/>
    </i>
    <i>
      <x v="7"/>
    </i>
    <i r="1">
      <x/>
    </i>
    <i r="2">
      <x/>
    </i>
    <i r="2">
      <x v="1"/>
    </i>
    <i r="1">
      <x v="1"/>
    </i>
    <i r="2">
      <x/>
    </i>
    <i r="2">
      <x v="1"/>
    </i>
    <i t="grand">
      <x/>
    </i>
  </rowItems>
  <colFields count="2">
    <field x="0"/>
    <field x="-2"/>
  </colFields>
  <colItems count="8">
    <i>
      <x/>
      <x/>
    </i>
    <i r="1" i="1">
      <x v="1"/>
    </i>
    <i>
      <x v="1"/>
      <x/>
    </i>
    <i r="1" i="1">
      <x v="1"/>
    </i>
    <i>
      <x v="2"/>
      <x/>
    </i>
    <i r="1" i="1">
      <x v="1"/>
    </i>
    <i t="grand">
      <x/>
    </i>
    <i t="grand" i="1">
      <x/>
    </i>
  </colItems>
  <dataFields count="2">
    <dataField name="Suma de Number of vehicle" fld="5" baseField="0" baseItem="0"/>
    <dataField name="Suma de Consumption (Gg)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D5A098C-EB9B-446C-A49C-8D3556B1E9E7}" name="Tabla1" displayName="Tabla1" ref="B2:L452" totalsRowShown="0" headerRowDxfId="14" headerRowBorderDxfId="13" tableBorderDxfId="12" totalsRowBorderDxfId="11">
  <autoFilter ref="B2:L452" xr:uid="{82FD972C-4712-477D-8950-CC1A329CE060}"/>
  <sortState xmlns:xlrd2="http://schemas.microsoft.com/office/spreadsheetml/2017/richdata2" ref="B3:K452">
    <sortCondition ref="D2:D452"/>
  </sortState>
  <tableColumns count="11">
    <tableColumn id="1" xr3:uid="{A5EAF23C-E807-4ACD-AFD5-0BB81183B1E3}" name="Year" dataDxfId="10"/>
    <tableColumn id="9" xr3:uid="{C8CF97B4-6050-4C11-9F0F-A4782347BDCA}" name="Island" dataDxfId="9"/>
    <tableColumn id="2" xr3:uid="{4203D8C1-4F8C-465B-B0E1-CCF0C8FDABE4}" name="Type of Vehicle" dataDxfId="8"/>
    <tableColumn id="3" xr3:uid="{9917EE61-5B34-4AB6-B76E-7DEBAA542451}" name="Fuel type" dataDxfId="7"/>
    <tableColumn id="4" xr3:uid="{982578D7-2556-456D-A595-218A545B0F55}" name="Technology" dataDxfId="6"/>
    <tableColumn id="5" xr3:uid="{9036B9A4-4223-48D6-969B-44CD0C834B20}" name="Number of vehicle" dataDxfId="5"/>
    <tableColumn id="6" xr3:uid="{B0A2312E-F6A9-4A19-9A2A-ED534B99699A}" name="km travelled" dataDxfId="4"/>
    <tableColumn id="7" xr3:uid="{E35D7A7D-E879-4F44-9003-29BEE396AEF3}" name="Fuel economy (km/L)" dataDxfId="3"/>
    <tableColumn id="10" xr3:uid="{068EC6BE-9A23-4101-8768-D13C2BC18652}" name="Consumption (L)" dataDxfId="2">
      <calculatedColumnFormula>IF(Tabla1[[#This Row],[Number of vehicle]]="",0,(Tabla1[[#This Row],[Number of vehicle]]*Tabla1[[#This Row],[km travelled]])/Tabla1[[#This Row],[Fuel economy (km/L)]])</calculatedColumnFormula>
    </tableColumn>
    <tableColumn id="11" xr3:uid="{FF4B6D24-FD68-4797-810D-9942E2B82C78}" name="Consumption (ton)" dataDxfId="1"/>
    <tableColumn id="12" xr3:uid="{3FE0FC7E-3E91-48B3-97DB-39D6DD7736BE}" name="Consumption (Gg)" dataDxfId="0">
      <calculatedColumnFormula>Tabla1[[#This Row],[Consumption (ton)]]/1000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pcc-nggip.iges.or.jp/public/2006gl/" TargetMode="External"/><Relationship Id="rId7" Type="http://schemas.openxmlformats.org/officeDocument/2006/relationships/hyperlink" Target="https://www.iea.org/data-and-statistics/data-tables?country=MAURITIUS" TargetMode="External"/><Relationship Id="rId2" Type="http://schemas.openxmlformats.org/officeDocument/2006/relationships/hyperlink" Target="https://unfccc.int/sites/default/files/resource/NIR%20%20NC3.pdf" TargetMode="External"/><Relationship Id="rId1" Type="http://schemas.openxmlformats.org/officeDocument/2006/relationships/hyperlink" Target="https://statsmauritius.govmu.org/Pages/Statistics/By_Subject/Energy_Water/Energy_Water.aspx" TargetMode="External"/><Relationship Id="rId6" Type="http://schemas.openxmlformats.org/officeDocument/2006/relationships/hyperlink" Target="http://statsmauritius.govmu.org/English/StatsbySubj/Pages/National-Accounts.aspx" TargetMode="External"/><Relationship Id="rId5" Type="http://schemas.openxmlformats.org/officeDocument/2006/relationships/hyperlink" Target="http://statsmauritius.govmu.org/English/StatsbySubj/Pages/Manufacturing.aspx" TargetMode="External"/><Relationship Id="rId4" Type="http://schemas.openxmlformats.org/officeDocument/2006/relationships/hyperlink" Target="http://statsmauritius.govmu.org/English/StatsbySubj/Pages/INTERNATIONAL-TRAVEL-and-TOURISM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E93D4-647C-47D4-A746-5A407FA731D2}">
  <sheetPr>
    <tabColor rgb="FF7030A0"/>
  </sheetPr>
  <dimension ref="B2:O19"/>
  <sheetViews>
    <sheetView showGridLines="0" zoomScaleNormal="100" workbookViewId="0">
      <selection activeCell="H265" sqref="H265"/>
    </sheetView>
  </sheetViews>
  <sheetFormatPr baseColWidth="10" defaultRowHeight="14.5" x14ac:dyDescent="0.35"/>
  <cols>
    <col min="1" max="1" width="3.54296875" customWidth="1"/>
    <col min="2" max="2" width="3" customWidth="1"/>
    <col min="3" max="3" width="10" customWidth="1"/>
    <col min="4" max="4" width="5" customWidth="1"/>
  </cols>
  <sheetData>
    <row r="2" spans="2:15" ht="15" thickBot="1" x14ac:dyDescent="0.4"/>
    <row r="3" spans="2:15" x14ac:dyDescent="0.35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</row>
    <row r="4" spans="2:15" x14ac:dyDescent="0.35">
      <c r="B4" s="12"/>
      <c r="C4" s="13" t="s">
        <v>179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4"/>
    </row>
    <row r="5" spans="2:15" ht="9" customHeight="1" x14ac:dyDescent="0.35">
      <c r="B5" s="12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4"/>
    </row>
    <row r="6" spans="2:15" x14ac:dyDescent="0.35">
      <c r="B6" s="12"/>
      <c r="C6" s="74"/>
      <c r="D6" s="8"/>
      <c r="E6" s="8" t="s">
        <v>163</v>
      </c>
      <c r="F6" s="8"/>
      <c r="G6" s="8"/>
      <c r="H6" s="8"/>
      <c r="I6" s="8"/>
      <c r="J6" s="8"/>
      <c r="K6" s="8"/>
      <c r="L6" s="8"/>
      <c r="M6" s="8"/>
      <c r="N6" s="8"/>
      <c r="O6" s="14"/>
    </row>
    <row r="7" spans="2:15" ht="7.5" customHeight="1" x14ac:dyDescent="0.35">
      <c r="B7" s="12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4"/>
    </row>
    <row r="8" spans="2:15" x14ac:dyDescent="0.35">
      <c r="B8" s="12"/>
      <c r="C8" s="75"/>
      <c r="D8" s="8"/>
      <c r="E8" s="8" t="s">
        <v>177</v>
      </c>
      <c r="F8" s="8"/>
      <c r="G8" s="8"/>
      <c r="H8" s="8"/>
      <c r="I8" s="8"/>
      <c r="J8" s="8"/>
      <c r="K8" s="8"/>
      <c r="L8" s="8"/>
      <c r="M8" s="8"/>
      <c r="N8" s="8"/>
      <c r="O8" s="14"/>
    </row>
    <row r="9" spans="2:15" ht="7.5" customHeight="1" x14ac:dyDescent="0.35">
      <c r="B9" s="1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4"/>
    </row>
    <row r="10" spans="2:15" x14ac:dyDescent="0.35">
      <c r="B10" s="12"/>
      <c r="C10" s="27"/>
      <c r="D10" s="8"/>
      <c r="E10" s="8" t="s">
        <v>178</v>
      </c>
      <c r="F10" s="8"/>
      <c r="G10" s="8"/>
      <c r="H10" s="8"/>
      <c r="I10" s="8"/>
      <c r="J10" s="8"/>
      <c r="K10" s="8"/>
      <c r="L10" s="8"/>
      <c r="M10" s="8"/>
      <c r="N10" s="8"/>
      <c r="O10" s="14"/>
    </row>
    <row r="11" spans="2:15" ht="9" customHeight="1" thickBot="1" x14ac:dyDescent="0.4">
      <c r="B11" s="18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1"/>
    </row>
    <row r="13" spans="2:15" x14ac:dyDescent="0.35">
      <c r="C13" s="3" t="s">
        <v>180</v>
      </c>
    </row>
    <row r="14" spans="2:15" ht="9" customHeight="1" x14ac:dyDescent="0.35"/>
    <row r="15" spans="2:15" x14ac:dyDescent="0.35">
      <c r="C15" t="s">
        <v>181</v>
      </c>
    </row>
    <row r="16" spans="2:15" ht="7.5" customHeight="1" x14ac:dyDescent="0.35"/>
    <row r="17" spans="3:3" x14ac:dyDescent="0.35">
      <c r="C17" t="s">
        <v>182</v>
      </c>
    </row>
    <row r="18" spans="3:3" ht="7.5" customHeight="1" x14ac:dyDescent="0.35"/>
    <row r="19" spans="3:3" x14ac:dyDescent="0.35">
      <c r="C19" t="s">
        <v>183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48EBB-FAD1-49FA-8897-F55155285885}">
  <sheetPr>
    <tabColor theme="6" tint="0.39997558519241921"/>
  </sheetPr>
  <dimension ref="B1:BL299"/>
  <sheetViews>
    <sheetView showGridLines="0" topLeftCell="A259" zoomScale="55" zoomScaleNormal="55" workbookViewId="0">
      <selection activeCell="I285" sqref="I285"/>
    </sheetView>
  </sheetViews>
  <sheetFormatPr baseColWidth="10" defaultRowHeight="14.5" x14ac:dyDescent="0.35"/>
  <cols>
    <col min="1" max="2" width="4" customWidth="1"/>
    <col min="3" max="3" width="41.7265625" customWidth="1"/>
    <col min="4" max="4" width="24.81640625" bestFit="1" customWidth="1"/>
    <col min="5" max="5" width="23.453125" bestFit="1" customWidth="1"/>
    <col min="6" max="6" width="17.26953125" bestFit="1" customWidth="1"/>
    <col min="7" max="7" width="14.81640625" bestFit="1" customWidth="1"/>
    <col min="8" max="8" width="12.81640625" customWidth="1"/>
    <col min="9" max="15" width="12.81640625" bestFit="1" customWidth="1"/>
    <col min="16" max="16" width="14.1796875" customWidth="1"/>
    <col min="17" max="19" width="12.81640625" bestFit="1" customWidth="1"/>
    <col min="20" max="20" width="13.453125" bestFit="1" customWidth="1"/>
    <col min="21" max="21" width="16.54296875" customWidth="1"/>
    <col min="22" max="22" width="13.54296875" customWidth="1"/>
    <col min="23" max="23" width="14.26953125" customWidth="1"/>
    <col min="24" max="24" width="14" customWidth="1"/>
    <col min="25" max="25" width="13.26953125" customWidth="1"/>
    <col min="26" max="27" width="12.453125" customWidth="1"/>
    <col min="28" max="28" width="13.26953125" customWidth="1"/>
    <col min="29" max="30" width="12.453125" customWidth="1"/>
    <col min="31" max="31" width="13.7265625" customWidth="1"/>
    <col min="32" max="32" width="13" customWidth="1"/>
    <col min="33" max="33" width="6.26953125" customWidth="1"/>
    <col min="34" max="34" width="17.54296875" customWidth="1"/>
    <col min="35" max="35" width="25.26953125" customWidth="1"/>
  </cols>
  <sheetData>
    <row r="1" spans="2:34" ht="15" thickBot="1" x14ac:dyDescent="0.4"/>
    <row r="2" spans="2:34" x14ac:dyDescent="0.35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1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2:34" x14ac:dyDescent="0.35">
      <c r="B3" s="12"/>
      <c r="C3" s="13" t="s">
        <v>128</v>
      </c>
      <c r="D3" s="13"/>
      <c r="E3" s="13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1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2:34" x14ac:dyDescent="0.35">
      <c r="B4" s="12"/>
      <c r="C4" s="334" t="s">
        <v>57</v>
      </c>
      <c r="D4" s="334" t="s">
        <v>64</v>
      </c>
      <c r="E4" s="334" t="s">
        <v>87</v>
      </c>
      <c r="F4" s="334">
        <v>2000</v>
      </c>
      <c r="G4" s="334">
        <v>2001</v>
      </c>
      <c r="H4" s="334">
        <v>2002</v>
      </c>
      <c r="I4" s="334">
        <v>2003</v>
      </c>
      <c r="J4" s="334">
        <v>2004</v>
      </c>
      <c r="K4" s="334">
        <v>2005</v>
      </c>
      <c r="L4" s="334">
        <v>2006</v>
      </c>
      <c r="M4" s="334">
        <v>2007</v>
      </c>
      <c r="N4" s="334">
        <v>2008</v>
      </c>
      <c r="O4" s="334">
        <v>2009</v>
      </c>
      <c r="P4" s="334">
        <v>2010</v>
      </c>
      <c r="Q4" s="334">
        <v>2011</v>
      </c>
      <c r="R4" s="334">
        <v>2012</v>
      </c>
      <c r="S4" s="334">
        <v>2013</v>
      </c>
      <c r="T4" s="334">
        <v>2014</v>
      </c>
      <c r="U4" s="334">
        <v>2015</v>
      </c>
      <c r="V4" s="334">
        <v>2016</v>
      </c>
      <c r="W4" s="14"/>
      <c r="X4" s="8"/>
      <c r="Y4" s="8"/>
      <c r="Z4" s="8"/>
      <c r="AA4" s="8"/>
      <c r="AB4" s="8"/>
      <c r="AC4" s="8"/>
      <c r="AD4" s="8"/>
      <c r="AE4" s="8"/>
      <c r="AF4" s="8"/>
      <c r="AG4" s="347"/>
      <c r="AH4" s="8"/>
    </row>
    <row r="5" spans="2:34" x14ac:dyDescent="0.35">
      <c r="B5" s="12"/>
      <c r="C5" s="27" t="s">
        <v>58</v>
      </c>
      <c r="D5" s="335" t="s">
        <v>65</v>
      </c>
      <c r="E5" s="335" t="s">
        <v>1</v>
      </c>
      <c r="F5" s="76">
        <v>175515</v>
      </c>
      <c r="G5" s="76">
        <v>185337</v>
      </c>
      <c r="H5" s="76">
        <v>179616</v>
      </c>
      <c r="I5" s="76">
        <f>SUM(I6:I7)</f>
        <v>204459</v>
      </c>
      <c r="J5" s="76">
        <f>SUM(J6:J7)</f>
        <v>220067</v>
      </c>
      <c r="K5" s="76">
        <f>SUM(K6:K7)</f>
        <v>217053</v>
      </c>
      <c r="L5" s="77">
        <v>226541</v>
      </c>
      <c r="M5" s="77">
        <v>201820.21</v>
      </c>
      <c r="N5" s="77">
        <v>167546.37</v>
      </c>
      <c r="O5" s="77">
        <v>190604.2298</v>
      </c>
      <c r="P5" s="77">
        <v>196882</v>
      </c>
      <c r="Q5" s="77">
        <v>214517</v>
      </c>
      <c r="R5" s="77">
        <v>213032</v>
      </c>
      <c r="S5" s="77">
        <v>216190</v>
      </c>
      <c r="T5" s="77">
        <v>221345</v>
      </c>
      <c r="U5" s="77">
        <v>229570.37000000002</v>
      </c>
      <c r="V5" s="77">
        <v>224212.45685329637</v>
      </c>
      <c r="W5" s="14"/>
      <c r="X5" s="8"/>
      <c r="Y5" s="8"/>
      <c r="Z5" s="8"/>
      <c r="AA5" s="8"/>
      <c r="AB5" s="8"/>
      <c r="AC5" s="8"/>
      <c r="AD5" s="8"/>
      <c r="AE5" s="8"/>
      <c r="AF5" s="8"/>
      <c r="AG5" s="346"/>
      <c r="AH5" s="8"/>
    </row>
    <row r="6" spans="2:34" s="4" customFormat="1" x14ac:dyDescent="0.35">
      <c r="B6" s="16"/>
      <c r="C6" s="34" t="s">
        <v>59</v>
      </c>
      <c r="D6" s="335" t="s">
        <v>65</v>
      </c>
      <c r="E6" s="335" t="s">
        <v>1</v>
      </c>
      <c r="F6" s="187"/>
      <c r="G6" s="187"/>
      <c r="H6" s="187"/>
      <c r="I6" s="78">
        <v>200067</v>
      </c>
      <c r="J6" s="78">
        <v>215290</v>
      </c>
      <c r="K6" s="78">
        <v>210144</v>
      </c>
      <c r="L6" s="78">
        <v>219969</v>
      </c>
      <c r="M6" s="78">
        <v>195080.68</v>
      </c>
      <c r="N6" s="78">
        <v>160358.75</v>
      </c>
      <c r="O6" s="78">
        <v>183678.15470000001</v>
      </c>
      <c r="P6" s="78">
        <v>190108</v>
      </c>
      <c r="Q6" s="78">
        <v>207576</v>
      </c>
      <c r="R6" s="78">
        <v>206146</v>
      </c>
      <c r="S6" s="78">
        <v>208865</v>
      </c>
      <c r="T6" s="78">
        <v>213588</v>
      </c>
      <c r="U6" s="78">
        <v>221115.67</v>
      </c>
      <c r="V6" s="78">
        <v>215794.46001899999</v>
      </c>
      <c r="W6" s="17"/>
      <c r="X6" s="350"/>
      <c r="Y6" s="350"/>
      <c r="Z6" s="350"/>
      <c r="AA6" s="350"/>
      <c r="AB6" s="350"/>
      <c r="AC6" s="350"/>
      <c r="AD6" s="350"/>
      <c r="AE6" s="350"/>
      <c r="AF6" s="350"/>
      <c r="AG6" s="348"/>
      <c r="AH6" s="350"/>
    </row>
    <row r="7" spans="2:34" s="4" customFormat="1" x14ac:dyDescent="0.35">
      <c r="B7" s="16"/>
      <c r="C7" s="34" t="s">
        <v>60</v>
      </c>
      <c r="D7" s="335" t="s">
        <v>65</v>
      </c>
      <c r="E7" s="335" t="s">
        <v>1</v>
      </c>
      <c r="F7" s="187"/>
      <c r="G7" s="187"/>
      <c r="H7" s="187"/>
      <c r="I7" s="78">
        <v>4392</v>
      </c>
      <c r="J7" s="78">
        <v>4777</v>
      </c>
      <c r="K7" s="78">
        <v>6909</v>
      </c>
      <c r="L7" s="78">
        <v>6572</v>
      </c>
      <c r="M7" s="78">
        <v>6739.53</v>
      </c>
      <c r="N7" s="78">
        <v>7187.62</v>
      </c>
      <c r="O7" s="78">
        <v>6926.0751</v>
      </c>
      <c r="P7" s="78">
        <v>6774</v>
      </c>
      <c r="Q7" s="78">
        <v>6941</v>
      </c>
      <c r="R7" s="78">
        <v>6886</v>
      </c>
      <c r="S7" s="78">
        <v>7325</v>
      </c>
      <c r="T7" s="78">
        <v>7757</v>
      </c>
      <c r="U7" s="78">
        <v>8454.7000000000007</v>
      </c>
      <c r="V7" s="78">
        <v>8417.996834296393</v>
      </c>
      <c r="W7" s="17"/>
      <c r="X7" s="350"/>
      <c r="Y7" s="350"/>
      <c r="Z7" s="350"/>
      <c r="AA7" s="350"/>
      <c r="AB7" s="350"/>
      <c r="AC7" s="350"/>
      <c r="AD7" s="350"/>
      <c r="AE7" s="350"/>
      <c r="AF7" s="350"/>
      <c r="AG7" s="348"/>
      <c r="AH7" s="350"/>
    </row>
    <row r="8" spans="2:34" x14ac:dyDescent="0.35">
      <c r="B8" s="12"/>
      <c r="C8" s="27" t="s">
        <v>61</v>
      </c>
      <c r="D8" s="335" t="s">
        <v>65</v>
      </c>
      <c r="E8" s="335" t="s">
        <v>1</v>
      </c>
      <c r="F8" s="76">
        <v>3364</v>
      </c>
      <c r="G8" s="76">
        <v>3138</v>
      </c>
      <c r="H8" s="76">
        <v>3481</v>
      </c>
      <c r="I8" s="76">
        <f>SUM(I9:I10)</f>
        <v>3895</v>
      </c>
      <c r="J8" s="76">
        <f>SUM(J9:J10)</f>
        <v>3968</v>
      </c>
      <c r="K8" s="76">
        <f>SUM(K9:K10)</f>
        <v>2126</v>
      </c>
      <c r="L8" s="77">
        <v>2531</v>
      </c>
      <c r="M8" s="77">
        <v>2746.43</v>
      </c>
      <c r="N8" s="77">
        <v>1900.6</v>
      </c>
      <c r="O8" s="77">
        <v>2761.2235999999998</v>
      </c>
      <c r="P8" s="77">
        <v>1997</v>
      </c>
      <c r="Q8" s="77">
        <v>1523</v>
      </c>
      <c r="R8" s="77">
        <v>1857</v>
      </c>
      <c r="S8" s="77">
        <v>1269</v>
      </c>
      <c r="T8" s="77">
        <v>1229</v>
      </c>
      <c r="U8" s="77">
        <v>1083.92</v>
      </c>
      <c r="V8" s="77">
        <v>1025.1092882340033</v>
      </c>
      <c r="W8" s="14"/>
      <c r="X8" s="8"/>
      <c r="Y8" s="8"/>
      <c r="Z8" s="8"/>
      <c r="AA8" s="8"/>
      <c r="AB8" s="8"/>
      <c r="AC8" s="8"/>
      <c r="AD8" s="8"/>
      <c r="AE8" s="8"/>
      <c r="AF8" s="8"/>
      <c r="AG8" s="346"/>
      <c r="AH8" s="8"/>
    </row>
    <row r="9" spans="2:34" s="4" customFormat="1" x14ac:dyDescent="0.35">
      <c r="B9" s="16"/>
      <c r="C9" s="34" t="s">
        <v>59</v>
      </c>
      <c r="D9" s="335" t="s">
        <v>65</v>
      </c>
      <c r="E9" s="335" t="s">
        <v>1</v>
      </c>
      <c r="F9" s="187"/>
      <c r="G9" s="187"/>
      <c r="H9" s="187"/>
      <c r="I9" s="78">
        <v>2423</v>
      </c>
      <c r="J9" s="78">
        <v>2335</v>
      </c>
      <c r="K9" s="78">
        <v>1909</v>
      </c>
      <c r="L9" s="78">
        <v>2232</v>
      </c>
      <c r="M9" s="78">
        <v>2638.48</v>
      </c>
      <c r="N9" s="78">
        <v>1720.97</v>
      </c>
      <c r="O9" s="78">
        <v>2558.0419999999999</v>
      </c>
      <c r="P9" s="78">
        <v>1875</v>
      </c>
      <c r="Q9" s="78">
        <v>1354</v>
      </c>
      <c r="R9" s="78">
        <v>1728</v>
      </c>
      <c r="S9" s="78">
        <v>1190</v>
      </c>
      <c r="T9" s="78">
        <v>1125</v>
      </c>
      <c r="U9" s="78">
        <v>979.29</v>
      </c>
      <c r="V9" s="78">
        <v>923.77082383918173</v>
      </c>
      <c r="W9" s="17"/>
      <c r="X9" s="350"/>
      <c r="Y9" s="350"/>
      <c r="Z9" s="350"/>
      <c r="AA9" s="350"/>
      <c r="AB9" s="350"/>
      <c r="AC9" s="350"/>
      <c r="AD9" s="350"/>
      <c r="AE9" s="350"/>
      <c r="AF9" s="350"/>
      <c r="AG9" s="348"/>
      <c r="AH9" s="350"/>
    </row>
    <row r="10" spans="2:34" s="4" customFormat="1" x14ac:dyDescent="0.35">
      <c r="B10" s="16"/>
      <c r="C10" s="34" t="s">
        <v>60</v>
      </c>
      <c r="D10" s="335" t="s">
        <v>65</v>
      </c>
      <c r="E10" s="335" t="s">
        <v>1</v>
      </c>
      <c r="F10" s="187"/>
      <c r="G10" s="187"/>
      <c r="H10" s="187"/>
      <c r="I10" s="78">
        <v>1472</v>
      </c>
      <c r="J10" s="78">
        <v>1633</v>
      </c>
      <c r="K10" s="78">
        <v>217</v>
      </c>
      <c r="L10" s="78">
        <v>299</v>
      </c>
      <c r="M10" s="78">
        <v>107.95</v>
      </c>
      <c r="N10" s="78">
        <v>179.63</v>
      </c>
      <c r="O10" s="78">
        <v>203.1816</v>
      </c>
      <c r="P10" s="78">
        <v>122</v>
      </c>
      <c r="Q10" s="78">
        <v>169</v>
      </c>
      <c r="R10" s="78">
        <v>129</v>
      </c>
      <c r="S10" s="78">
        <v>79</v>
      </c>
      <c r="T10" s="78">
        <v>104</v>
      </c>
      <c r="U10" s="78">
        <v>104.63</v>
      </c>
      <c r="V10" s="78">
        <v>101.33846439482167</v>
      </c>
      <c r="W10" s="17"/>
      <c r="X10" s="350"/>
      <c r="Y10" s="350"/>
      <c r="Z10" s="350"/>
      <c r="AA10" s="350"/>
      <c r="AB10" s="350"/>
      <c r="AC10" s="350"/>
      <c r="AD10" s="350"/>
      <c r="AE10" s="350"/>
      <c r="AF10" s="350"/>
      <c r="AG10" s="348"/>
      <c r="AH10" s="350"/>
    </row>
    <row r="11" spans="2:34" x14ac:dyDescent="0.35">
      <c r="B11" s="12"/>
      <c r="C11" s="27" t="s">
        <v>14</v>
      </c>
      <c r="D11" s="335" t="s">
        <v>65</v>
      </c>
      <c r="E11" s="335" t="s">
        <v>1</v>
      </c>
      <c r="F11" s="77">
        <v>13081</v>
      </c>
      <c r="G11" s="77">
        <v>3760</v>
      </c>
      <c r="H11" s="77">
        <v>5443</v>
      </c>
      <c r="I11" s="77">
        <v>9864</v>
      </c>
      <c r="J11" s="77">
        <v>16555</v>
      </c>
      <c r="K11" s="77">
        <v>17731</v>
      </c>
      <c r="L11" s="77">
        <v>1848</v>
      </c>
      <c r="M11" s="77">
        <v>1066.6400000000001</v>
      </c>
      <c r="N11" s="77">
        <v>2095.3200000000002</v>
      </c>
      <c r="O11" s="77">
        <v>4923.8909999999996</v>
      </c>
      <c r="P11" s="77">
        <v>6008</v>
      </c>
      <c r="Q11" s="77">
        <v>3659</v>
      </c>
      <c r="R11" s="77">
        <v>3437</v>
      </c>
      <c r="S11" s="77">
        <v>645</v>
      </c>
      <c r="T11" s="77">
        <v>681</v>
      </c>
      <c r="U11" s="77">
        <v>741.28</v>
      </c>
      <c r="V11" s="77">
        <v>728.77595972309632</v>
      </c>
      <c r="W11" s="14"/>
      <c r="X11" s="8"/>
      <c r="Y11" s="8"/>
      <c r="Z11" s="8"/>
      <c r="AA11" s="8"/>
      <c r="AB11" s="8"/>
      <c r="AC11" s="8"/>
      <c r="AD11" s="8"/>
      <c r="AE11" s="8"/>
      <c r="AF11" s="8"/>
      <c r="AG11" s="346"/>
      <c r="AH11" s="8"/>
    </row>
    <row r="12" spans="2:34" x14ac:dyDescent="0.35">
      <c r="B12" s="12"/>
      <c r="C12" s="27" t="s">
        <v>15</v>
      </c>
      <c r="D12" s="335" t="s">
        <v>65</v>
      </c>
      <c r="E12" s="335" t="s">
        <v>1</v>
      </c>
      <c r="F12" s="77">
        <v>228520</v>
      </c>
      <c r="G12" s="77">
        <v>273376</v>
      </c>
      <c r="H12" s="77">
        <v>286886</v>
      </c>
      <c r="I12" s="77">
        <v>287176</v>
      </c>
      <c r="J12" s="77">
        <v>265128</v>
      </c>
      <c r="K12" s="77">
        <v>340675</v>
      </c>
      <c r="L12" s="77">
        <v>462784</v>
      </c>
      <c r="M12" s="77">
        <v>552632</v>
      </c>
      <c r="N12" s="77">
        <v>609745</v>
      </c>
      <c r="O12" s="77">
        <v>574141</v>
      </c>
      <c r="P12" s="77">
        <v>643049</v>
      </c>
      <c r="Q12" s="77">
        <v>617297</v>
      </c>
      <c r="R12" s="77">
        <v>649157</v>
      </c>
      <c r="S12" s="77">
        <v>683207</v>
      </c>
      <c r="T12" s="77">
        <v>711236</v>
      </c>
      <c r="U12" s="77">
        <v>684348</v>
      </c>
      <c r="V12" s="77">
        <v>701225</v>
      </c>
      <c r="W12" s="14"/>
      <c r="X12" s="8"/>
      <c r="Y12" s="8"/>
      <c r="Z12" s="8"/>
      <c r="AA12" s="8"/>
      <c r="AB12" s="8"/>
      <c r="AC12" s="8"/>
      <c r="AD12" s="8"/>
      <c r="AE12" s="8"/>
      <c r="AF12" s="8"/>
      <c r="AG12" s="346"/>
      <c r="AH12" s="8"/>
    </row>
    <row r="13" spans="2:34" x14ac:dyDescent="0.35">
      <c r="B13" s="12"/>
      <c r="C13" s="27" t="s">
        <v>16</v>
      </c>
      <c r="D13" s="335" t="s">
        <v>65</v>
      </c>
      <c r="E13" s="335" t="s">
        <v>1</v>
      </c>
      <c r="F13" s="77">
        <v>1021500</v>
      </c>
      <c r="G13" s="77">
        <v>1142500</v>
      </c>
      <c r="H13" s="77">
        <v>1202096</v>
      </c>
      <c r="I13" s="77">
        <v>1046794</v>
      </c>
      <c r="J13" s="77">
        <v>1092823</v>
      </c>
      <c r="K13" s="77">
        <v>1055742</v>
      </c>
      <c r="L13" s="77">
        <v>1036598</v>
      </c>
      <c r="M13" s="77">
        <v>1040286</v>
      </c>
      <c r="N13" s="77">
        <v>1300939</v>
      </c>
      <c r="O13" s="77">
        <v>1135588</v>
      </c>
      <c r="P13" s="77">
        <v>1140383</v>
      </c>
      <c r="Q13" s="77">
        <v>1119040</v>
      </c>
      <c r="R13" s="77">
        <v>1077786</v>
      </c>
      <c r="S13" s="77">
        <v>1056146</v>
      </c>
      <c r="T13" s="77">
        <v>1030563</v>
      </c>
      <c r="U13" s="77">
        <v>1240301</v>
      </c>
      <c r="V13" s="77">
        <v>1129545</v>
      </c>
      <c r="W13" s="14"/>
      <c r="X13" s="8"/>
      <c r="Y13" s="8"/>
      <c r="Z13" s="8"/>
      <c r="AA13" s="8"/>
      <c r="AB13" s="8"/>
      <c r="AC13" s="8"/>
      <c r="AD13" s="8"/>
      <c r="AE13" s="8"/>
      <c r="AF13" s="8"/>
      <c r="AG13" s="346"/>
      <c r="AH13" s="8"/>
    </row>
    <row r="14" spans="2:34" x14ac:dyDescent="0.35">
      <c r="B14" s="12"/>
      <c r="C14" s="8"/>
      <c r="D14" s="15"/>
      <c r="E14" s="15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14"/>
      <c r="X14" s="8"/>
      <c r="Y14" s="8"/>
      <c r="Z14" s="8"/>
      <c r="AA14" s="8"/>
      <c r="AB14" s="8"/>
      <c r="AC14" s="8"/>
      <c r="AD14" s="8"/>
      <c r="AE14" s="8"/>
      <c r="AF14" s="8"/>
      <c r="AG14" s="84"/>
      <c r="AH14" s="8"/>
    </row>
    <row r="15" spans="2:34" x14ac:dyDescent="0.35">
      <c r="B15" s="12"/>
      <c r="C15" s="5" t="s">
        <v>58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14"/>
      <c r="X15" s="8"/>
      <c r="Y15" s="8"/>
      <c r="Z15" s="8"/>
      <c r="AA15" s="8"/>
      <c r="AB15" s="8"/>
      <c r="AC15" s="8"/>
      <c r="AD15" s="8"/>
      <c r="AE15" s="8"/>
      <c r="AF15" s="8"/>
      <c r="AG15" s="84"/>
      <c r="AH15" s="8"/>
    </row>
    <row r="16" spans="2:34" x14ac:dyDescent="0.35">
      <c r="B16" s="12"/>
      <c r="C16" s="34" t="s">
        <v>59</v>
      </c>
      <c r="D16" s="34"/>
      <c r="E16" s="34"/>
      <c r="F16" s="35">
        <f t="shared" ref="F16:V16" si="0">F6/F$5</f>
        <v>0</v>
      </c>
      <c r="G16" s="35">
        <f t="shared" si="0"/>
        <v>0</v>
      </c>
      <c r="H16" s="35">
        <f t="shared" si="0"/>
        <v>0</v>
      </c>
      <c r="I16" s="35">
        <f t="shared" si="0"/>
        <v>0.97851892066380053</v>
      </c>
      <c r="J16" s="35">
        <f t="shared" si="0"/>
        <v>0.97829297441233809</v>
      </c>
      <c r="K16" s="35">
        <f t="shared" si="0"/>
        <v>0.96816906469848374</v>
      </c>
      <c r="L16" s="35">
        <f t="shared" si="0"/>
        <v>0.97098979875607505</v>
      </c>
      <c r="M16" s="35">
        <f t="shared" si="0"/>
        <v>0.96660626802439653</v>
      </c>
      <c r="N16" s="35">
        <f t="shared" si="0"/>
        <v>0.95710071188053791</v>
      </c>
      <c r="O16" s="35">
        <f t="shared" si="0"/>
        <v>0.96366253200536278</v>
      </c>
      <c r="P16" s="35">
        <f t="shared" si="0"/>
        <v>0.96559360429089502</v>
      </c>
      <c r="Q16" s="35">
        <f t="shared" si="0"/>
        <v>0.96764359001850664</v>
      </c>
      <c r="R16" s="35">
        <f t="shared" si="0"/>
        <v>0.96767621765744116</v>
      </c>
      <c r="S16" s="35">
        <f t="shared" si="0"/>
        <v>0.96611776677922201</v>
      </c>
      <c r="T16" s="35">
        <f t="shared" si="0"/>
        <v>0.96495516049605823</v>
      </c>
      <c r="U16" s="35">
        <f t="shared" si="0"/>
        <v>0.9631716410092469</v>
      </c>
      <c r="V16" s="35">
        <f t="shared" si="0"/>
        <v>0.96245526697116413</v>
      </c>
      <c r="W16" s="14"/>
      <c r="X16" s="8"/>
      <c r="Y16" s="8"/>
      <c r="Z16" s="8"/>
      <c r="AA16" s="8"/>
      <c r="AB16" s="8"/>
      <c r="AC16" s="8"/>
      <c r="AD16" s="8"/>
      <c r="AE16" s="8"/>
      <c r="AF16" s="8"/>
      <c r="AG16" s="349"/>
      <c r="AH16" s="8"/>
    </row>
    <row r="17" spans="2:34" x14ac:dyDescent="0.35">
      <c r="B17" s="12"/>
      <c r="C17" s="34" t="s">
        <v>60</v>
      </c>
      <c r="D17" s="34"/>
      <c r="E17" s="34"/>
      <c r="F17" s="35">
        <f t="shared" ref="F17:V17" si="1">F7/F$5</f>
        <v>0</v>
      </c>
      <c r="G17" s="35">
        <f t="shared" si="1"/>
        <v>0</v>
      </c>
      <c r="H17" s="35">
        <f t="shared" si="1"/>
        <v>0</v>
      </c>
      <c r="I17" s="35">
        <f t="shared" si="1"/>
        <v>2.1481079336199433E-2</v>
      </c>
      <c r="J17" s="35">
        <f t="shared" si="1"/>
        <v>2.1707025587661938E-2</v>
      </c>
      <c r="K17" s="35">
        <f t="shared" si="1"/>
        <v>3.1830935301516219E-2</v>
      </c>
      <c r="L17" s="35">
        <f t="shared" si="1"/>
        <v>2.9010201243924942E-2</v>
      </c>
      <c r="M17" s="35">
        <f t="shared" si="1"/>
        <v>3.3393731975603434E-2</v>
      </c>
      <c r="N17" s="35">
        <f t="shared" si="1"/>
        <v>4.2899288119462094E-2</v>
      </c>
      <c r="O17" s="35">
        <f t="shared" si="1"/>
        <v>3.6337467994637336E-2</v>
      </c>
      <c r="P17" s="35">
        <f t="shared" si="1"/>
        <v>3.4406395709104948E-2</v>
      </c>
      <c r="Q17" s="35">
        <f t="shared" si="1"/>
        <v>3.2356409981493306E-2</v>
      </c>
      <c r="R17" s="35">
        <f t="shared" si="1"/>
        <v>3.2323782342558866E-2</v>
      </c>
      <c r="S17" s="35">
        <f t="shared" si="1"/>
        <v>3.3882233220778019E-2</v>
      </c>
      <c r="T17" s="35">
        <f t="shared" si="1"/>
        <v>3.5044839503941813E-2</v>
      </c>
      <c r="U17" s="35">
        <f t="shared" si="1"/>
        <v>3.6828358990753034E-2</v>
      </c>
      <c r="V17" s="35">
        <f t="shared" si="1"/>
        <v>3.7544733028835868E-2</v>
      </c>
      <c r="W17" s="14"/>
      <c r="X17" s="8"/>
      <c r="Y17" s="8"/>
      <c r="Z17" s="8"/>
      <c r="AA17" s="8"/>
      <c r="AB17" s="8"/>
      <c r="AC17" s="8"/>
      <c r="AD17" s="8"/>
      <c r="AE17" s="8"/>
      <c r="AF17" s="8"/>
      <c r="AG17" s="349"/>
      <c r="AH17" s="8"/>
    </row>
    <row r="18" spans="2:34" x14ac:dyDescent="0.35">
      <c r="B18" s="12"/>
      <c r="C18" s="7" t="s">
        <v>61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4"/>
      <c r="X18" s="8"/>
      <c r="Y18" s="8"/>
      <c r="Z18" s="8"/>
      <c r="AA18" s="8"/>
      <c r="AB18" s="8"/>
      <c r="AC18" s="8"/>
      <c r="AD18" s="8"/>
      <c r="AE18" s="8"/>
      <c r="AF18" s="8"/>
      <c r="AG18" s="84"/>
      <c r="AH18" s="8"/>
    </row>
    <row r="19" spans="2:34" x14ac:dyDescent="0.35">
      <c r="B19" s="12"/>
      <c r="C19" s="34" t="s">
        <v>59</v>
      </c>
      <c r="D19" s="34"/>
      <c r="E19" s="34"/>
      <c r="F19" s="35">
        <f t="shared" ref="F19:V19" si="2">F9/F$8</f>
        <v>0</v>
      </c>
      <c r="G19" s="35">
        <f t="shared" si="2"/>
        <v>0</v>
      </c>
      <c r="H19" s="35">
        <f t="shared" si="2"/>
        <v>0</v>
      </c>
      <c r="I19" s="35">
        <f t="shared" si="2"/>
        <v>0.62207958921694484</v>
      </c>
      <c r="J19" s="35">
        <f t="shared" si="2"/>
        <v>0.58845766129032262</v>
      </c>
      <c r="K19" s="35">
        <f t="shared" si="2"/>
        <v>0.89793038570084671</v>
      </c>
      <c r="L19" s="35">
        <f t="shared" si="2"/>
        <v>0.88186487554326354</v>
      </c>
      <c r="M19" s="35">
        <f t="shared" si="2"/>
        <v>0.96069442876752731</v>
      </c>
      <c r="N19" s="35">
        <f t="shared" si="2"/>
        <v>0.90548774071345894</v>
      </c>
      <c r="O19" s="35">
        <f t="shared" si="2"/>
        <v>0.92641610045633394</v>
      </c>
      <c r="P19" s="35">
        <f t="shared" si="2"/>
        <v>0.93890836254381571</v>
      </c>
      <c r="Q19" s="35">
        <f t="shared" si="2"/>
        <v>0.88903479973736044</v>
      </c>
      <c r="R19" s="35">
        <f t="shared" si="2"/>
        <v>0.93053311793214866</v>
      </c>
      <c r="S19" s="35">
        <f t="shared" si="2"/>
        <v>0.93774625689519309</v>
      </c>
      <c r="T19" s="35">
        <f t="shared" si="2"/>
        <v>0.9153783563873068</v>
      </c>
      <c r="U19" s="35">
        <f t="shared" si="2"/>
        <v>0.90347073584766391</v>
      </c>
      <c r="V19" s="35">
        <f t="shared" si="2"/>
        <v>0.90114374578597234</v>
      </c>
      <c r="W19" s="14"/>
      <c r="X19" s="8"/>
      <c r="Y19" s="8"/>
      <c r="Z19" s="8"/>
      <c r="AA19" s="8"/>
      <c r="AB19" s="8"/>
      <c r="AC19" s="8"/>
      <c r="AD19" s="8"/>
      <c r="AE19" s="8"/>
      <c r="AF19" s="8"/>
      <c r="AG19" s="349"/>
      <c r="AH19" s="8"/>
    </row>
    <row r="20" spans="2:34" x14ac:dyDescent="0.35">
      <c r="B20" s="12"/>
      <c r="C20" s="34" t="s">
        <v>60</v>
      </c>
      <c r="D20" s="34"/>
      <c r="E20" s="34"/>
      <c r="F20" s="35">
        <f t="shared" ref="F20:V20" si="3">F10/F$8</f>
        <v>0</v>
      </c>
      <c r="G20" s="35">
        <f t="shared" si="3"/>
        <v>0</v>
      </c>
      <c r="H20" s="35">
        <f t="shared" si="3"/>
        <v>0</v>
      </c>
      <c r="I20" s="35">
        <f t="shared" si="3"/>
        <v>0.37792041078305522</v>
      </c>
      <c r="J20" s="35">
        <f t="shared" si="3"/>
        <v>0.41154233870967744</v>
      </c>
      <c r="K20" s="35">
        <f t="shared" si="3"/>
        <v>0.10206961429915334</v>
      </c>
      <c r="L20" s="35">
        <f t="shared" si="3"/>
        <v>0.11813512445673646</v>
      </c>
      <c r="M20" s="35">
        <f t="shared" si="3"/>
        <v>3.9305571232472705E-2</v>
      </c>
      <c r="N20" s="35">
        <f t="shared" si="3"/>
        <v>9.4512259286541098E-2</v>
      </c>
      <c r="O20" s="35">
        <f t="shared" si="3"/>
        <v>7.3583899543666079E-2</v>
      </c>
      <c r="P20" s="35">
        <f t="shared" si="3"/>
        <v>6.1091637456184275E-2</v>
      </c>
      <c r="Q20" s="35">
        <f t="shared" si="3"/>
        <v>0.11096520026263952</v>
      </c>
      <c r="R20" s="35">
        <f t="shared" si="3"/>
        <v>6.9466882067851371E-2</v>
      </c>
      <c r="S20" s="35">
        <f t="shared" si="3"/>
        <v>6.2253743104806934E-2</v>
      </c>
      <c r="T20" s="35">
        <f t="shared" si="3"/>
        <v>8.462164361269324E-2</v>
      </c>
      <c r="U20" s="35">
        <f t="shared" si="3"/>
        <v>9.6529264152335953E-2</v>
      </c>
      <c r="V20" s="35">
        <f t="shared" si="3"/>
        <v>9.8856254214027744E-2</v>
      </c>
      <c r="W20" s="14"/>
      <c r="X20" s="8"/>
      <c r="Y20" s="8"/>
      <c r="Z20" s="8"/>
      <c r="AA20" s="8"/>
      <c r="AB20" s="8"/>
      <c r="AC20" s="8"/>
      <c r="AD20" s="8"/>
      <c r="AE20" s="8"/>
      <c r="AF20" s="8"/>
      <c r="AG20" s="349"/>
      <c r="AH20" s="8"/>
    </row>
    <row r="21" spans="2:34" ht="15" thickBot="1" x14ac:dyDescent="0.4">
      <c r="B21" s="18"/>
      <c r="C21" s="19"/>
      <c r="D21" s="19"/>
      <c r="E21" s="19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0"/>
      <c r="T21" s="20"/>
      <c r="U21" s="20"/>
      <c r="V21" s="20"/>
      <c r="W21" s="351"/>
      <c r="X21" s="62"/>
      <c r="Y21" s="62"/>
      <c r="Z21" s="62"/>
      <c r="AA21" s="62"/>
      <c r="AB21" s="62"/>
      <c r="AC21" s="62"/>
      <c r="AD21" s="62"/>
      <c r="AE21" s="62"/>
      <c r="AF21" s="62"/>
      <c r="AG21" s="349"/>
      <c r="AH21" s="8"/>
    </row>
    <row r="22" spans="2:34" ht="15" thickBot="1" x14ac:dyDescent="0.4">
      <c r="B22" s="8"/>
      <c r="C22" s="63"/>
      <c r="D22" s="61"/>
      <c r="E22" s="61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8"/>
    </row>
    <row r="23" spans="2:34" x14ac:dyDescent="0.35"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1"/>
    </row>
    <row r="24" spans="2:34" x14ac:dyDescent="0.35">
      <c r="B24" s="12"/>
      <c r="C24" s="333" t="s">
        <v>7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14"/>
    </row>
    <row r="25" spans="2:34" x14ac:dyDescent="0.35">
      <c r="B25" s="12"/>
      <c r="C25" s="31" t="s">
        <v>86</v>
      </c>
      <c r="D25" s="334" t="s">
        <v>64</v>
      </c>
      <c r="E25" s="334" t="s">
        <v>87</v>
      </c>
      <c r="F25" s="25">
        <v>2000</v>
      </c>
      <c r="G25" s="25">
        <v>2001</v>
      </c>
      <c r="H25" s="25">
        <v>2002</v>
      </c>
      <c r="I25" s="25">
        <v>2003</v>
      </c>
      <c r="J25" s="25">
        <v>2004</v>
      </c>
      <c r="K25" s="25">
        <v>2005</v>
      </c>
      <c r="L25" s="25">
        <v>2006</v>
      </c>
      <c r="M25" s="25">
        <v>2007</v>
      </c>
      <c r="N25" s="25">
        <v>2008</v>
      </c>
      <c r="O25" s="25">
        <v>2009</v>
      </c>
      <c r="P25" s="25">
        <v>2010</v>
      </c>
      <c r="Q25" s="25">
        <v>2011</v>
      </c>
      <c r="R25" s="25">
        <v>2012</v>
      </c>
      <c r="S25" s="25">
        <v>2013</v>
      </c>
      <c r="T25" s="25">
        <v>2014</v>
      </c>
      <c r="U25" s="25">
        <v>2015</v>
      </c>
      <c r="V25" s="25">
        <v>2016</v>
      </c>
      <c r="W25" s="14"/>
    </row>
    <row r="26" spans="2:34" x14ac:dyDescent="0.35">
      <c r="B26" s="12"/>
      <c r="C26" s="27" t="s">
        <v>337</v>
      </c>
      <c r="D26" s="32" t="s">
        <v>77</v>
      </c>
      <c r="E26" s="335" t="s">
        <v>1</v>
      </c>
      <c r="F26" s="33">
        <v>4669</v>
      </c>
      <c r="G26" s="33">
        <v>4573</v>
      </c>
      <c r="H26" s="33">
        <v>4190</v>
      </c>
      <c r="I26" s="33">
        <v>3981</v>
      </c>
      <c r="J26" s="33">
        <v>3249</v>
      </c>
      <c r="K26" s="33">
        <v>3340</v>
      </c>
      <c r="L26" s="33">
        <v>3450</v>
      </c>
      <c r="M26" s="33">
        <v>2441</v>
      </c>
      <c r="N26" s="33">
        <v>2309</v>
      </c>
      <c r="O26" s="33">
        <v>3298</v>
      </c>
      <c r="P26" s="33">
        <v>3654</v>
      </c>
      <c r="Q26" s="33">
        <v>2315</v>
      </c>
      <c r="R26" s="33">
        <v>3037</v>
      </c>
      <c r="S26" s="33">
        <v>2188</v>
      </c>
      <c r="T26" s="33">
        <v>1360</v>
      </c>
      <c r="U26" s="33">
        <v>0</v>
      </c>
      <c r="V26" s="33">
        <v>0</v>
      </c>
      <c r="W26" s="14"/>
    </row>
    <row r="27" spans="2:34" ht="15" thickBot="1" x14ac:dyDescent="0.4">
      <c r="B27" s="18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1"/>
    </row>
    <row r="28" spans="2:34" ht="15" thickBot="1" x14ac:dyDescent="0.4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2:34" x14ac:dyDescent="0.35"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1"/>
    </row>
    <row r="30" spans="2:34" x14ac:dyDescent="0.35">
      <c r="B30" s="12"/>
      <c r="C30" s="333" t="s">
        <v>8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14"/>
    </row>
    <row r="31" spans="2:34" x14ac:dyDescent="0.35">
      <c r="B31" s="12"/>
      <c r="C31" s="31" t="s">
        <v>88</v>
      </c>
      <c r="D31" s="334" t="s">
        <v>64</v>
      </c>
      <c r="E31" s="334" t="s">
        <v>87</v>
      </c>
      <c r="F31" s="25">
        <v>2000</v>
      </c>
      <c r="G31" s="25">
        <v>2001</v>
      </c>
      <c r="H31" s="25">
        <v>2002</v>
      </c>
      <c r="I31" s="25">
        <v>2003</v>
      </c>
      <c r="J31" s="25">
        <v>2004</v>
      </c>
      <c r="K31" s="25">
        <v>2005</v>
      </c>
      <c r="L31" s="25">
        <v>2006</v>
      </c>
      <c r="M31" s="25">
        <v>2007</v>
      </c>
      <c r="N31" s="25">
        <v>2008</v>
      </c>
      <c r="O31" s="25">
        <v>2009</v>
      </c>
      <c r="P31" s="25">
        <v>2010</v>
      </c>
      <c r="Q31" s="25">
        <v>2011</v>
      </c>
      <c r="R31" s="25">
        <v>2012</v>
      </c>
      <c r="S31" s="25">
        <v>2013</v>
      </c>
      <c r="T31" s="25">
        <v>2014</v>
      </c>
      <c r="U31" s="25">
        <v>2015</v>
      </c>
      <c r="V31" s="25">
        <v>2016</v>
      </c>
      <c r="W31" s="14"/>
    </row>
    <row r="32" spans="2:34" x14ac:dyDescent="0.35">
      <c r="B32" s="12"/>
      <c r="C32" s="705" t="s">
        <v>103</v>
      </c>
      <c r="D32" s="370" t="s">
        <v>83</v>
      </c>
      <c r="E32" s="370" t="s">
        <v>1</v>
      </c>
      <c r="F32" s="224">
        <f>G32-G32*G33</f>
        <v>18462.795122908439</v>
      </c>
      <c r="G32" s="224">
        <f>H32-H32*H33</f>
        <v>19079.129542550312</v>
      </c>
      <c r="H32" s="224">
        <f>S32+S32*((H34-S34)/H34)</f>
        <v>19716.038751345532</v>
      </c>
      <c r="I32" s="224">
        <f>$H$32+(((I31-$H$31)/($M$31-$H$31))*($M$32-$H$32))</f>
        <v>20352.947960140751</v>
      </c>
      <c r="J32" s="224">
        <f t="shared" ref="J32:K32" si="4">$H$32+(((J31-$H$31)/($M$31-$H$31))*($M$32-$H$32))</f>
        <v>20989.857168935974</v>
      </c>
      <c r="K32" s="224">
        <f t="shared" si="4"/>
        <v>21626.766377731194</v>
      </c>
      <c r="L32" s="224">
        <f>$H$32+(((L31-$H$31)/($M$31-$H$31))*($M$32-$H$32))</f>
        <v>22263.675586526417</v>
      </c>
      <c r="M32" s="224">
        <f>S32+S32*((M34-S34)/M34)</f>
        <v>22900.584795321636</v>
      </c>
      <c r="N32" s="224">
        <f>M32+(((N31-M31)/(O31-M31))*(O32-M32))</f>
        <v>26950.292397660818</v>
      </c>
      <c r="O32" s="33">
        <v>31000</v>
      </c>
      <c r="P32" s="33">
        <v>33000</v>
      </c>
      <c r="Q32" s="33">
        <v>35000</v>
      </c>
      <c r="R32" s="33">
        <v>32200</v>
      </c>
      <c r="S32" s="33">
        <v>26700</v>
      </c>
      <c r="T32" s="33">
        <v>25000</v>
      </c>
      <c r="U32" s="33">
        <v>24000</v>
      </c>
      <c r="V32" s="33">
        <v>20200</v>
      </c>
      <c r="W32" s="14"/>
    </row>
    <row r="33" spans="2:64" s="110" customFormat="1" x14ac:dyDescent="0.35">
      <c r="B33" s="12"/>
      <c r="C33" s="706"/>
      <c r="D33" s="370"/>
      <c r="E33" s="370" t="s">
        <v>106</v>
      </c>
      <c r="F33" s="408"/>
      <c r="G33" s="408">
        <f>H33</f>
        <v>3.2304116299819774E-2</v>
      </c>
      <c r="H33" s="408">
        <f>I33</f>
        <v>3.2304116299819774E-2</v>
      </c>
      <c r="I33" s="408">
        <f t="shared" ref="I33" si="5">(I32-H32)/H32</f>
        <v>3.2304116299819774E-2</v>
      </c>
      <c r="J33" s="408">
        <f t="shared" ref="J33" si="6">(J32-I32)/I32</f>
        <v>3.129321659164791E-2</v>
      </c>
      <c r="K33" s="408">
        <f t="shared" ref="K33" si="7">(K32-J32)/J32</f>
        <v>3.0343665689055561E-2</v>
      </c>
      <c r="L33" s="408">
        <f t="shared" ref="L33" si="8">(L32-K32)/K32</f>
        <v>2.9450043417079699E-2</v>
      </c>
      <c r="M33" s="408">
        <f t="shared" ref="M33" si="9">(M32-L32)/L32</f>
        <v>2.8607549832457391E-2</v>
      </c>
      <c r="N33" s="408">
        <f t="shared" ref="N33" si="10">(N32-M32)/M32</f>
        <v>0.1768386108273749</v>
      </c>
      <c r="O33" s="408">
        <f t="shared" ref="O33" si="11">(O32-N32)/N32</f>
        <v>0.15026581317131391</v>
      </c>
      <c r="P33" s="408">
        <f t="shared" ref="P33:U33" si="12">(P32-O32)/O32</f>
        <v>6.4516129032258063E-2</v>
      </c>
      <c r="Q33" s="408">
        <f t="shared" si="12"/>
        <v>6.0606060606060608E-2</v>
      </c>
      <c r="R33" s="408">
        <f t="shared" si="12"/>
        <v>-0.08</v>
      </c>
      <c r="S33" s="408">
        <f t="shared" si="12"/>
        <v>-0.17080745341614906</v>
      </c>
      <c r="T33" s="408">
        <f t="shared" si="12"/>
        <v>-6.3670411985018729E-2</v>
      </c>
      <c r="U33" s="408">
        <f t="shared" si="12"/>
        <v>-0.04</v>
      </c>
      <c r="V33" s="408">
        <f>(V32-U32)/U32</f>
        <v>-0.15833333333333333</v>
      </c>
      <c r="W33" s="14"/>
    </row>
    <row r="34" spans="2:64" s="110" customFormat="1" x14ac:dyDescent="0.35">
      <c r="B34" s="12"/>
      <c r="C34" s="40" t="s">
        <v>380</v>
      </c>
      <c r="D34" s="370" t="s">
        <v>107</v>
      </c>
      <c r="E34" s="370" t="s">
        <v>381</v>
      </c>
      <c r="F34" s="40"/>
      <c r="G34" s="40"/>
      <c r="H34" s="33">
        <v>929</v>
      </c>
      <c r="I34" s="40"/>
      <c r="J34" s="40"/>
      <c r="K34" s="40"/>
      <c r="L34" s="40"/>
      <c r="M34" s="33">
        <v>1026</v>
      </c>
      <c r="N34" s="40"/>
      <c r="O34" s="408"/>
      <c r="P34" s="408"/>
      <c r="Q34" s="408"/>
      <c r="R34" s="408"/>
      <c r="S34" s="409">
        <v>1172</v>
      </c>
      <c r="T34" s="408"/>
      <c r="U34" s="408"/>
      <c r="V34" s="408"/>
      <c r="W34" s="14"/>
    </row>
    <row r="35" spans="2:64" ht="15" thickBot="1" x14ac:dyDescent="0.4">
      <c r="B35" s="18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1"/>
    </row>
    <row r="36" spans="2:64" ht="15" thickBot="1" x14ac:dyDescent="0.4"/>
    <row r="37" spans="2:64" x14ac:dyDescent="0.35"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1"/>
    </row>
    <row r="38" spans="2:64" x14ac:dyDescent="0.35">
      <c r="B38" s="12"/>
      <c r="C38" s="13" t="s">
        <v>311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13" t="s">
        <v>313</v>
      </c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14"/>
    </row>
    <row r="39" spans="2:64" x14ac:dyDescent="0.35">
      <c r="B39" s="12"/>
      <c r="C39" s="25" t="s">
        <v>89</v>
      </c>
      <c r="D39" s="334" t="s">
        <v>64</v>
      </c>
      <c r="E39" s="334" t="s">
        <v>87</v>
      </c>
      <c r="F39" s="25">
        <v>1990</v>
      </c>
      <c r="G39" s="25">
        <v>1991</v>
      </c>
      <c r="H39" s="25">
        <v>1992</v>
      </c>
      <c r="I39" s="25">
        <v>1993</v>
      </c>
      <c r="J39" s="25">
        <v>1994</v>
      </c>
      <c r="K39" s="25">
        <v>1995</v>
      </c>
      <c r="L39" s="25">
        <v>1996</v>
      </c>
      <c r="M39" s="25">
        <v>1997</v>
      </c>
      <c r="N39" s="25">
        <v>1998</v>
      </c>
      <c r="O39" s="25">
        <v>1999</v>
      </c>
      <c r="P39" s="25">
        <v>2000</v>
      </c>
      <c r="Q39" s="25">
        <v>2001</v>
      </c>
      <c r="R39" s="25">
        <v>2002</v>
      </c>
      <c r="S39" s="25">
        <v>2003</v>
      </c>
      <c r="T39" s="25">
        <v>2004</v>
      </c>
      <c r="U39" s="25">
        <v>2005</v>
      </c>
      <c r="V39" s="25">
        <v>2006</v>
      </c>
      <c r="W39" s="25">
        <v>2007</v>
      </c>
      <c r="X39" s="25">
        <v>2008</v>
      </c>
      <c r="Y39" s="25">
        <v>2009</v>
      </c>
      <c r="Z39" s="25">
        <v>2010</v>
      </c>
      <c r="AA39" s="25">
        <v>2011</v>
      </c>
      <c r="AB39" s="25">
        <v>2012</v>
      </c>
      <c r="AC39" s="25">
        <v>2013</v>
      </c>
      <c r="AD39" s="25">
        <v>2014</v>
      </c>
      <c r="AE39" s="25">
        <v>2015</v>
      </c>
      <c r="AF39" s="25">
        <v>2016</v>
      </c>
      <c r="AG39" s="8"/>
      <c r="AH39" s="25" t="s">
        <v>89</v>
      </c>
      <c r="AI39" s="334" t="s">
        <v>64</v>
      </c>
      <c r="AJ39" s="334" t="s">
        <v>87</v>
      </c>
      <c r="AK39" s="25">
        <v>1990</v>
      </c>
      <c r="AL39" s="25">
        <v>1991</v>
      </c>
      <c r="AM39" s="25">
        <v>1992</v>
      </c>
      <c r="AN39" s="25">
        <v>1993</v>
      </c>
      <c r="AO39" s="25">
        <v>1994</v>
      </c>
      <c r="AP39" s="25">
        <v>1995</v>
      </c>
      <c r="AQ39" s="25">
        <v>1996</v>
      </c>
      <c r="AR39" s="25">
        <v>1997</v>
      </c>
      <c r="AS39" s="25">
        <v>1998</v>
      </c>
      <c r="AT39" s="25">
        <v>1999</v>
      </c>
      <c r="AU39" s="25">
        <v>2000</v>
      </c>
      <c r="AV39" s="25">
        <v>2001</v>
      </c>
      <c r="AW39" s="25">
        <v>2002</v>
      </c>
      <c r="AX39" s="25">
        <v>2003</v>
      </c>
      <c r="AY39" s="25">
        <v>2004</v>
      </c>
      <c r="AZ39" s="25">
        <v>2005</v>
      </c>
      <c r="BA39" s="25">
        <v>2006</v>
      </c>
      <c r="BB39" s="25">
        <v>2007</v>
      </c>
      <c r="BC39" s="25">
        <v>2008</v>
      </c>
      <c r="BD39" s="25">
        <v>2009</v>
      </c>
      <c r="BE39" s="25">
        <v>2010</v>
      </c>
      <c r="BF39" s="25">
        <v>2011</v>
      </c>
      <c r="BG39" s="25">
        <v>2012</v>
      </c>
      <c r="BH39" s="25">
        <v>2013</v>
      </c>
      <c r="BI39" s="25">
        <v>2014</v>
      </c>
      <c r="BJ39" s="25">
        <v>2015</v>
      </c>
      <c r="BK39" s="25">
        <v>2016</v>
      </c>
      <c r="BL39" s="14"/>
    </row>
    <row r="40" spans="2:64" x14ac:dyDescent="0.35">
      <c r="B40" s="12"/>
      <c r="C40" s="27" t="s">
        <v>49</v>
      </c>
      <c r="D40" s="332" t="s">
        <v>84</v>
      </c>
      <c r="E40" s="332" t="s">
        <v>1</v>
      </c>
      <c r="F40" s="224">
        <v>0</v>
      </c>
      <c r="G40" s="224">
        <v>0</v>
      </c>
      <c r="H40" s="224">
        <v>0</v>
      </c>
      <c r="I40" s="224">
        <v>0</v>
      </c>
      <c r="J40" s="224">
        <v>0</v>
      </c>
      <c r="K40" s="224">
        <v>0</v>
      </c>
      <c r="L40" s="224">
        <v>0</v>
      </c>
      <c r="M40" s="224">
        <v>0</v>
      </c>
      <c r="N40" s="224">
        <v>0</v>
      </c>
      <c r="O40" s="224">
        <v>0</v>
      </c>
      <c r="P40" s="224">
        <v>0</v>
      </c>
      <c r="Q40" s="224">
        <v>0</v>
      </c>
      <c r="R40" s="224">
        <v>0</v>
      </c>
      <c r="S40" s="224">
        <v>0</v>
      </c>
      <c r="T40" s="224">
        <v>0</v>
      </c>
      <c r="U40" s="224">
        <v>0</v>
      </c>
      <c r="V40" s="29">
        <v>0</v>
      </c>
      <c r="W40" s="29">
        <f>214.8/1000</f>
        <v>0.21480000000000002</v>
      </c>
      <c r="X40" s="29">
        <v>0</v>
      </c>
      <c r="Y40" s="29">
        <v>0</v>
      </c>
      <c r="Z40" s="29">
        <v>0</v>
      </c>
      <c r="AA40" s="29">
        <v>0</v>
      </c>
      <c r="AB40" s="29">
        <f>51/1000</f>
        <v>5.0999999999999997E-2</v>
      </c>
      <c r="AC40" s="29">
        <f>264/1000</f>
        <v>0.26400000000000001</v>
      </c>
      <c r="AD40" s="29">
        <f>255/1000</f>
        <v>0.255</v>
      </c>
      <c r="AE40" s="29">
        <v>0</v>
      </c>
      <c r="AF40" s="29">
        <f>85/1000</f>
        <v>8.5000000000000006E-2</v>
      </c>
      <c r="AG40" s="8"/>
      <c r="AH40" s="27" t="s">
        <v>49</v>
      </c>
      <c r="AI40" s="428" t="s">
        <v>84</v>
      </c>
      <c r="AJ40" s="332" t="s">
        <v>1</v>
      </c>
      <c r="AK40" s="224">
        <v>0</v>
      </c>
      <c r="AL40" s="224">
        <v>0</v>
      </c>
      <c r="AM40" s="224">
        <v>0</v>
      </c>
      <c r="AN40" s="224">
        <v>0</v>
      </c>
      <c r="AO40" s="224">
        <v>0</v>
      </c>
      <c r="AP40" s="224">
        <v>0</v>
      </c>
      <c r="AQ40" s="224">
        <v>0</v>
      </c>
      <c r="AR40" s="224">
        <v>0</v>
      </c>
      <c r="AS40" s="224">
        <v>0</v>
      </c>
      <c r="AT40" s="224">
        <v>0</v>
      </c>
      <c r="AU40" s="224">
        <v>0</v>
      </c>
      <c r="AV40" s="224">
        <v>0</v>
      </c>
      <c r="AW40" s="224">
        <v>0</v>
      </c>
      <c r="AX40" s="224">
        <v>0</v>
      </c>
      <c r="AY40" s="224">
        <v>0</v>
      </c>
      <c r="AZ40" s="224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0</v>
      </c>
      <c r="BI40" s="29">
        <v>0</v>
      </c>
      <c r="BJ40" s="29">
        <v>0</v>
      </c>
      <c r="BK40" s="29">
        <v>0</v>
      </c>
      <c r="BL40" s="14"/>
    </row>
    <row r="41" spans="2:64" x14ac:dyDescent="0.35">
      <c r="B41" s="12"/>
      <c r="C41" s="27" t="s">
        <v>50</v>
      </c>
      <c r="D41" s="332" t="s">
        <v>84</v>
      </c>
      <c r="E41" s="332" t="s">
        <v>1</v>
      </c>
      <c r="F41" s="224">
        <f t="shared" ref="F41:U41" si="13">G41-G41*G$197</f>
        <v>0.99282684790553666</v>
      </c>
      <c r="G41" s="224">
        <f t="shared" si="13"/>
        <v>0.93510580188617343</v>
      </c>
      <c r="H41" s="224">
        <f t="shared" si="13"/>
        <v>0.92403036489653867</v>
      </c>
      <c r="I41" s="224">
        <f t="shared" si="13"/>
        <v>0.94056995395264642</v>
      </c>
      <c r="J41" s="224">
        <f t="shared" si="13"/>
        <v>0.92554004351054597</v>
      </c>
      <c r="K41" s="224">
        <f t="shared" si="13"/>
        <v>0.95836997431631243</v>
      </c>
      <c r="L41" s="224">
        <f t="shared" si="13"/>
        <v>0.99333742174848372</v>
      </c>
      <c r="M41" s="224">
        <f t="shared" si="13"/>
        <v>1.0265513876475518</v>
      </c>
      <c r="N41" s="224">
        <f t="shared" si="13"/>
        <v>1.0614851668278993</v>
      </c>
      <c r="O41" s="224">
        <f t="shared" si="13"/>
        <v>1.0879358131459715</v>
      </c>
      <c r="P41" s="224">
        <f t="shared" si="13"/>
        <v>1.1806273693399547</v>
      </c>
      <c r="Q41" s="224">
        <f t="shared" si="13"/>
        <v>1.2129406993482541</v>
      </c>
      <c r="R41" s="224">
        <f t="shared" si="13"/>
        <v>1.2244520943067512</v>
      </c>
      <c r="S41" s="224">
        <f t="shared" si="13"/>
        <v>1.2770651967304616</v>
      </c>
      <c r="T41" s="224">
        <f t="shared" si="13"/>
        <v>1.3255122282570662</v>
      </c>
      <c r="U41" s="224">
        <f t="shared" si="13"/>
        <v>1.3813740229133908</v>
      </c>
      <c r="V41" s="29">
        <f>1307/1000</f>
        <v>1.3069999999999999</v>
      </c>
      <c r="W41" s="29">
        <f>3018.26/1000</f>
        <v>3.0182600000000002</v>
      </c>
      <c r="X41" s="29">
        <f>5569/1000</f>
        <v>5.569</v>
      </c>
      <c r="Y41" s="29">
        <f>15203/1000</f>
        <v>15.202999999999999</v>
      </c>
      <c r="Z41" s="29">
        <f>7071.7/1000</f>
        <v>7.0716999999999999</v>
      </c>
      <c r="AA41" s="29">
        <f>12887.97/1000</f>
        <v>12.887969999999999</v>
      </c>
      <c r="AB41" s="29">
        <f>16848.65/1000</f>
        <v>16.848650000000003</v>
      </c>
      <c r="AC41" s="29">
        <f>12009/1000</f>
        <v>12.009</v>
      </c>
      <c r="AD41" s="29">
        <f>17886.7/1000</f>
        <v>17.886700000000001</v>
      </c>
      <c r="AE41" s="29">
        <f>22968.63/1000</f>
        <v>22.968630000000001</v>
      </c>
      <c r="AF41" s="29">
        <f>2417.1/1000</f>
        <v>2.4171</v>
      </c>
      <c r="AG41" s="8"/>
      <c r="AH41" s="27" t="s">
        <v>50</v>
      </c>
      <c r="AI41" s="428" t="s">
        <v>84</v>
      </c>
      <c r="AJ41" s="332" t="s">
        <v>1</v>
      </c>
      <c r="AK41" s="224">
        <f t="shared" ref="AK41:AZ43" si="14">AL41-AL41*G$197</f>
        <v>3.9500379564719138E-3</v>
      </c>
      <c r="AL41" s="224">
        <f t="shared" si="14"/>
        <v>3.7203903365019913E-3</v>
      </c>
      <c r="AM41" s="224">
        <f t="shared" si="14"/>
        <v>3.6763258588079586E-3</v>
      </c>
      <c r="AN41" s="224">
        <f t="shared" si="14"/>
        <v>3.742129885657048E-3</v>
      </c>
      <c r="AO41" s="224">
        <f t="shared" si="14"/>
        <v>3.6823322312584846E-3</v>
      </c>
      <c r="AP41" s="224">
        <f t="shared" si="14"/>
        <v>3.8129486353824212E-3</v>
      </c>
      <c r="AQ41" s="224">
        <f t="shared" si="14"/>
        <v>3.9520693137659645E-3</v>
      </c>
      <c r="AR41" s="224">
        <f t="shared" si="14"/>
        <v>4.0842136310384617E-3</v>
      </c>
      <c r="AS41" s="224">
        <f t="shared" si="14"/>
        <v>4.223200357693249E-3</v>
      </c>
      <c r="AT41" s="224">
        <f t="shared" si="14"/>
        <v>4.3284362879564284E-3</v>
      </c>
      <c r="AU41" s="224">
        <f t="shared" si="14"/>
        <v>4.6972167716662315E-3</v>
      </c>
      <c r="AV41" s="224">
        <f t="shared" si="14"/>
        <v>4.8257778397941256E-3</v>
      </c>
      <c r="AW41" s="224">
        <f t="shared" si="14"/>
        <v>4.8715768097896761E-3</v>
      </c>
      <c r="AX41" s="224">
        <f t="shared" si="14"/>
        <v>5.0809020833958692E-3</v>
      </c>
      <c r="AY41" s="224">
        <f t="shared" si="14"/>
        <v>5.2736523235935306E-3</v>
      </c>
      <c r="AZ41" s="224">
        <f t="shared" si="14"/>
        <v>5.4959027690509813E-3</v>
      </c>
      <c r="BA41" s="29">
        <f>5.2/1000</f>
        <v>5.1999999999999998E-3</v>
      </c>
      <c r="BB41" s="29">
        <f>4.88/1000</f>
        <v>4.8799999999999998E-3</v>
      </c>
      <c r="BC41" s="29">
        <f>3/1000</f>
        <v>3.0000000000000001E-3</v>
      </c>
      <c r="BD41" s="29">
        <f>44/1000</f>
        <v>4.3999999999999997E-2</v>
      </c>
      <c r="BE41" s="29">
        <f>93.79/1000</f>
        <v>9.3790000000000012E-2</v>
      </c>
      <c r="BF41" s="29">
        <f>38.985/1000</f>
        <v>3.8984999999999999E-2</v>
      </c>
      <c r="BG41" s="29">
        <f>119.9/1000</f>
        <v>0.11990000000000001</v>
      </c>
      <c r="BH41" s="29">
        <v>0</v>
      </c>
      <c r="BI41" s="29">
        <f>425.7/1000</f>
        <v>0.42569999999999997</v>
      </c>
      <c r="BJ41" s="29">
        <f>593.44/1000</f>
        <v>0.59344000000000008</v>
      </c>
      <c r="BK41" s="29">
        <f>15.6/1000</f>
        <v>1.5599999999999999E-2</v>
      </c>
      <c r="BL41" s="14"/>
    </row>
    <row r="42" spans="2:64" x14ac:dyDescent="0.35">
      <c r="B42" s="12"/>
      <c r="C42" s="27" t="s">
        <v>51</v>
      </c>
      <c r="D42" s="332" t="s">
        <v>84</v>
      </c>
      <c r="E42" s="332" t="s">
        <v>1</v>
      </c>
      <c r="F42" s="224">
        <f t="shared" ref="F42:U42" si="15">G42-G42*G$197</f>
        <v>5.7301377540096592</v>
      </c>
      <c r="G42" s="224">
        <f t="shared" si="15"/>
        <v>5.3969985508402143</v>
      </c>
      <c r="H42" s="224">
        <f t="shared" si="15"/>
        <v>5.3330762467946053</v>
      </c>
      <c r="I42" s="224">
        <f t="shared" si="15"/>
        <v>5.4285351114356484</v>
      </c>
      <c r="J42" s="224">
        <f t="shared" si="15"/>
        <v>5.3417894140913944</v>
      </c>
      <c r="K42" s="224">
        <f t="shared" si="15"/>
        <v>5.5312686031045688</v>
      </c>
      <c r="L42" s="224">
        <f t="shared" si="15"/>
        <v>5.7330845502811876</v>
      </c>
      <c r="M42" s="224">
        <f t="shared" si="15"/>
        <v>5.9247802123799103</v>
      </c>
      <c r="N42" s="224">
        <f t="shared" si="15"/>
        <v>6.1264018419660111</v>
      </c>
      <c r="O42" s="224">
        <f t="shared" si="15"/>
        <v>6.2790627489558695</v>
      </c>
      <c r="P42" s="224">
        <f t="shared" si="15"/>
        <v>6.8140355760359705</v>
      </c>
      <c r="Q42" s="224">
        <f t="shared" si="15"/>
        <v>7.0005331839813465</v>
      </c>
      <c r="R42" s="224">
        <f t="shared" si="15"/>
        <v>7.0669716359552766</v>
      </c>
      <c r="S42" s="224">
        <f t="shared" si="15"/>
        <v>7.3706301492093074</v>
      </c>
      <c r="T42" s="224">
        <f t="shared" si="15"/>
        <v>7.6502440264991227</v>
      </c>
      <c r="U42" s="224">
        <f t="shared" si="15"/>
        <v>7.9726524900113791</v>
      </c>
      <c r="V42" s="29">
        <f>7543.4/1000</f>
        <v>7.5433999999999992</v>
      </c>
      <c r="W42" s="29">
        <f>14900.2/1000</f>
        <v>14.9002</v>
      </c>
      <c r="X42" s="29">
        <f>15563/1000</f>
        <v>15.563000000000001</v>
      </c>
      <c r="Y42" s="29">
        <f>29894/1000</f>
        <v>29.893999999999998</v>
      </c>
      <c r="Z42" s="29">
        <f>24260.036/1000</f>
        <v>24.260035999999999</v>
      </c>
      <c r="AA42" s="29">
        <f>45929.53/1000</f>
        <v>45.92953</v>
      </c>
      <c r="AB42" s="29">
        <f>45940.24/1000</f>
        <v>45.940239999999996</v>
      </c>
      <c r="AC42" s="29">
        <f>52730.4/1000</f>
        <v>52.730400000000003</v>
      </c>
      <c r="AD42" s="29">
        <f>66442.8/1000</f>
        <v>66.442800000000005</v>
      </c>
      <c r="AE42" s="29">
        <f>57109.33/1000</f>
        <v>57.10933</v>
      </c>
      <c r="AF42" s="29">
        <f>66663.1/1000</f>
        <v>66.6631</v>
      </c>
      <c r="AG42" s="8"/>
      <c r="AH42" s="27" t="s">
        <v>51</v>
      </c>
      <c r="AI42" s="428" t="s">
        <v>84</v>
      </c>
      <c r="AJ42" s="332" t="s">
        <v>1</v>
      </c>
      <c r="AK42" s="224">
        <f t="shared" si="14"/>
        <v>9.2225790056779805E-2</v>
      </c>
      <c r="AL42" s="224">
        <f t="shared" si="14"/>
        <v>8.6863959760520512E-2</v>
      </c>
      <c r="AM42" s="224">
        <f t="shared" si="14"/>
        <v>8.5835138945745029E-2</v>
      </c>
      <c r="AN42" s="224">
        <f t="shared" si="14"/>
        <v>8.7371536426465793E-2</v>
      </c>
      <c r="AO42" s="224">
        <f t="shared" si="14"/>
        <v>8.5975376191748568E-2</v>
      </c>
      <c r="AP42" s="224">
        <f t="shared" si="14"/>
        <v>8.902501804264995E-2</v>
      </c>
      <c r="AQ42" s="224">
        <f t="shared" si="14"/>
        <v>9.2273218343139563E-2</v>
      </c>
      <c r="AR42" s="224">
        <f t="shared" si="14"/>
        <v>9.5358534027765313E-2</v>
      </c>
      <c r="AS42" s="224">
        <f t="shared" si="14"/>
        <v>9.8603606812987951E-2</v>
      </c>
      <c r="AT42" s="224">
        <f t="shared" si="14"/>
        <v>0.10106066340784421</v>
      </c>
      <c r="AU42" s="224">
        <f t="shared" si="14"/>
        <v>0.1096709785092302</v>
      </c>
      <c r="AV42" s="224">
        <f t="shared" si="14"/>
        <v>0.1126726322171932</v>
      </c>
      <c r="AW42" s="224">
        <f t="shared" si="14"/>
        <v>0.11374195009164702</v>
      </c>
      <c r="AX42" s="224">
        <f t="shared" si="14"/>
        <v>0.11862929268174854</v>
      </c>
      <c r="AY42" s="224">
        <f t="shared" si="14"/>
        <v>0.12312964011682509</v>
      </c>
      <c r="AZ42" s="224">
        <f t="shared" si="14"/>
        <v>0.12831876061355377</v>
      </c>
      <c r="BA42" s="29">
        <f>121.41/1000</f>
        <v>0.12140999999999999</v>
      </c>
      <c r="BB42" s="29">
        <f>53.26/1000</f>
        <v>5.3259999999999995E-2</v>
      </c>
      <c r="BC42" s="29">
        <f>596/1000</f>
        <v>0.59599999999999997</v>
      </c>
      <c r="BD42" s="29">
        <f>2625/1000</f>
        <v>2.625</v>
      </c>
      <c r="BE42" s="29">
        <f>1903.526/1000</f>
        <v>1.9035260000000001</v>
      </c>
      <c r="BF42" s="29">
        <f>282.175/1000</f>
        <v>0.28217500000000001</v>
      </c>
      <c r="BG42" s="29">
        <f>490.32/1000</f>
        <v>0.49031999999999998</v>
      </c>
      <c r="BH42" s="29">
        <v>0</v>
      </c>
      <c r="BI42" s="29">
        <f>1117.23/1000</f>
        <v>1.1172299999999999</v>
      </c>
      <c r="BJ42" s="29">
        <f>6010.84/1000</f>
        <v>6.01084</v>
      </c>
      <c r="BK42" s="29">
        <f>1724.4/1000</f>
        <v>1.7244000000000002</v>
      </c>
      <c r="BL42" s="14"/>
    </row>
    <row r="43" spans="2:64" x14ac:dyDescent="0.35">
      <c r="B43" s="12"/>
      <c r="C43" s="27" t="s">
        <v>52</v>
      </c>
      <c r="D43" s="332" t="s">
        <v>84</v>
      </c>
      <c r="E43" s="332" t="s">
        <v>1</v>
      </c>
      <c r="F43" s="362">
        <f t="shared" ref="F43:U43" si="16">15924.8/1000-F65</f>
        <v>15.924799999999999</v>
      </c>
      <c r="G43" s="362">
        <f t="shared" si="16"/>
        <v>15.924799999999999</v>
      </c>
      <c r="H43" s="362">
        <f t="shared" si="16"/>
        <v>15.924799999999999</v>
      </c>
      <c r="I43" s="362">
        <f t="shared" si="16"/>
        <v>15.924799999999999</v>
      </c>
      <c r="J43" s="362">
        <f t="shared" si="16"/>
        <v>15.924799999999999</v>
      </c>
      <c r="K43" s="362">
        <f t="shared" si="16"/>
        <v>15.924799999999999</v>
      </c>
      <c r="L43" s="362">
        <f t="shared" si="16"/>
        <v>15.924799999999999</v>
      </c>
      <c r="M43" s="362">
        <f t="shared" si="16"/>
        <v>15.924799999999999</v>
      </c>
      <c r="N43" s="362">
        <f t="shared" si="16"/>
        <v>15.924799999999999</v>
      </c>
      <c r="O43" s="362">
        <f t="shared" si="16"/>
        <v>15.924799999999999</v>
      </c>
      <c r="P43" s="362">
        <f t="shared" si="16"/>
        <v>13.691997722892948</v>
      </c>
      <c r="Q43" s="362">
        <f t="shared" si="16"/>
        <v>13.69470712752193</v>
      </c>
      <c r="R43" s="362">
        <f t="shared" si="16"/>
        <v>13.612390021804728</v>
      </c>
      <c r="S43" s="362">
        <f t="shared" si="16"/>
        <v>13.51180906022854</v>
      </c>
      <c r="T43" s="362">
        <f t="shared" si="16"/>
        <v>13.461730063405536</v>
      </c>
      <c r="U43" s="362">
        <f t="shared" si="16"/>
        <v>13.380717933218797</v>
      </c>
      <c r="V43" s="362">
        <f>15924.8/1000-V65</f>
        <v>13.336929999999999</v>
      </c>
      <c r="W43" s="362">
        <f>27112.44/1000-W65</f>
        <v>22.661799999999999</v>
      </c>
      <c r="X43" s="362">
        <f>97032/1000-X65</f>
        <v>79.990960000000001</v>
      </c>
      <c r="Y43" s="362">
        <f>44495/1000-Y65</f>
        <v>38.557199999999995</v>
      </c>
      <c r="Z43" s="362">
        <f>28975.076/1000-Z65</f>
        <v>24.075076000000003</v>
      </c>
      <c r="AA43" s="362">
        <f>50582.06/1000-AA65</f>
        <v>41.355139999999999</v>
      </c>
      <c r="AB43" s="362">
        <f>39799.47/1000-AB65</f>
        <v>34.056840000000001</v>
      </c>
      <c r="AC43" s="362">
        <f>28734/1000-AC54</f>
        <v>4.9940000000000033</v>
      </c>
      <c r="AD43" s="362">
        <f>33346.3/1000-AD54</f>
        <v>5.52318</v>
      </c>
      <c r="AE43" s="362">
        <f>38729.43/1000-AE54</f>
        <v>7.2954399999999993</v>
      </c>
      <c r="AF43" s="362">
        <f>50521.85/1000-AF54</f>
        <v>8.8007960999999995</v>
      </c>
      <c r="AG43" s="8"/>
      <c r="AH43" s="27" t="s">
        <v>52</v>
      </c>
      <c r="AI43" s="428" t="s">
        <v>84</v>
      </c>
      <c r="AJ43" s="332" t="s">
        <v>1</v>
      </c>
      <c r="AK43" s="224">
        <f t="shared" si="14"/>
        <v>0.736233901498489</v>
      </c>
      <c r="AL43" s="224">
        <f t="shared" si="14"/>
        <v>0.69343067654636426</v>
      </c>
      <c r="AM43" s="224">
        <f t="shared" si="14"/>
        <v>0.68521765107985788</v>
      </c>
      <c r="AN43" s="224">
        <f t="shared" si="14"/>
        <v>0.69748263586108983</v>
      </c>
      <c r="AO43" s="224">
        <f t="shared" si="14"/>
        <v>0.68633715804962225</v>
      </c>
      <c r="AP43" s="224">
        <f t="shared" si="14"/>
        <v>0.71068229748057632</v>
      </c>
      <c r="AQ43" s="224">
        <f t="shared" si="14"/>
        <v>0.73661251915290593</v>
      </c>
      <c r="AR43" s="224">
        <f t="shared" si="14"/>
        <v>0.76124244102669003</v>
      </c>
      <c r="AS43" s="224">
        <f t="shared" si="14"/>
        <v>0.78714769589997591</v>
      </c>
      <c r="AT43" s="224">
        <f t="shared" si="14"/>
        <v>0.80676225666350976</v>
      </c>
      <c r="AU43" s="224">
        <f t="shared" si="14"/>
        <v>0.87549797447435163</v>
      </c>
      <c r="AV43" s="224">
        <f t="shared" si="14"/>
        <v>0.89946002694362781</v>
      </c>
      <c r="AW43" s="224">
        <f t="shared" si="14"/>
        <v>0.90799633842620242</v>
      </c>
      <c r="AX43" s="224">
        <f t="shared" si="14"/>
        <v>0.94701175158617523</v>
      </c>
      <c r="AY43" s="224">
        <f t="shared" si="14"/>
        <v>0.98293780164424738</v>
      </c>
      <c r="AZ43" s="224">
        <f t="shared" si="14"/>
        <v>1.0243622928445966</v>
      </c>
      <c r="BA43" s="29">
        <f>969.21/1000</f>
        <v>0.96921000000000002</v>
      </c>
      <c r="BB43" s="29">
        <f>151.63/1000</f>
        <v>0.15162999999999999</v>
      </c>
      <c r="BC43" s="29">
        <f>332/1000</f>
        <v>0.33200000000000002</v>
      </c>
      <c r="BD43" s="29">
        <f>4568/1000</f>
        <v>4.5679999999999996</v>
      </c>
      <c r="BE43" s="29">
        <f>338.59/1000</f>
        <v>0.33859</v>
      </c>
      <c r="BF43" s="29">
        <f>109.94/1000</f>
        <v>0.10994</v>
      </c>
      <c r="BG43" s="29">
        <f>1855.28/1000</f>
        <v>1.85528</v>
      </c>
      <c r="BH43" s="29">
        <f>0</f>
        <v>0</v>
      </c>
      <c r="BI43" s="29">
        <f>73.2/1000</f>
        <v>7.3200000000000001E-2</v>
      </c>
      <c r="BJ43" s="29">
        <f>626.57/1000</f>
        <v>0.62657000000000007</v>
      </c>
      <c r="BK43" s="29">
        <f>255.52/1000</f>
        <v>0.25552000000000002</v>
      </c>
      <c r="BL43" s="14"/>
    </row>
    <row r="44" spans="2:64" x14ac:dyDescent="0.35">
      <c r="B44" s="12"/>
      <c r="C44" s="27" t="s">
        <v>53</v>
      </c>
      <c r="D44" s="332" t="s">
        <v>84</v>
      </c>
      <c r="E44" s="332" t="s">
        <v>1</v>
      </c>
      <c r="F44" s="224">
        <v>0</v>
      </c>
      <c r="G44" s="224">
        <v>0</v>
      </c>
      <c r="H44" s="224">
        <v>0</v>
      </c>
      <c r="I44" s="224">
        <v>0</v>
      </c>
      <c r="J44" s="224">
        <v>0</v>
      </c>
      <c r="K44" s="224">
        <v>0</v>
      </c>
      <c r="L44" s="224">
        <v>0</v>
      </c>
      <c r="M44" s="224">
        <v>0</v>
      </c>
      <c r="N44" s="224">
        <v>0</v>
      </c>
      <c r="O44" s="224">
        <v>0</v>
      </c>
      <c r="P44" s="224">
        <v>0</v>
      </c>
      <c r="Q44" s="224">
        <v>0</v>
      </c>
      <c r="R44" s="224">
        <v>0</v>
      </c>
      <c r="S44" s="224">
        <v>0</v>
      </c>
      <c r="T44" s="224">
        <v>0</v>
      </c>
      <c r="U44" s="224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8"/>
      <c r="AH44" s="27" t="s">
        <v>53</v>
      </c>
      <c r="AI44" s="428" t="s">
        <v>84</v>
      </c>
      <c r="AJ44" s="332" t="s">
        <v>1</v>
      </c>
      <c r="AK44" s="224">
        <v>0</v>
      </c>
      <c r="AL44" s="224">
        <v>0</v>
      </c>
      <c r="AM44" s="224">
        <v>0</v>
      </c>
      <c r="AN44" s="224">
        <v>0</v>
      </c>
      <c r="AO44" s="224">
        <v>0</v>
      </c>
      <c r="AP44" s="224">
        <v>0</v>
      </c>
      <c r="AQ44" s="224">
        <v>0</v>
      </c>
      <c r="AR44" s="224">
        <v>0</v>
      </c>
      <c r="AS44" s="224">
        <v>0</v>
      </c>
      <c r="AT44" s="224">
        <v>0</v>
      </c>
      <c r="AU44" s="224">
        <v>0</v>
      </c>
      <c r="AV44" s="224">
        <v>0</v>
      </c>
      <c r="AW44" s="224">
        <v>0</v>
      </c>
      <c r="AX44" s="224">
        <v>0</v>
      </c>
      <c r="AY44" s="224">
        <v>0</v>
      </c>
      <c r="AZ44" s="224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14"/>
    </row>
    <row r="45" spans="2:64" x14ac:dyDescent="0.35">
      <c r="B45" s="12"/>
      <c r="C45" s="27" t="s">
        <v>54</v>
      </c>
      <c r="D45" s="332" t="s">
        <v>84</v>
      </c>
      <c r="E45" s="332" t="s">
        <v>1</v>
      </c>
      <c r="F45" s="224">
        <f t="shared" ref="F45:U45" si="17">G45-G45*G$197</f>
        <v>5.5687938959414627</v>
      </c>
      <c r="G45" s="224">
        <f t="shared" si="17"/>
        <v>5.2450349147877118</v>
      </c>
      <c r="H45" s="224">
        <f t="shared" si="17"/>
        <v>5.1829124751771438</v>
      </c>
      <c r="I45" s="224">
        <f t="shared" si="17"/>
        <v>5.2756834984138123</v>
      </c>
      <c r="J45" s="224">
        <f t="shared" si="17"/>
        <v>5.1913803052607612</v>
      </c>
      <c r="K45" s="224">
        <f t="shared" si="17"/>
        <v>5.3755243165362581</v>
      </c>
      <c r="L45" s="224">
        <f t="shared" si="17"/>
        <v>5.5716577190804415</v>
      </c>
      <c r="M45" s="224">
        <f t="shared" si="17"/>
        <v>5.7579557940659569</v>
      </c>
      <c r="N45" s="224">
        <f t="shared" si="17"/>
        <v>5.9539003504325425</v>
      </c>
      <c r="O45" s="224">
        <f t="shared" si="17"/>
        <v>6.1022627744247284</v>
      </c>
      <c r="P45" s="224">
        <f t="shared" si="17"/>
        <v>6.6221723371317598</v>
      </c>
      <c r="Q45" s="224">
        <f t="shared" si="17"/>
        <v>6.8034187199097573</v>
      </c>
      <c r="R45" s="224">
        <f t="shared" si="17"/>
        <v>6.867986460109254</v>
      </c>
      <c r="S45" s="224">
        <f t="shared" si="17"/>
        <v>7.1630948410336774</v>
      </c>
      <c r="T45" s="224">
        <f t="shared" si="17"/>
        <v>7.434835612358496</v>
      </c>
      <c r="U45" s="224">
        <f t="shared" si="17"/>
        <v>7.7481659999832209</v>
      </c>
      <c r="V45" s="29">
        <f>7331/1000</f>
        <v>7.3310000000000004</v>
      </c>
      <c r="W45" s="29">
        <f>13081.7/1000</f>
        <v>13.081700000000001</v>
      </c>
      <c r="X45" s="29">
        <f>11650/1000</f>
        <v>11.65</v>
      </c>
      <c r="Y45" s="29">
        <f>16724/1000</f>
        <v>16.724</v>
      </c>
      <c r="Z45" s="29">
        <f>20107.088/1000</f>
        <v>20.107088000000001</v>
      </c>
      <c r="AA45" s="29">
        <f>36962.482/1000</f>
        <v>36.962482000000001</v>
      </c>
      <c r="AB45" s="29">
        <f>33886.52/1000</f>
        <v>33.886519999999997</v>
      </c>
      <c r="AC45" s="29">
        <f>164403.8/1000</f>
        <v>164.40379999999999</v>
      </c>
      <c r="AD45" s="29">
        <f>23596.5/1000</f>
        <v>23.596499999999999</v>
      </c>
      <c r="AE45" s="29">
        <f>38398.76/1000</f>
        <v>38.398760000000003</v>
      </c>
      <c r="AF45" s="29">
        <f>43266.9/1000</f>
        <v>43.2669</v>
      </c>
      <c r="AG45" s="8"/>
      <c r="AH45" s="27" t="s">
        <v>54</v>
      </c>
      <c r="AI45" s="428" t="s">
        <v>84</v>
      </c>
      <c r="AJ45" s="332" t="s">
        <v>1</v>
      </c>
      <c r="AK45" s="224">
        <f t="shared" ref="AK45:AZ45" si="18">AL45-AL45*G$197</f>
        <v>9.4329944891285045E-2</v>
      </c>
      <c r="AL45" s="224">
        <f t="shared" si="18"/>
        <v>8.8845783074387924E-2</v>
      </c>
      <c r="AM45" s="224">
        <f t="shared" si="18"/>
        <v>8.7793489451302359E-2</v>
      </c>
      <c r="AN45" s="224">
        <f t="shared" si="18"/>
        <v>8.9364940230940812E-2</v>
      </c>
      <c r="AO45" s="224">
        <f t="shared" si="18"/>
        <v>8.7936926245707425E-2</v>
      </c>
      <c r="AP45" s="224">
        <f t="shared" si="18"/>
        <v>9.1056146450344058E-2</v>
      </c>
      <c r="AQ45" s="224">
        <f t="shared" si="18"/>
        <v>9.4378455266049516E-2</v>
      </c>
      <c r="AR45" s="224">
        <f t="shared" si="18"/>
        <v>9.7534163211991584E-2</v>
      </c>
      <c r="AS45" s="224">
        <f t="shared" si="18"/>
        <v>0.10085327315737456</v>
      </c>
      <c r="AT45" s="224">
        <f t="shared" si="18"/>
        <v>0.10336638812277488</v>
      </c>
      <c r="AU45" s="224">
        <f t="shared" si="18"/>
        <v>0.11217314975106013</v>
      </c>
      <c r="AV45" s="224">
        <f t="shared" si="18"/>
        <v>0.11524328695108356</v>
      </c>
      <c r="AW45" s="224">
        <f t="shared" si="18"/>
        <v>0.11633700158455423</v>
      </c>
      <c r="AX45" s="224">
        <f t="shared" si="18"/>
        <v>0.12133585013771137</v>
      </c>
      <c r="AY45" s="224">
        <f t="shared" si="18"/>
        <v>0.12593887414304705</v>
      </c>
      <c r="AZ45" s="224">
        <f t="shared" si="18"/>
        <v>0.13124638574245209</v>
      </c>
      <c r="BA45" s="29">
        <f>124.18/1000</f>
        <v>0.12418000000000001</v>
      </c>
      <c r="BB45" s="29">
        <f>56.68/1000</f>
        <v>5.6680000000000001E-2</v>
      </c>
      <c r="BC45" s="29">
        <f>701/1000</f>
        <v>0.70099999999999996</v>
      </c>
      <c r="BD45" s="29">
        <f>3049/1000</f>
        <v>3.0489999999999999</v>
      </c>
      <c r="BE45" s="29">
        <f>2136.108/1000</f>
        <v>2.1361080000000001</v>
      </c>
      <c r="BF45" s="29">
        <f>283.4/1000</f>
        <v>0.28339999999999999</v>
      </c>
      <c r="BG45" s="29">
        <f>349.49/1000</f>
        <v>0.34949000000000002</v>
      </c>
      <c r="BH45" s="29">
        <v>0</v>
      </c>
      <c r="BI45" s="29">
        <f>804.9/1000</f>
        <v>0.80489999999999995</v>
      </c>
      <c r="BJ45" s="29">
        <f>6340.18/1000</f>
        <v>6.3401800000000001</v>
      </c>
      <c r="BK45" s="29">
        <f>2017.81/1000</f>
        <v>2.0178099999999999</v>
      </c>
      <c r="BL45" s="14"/>
    </row>
    <row r="46" spans="2:64" x14ac:dyDescent="0.35">
      <c r="B46" s="12"/>
      <c r="C46" s="27" t="s">
        <v>55</v>
      </c>
      <c r="D46" s="332" t="s">
        <v>84</v>
      </c>
      <c r="E46" s="332" t="s">
        <v>1</v>
      </c>
      <c r="F46" s="224">
        <f t="shared" ref="F46:U46" si="19">G46-G46*G$197</f>
        <v>0</v>
      </c>
      <c r="G46" s="224">
        <f t="shared" si="19"/>
        <v>0</v>
      </c>
      <c r="H46" s="224">
        <f t="shared" si="19"/>
        <v>0</v>
      </c>
      <c r="I46" s="224">
        <f t="shared" si="19"/>
        <v>0</v>
      </c>
      <c r="J46" s="224">
        <f t="shared" si="19"/>
        <v>0</v>
      </c>
      <c r="K46" s="224">
        <f t="shared" si="19"/>
        <v>0</v>
      </c>
      <c r="L46" s="224">
        <f t="shared" si="19"/>
        <v>0</v>
      </c>
      <c r="M46" s="224">
        <f t="shared" si="19"/>
        <v>0</v>
      </c>
      <c r="N46" s="224">
        <f t="shared" si="19"/>
        <v>0</v>
      </c>
      <c r="O46" s="224">
        <f t="shared" si="19"/>
        <v>0</v>
      </c>
      <c r="P46" s="224">
        <f t="shared" si="19"/>
        <v>0</v>
      </c>
      <c r="Q46" s="224">
        <f t="shared" si="19"/>
        <v>0</v>
      </c>
      <c r="R46" s="224">
        <f t="shared" si="19"/>
        <v>0</v>
      </c>
      <c r="S46" s="224">
        <f t="shared" si="19"/>
        <v>0</v>
      </c>
      <c r="T46" s="224">
        <f t="shared" si="19"/>
        <v>0</v>
      </c>
      <c r="U46" s="224">
        <f t="shared" si="19"/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f>784/1000</f>
        <v>0.78400000000000003</v>
      </c>
      <c r="AD46" s="29">
        <v>0</v>
      </c>
      <c r="AE46" s="29">
        <v>0</v>
      </c>
      <c r="AF46" s="29">
        <v>0</v>
      </c>
      <c r="AG46" s="8"/>
      <c r="AH46" s="27" t="s">
        <v>55</v>
      </c>
      <c r="AI46" s="428" t="s">
        <v>84</v>
      </c>
      <c r="AJ46" s="332" t="s">
        <v>1</v>
      </c>
      <c r="AK46" s="224">
        <v>0</v>
      </c>
      <c r="AL46" s="224">
        <v>0</v>
      </c>
      <c r="AM46" s="224">
        <v>0</v>
      </c>
      <c r="AN46" s="224">
        <v>0</v>
      </c>
      <c r="AO46" s="224">
        <v>0</v>
      </c>
      <c r="AP46" s="224">
        <v>0</v>
      </c>
      <c r="AQ46" s="224">
        <v>0</v>
      </c>
      <c r="AR46" s="224">
        <v>0</v>
      </c>
      <c r="AS46" s="224">
        <v>0</v>
      </c>
      <c r="AT46" s="224">
        <v>0</v>
      </c>
      <c r="AU46" s="224">
        <v>0</v>
      </c>
      <c r="AV46" s="224">
        <v>0</v>
      </c>
      <c r="AW46" s="224">
        <v>0</v>
      </c>
      <c r="AX46" s="224">
        <v>0</v>
      </c>
      <c r="AY46" s="224">
        <v>0</v>
      </c>
      <c r="AZ46" s="224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0</v>
      </c>
      <c r="BI46" s="29">
        <v>0</v>
      </c>
      <c r="BJ46" s="29">
        <v>0</v>
      </c>
      <c r="BK46" s="29">
        <v>0</v>
      </c>
      <c r="BL46" s="14"/>
    </row>
    <row r="47" spans="2:64" x14ac:dyDescent="0.35">
      <c r="B47" s="12"/>
      <c r="C47" s="27" t="s">
        <v>56</v>
      </c>
      <c r="D47" s="332" t="s">
        <v>84</v>
      </c>
      <c r="E47" s="332" t="s">
        <v>1</v>
      </c>
      <c r="F47" s="224">
        <v>0</v>
      </c>
      <c r="G47" s="224">
        <v>0</v>
      </c>
      <c r="H47" s="224">
        <v>0</v>
      </c>
      <c r="I47" s="224">
        <v>0</v>
      </c>
      <c r="J47" s="224">
        <v>0</v>
      </c>
      <c r="K47" s="224">
        <v>0</v>
      </c>
      <c r="L47" s="224">
        <v>0</v>
      </c>
      <c r="M47" s="224">
        <v>0</v>
      </c>
      <c r="N47" s="224">
        <v>0</v>
      </c>
      <c r="O47" s="224">
        <v>0</v>
      </c>
      <c r="P47" s="224">
        <v>0</v>
      </c>
      <c r="Q47" s="224">
        <v>0</v>
      </c>
      <c r="R47" s="224">
        <v>0</v>
      </c>
      <c r="S47" s="224">
        <v>0</v>
      </c>
      <c r="T47" s="224">
        <v>0</v>
      </c>
      <c r="U47" s="224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8"/>
      <c r="AH47" s="27" t="s">
        <v>56</v>
      </c>
      <c r="AI47" s="428" t="s">
        <v>84</v>
      </c>
      <c r="AJ47" s="332" t="s">
        <v>1</v>
      </c>
      <c r="AK47" s="224">
        <v>0</v>
      </c>
      <c r="AL47" s="224">
        <v>0</v>
      </c>
      <c r="AM47" s="224">
        <v>0</v>
      </c>
      <c r="AN47" s="224">
        <v>0</v>
      </c>
      <c r="AO47" s="224">
        <v>0</v>
      </c>
      <c r="AP47" s="224">
        <v>0</v>
      </c>
      <c r="AQ47" s="224">
        <v>0</v>
      </c>
      <c r="AR47" s="224">
        <v>0</v>
      </c>
      <c r="AS47" s="224">
        <v>0</v>
      </c>
      <c r="AT47" s="224">
        <v>0</v>
      </c>
      <c r="AU47" s="224">
        <v>0</v>
      </c>
      <c r="AV47" s="224">
        <v>0</v>
      </c>
      <c r="AW47" s="224">
        <v>0</v>
      </c>
      <c r="AX47" s="224">
        <v>0</v>
      </c>
      <c r="AY47" s="224">
        <v>0</v>
      </c>
      <c r="AZ47" s="224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0</v>
      </c>
      <c r="BI47" s="29">
        <v>0</v>
      </c>
      <c r="BJ47" s="29">
        <v>0</v>
      </c>
      <c r="BK47" s="29">
        <v>0</v>
      </c>
      <c r="BL47" s="14"/>
    </row>
    <row r="48" spans="2:64" x14ac:dyDescent="0.35">
      <c r="B48" s="12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14"/>
    </row>
    <row r="49" spans="2:64" s="110" customFormat="1" x14ac:dyDescent="0.35">
      <c r="B49" s="12"/>
      <c r="C49" s="13" t="s">
        <v>342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14"/>
    </row>
    <row r="50" spans="2:64" s="110" customFormat="1" x14ac:dyDescent="0.35">
      <c r="B50" s="12"/>
      <c r="C50" s="25" t="s">
        <v>89</v>
      </c>
      <c r="D50" s="707" t="s">
        <v>87</v>
      </c>
      <c r="E50" s="707"/>
      <c r="F50" s="25">
        <v>1990</v>
      </c>
      <c r="G50" s="25">
        <v>1991</v>
      </c>
      <c r="H50" s="25">
        <v>1992</v>
      </c>
      <c r="I50" s="25">
        <v>1993</v>
      </c>
      <c r="J50" s="25">
        <v>1994</v>
      </c>
      <c r="K50" s="25">
        <v>1995</v>
      </c>
      <c r="L50" s="25">
        <v>1996</v>
      </c>
      <c r="M50" s="25">
        <v>1997</v>
      </c>
      <c r="N50" s="25">
        <v>1998</v>
      </c>
      <c r="O50" s="25">
        <v>1999</v>
      </c>
      <c r="P50" s="25">
        <v>2000</v>
      </c>
      <c r="Q50" s="25">
        <v>2001</v>
      </c>
      <c r="R50" s="25">
        <v>2002</v>
      </c>
      <c r="S50" s="25">
        <v>2003</v>
      </c>
      <c r="T50" s="25">
        <v>2004</v>
      </c>
      <c r="U50" s="25">
        <v>2005</v>
      </c>
      <c r="V50" s="25">
        <v>2006</v>
      </c>
      <c r="W50" s="25">
        <v>2007</v>
      </c>
      <c r="X50" s="25">
        <v>2008</v>
      </c>
      <c r="Y50" s="25">
        <v>2009</v>
      </c>
      <c r="Z50" s="25">
        <v>2010</v>
      </c>
      <c r="AA50" s="25">
        <v>2011</v>
      </c>
      <c r="AB50" s="25">
        <v>2012</v>
      </c>
      <c r="AC50" s="25">
        <v>2013</v>
      </c>
      <c r="AD50" s="25">
        <v>2014</v>
      </c>
      <c r="AE50" s="25">
        <v>2015</v>
      </c>
      <c r="AF50" s="25">
        <v>2016</v>
      </c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14"/>
    </row>
    <row r="51" spans="2:64" s="110" customFormat="1" x14ac:dyDescent="0.35">
      <c r="B51" s="12"/>
      <c r="C51" s="27" t="s">
        <v>49</v>
      </c>
      <c r="D51" s="708" t="s">
        <v>1</v>
      </c>
      <c r="E51" s="708"/>
      <c r="F51" s="224">
        <f t="shared" ref="F51:O53" si="20">F40-AK40</f>
        <v>0</v>
      </c>
      <c r="G51" s="224">
        <f t="shared" si="20"/>
        <v>0</v>
      </c>
      <c r="H51" s="224">
        <f t="shared" si="20"/>
        <v>0</v>
      </c>
      <c r="I51" s="224">
        <f t="shared" si="20"/>
        <v>0</v>
      </c>
      <c r="J51" s="224">
        <f t="shared" si="20"/>
        <v>0</v>
      </c>
      <c r="K51" s="224">
        <f t="shared" si="20"/>
        <v>0</v>
      </c>
      <c r="L51" s="224">
        <f t="shared" si="20"/>
        <v>0</v>
      </c>
      <c r="M51" s="224">
        <f t="shared" si="20"/>
        <v>0</v>
      </c>
      <c r="N51" s="224">
        <f t="shared" si="20"/>
        <v>0</v>
      </c>
      <c r="O51" s="224">
        <f t="shared" si="20"/>
        <v>0</v>
      </c>
      <c r="P51" s="224">
        <f t="shared" ref="P51:Y53" si="21">P40-AU40</f>
        <v>0</v>
      </c>
      <c r="Q51" s="224">
        <f t="shared" si="21"/>
        <v>0</v>
      </c>
      <c r="R51" s="224">
        <f t="shared" si="21"/>
        <v>0</v>
      </c>
      <c r="S51" s="224">
        <f t="shared" si="21"/>
        <v>0</v>
      </c>
      <c r="T51" s="224">
        <f t="shared" si="21"/>
        <v>0</v>
      </c>
      <c r="U51" s="224">
        <f t="shared" si="21"/>
        <v>0</v>
      </c>
      <c r="V51" s="224">
        <f t="shared" si="21"/>
        <v>0</v>
      </c>
      <c r="W51" s="224">
        <f t="shared" si="21"/>
        <v>0.21480000000000002</v>
      </c>
      <c r="X51" s="224">
        <f t="shared" si="21"/>
        <v>0</v>
      </c>
      <c r="Y51" s="224">
        <f t="shared" si="21"/>
        <v>0</v>
      </c>
      <c r="Z51" s="224">
        <f t="shared" ref="Z51:AF53" si="22">Z40-BE40</f>
        <v>0</v>
      </c>
      <c r="AA51" s="224">
        <f t="shared" si="22"/>
        <v>0</v>
      </c>
      <c r="AB51" s="224">
        <f t="shared" si="22"/>
        <v>5.0999999999999997E-2</v>
      </c>
      <c r="AC51" s="224">
        <f t="shared" si="22"/>
        <v>0.26400000000000001</v>
      </c>
      <c r="AD51" s="224">
        <f t="shared" si="22"/>
        <v>0.255</v>
      </c>
      <c r="AE51" s="224">
        <f t="shared" si="22"/>
        <v>0</v>
      </c>
      <c r="AF51" s="224">
        <f t="shared" si="22"/>
        <v>8.5000000000000006E-2</v>
      </c>
      <c r="AG51" s="473">
        <f>AF51/SUM($AF$51:$AF$56)</f>
        <v>5.6517707128298943E-4</v>
      </c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14"/>
    </row>
    <row r="52" spans="2:64" s="110" customFormat="1" x14ac:dyDescent="0.35">
      <c r="B52" s="12"/>
      <c r="C52" s="27" t="s">
        <v>50</v>
      </c>
      <c r="D52" s="708" t="s">
        <v>1</v>
      </c>
      <c r="E52" s="708"/>
      <c r="F52" s="224">
        <f t="shared" si="20"/>
        <v>0.98887680994906479</v>
      </c>
      <c r="G52" s="224">
        <f t="shared" si="20"/>
        <v>0.93138541154967147</v>
      </c>
      <c r="H52" s="224">
        <f t="shared" si="20"/>
        <v>0.92035403903773072</v>
      </c>
      <c r="I52" s="224">
        <f t="shared" si="20"/>
        <v>0.93682782406698939</v>
      </c>
      <c r="J52" s="224">
        <f t="shared" si="20"/>
        <v>0.92185771127928751</v>
      </c>
      <c r="K52" s="224">
        <f t="shared" si="20"/>
        <v>0.95455702568093004</v>
      </c>
      <c r="L52" s="224">
        <f t="shared" si="20"/>
        <v>0.9893853524347177</v>
      </c>
      <c r="M52" s="224">
        <f t="shared" si="20"/>
        <v>1.0224671740165134</v>
      </c>
      <c r="N52" s="224">
        <f t="shared" si="20"/>
        <v>1.0572619664702061</v>
      </c>
      <c r="O52" s="224">
        <f t="shared" si="20"/>
        <v>1.083607376858015</v>
      </c>
      <c r="P52" s="224">
        <f t="shared" si="21"/>
        <v>1.1759301525682886</v>
      </c>
      <c r="Q52" s="224">
        <f t="shared" si="21"/>
        <v>1.2081149215084599</v>
      </c>
      <c r="R52" s="224">
        <f t="shared" si="21"/>
        <v>1.2195805174969614</v>
      </c>
      <c r="S52" s="224">
        <f t="shared" si="21"/>
        <v>1.2719842946470656</v>
      </c>
      <c r="T52" s="224">
        <f t="shared" si="21"/>
        <v>1.3202385759334727</v>
      </c>
      <c r="U52" s="224">
        <f t="shared" si="21"/>
        <v>1.37587812014434</v>
      </c>
      <c r="V52" s="224">
        <f t="shared" si="21"/>
        <v>1.3017999999999998</v>
      </c>
      <c r="W52" s="224">
        <f t="shared" si="21"/>
        <v>3.0133800000000002</v>
      </c>
      <c r="X52" s="224">
        <f t="shared" si="21"/>
        <v>5.5659999999999998</v>
      </c>
      <c r="Y52" s="224">
        <f t="shared" si="21"/>
        <v>15.158999999999999</v>
      </c>
      <c r="Z52" s="224">
        <f t="shared" si="22"/>
        <v>6.9779099999999996</v>
      </c>
      <c r="AA52" s="224">
        <f t="shared" si="22"/>
        <v>12.848984999999999</v>
      </c>
      <c r="AB52" s="224">
        <f t="shared" si="22"/>
        <v>16.728750000000002</v>
      </c>
      <c r="AC52" s="224">
        <f t="shared" si="22"/>
        <v>12.009</v>
      </c>
      <c r="AD52" s="224">
        <f t="shared" si="22"/>
        <v>17.461000000000002</v>
      </c>
      <c r="AE52" s="224">
        <f t="shared" si="22"/>
        <v>22.37519</v>
      </c>
      <c r="AF52" s="224">
        <f t="shared" si="22"/>
        <v>2.4015</v>
      </c>
      <c r="AG52" s="473">
        <f t="shared" ref="AG52:AG55" si="23">AF52/SUM($AF$51:$AF$56)</f>
        <v>1.5967914549248223E-2</v>
      </c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14"/>
    </row>
    <row r="53" spans="2:64" s="110" customFormat="1" x14ac:dyDescent="0.35">
      <c r="B53" s="12"/>
      <c r="C53" s="27" t="s">
        <v>51</v>
      </c>
      <c r="D53" s="708" t="s">
        <v>1</v>
      </c>
      <c r="E53" s="708"/>
      <c r="F53" s="224">
        <f t="shared" si="20"/>
        <v>5.6379119639528792</v>
      </c>
      <c r="G53" s="224">
        <f t="shared" si="20"/>
        <v>5.3101345910796942</v>
      </c>
      <c r="H53" s="224">
        <f t="shared" si="20"/>
        <v>5.2472411078488603</v>
      </c>
      <c r="I53" s="224">
        <f t="shared" si="20"/>
        <v>5.3411635750091824</v>
      </c>
      <c r="J53" s="224">
        <f t="shared" si="20"/>
        <v>5.2558140378996461</v>
      </c>
      <c r="K53" s="224">
        <f t="shared" si="20"/>
        <v>5.4422435850619184</v>
      </c>
      <c r="L53" s="224">
        <f t="shared" si="20"/>
        <v>5.640811331938048</v>
      </c>
      <c r="M53" s="224">
        <f t="shared" si="20"/>
        <v>5.8294216783521451</v>
      </c>
      <c r="N53" s="224">
        <f t="shared" si="20"/>
        <v>6.027798235153023</v>
      </c>
      <c r="O53" s="224">
        <f t="shared" si="20"/>
        <v>6.1780020855480249</v>
      </c>
      <c r="P53" s="224">
        <f t="shared" si="21"/>
        <v>6.7043645975267401</v>
      </c>
      <c r="Q53" s="224">
        <f t="shared" si="21"/>
        <v>6.8878605517641533</v>
      </c>
      <c r="R53" s="224">
        <f t="shared" si="21"/>
        <v>6.9532296858636293</v>
      </c>
      <c r="S53" s="224">
        <f t="shared" si="21"/>
        <v>7.2520008565275589</v>
      </c>
      <c r="T53" s="224">
        <f t="shared" si="21"/>
        <v>7.5271143863822978</v>
      </c>
      <c r="U53" s="224">
        <f t="shared" si="21"/>
        <v>7.8443337293978255</v>
      </c>
      <c r="V53" s="224">
        <f t="shared" si="21"/>
        <v>7.4219899999999992</v>
      </c>
      <c r="W53" s="224">
        <f t="shared" si="21"/>
        <v>14.84694</v>
      </c>
      <c r="X53" s="224">
        <f t="shared" si="21"/>
        <v>14.967000000000001</v>
      </c>
      <c r="Y53" s="224">
        <f t="shared" si="21"/>
        <v>27.268999999999998</v>
      </c>
      <c r="Z53" s="224">
        <f t="shared" si="22"/>
        <v>22.35651</v>
      </c>
      <c r="AA53" s="224">
        <f t="shared" si="22"/>
        <v>45.647354999999997</v>
      </c>
      <c r="AB53" s="224">
        <f t="shared" si="22"/>
        <v>45.449919999999999</v>
      </c>
      <c r="AC53" s="224">
        <f t="shared" si="22"/>
        <v>52.730400000000003</v>
      </c>
      <c r="AD53" s="224">
        <f t="shared" si="22"/>
        <v>65.325569999999999</v>
      </c>
      <c r="AE53" s="224">
        <f t="shared" si="22"/>
        <v>51.098489999999998</v>
      </c>
      <c r="AF53" s="224">
        <f t="shared" si="22"/>
        <v>64.938699999999997</v>
      </c>
      <c r="AG53" s="473">
        <f t="shared" si="23"/>
        <v>0.43178663857558425</v>
      </c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14"/>
    </row>
    <row r="54" spans="2:64" s="110" customFormat="1" x14ac:dyDescent="0.35">
      <c r="B54" s="12"/>
      <c r="C54" s="27" t="s">
        <v>52</v>
      </c>
      <c r="D54" s="708" t="s">
        <v>1</v>
      </c>
      <c r="E54" s="708"/>
      <c r="F54" s="224">
        <f t="shared" ref="F54:U54" si="24">F43-AK43</f>
        <v>15.188566098501511</v>
      </c>
      <c r="G54" s="224">
        <f t="shared" si="24"/>
        <v>15.231369323453634</v>
      </c>
      <c r="H54" s="224">
        <f t="shared" si="24"/>
        <v>15.239582348920141</v>
      </c>
      <c r="I54" s="224">
        <f t="shared" si="24"/>
        <v>15.22731736413891</v>
      </c>
      <c r="J54" s="224">
        <f t="shared" si="24"/>
        <v>15.238462841950376</v>
      </c>
      <c r="K54" s="224">
        <f t="shared" si="24"/>
        <v>15.214117702519424</v>
      </c>
      <c r="L54" s="224">
        <f t="shared" si="24"/>
        <v>15.188187480847093</v>
      </c>
      <c r="M54" s="224">
        <f t="shared" si="24"/>
        <v>15.163557558973309</v>
      </c>
      <c r="N54" s="224">
        <f t="shared" si="24"/>
        <v>15.137652304100023</v>
      </c>
      <c r="O54" s="224">
        <f t="shared" si="24"/>
        <v>15.11803774333649</v>
      </c>
      <c r="P54" s="224">
        <f t="shared" si="24"/>
        <v>12.816499748418597</v>
      </c>
      <c r="Q54" s="224">
        <f t="shared" si="24"/>
        <v>12.795247100578303</v>
      </c>
      <c r="R54" s="224">
        <f t="shared" si="24"/>
        <v>12.704393683378527</v>
      </c>
      <c r="S54" s="224">
        <f t="shared" si="24"/>
        <v>12.564797308642365</v>
      </c>
      <c r="T54" s="224">
        <f t="shared" si="24"/>
        <v>12.478792261761289</v>
      </c>
      <c r="U54" s="224">
        <f t="shared" si="24"/>
        <v>12.356355640374201</v>
      </c>
      <c r="V54" s="197">
        <f>12367.72/1000</f>
        <v>12.367719999999998</v>
      </c>
      <c r="W54" s="197">
        <f>22510.17/1000</f>
        <v>22.510169999999999</v>
      </c>
      <c r="X54" s="197">
        <f>79649.96/1000</f>
        <v>79.649960000000007</v>
      </c>
      <c r="Y54" s="197">
        <f>33989.2/1000</f>
        <v>33.989199999999997</v>
      </c>
      <c r="Z54" s="197">
        <f>23736.49/1000</f>
        <v>23.73649</v>
      </c>
      <c r="AA54" s="197">
        <f>41245.2/1000</f>
        <v>41.245199999999997</v>
      </c>
      <c r="AB54" s="197">
        <f>32201.56/1000</f>
        <v>32.201560000000001</v>
      </c>
      <c r="AC54" s="197">
        <f>23740/1000</f>
        <v>23.74</v>
      </c>
      <c r="AD54" s="197">
        <f>27823.12/1000</f>
        <v>27.823119999999999</v>
      </c>
      <c r="AE54" s="197">
        <f>31433.99/1000</f>
        <v>31.433990000000001</v>
      </c>
      <c r="AF54" s="197">
        <f>41721.0539/1000</f>
        <v>41.721053900000001</v>
      </c>
      <c r="AG54" s="473">
        <f t="shared" si="23"/>
        <v>0.2774092124004911</v>
      </c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14"/>
    </row>
    <row r="55" spans="2:64" s="110" customFormat="1" x14ac:dyDescent="0.35">
      <c r="B55" s="12"/>
      <c r="C55" s="27" t="s">
        <v>54</v>
      </c>
      <c r="D55" s="708" t="s">
        <v>1</v>
      </c>
      <c r="E55" s="708"/>
      <c r="F55" s="224">
        <f t="shared" ref="F55:O56" si="25">F45-AK45</f>
        <v>5.4744639510501774</v>
      </c>
      <c r="G55" s="224">
        <f t="shared" si="25"/>
        <v>5.1561891317133242</v>
      </c>
      <c r="H55" s="224">
        <f t="shared" si="25"/>
        <v>5.0951189857258417</v>
      </c>
      <c r="I55" s="224">
        <f t="shared" si="25"/>
        <v>5.1863185581828715</v>
      </c>
      <c r="J55" s="224">
        <f t="shared" si="25"/>
        <v>5.1034433790150535</v>
      </c>
      <c r="K55" s="224">
        <f t="shared" si="25"/>
        <v>5.2844681700859137</v>
      </c>
      <c r="L55" s="224">
        <f t="shared" si="25"/>
        <v>5.4772792638143919</v>
      </c>
      <c r="M55" s="224">
        <f t="shared" si="25"/>
        <v>5.660421630853965</v>
      </c>
      <c r="N55" s="224">
        <f t="shared" si="25"/>
        <v>5.8530470772751677</v>
      </c>
      <c r="O55" s="224">
        <f t="shared" si="25"/>
        <v>5.9988963863019533</v>
      </c>
      <c r="P55" s="224">
        <f t="shared" ref="P55:Y56" si="26">P45-AU45</f>
        <v>6.5099991873806999</v>
      </c>
      <c r="Q55" s="224">
        <f t="shared" si="26"/>
        <v>6.6881754329586736</v>
      </c>
      <c r="R55" s="224">
        <f t="shared" si="26"/>
        <v>6.7516494585246996</v>
      </c>
      <c r="S55" s="224">
        <f t="shared" si="26"/>
        <v>7.0417589908959659</v>
      </c>
      <c r="T55" s="224">
        <f t="shared" si="26"/>
        <v>7.3088967382154486</v>
      </c>
      <c r="U55" s="224">
        <f t="shared" si="26"/>
        <v>7.6169196142407687</v>
      </c>
      <c r="V55" s="224">
        <f t="shared" si="26"/>
        <v>7.2068200000000004</v>
      </c>
      <c r="W55" s="224">
        <f t="shared" si="26"/>
        <v>13.025020000000001</v>
      </c>
      <c r="X55" s="224">
        <f t="shared" si="26"/>
        <v>10.949</v>
      </c>
      <c r="Y55" s="224">
        <f t="shared" si="26"/>
        <v>13.675000000000001</v>
      </c>
      <c r="Z55" s="224">
        <f t="shared" ref="Z55:AF56" si="27">Z45-BE45</f>
        <v>17.970980000000001</v>
      </c>
      <c r="AA55" s="224">
        <f t="shared" si="27"/>
        <v>36.679082000000001</v>
      </c>
      <c r="AB55" s="224">
        <f t="shared" si="27"/>
        <v>33.537029999999994</v>
      </c>
      <c r="AC55" s="224">
        <f t="shared" si="27"/>
        <v>164.40379999999999</v>
      </c>
      <c r="AD55" s="224">
        <f t="shared" si="27"/>
        <v>22.791599999999999</v>
      </c>
      <c r="AE55" s="224">
        <f t="shared" si="27"/>
        <v>32.058580000000006</v>
      </c>
      <c r="AF55" s="224">
        <f t="shared" si="27"/>
        <v>41.249090000000002</v>
      </c>
      <c r="AG55" s="473">
        <f t="shared" si="23"/>
        <v>0.27427105740339347</v>
      </c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14"/>
    </row>
    <row r="56" spans="2:64" s="110" customFormat="1" x14ac:dyDescent="0.35">
      <c r="B56" s="12"/>
      <c r="C56" s="27" t="s">
        <v>55</v>
      </c>
      <c r="D56" s="708" t="s">
        <v>1</v>
      </c>
      <c r="E56" s="708"/>
      <c r="F56" s="224">
        <f t="shared" si="25"/>
        <v>0</v>
      </c>
      <c r="G56" s="224">
        <f t="shared" si="25"/>
        <v>0</v>
      </c>
      <c r="H56" s="224">
        <f t="shared" si="25"/>
        <v>0</v>
      </c>
      <c r="I56" s="224">
        <f t="shared" si="25"/>
        <v>0</v>
      </c>
      <c r="J56" s="224">
        <f t="shared" si="25"/>
        <v>0</v>
      </c>
      <c r="K56" s="224">
        <f t="shared" si="25"/>
        <v>0</v>
      </c>
      <c r="L56" s="224">
        <f t="shared" si="25"/>
        <v>0</v>
      </c>
      <c r="M56" s="224">
        <f t="shared" si="25"/>
        <v>0</v>
      </c>
      <c r="N56" s="224">
        <f t="shared" si="25"/>
        <v>0</v>
      </c>
      <c r="O56" s="224">
        <f t="shared" si="25"/>
        <v>0</v>
      </c>
      <c r="P56" s="224">
        <f t="shared" si="26"/>
        <v>0</v>
      </c>
      <c r="Q56" s="224">
        <f t="shared" si="26"/>
        <v>0</v>
      </c>
      <c r="R56" s="224">
        <f t="shared" si="26"/>
        <v>0</v>
      </c>
      <c r="S56" s="224">
        <f t="shared" si="26"/>
        <v>0</v>
      </c>
      <c r="T56" s="224">
        <f t="shared" si="26"/>
        <v>0</v>
      </c>
      <c r="U56" s="224">
        <f t="shared" si="26"/>
        <v>0</v>
      </c>
      <c r="V56" s="224">
        <f t="shared" si="26"/>
        <v>0</v>
      </c>
      <c r="W56" s="224">
        <f t="shared" si="26"/>
        <v>0</v>
      </c>
      <c r="X56" s="224">
        <f t="shared" si="26"/>
        <v>0</v>
      </c>
      <c r="Y56" s="224">
        <f t="shared" si="26"/>
        <v>0</v>
      </c>
      <c r="Z56" s="224">
        <f t="shared" si="27"/>
        <v>0</v>
      </c>
      <c r="AA56" s="224">
        <f t="shared" si="27"/>
        <v>0</v>
      </c>
      <c r="AB56" s="224">
        <f t="shared" si="27"/>
        <v>0</v>
      </c>
      <c r="AC56" s="224">
        <f t="shared" si="27"/>
        <v>0.78400000000000003</v>
      </c>
      <c r="AD56" s="224">
        <f t="shared" si="27"/>
        <v>0</v>
      </c>
      <c r="AE56" s="224">
        <f t="shared" si="27"/>
        <v>0</v>
      </c>
      <c r="AF56" s="224">
        <f t="shared" si="27"/>
        <v>0</v>
      </c>
      <c r="AG56" s="473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14"/>
    </row>
    <row r="57" spans="2:64" s="110" customFormat="1" ht="15" thickBot="1" x14ac:dyDescent="0.4">
      <c r="B57" s="18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1"/>
    </row>
    <row r="58" spans="2:64" s="110" customFormat="1" ht="15" thickBot="1" x14ac:dyDescent="0.4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</row>
    <row r="59" spans="2:64" s="110" customFormat="1" x14ac:dyDescent="0.35"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1"/>
    </row>
    <row r="60" spans="2:64" s="110" customFormat="1" x14ac:dyDescent="0.35">
      <c r="B60" s="12"/>
      <c r="C60" s="13" t="s">
        <v>315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13" t="s">
        <v>317</v>
      </c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14"/>
    </row>
    <row r="61" spans="2:64" s="110" customFormat="1" x14ac:dyDescent="0.35">
      <c r="B61" s="12"/>
      <c r="C61" s="25" t="s">
        <v>89</v>
      </c>
      <c r="D61" s="334" t="s">
        <v>64</v>
      </c>
      <c r="E61" s="334" t="s">
        <v>87</v>
      </c>
      <c r="F61" s="25">
        <v>1990</v>
      </c>
      <c r="G61" s="25">
        <v>1991</v>
      </c>
      <c r="H61" s="25">
        <v>1992</v>
      </c>
      <c r="I61" s="25">
        <v>1993</v>
      </c>
      <c r="J61" s="25">
        <v>1994</v>
      </c>
      <c r="K61" s="25">
        <v>1995</v>
      </c>
      <c r="L61" s="25">
        <v>1996</v>
      </c>
      <c r="M61" s="25">
        <v>1997</v>
      </c>
      <c r="N61" s="25">
        <v>1998</v>
      </c>
      <c r="O61" s="25">
        <v>1999</v>
      </c>
      <c r="P61" s="25">
        <v>2000</v>
      </c>
      <c r="Q61" s="25">
        <v>2001</v>
      </c>
      <c r="R61" s="25">
        <v>2002</v>
      </c>
      <c r="S61" s="25">
        <v>2003</v>
      </c>
      <c r="T61" s="25">
        <v>2004</v>
      </c>
      <c r="U61" s="25">
        <v>2005</v>
      </c>
      <c r="V61" s="25">
        <v>2006</v>
      </c>
      <c r="W61" s="25">
        <v>2007</v>
      </c>
      <c r="X61" s="25">
        <v>2008</v>
      </c>
      <c r="Y61" s="25">
        <v>2009</v>
      </c>
      <c r="Z61" s="25">
        <v>2010</v>
      </c>
      <c r="AA61" s="25">
        <v>2011</v>
      </c>
      <c r="AB61" s="25">
        <v>2012</v>
      </c>
      <c r="AC61" s="25">
        <v>2013</v>
      </c>
      <c r="AD61" s="25">
        <v>2014</v>
      </c>
      <c r="AE61" s="25">
        <v>2015</v>
      </c>
      <c r="AF61" s="25">
        <v>2016</v>
      </c>
      <c r="AG61" s="8"/>
      <c r="AH61" s="25" t="s">
        <v>89</v>
      </c>
      <c r="AI61" s="334" t="s">
        <v>64</v>
      </c>
      <c r="AJ61" s="334" t="s">
        <v>87</v>
      </c>
      <c r="AK61" s="25">
        <v>1990</v>
      </c>
      <c r="AL61" s="25">
        <v>1991</v>
      </c>
      <c r="AM61" s="25">
        <v>1992</v>
      </c>
      <c r="AN61" s="25">
        <v>1993</v>
      </c>
      <c r="AO61" s="25">
        <v>1994</v>
      </c>
      <c r="AP61" s="25">
        <v>1995</v>
      </c>
      <c r="AQ61" s="25">
        <v>1996</v>
      </c>
      <c r="AR61" s="25">
        <v>1997</v>
      </c>
      <c r="AS61" s="25">
        <v>1998</v>
      </c>
      <c r="AT61" s="25">
        <v>1999</v>
      </c>
      <c r="AU61" s="25">
        <v>2000</v>
      </c>
      <c r="AV61" s="25">
        <v>2001</v>
      </c>
      <c r="AW61" s="25">
        <v>2002</v>
      </c>
      <c r="AX61" s="25">
        <v>2003</v>
      </c>
      <c r="AY61" s="25">
        <v>2004</v>
      </c>
      <c r="AZ61" s="25">
        <v>2005</v>
      </c>
      <c r="BA61" s="25">
        <v>2006</v>
      </c>
      <c r="BB61" s="25">
        <v>2007</v>
      </c>
      <c r="BC61" s="25">
        <v>2008</v>
      </c>
      <c r="BD61" s="25">
        <v>2009</v>
      </c>
      <c r="BE61" s="25">
        <v>2010</v>
      </c>
      <c r="BF61" s="25">
        <v>2011</v>
      </c>
      <c r="BG61" s="25">
        <v>2012</v>
      </c>
      <c r="BH61" s="25">
        <v>2013</v>
      </c>
      <c r="BI61" s="25">
        <v>2014</v>
      </c>
      <c r="BJ61" s="25">
        <v>2015</v>
      </c>
      <c r="BK61" s="25">
        <v>2016</v>
      </c>
      <c r="BL61" s="14"/>
    </row>
    <row r="62" spans="2:64" s="110" customFormat="1" x14ac:dyDescent="0.35">
      <c r="B62" s="12"/>
      <c r="C62" s="27" t="s">
        <v>49</v>
      </c>
      <c r="D62" s="332" t="s">
        <v>84</v>
      </c>
      <c r="E62" s="332" t="s">
        <v>1</v>
      </c>
      <c r="F62" s="224">
        <v>0</v>
      </c>
      <c r="G62" s="224">
        <v>0</v>
      </c>
      <c r="H62" s="224">
        <v>0</v>
      </c>
      <c r="I62" s="224">
        <v>0</v>
      </c>
      <c r="J62" s="224">
        <v>0</v>
      </c>
      <c r="K62" s="224">
        <v>0</v>
      </c>
      <c r="L62" s="224">
        <v>0</v>
      </c>
      <c r="M62" s="224">
        <v>0</v>
      </c>
      <c r="N62" s="224">
        <v>0</v>
      </c>
      <c r="O62" s="224">
        <v>0</v>
      </c>
      <c r="P62" s="224">
        <v>0</v>
      </c>
      <c r="Q62" s="224">
        <v>0</v>
      </c>
      <c r="R62" s="224">
        <v>0</v>
      </c>
      <c r="S62" s="224">
        <v>0</v>
      </c>
      <c r="T62" s="224">
        <v>0</v>
      </c>
      <c r="U62" s="224">
        <v>0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362">
        <f>FORECAST($AF$39,$AA62:$AE62,$AA$39:$AE$39)</f>
        <v>0</v>
      </c>
      <c r="AG62" s="8"/>
      <c r="AH62" s="27" t="s">
        <v>49</v>
      </c>
      <c r="AI62" s="428" t="s">
        <v>84</v>
      </c>
      <c r="AJ62" s="332" t="s">
        <v>1</v>
      </c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14"/>
    </row>
    <row r="63" spans="2:64" s="110" customFormat="1" x14ac:dyDescent="0.35">
      <c r="B63" s="12"/>
      <c r="C63" s="27" t="s">
        <v>50</v>
      </c>
      <c r="D63" s="332" t="s">
        <v>84</v>
      </c>
      <c r="E63" s="332" t="s">
        <v>1</v>
      </c>
      <c r="F63" s="224">
        <v>0</v>
      </c>
      <c r="G63" s="224">
        <v>0</v>
      </c>
      <c r="H63" s="224">
        <v>0</v>
      </c>
      <c r="I63" s="224">
        <v>0</v>
      </c>
      <c r="J63" s="224">
        <v>0</v>
      </c>
      <c r="K63" s="224">
        <v>0</v>
      </c>
      <c r="L63" s="224">
        <v>0</v>
      </c>
      <c r="M63" s="224">
        <v>0</v>
      </c>
      <c r="N63" s="224">
        <v>0</v>
      </c>
      <c r="O63" s="224">
        <v>0</v>
      </c>
      <c r="P63" s="224">
        <v>0</v>
      </c>
      <c r="Q63" s="224">
        <v>0</v>
      </c>
      <c r="R63" s="224">
        <v>0</v>
      </c>
      <c r="S63" s="224">
        <v>0</v>
      </c>
      <c r="T63" s="224">
        <v>0</v>
      </c>
      <c r="U63" s="224">
        <v>0</v>
      </c>
      <c r="V63" s="29">
        <v>0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29">
        <v>0</v>
      </c>
      <c r="AC63" s="29">
        <v>0</v>
      </c>
      <c r="AD63" s="29">
        <v>0</v>
      </c>
      <c r="AE63" s="29">
        <v>0</v>
      </c>
      <c r="AF63" s="362">
        <f>AE63+AE63*$AF$197</f>
        <v>0</v>
      </c>
      <c r="AG63" s="8"/>
      <c r="AH63" s="27" t="s">
        <v>50</v>
      </c>
      <c r="AI63" s="428" t="s">
        <v>84</v>
      </c>
      <c r="AJ63" s="332" t="s">
        <v>1</v>
      </c>
      <c r="AK63" s="196"/>
      <c r="AL63" s="196"/>
      <c r="AM63" s="196"/>
      <c r="AN63" s="196"/>
      <c r="AO63" s="196"/>
      <c r="AP63" s="196"/>
      <c r="AQ63" s="196"/>
      <c r="AR63" s="196"/>
      <c r="AS63" s="196"/>
      <c r="AT63" s="196"/>
      <c r="AU63" s="196"/>
      <c r="AV63" s="196"/>
      <c r="AW63" s="196"/>
      <c r="AX63" s="196"/>
      <c r="AY63" s="196"/>
      <c r="AZ63" s="196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14"/>
    </row>
    <row r="64" spans="2:64" s="110" customFormat="1" x14ac:dyDescent="0.35">
      <c r="B64" s="12"/>
      <c r="C64" s="27" t="s">
        <v>51</v>
      </c>
      <c r="D64" s="428" t="s">
        <v>84</v>
      </c>
      <c r="E64" s="332" t="s">
        <v>1</v>
      </c>
      <c r="F64" s="224">
        <v>0</v>
      </c>
      <c r="G64" s="224">
        <v>0</v>
      </c>
      <c r="H64" s="224">
        <v>0</v>
      </c>
      <c r="I64" s="224">
        <v>0</v>
      </c>
      <c r="J64" s="224">
        <v>0</v>
      </c>
      <c r="K64" s="224">
        <v>0</v>
      </c>
      <c r="L64" s="224">
        <v>0</v>
      </c>
      <c r="M64" s="224">
        <v>0</v>
      </c>
      <c r="N64" s="224">
        <v>0</v>
      </c>
      <c r="O64" s="224">
        <v>0</v>
      </c>
      <c r="P64" s="224">
        <v>0</v>
      </c>
      <c r="Q64" s="224">
        <v>0</v>
      </c>
      <c r="R64" s="224">
        <v>0</v>
      </c>
      <c r="S64" s="224">
        <v>0</v>
      </c>
      <c r="T64" s="224">
        <v>0</v>
      </c>
      <c r="U64" s="224">
        <v>0</v>
      </c>
      <c r="V64" s="29">
        <v>0</v>
      </c>
      <c r="W64" s="29">
        <v>0</v>
      </c>
      <c r="X64" s="29">
        <v>0</v>
      </c>
      <c r="Y64" s="29">
        <v>0</v>
      </c>
      <c r="Z64" s="29">
        <v>0</v>
      </c>
      <c r="AA64" s="29">
        <v>0</v>
      </c>
      <c r="AB64" s="29">
        <v>0</v>
      </c>
      <c r="AC64" s="29">
        <v>0</v>
      </c>
      <c r="AD64" s="29">
        <v>0</v>
      </c>
      <c r="AE64" s="29">
        <v>0</v>
      </c>
      <c r="AF64" s="362">
        <f>AE64+AE64*$AF$197</f>
        <v>0</v>
      </c>
      <c r="AG64" s="8"/>
      <c r="AH64" s="27" t="s">
        <v>51</v>
      </c>
      <c r="AI64" s="428" t="s">
        <v>84</v>
      </c>
      <c r="AJ64" s="332" t="s">
        <v>1</v>
      </c>
      <c r="AK64" s="196"/>
      <c r="AL64" s="196"/>
      <c r="AM64" s="196"/>
      <c r="AN64" s="196"/>
      <c r="AO64" s="196"/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14"/>
    </row>
    <row r="65" spans="2:64" s="110" customFormat="1" x14ac:dyDescent="0.35">
      <c r="B65" s="12"/>
      <c r="C65" s="27" t="s">
        <v>52</v>
      </c>
      <c r="D65" s="428" t="s">
        <v>84</v>
      </c>
      <c r="E65" s="332" t="s">
        <v>1</v>
      </c>
      <c r="F65" s="224">
        <f t="shared" ref="F65:N65" si="28">G65-G65*G$199</f>
        <v>0</v>
      </c>
      <c r="G65" s="224">
        <f t="shared" si="28"/>
        <v>0</v>
      </c>
      <c r="H65" s="224">
        <f t="shared" si="28"/>
        <v>0</v>
      </c>
      <c r="I65" s="224">
        <f t="shared" si="28"/>
        <v>0</v>
      </c>
      <c r="J65" s="224">
        <f t="shared" si="28"/>
        <v>0</v>
      </c>
      <c r="K65" s="224">
        <f t="shared" si="28"/>
        <v>0</v>
      </c>
      <c r="L65" s="224">
        <f t="shared" si="28"/>
        <v>0</v>
      </c>
      <c r="M65" s="224">
        <f t="shared" si="28"/>
        <v>0</v>
      </c>
      <c r="N65" s="224">
        <f t="shared" si="28"/>
        <v>0</v>
      </c>
      <c r="O65" s="224">
        <v>0</v>
      </c>
      <c r="P65" s="224">
        <f t="shared" ref="P65:U65" si="29">Q65-Q65*Q$199</f>
        <v>2.2328022771070515</v>
      </c>
      <c r="Q65" s="224">
        <f t="shared" si="29"/>
        <v>2.2300928724780693</v>
      </c>
      <c r="R65" s="224">
        <f t="shared" si="29"/>
        <v>2.3124099781952712</v>
      </c>
      <c r="S65" s="224">
        <f t="shared" si="29"/>
        <v>2.41299093977146</v>
      </c>
      <c r="T65" s="224">
        <f t="shared" si="29"/>
        <v>2.4630699365944628</v>
      </c>
      <c r="U65" s="224">
        <f t="shared" si="29"/>
        <v>2.5440820667812014</v>
      </c>
      <c r="V65" s="30">
        <f>V73</f>
        <v>2.5878699999999997</v>
      </c>
      <c r="W65" s="30">
        <f t="shared" ref="W65:AF65" si="30">W73</f>
        <v>4.4506399999999999</v>
      </c>
      <c r="X65" s="30">
        <f t="shared" si="30"/>
        <v>17.041040000000002</v>
      </c>
      <c r="Y65" s="30">
        <f t="shared" si="30"/>
        <v>5.9378000000000002</v>
      </c>
      <c r="Z65" s="30">
        <f t="shared" si="30"/>
        <v>4.9000000000000004</v>
      </c>
      <c r="AA65" s="30">
        <f t="shared" si="30"/>
        <v>9.2269199999999998</v>
      </c>
      <c r="AB65" s="30">
        <f t="shared" si="30"/>
        <v>5.7426300000000001</v>
      </c>
      <c r="AC65" s="30">
        <f t="shared" si="30"/>
        <v>4.9939999999999998</v>
      </c>
      <c r="AD65" s="30">
        <f t="shared" si="30"/>
        <v>5.4499799999999992</v>
      </c>
      <c r="AE65" s="30">
        <f t="shared" si="30"/>
        <v>6.6684399999999995</v>
      </c>
      <c r="AF65" s="30">
        <f t="shared" si="30"/>
        <v>8.5452760999999988</v>
      </c>
      <c r="AG65" s="8"/>
      <c r="AH65" s="27" t="s">
        <v>52</v>
      </c>
      <c r="AI65" s="428" t="s">
        <v>84</v>
      </c>
      <c r="AJ65" s="332" t="s">
        <v>1</v>
      </c>
      <c r="AK65" s="196"/>
      <c r="AL65" s="196"/>
      <c r="AM65" s="196"/>
      <c r="AN65" s="196"/>
      <c r="AO65" s="196"/>
      <c r="AP65" s="196"/>
      <c r="AQ65" s="196"/>
      <c r="AR65" s="196"/>
      <c r="AS65" s="196"/>
      <c r="AT65" s="196"/>
      <c r="AU65" s="196"/>
      <c r="AV65" s="196"/>
      <c r="AW65" s="196"/>
      <c r="AX65" s="196"/>
      <c r="AY65" s="196"/>
      <c r="AZ65" s="196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59"/>
      <c r="BL65" s="14"/>
    </row>
    <row r="66" spans="2:64" s="110" customFormat="1" x14ac:dyDescent="0.35">
      <c r="B66" s="12"/>
      <c r="C66" s="27" t="s">
        <v>53</v>
      </c>
      <c r="D66" s="428" t="s">
        <v>84</v>
      </c>
      <c r="E66" s="332" t="s">
        <v>1</v>
      </c>
      <c r="F66" s="224">
        <v>0</v>
      </c>
      <c r="G66" s="224">
        <v>0</v>
      </c>
      <c r="H66" s="224">
        <v>0</v>
      </c>
      <c r="I66" s="224">
        <v>0</v>
      </c>
      <c r="J66" s="224">
        <v>0</v>
      </c>
      <c r="K66" s="224">
        <v>0</v>
      </c>
      <c r="L66" s="224">
        <v>0</v>
      </c>
      <c r="M66" s="224">
        <v>0</v>
      </c>
      <c r="N66" s="224">
        <v>0</v>
      </c>
      <c r="O66" s="224">
        <v>0</v>
      </c>
      <c r="P66" s="224">
        <v>0</v>
      </c>
      <c r="Q66" s="224">
        <v>0</v>
      </c>
      <c r="R66" s="224">
        <v>0</v>
      </c>
      <c r="S66" s="224">
        <v>0</v>
      </c>
      <c r="T66" s="224">
        <v>0</v>
      </c>
      <c r="U66" s="224"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>
        <v>0</v>
      </c>
      <c r="AD66" s="29">
        <v>0</v>
      </c>
      <c r="AE66" s="29">
        <v>0</v>
      </c>
      <c r="AF66" s="362">
        <v>0</v>
      </c>
      <c r="AG66" s="8"/>
      <c r="AH66" s="27" t="s">
        <v>53</v>
      </c>
      <c r="AI66" s="428" t="s">
        <v>84</v>
      </c>
      <c r="AJ66" s="332" t="s">
        <v>1</v>
      </c>
      <c r="AK66" s="196"/>
      <c r="AL66" s="196"/>
      <c r="AM66" s="196"/>
      <c r="AN66" s="196"/>
      <c r="AO66" s="196"/>
      <c r="AP66" s="196"/>
      <c r="AQ66" s="196"/>
      <c r="AR66" s="196"/>
      <c r="AS66" s="196"/>
      <c r="AT66" s="196"/>
      <c r="AU66" s="196"/>
      <c r="AV66" s="196"/>
      <c r="AW66" s="196"/>
      <c r="AX66" s="196"/>
      <c r="AY66" s="196"/>
      <c r="AZ66" s="196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14"/>
    </row>
    <row r="67" spans="2:64" x14ac:dyDescent="0.35">
      <c r="B67" s="12"/>
      <c r="C67" s="27" t="s">
        <v>54</v>
      </c>
      <c r="D67" s="428" t="s">
        <v>84</v>
      </c>
      <c r="E67" s="332" t="s">
        <v>1</v>
      </c>
      <c r="F67" s="224">
        <v>0</v>
      </c>
      <c r="G67" s="224">
        <v>0</v>
      </c>
      <c r="H67" s="224">
        <v>0</v>
      </c>
      <c r="I67" s="224">
        <v>0</v>
      </c>
      <c r="J67" s="224">
        <v>0</v>
      </c>
      <c r="K67" s="224">
        <v>0</v>
      </c>
      <c r="L67" s="224">
        <v>0</v>
      </c>
      <c r="M67" s="224">
        <v>0</v>
      </c>
      <c r="N67" s="224">
        <v>0</v>
      </c>
      <c r="O67" s="224">
        <v>0</v>
      </c>
      <c r="P67" s="224">
        <v>0</v>
      </c>
      <c r="Q67" s="224">
        <v>0</v>
      </c>
      <c r="R67" s="224">
        <v>0</v>
      </c>
      <c r="S67" s="224">
        <v>0</v>
      </c>
      <c r="T67" s="224">
        <v>0</v>
      </c>
      <c r="U67" s="224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29">
        <v>0</v>
      </c>
      <c r="AD67" s="29">
        <v>0</v>
      </c>
      <c r="AE67" s="29">
        <v>0</v>
      </c>
      <c r="AF67" s="362">
        <f>AE67+AE67*$AF$197</f>
        <v>0</v>
      </c>
      <c r="AG67" s="8"/>
      <c r="AH67" s="27" t="s">
        <v>54</v>
      </c>
      <c r="AI67" s="428" t="s">
        <v>84</v>
      </c>
      <c r="AJ67" s="332" t="s">
        <v>1</v>
      </c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14"/>
    </row>
    <row r="68" spans="2:64" x14ac:dyDescent="0.35">
      <c r="B68" s="12"/>
      <c r="C68" s="27" t="s">
        <v>55</v>
      </c>
      <c r="D68" s="428" t="s">
        <v>84</v>
      </c>
      <c r="E68" s="332" t="s">
        <v>1</v>
      </c>
      <c r="F68" s="224">
        <v>0</v>
      </c>
      <c r="G68" s="224">
        <v>0</v>
      </c>
      <c r="H68" s="224">
        <v>0</v>
      </c>
      <c r="I68" s="224">
        <v>0</v>
      </c>
      <c r="J68" s="224">
        <v>0</v>
      </c>
      <c r="K68" s="224">
        <v>0</v>
      </c>
      <c r="L68" s="224">
        <v>0</v>
      </c>
      <c r="M68" s="224">
        <v>0</v>
      </c>
      <c r="N68" s="224">
        <v>0</v>
      </c>
      <c r="O68" s="224">
        <v>0</v>
      </c>
      <c r="P68" s="224">
        <v>0</v>
      </c>
      <c r="Q68" s="224">
        <v>0</v>
      </c>
      <c r="R68" s="224">
        <v>0</v>
      </c>
      <c r="S68" s="224">
        <v>0</v>
      </c>
      <c r="T68" s="224">
        <v>0</v>
      </c>
      <c r="U68" s="224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29">
        <v>0</v>
      </c>
      <c r="AF68" s="362">
        <v>0</v>
      </c>
      <c r="AG68" s="8"/>
      <c r="AH68" s="27" t="s">
        <v>55</v>
      </c>
      <c r="AI68" s="428" t="s">
        <v>84</v>
      </c>
      <c r="AJ68" s="332" t="s">
        <v>1</v>
      </c>
      <c r="AK68" s="196"/>
      <c r="AL68" s="196"/>
      <c r="AM68" s="196"/>
      <c r="AN68" s="196"/>
      <c r="AO68" s="196"/>
      <c r="AP68" s="196"/>
      <c r="AQ68" s="196"/>
      <c r="AR68" s="196"/>
      <c r="AS68" s="196"/>
      <c r="AT68" s="196"/>
      <c r="AU68" s="196"/>
      <c r="AV68" s="196"/>
      <c r="AW68" s="196"/>
      <c r="AX68" s="196"/>
      <c r="AY68" s="196"/>
      <c r="AZ68" s="196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14"/>
    </row>
    <row r="69" spans="2:64" x14ac:dyDescent="0.35">
      <c r="B69" s="12"/>
      <c r="C69" s="27" t="s">
        <v>56</v>
      </c>
      <c r="D69" s="428" t="s">
        <v>84</v>
      </c>
      <c r="E69" s="332" t="s">
        <v>1</v>
      </c>
      <c r="F69" s="224">
        <v>0</v>
      </c>
      <c r="G69" s="224">
        <v>0</v>
      </c>
      <c r="H69" s="224">
        <v>0</v>
      </c>
      <c r="I69" s="224">
        <v>0</v>
      </c>
      <c r="J69" s="224">
        <v>0</v>
      </c>
      <c r="K69" s="224">
        <v>0</v>
      </c>
      <c r="L69" s="224">
        <v>0</v>
      </c>
      <c r="M69" s="224">
        <v>0</v>
      </c>
      <c r="N69" s="224">
        <v>0</v>
      </c>
      <c r="O69" s="224">
        <v>0</v>
      </c>
      <c r="P69" s="224">
        <v>0</v>
      </c>
      <c r="Q69" s="224">
        <v>0</v>
      </c>
      <c r="R69" s="224">
        <v>0</v>
      </c>
      <c r="S69" s="224">
        <v>0</v>
      </c>
      <c r="T69" s="224">
        <v>0</v>
      </c>
      <c r="U69" s="224">
        <v>0</v>
      </c>
      <c r="V69" s="29">
        <v>0</v>
      </c>
      <c r="W69" s="29">
        <v>0</v>
      </c>
      <c r="X69" s="29">
        <v>0</v>
      </c>
      <c r="Y69" s="29">
        <v>0</v>
      </c>
      <c r="Z69" s="29">
        <v>0</v>
      </c>
      <c r="AA69" s="29">
        <v>0</v>
      </c>
      <c r="AB69" s="29">
        <v>0</v>
      </c>
      <c r="AC69" s="29">
        <v>0</v>
      </c>
      <c r="AD69" s="29">
        <v>0</v>
      </c>
      <c r="AE69" s="29">
        <v>0</v>
      </c>
      <c r="AF69" s="362">
        <v>0</v>
      </c>
      <c r="AG69" s="8"/>
      <c r="AH69" s="27" t="s">
        <v>56</v>
      </c>
      <c r="AI69" s="428" t="s">
        <v>84</v>
      </c>
      <c r="AJ69" s="332" t="s">
        <v>1</v>
      </c>
      <c r="AK69" s="196"/>
      <c r="AL69" s="196"/>
      <c r="AM69" s="196"/>
      <c r="AN69" s="196"/>
      <c r="AO69" s="196"/>
      <c r="AP69" s="196"/>
      <c r="AQ69" s="196"/>
      <c r="AR69" s="196"/>
      <c r="AS69" s="196"/>
      <c r="AT69" s="196"/>
      <c r="AU69" s="196"/>
      <c r="AV69" s="196"/>
      <c r="AW69" s="196"/>
      <c r="AX69" s="196"/>
      <c r="AY69" s="196"/>
      <c r="AZ69" s="196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14"/>
    </row>
    <row r="70" spans="2:64" x14ac:dyDescent="0.35">
      <c r="B70" s="12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14"/>
    </row>
    <row r="71" spans="2:64" x14ac:dyDescent="0.35">
      <c r="B71" s="12"/>
      <c r="C71" s="13" t="s">
        <v>343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14"/>
    </row>
    <row r="72" spans="2:64" x14ac:dyDescent="0.35">
      <c r="B72" s="12"/>
      <c r="C72" s="25" t="s">
        <v>89</v>
      </c>
      <c r="D72" s="707" t="s">
        <v>87</v>
      </c>
      <c r="E72" s="707"/>
      <c r="F72" s="25">
        <v>1990</v>
      </c>
      <c r="G72" s="25">
        <v>1991</v>
      </c>
      <c r="H72" s="25">
        <v>1992</v>
      </c>
      <c r="I72" s="25">
        <v>1993</v>
      </c>
      <c r="J72" s="25">
        <v>1994</v>
      </c>
      <c r="K72" s="25">
        <v>1995</v>
      </c>
      <c r="L72" s="25">
        <v>1996</v>
      </c>
      <c r="M72" s="25">
        <v>1997</v>
      </c>
      <c r="N72" s="25">
        <v>1998</v>
      </c>
      <c r="O72" s="25">
        <v>1999</v>
      </c>
      <c r="P72" s="25">
        <v>2000</v>
      </c>
      <c r="Q72" s="25">
        <v>2001</v>
      </c>
      <c r="R72" s="25">
        <v>2002</v>
      </c>
      <c r="S72" s="25">
        <v>2003</v>
      </c>
      <c r="T72" s="25">
        <v>2004</v>
      </c>
      <c r="U72" s="25">
        <v>2005</v>
      </c>
      <c r="V72" s="25">
        <v>2006</v>
      </c>
      <c r="W72" s="25">
        <v>2007</v>
      </c>
      <c r="X72" s="25">
        <v>2008</v>
      </c>
      <c r="Y72" s="25">
        <v>2009</v>
      </c>
      <c r="Z72" s="25">
        <v>2010</v>
      </c>
      <c r="AA72" s="25">
        <v>2011</v>
      </c>
      <c r="AB72" s="25">
        <v>2012</v>
      </c>
      <c r="AC72" s="25">
        <v>2013</v>
      </c>
      <c r="AD72" s="25">
        <v>2014</v>
      </c>
      <c r="AE72" s="25">
        <v>2015</v>
      </c>
      <c r="AF72" s="25">
        <v>2016</v>
      </c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14"/>
    </row>
    <row r="73" spans="2:64" x14ac:dyDescent="0.35">
      <c r="B73" s="12"/>
      <c r="C73" s="27" t="s">
        <v>52</v>
      </c>
      <c r="D73" s="708" t="s">
        <v>1</v>
      </c>
      <c r="E73" s="708"/>
      <c r="F73" s="224">
        <f t="shared" ref="F73:U73" si="31">F65-AK65</f>
        <v>0</v>
      </c>
      <c r="G73" s="224">
        <f t="shared" si="31"/>
        <v>0</v>
      </c>
      <c r="H73" s="224">
        <f t="shared" si="31"/>
        <v>0</v>
      </c>
      <c r="I73" s="224">
        <f t="shared" si="31"/>
        <v>0</v>
      </c>
      <c r="J73" s="224">
        <f t="shared" si="31"/>
        <v>0</v>
      </c>
      <c r="K73" s="224">
        <f t="shared" si="31"/>
        <v>0</v>
      </c>
      <c r="L73" s="224">
        <f t="shared" si="31"/>
        <v>0</v>
      </c>
      <c r="M73" s="224">
        <f t="shared" si="31"/>
        <v>0</v>
      </c>
      <c r="N73" s="224">
        <f t="shared" si="31"/>
        <v>0</v>
      </c>
      <c r="O73" s="224">
        <f t="shared" si="31"/>
        <v>0</v>
      </c>
      <c r="P73" s="224">
        <f t="shared" si="31"/>
        <v>2.2328022771070515</v>
      </c>
      <c r="Q73" s="224">
        <f t="shared" si="31"/>
        <v>2.2300928724780693</v>
      </c>
      <c r="R73" s="224">
        <f t="shared" si="31"/>
        <v>2.3124099781952712</v>
      </c>
      <c r="S73" s="224">
        <f t="shared" si="31"/>
        <v>2.41299093977146</v>
      </c>
      <c r="T73" s="224">
        <f t="shared" si="31"/>
        <v>2.4630699365944628</v>
      </c>
      <c r="U73" s="224">
        <f t="shared" si="31"/>
        <v>2.5440820667812014</v>
      </c>
      <c r="V73" s="197">
        <f>2587.87/1000</f>
        <v>2.5878699999999997</v>
      </c>
      <c r="W73" s="197">
        <f>4450.64/1000</f>
        <v>4.4506399999999999</v>
      </c>
      <c r="X73" s="197">
        <f>17041.04/1000</f>
        <v>17.041040000000002</v>
      </c>
      <c r="Y73" s="197">
        <f>5937.8/1000</f>
        <v>5.9378000000000002</v>
      </c>
      <c r="Z73" s="197">
        <f>4900/1000</f>
        <v>4.9000000000000004</v>
      </c>
      <c r="AA73" s="197">
        <f>9226.92/1000</f>
        <v>9.2269199999999998</v>
      </c>
      <c r="AB73" s="197">
        <f>5742.63/1000</f>
        <v>5.7426300000000001</v>
      </c>
      <c r="AC73" s="197">
        <f>4994/1000</f>
        <v>4.9939999999999998</v>
      </c>
      <c r="AD73" s="197">
        <f>5449.98/1000</f>
        <v>5.4499799999999992</v>
      </c>
      <c r="AE73" s="197">
        <f>6668.44/1000</f>
        <v>6.6684399999999995</v>
      </c>
      <c r="AF73" s="197">
        <f>8545.2761/1000</f>
        <v>8.5452760999999988</v>
      </c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14"/>
    </row>
    <row r="74" spans="2:64" ht="15" thickBot="1" x14ac:dyDescent="0.4">
      <c r="B74" s="18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1"/>
    </row>
    <row r="75" spans="2:64" ht="15" thickBot="1" x14ac:dyDescent="0.4"/>
    <row r="76" spans="2:64" x14ac:dyDescent="0.35"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1"/>
      <c r="X76" s="8"/>
      <c r="Y76" s="8"/>
      <c r="Z76" s="8"/>
      <c r="AA76" s="8"/>
      <c r="AB76" s="8"/>
      <c r="AC76" s="8"/>
      <c r="AD76" s="8"/>
      <c r="AE76" s="8"/>
      <c r="AF76" s="8"/>
      <c r="AG76" s="84"/>
      <c r="AH76" s="8"/>
    </row>
    <row r="77" spans="2:64" x14ac:dyDescent="0.35">
      <c r="B77" s="12"/>
      <c r="C77" s="25" t="s">
        <v>110</v>
      </c>
      <c r="D77" s="334" t="s">
        <v>64</v>
      </c>
      <c r="E77" s="334" t="s">
        <v>87</v>
      </c>
      <c r="F77" s="334">
        <v>2000</v>
      </c>
      <c r="G77" s="334">
        <v>2001</v>
      </c>
      <c r="H77" s="334">
        <v>2002</v>
      </c>
      <c r="I77" s="334">
        <v>2003</v>
      </c>
      <c r="J77" s="334">
        <v>2004</v>
      </c>
      <c r="K77" s="334">
        <v>2005</v>
      </c>
      <c r="L77" s="334">
        <v>2006</v>
      </c>
      <c r="M77" s="334">
        <v>2007</v>
      </c>
      <c r="N77" s="334">
        <v>2008</v>
      </c>
      <c r="O77" s="334">
        <v>2009</v>
      </c>
      <c r="P77" s="334">
        <v>2010</v>
      </c>
      <c r="Q77" s="334">
        <v>2011</v>
      </c>
      <c r="R77" s="334">
        <v>2012</v>
      </c>
      <c r="S77" s="334">
        <v>2013</v>
      </c>
      <c r="T77" s="334">
        <v>2014</v>
      </c>
      <c r="U77" s="334">
        <v>2015</v>
      </c>
      <c r="V77" s="334">
        <v>2016</v>
      </c>
      <c r="W77" s="14"/>
      <c r="X77" s="8"/>
      <c r="Y77" s="8"/>
      <c r="Z77" s="8"/>
      <c r="AA77" s="8"/>
      <c r="AB77" s="8"/>
      <c r="AC77" s="8"/>
      <c r="AD77" s="8"/>
      <c r="AE77" s="8"/>
      <c r="AF77" s="8"/>
      <c r="AG77" s="347"/>
      <c r="AH77" s="8"/>
    </row>
    <row r="78" spans="2:64" x14ac:dyDescent="0.35">
      <c r="B78" s="12"/>
      <c r="C78" s="716" t="s">
        <v>109</v>
      </c>
      <c r="D78" s="716" t="s">
        <v>65</v>
      </c>
      <c r="E78" s="332" t="s">
        <v>111</v>
      </c>
      <c r="F78" s="27">
        <v>748.70740731911997</v>
      </c>
      <c r="G78" s="27">
        <v>784.42367572828607</v>
      </c>
      <c r="H78" s="27">
        <v>765.04913312400004</v>
      </c>
      <c r="I78" s="27">
        <v>814.87045910400002</v>
      </c>
      <c r="J78" s="27">
        <v>838.12353444799999</v>
      </c>
      <c r="K78" s="27">
        <v>846.08038776600006</v>
      </c>
      <c r="L78" s="27">
        <v>876.29636522199996</v>
      </c>
      <c r="M78" s="27">
        <v>857.50119417200017</v>
      </c>
      <c r="N78" s="27">
        <v>841.62956446599992</v>
      </c>
      <c r="O78" s="27">
        <v>808.57195908600011</v>
      </c>
      <c r="P78" s="27">
        <v>854.00654851199999</v>
      </c>
      <c r="Q78" s="27">
        <v>863.0229809220001</v>
      </c>
      <c r="R78" s="27">
        <v>854.40665394000007</v>
      </c>
      <c r="S78" s="27">
        <v>870.57418081463641</v>
      </c>
      <c r="T78" s="27">
        <v>891.93075391600598</v>
      </c>
      <c r="U78" s="27">
        <v>912.85674650440001</v>
      </c>
      <c r="V78" s="27">
        <v>951</v>
      </c>
      <c r="W78" s="14"/>
      <c r="X78" s="8"/>
      <c r="Y78" s="8"/>
      <c r="Z78" s="8"/>
      <c r="AA78" s="8"/>
      <c r="AB78" s="8"/>
      <c r="AC78" s="8"/>
      <c r="AD78" s="8"/>
      <c r="AE78" s="8"/>
      <c r="AF78" s="8"/>
      <c r="AG78" s="84"/>
      <c r="AH78" s="8"/>
    </row>
    <row r="79" spans="2:64" x14ac:dyDescent="0.35">
      <c r="B79" s="12"/>
      <c r="C79" s="716"/>
      <c r="D79" s="716"/>
      <c r="E79" s="332" t="s">
        <v>106</v>
      </c>
      <c r="F79" s="53"/>
      <c r="G79" s="53">
        <f t="shared" ref="G79:V79" si="32">(G78-F78)/F78</f>
        <v>4.770390683999582E-2</v>
      </c>
      <c r="H79" s="53">
        <f t="shared" si="32"/>
        <v>-2.4699079341655564E-2</v>
      </c>
      <c r="I79" s="53">
        <f t="shared" si="32"/>
        <v>6.5121733785331773E-2</v>
      </c>
      <c r="J79" s="53">
        <f t="shared" si="32"/>
        <v>2.853591645666987E-2</v>
      </c>
      <c r="K79" s="53">
        <f t="shared" si="32"/>
        <v>9.4936521777073922E-3</v>
      </c>
      <c r="L79" s="53">
        <f t="shared" si="32"/>
        <v>3.5712891934278852E-2</v>
      </c>
      <c r="M79" s="53">
        <f t="shared" si="32"/>
        <v>-2.1448418361564522E-2</v>
      </c>
      <c r="N79" s="53">
        <f t="shared" si="32"/>
        <v>-1.8509163385277652E-2</v>
      </c>
      <c r="O79" s="53">
        <f t="shared" si="32"/>
        <v>-3.9278094277705559E-2</v>
      </c>
      <c r="P79" s="53">
        <f t="shared" si="32"/>
        <v>5.6191151468273269E-2</v>
      </c>
      <c r="Q79" s="53">
        <f t="shared" si="32"/>
        <v>1.0557802426351551E-2</v>
      </c>
      <c r="R79" s="53">
        <f t="shared" si="32"/>
        <v>-9.9838905480765811E-3</v>
      </c>
      <c r="S79" s="53">
        <f t="shared" si="32"/>
        <v>1.8922519856419198E-2</v>
      </c>
      <c r="T79" s="53">
        <f t="shared" si="32"/>
        <v>2.4531594862353082E-2</v>
      </c>
      <c r="U79" s="53">
        <f t="shared" si="32"/>
        <v>2.3461454262585776E-2</v>
      </c>
      <c r="V79" s="53">
        <f t="shared" si="32"/>
        <v>4.1784489890294235E-2</v>
      </c>
      <c r="W79" s="14"/>
      <c r="X79" s="8"/>
      <c r="Y79" s="8"/>
      <c r="Z79" s="8"/>
      <c r="AA79" s="8"/>
      <c r="AB79" s="8"/>
      <c r="AC79" s="8"/>
      <c r="AD79" s="8"/>
      <c r="AE79" s="8"/>
      <c r="AF79" s="8"/>
      <c r="AG79" s="352"/>
      <c r="AH79" s="8"/>
    </row>
    <row r="80" spans="2:64" x14ac:dyDescent="0.35">
      <c r="B80" s="12"/>
      <c r="C80" s="718" t="s">
        <v>113</v>
      </c>
      <c r="D80" s="719"/>
      <c r="E80" s="719"/>
      <c r="F80" s="719"/>
      <c r="G80" s="719"/>
      <c r="H80" s="719"/>
      <c r="I80" s="719"/>
      <c r="J80" s="719"/>
      <c r="K80" s="719"/>
      <c r="L80" s="719"/>
      <c r="M80" s="719"/>
      <c r="N80" s="719"/>
      <c r="O80" s="719"/>
      <c r="P80" s="719"/>
      <c r="Q80" s="719"/>
      <c r="R80" s="719"/>
      <c r="S80" s="719"/>
      <c r="T80" s="719"/>
      <c r="U80" s="719"/>
      <c r="V80" s="719"/>
      <c r="W80" s="14"/>
      <c r="X80" s="8"/>
      <c r="Y80" s="8"/>
      <c r="Z80" s="8"/>
      <c r="AA80" s="8"/>
      <c r="AB80" s="8"/>
      <c r="AC80" s="8"/>
      <c r="AD80" s="8"/>
      <c r="AE80" s="8"/>
      <c r="AF80" s="8"/>
      <c r="AG80" s="353"/>
      <c r="AH80" s="8"/>
    </row>
    <row r="81" spans="2:34" x14ac:dyDescent="0.35">
      <c r="B81" s="12"/>
      <c r="C81" s="716" t="s">
        <v>14</v>
      </c>
      <c r="D81" s="716" t="s">
        <v>65</v>
      </c>
      <c r="E81" s="32" t="s">
        <v>112</v>
      </c>
      <c r="F81" s="27">
        <v>42.772599999999997</v>
      </c>
      <c r="G81" s="27">
        <v>12.0517</v>
      </c>
      <c r="H81" s="27">
        <v>17.98555</v>
      </c>
      <c r="I81" s="27">
        <v>32.274529999999999</v>
      </c>
      <c r="J81" s="27">
        <v>44.286560000000001</v>
      </c>
      <c r="K81" s="27">
        <v>56.203600000000002</v>
      </c>
      <c r="L81" s="27">
        <v>5.7321</v>
      </c>
      <c r="M81" s="27">
        <v>3.1876000000000002</v>
      </c>
      <c r="N81" s="27">
        <v>6.5815000000000001</v>
      </c>
      <c r="O81" s="27">
        <v>15.277304000000001</v>
      </c>
      <c r="P81" s="27">
        <v>18.948927000000001</v>
      </c>
      <c r="Q81" s="27">
        <v>11.58</v>
      </c>
      <c r="R81" s="27">
        <v>10.9838</v>
      </c>
      <c r="S81" s="27">
        <v>1.6682999999999999</v>
      </c>
      <c r="T81" s="27">
        <v>1.9911000000000001</v>
      </c>
      <c r="U81" s="27">
        <v>2.0057999999999998</v>
      </c>
      <c r="V81" s="27">
        <v>2.1</v>
      </c>
      <c r="W81" s="14"/>
      <c r="X81" s="8"/>
      <c r="Y81" s="8"/>
      <c r="Z81" s="8"/>
      <c r="AA81" s="8"/>
      <c r="AB81" s="8"/>
      <c r="AC81" s="8"/>
      <c r="AD81" s="8"/>
      <c r="AE81" s="8"/>
      <c r="AF81" s="8"/>
      <c r="AG81" s="84"/>
      <c r="AH81" s="8"/>
    </row>
    <row r="82" spans="2:34" x14ac:dyDescent="0.35">
      <c r="B82" s="12"/>
      <c r="C82" s="716"/>
      <c r="D82" s="716"/>
      <c r="E82" s="32" t="s">
        <v>106</v>
      </c>
      <c r="F82" s="53"/>
      <c r="G82" s="53">
        <f t="shared" ref="G82:V82" si="33">(G81-F81)/F81</f>
        <v>-0.71823784385330791</v>
      </c>
      <c r="H82" s="53">
        <f t="shared" si="33"/>
        <v>0.49236622219271964</v>
      </c>
      <c r="I82" s="53">
        <f t="shared" si="33"/>
        <v>0.79447000508741727</v>
      </c>
      <c r="J82" s="53">
        <f t="shared" si="33"/>
        <v>0.37218295665343548</v>
      </c>
      <c r="K82" s="53">
        <f t="shared" si="33"/>
        <v>0.26908931287505733</v>
      </c>
      <c r="L82" s="53">
        <f t="shared" si="33"/>
        <v>-0.89801187112569292</v>
      </c>
      <c r="M82" s="53">
        <f t="shared" si="33"/>
        <v>-0.44390363043212783</v>
      </c>
      <c r="N82" s="53">
        <f t="shared" si="33"/>
        <v>1.0647195382105659</v>
      </c>
      <c r="O82" s="53">
        <f t="shared" si="33"/>
        <v>1.3212495631694903</v>
      </c>
      <c r="P82" s="53">
        <f t="shared" si="33"/>
        <v>0.24033186745514784</v>
      </c>
      <c r="Q82" s="53">
        <f t="shared" si="33"/>
        <v>-0.38888360274964384</v>
      </c>
      <c r="R82" s="53">
        <f t="shared" si="33"/>
        <v>-5.1485319516407564E-2</v>
      </c>
      <c r="S82" s="53">
        <f t="shared" si="33"/>
        <v>-0.84811267503049947</v>
      </c>
      <c r="T82" s="53">
        <f t="shared" si="33"/>
        <v>0.19349037942816052</v>
      </c>
      <c r="U82" s="53">
        <f t="shared" si="33"/>
        <v>7.3828536989602291E-3</v>
      </c>
      <c r="V82" s="53">
        <f t="shared" si="33"/>
        <v>4.6963804965599903E-2</v>
      </c>
      <c r="W82" s="14"/>
      <c r="X82" s="8"/>
      <c r="Y82" s="8"/>
      <c r="Z82" s="8"/>
      <c r="AA82" s="8"/>
      <c r="AB82" s="8"/>
      <c r="AC82" s="8"/>
      <c r="AD82" s="8"/>
      <c r="AE82" s="8"/>
      <c r="AF82" s="8"/>
      <c r="AG82" s="352"/>
      <c r="AH82" s="8"/>
    </row>
    <row r="83" spans="2:34" x14ac:dyDescent="0.35">
      <c r="B83" s="12"/>
      <c r="C83" s="716" t="s">
        <v>114</v>
      </c>
      <c r="D83" s="716" t="s">
        <v>65</v>
      </c>
      <c r="E83" s="32" t="s">
        <v>112</v>
      </c>
      <c r="F83" s="27">
        <v>825.68688800000007</v>
      </c>
      <c r="G83" s="27">
        <v>864.41514800000004</v>
      </c>
      <c r="H83" s="27">
        <v>864.84840599999995</v>
      </c>
      <c r="I83" s="27">
        <v>960.57734800000003</v>
      </c>
      <c r="J83" s="27">
        <v>1031.539327</v>
      </c>
      <c r="K83" s="27">
        <v>1008.4352699999999</v>
      </c>
      <c r="L83" s="27">
        <v>993.00647400000003</v>
      </c>
      <c r="M83" s="27">
        <v>885.21800400000006</v>
      </c>
      <c r="N83" s="27">
        <v>796.35509999999999</v>
      </c>
      <c r="O83" s="27">
        <v>907.7712919999999</v>
      </c>
      <c r="P83" s="27">
        <v>947.02084300000001</v>
      </c>
      <c r="Q83" s="27">
        <v>1028.383566</v>
      </c>
      <c r="R83" s="27">
        <v>1027.0037380000001</v>
      </c>
      <c r="S83" s="27">
        <v>1044.1363080000001</v>
      </c>
      <c r="T83" s="27">
        <v>1045.172597</v>
      </c>
      <c r="U83" s="27">
        <v>1094.470409</v>
      </c>
      <c r="V83" s="27">
        <v>1072.9000000000001</v>
      </c>
      <c r="W83" s="14"/>
      <c r="X83" s="8"/>
      <c r="Y83" s="8"/>
      <c r="Z83" s="8"/>
      <c r="AA83" s="8"/>
      <c r="AB83" s="8"/>
      <c r="AC83" s="8"/>
      <c r="AD83" s="8"/>
      <c r="AE83" s="8"/>
      <c r="AF83" s="8"/>
      <c r="AG83" s="84"/>
      <c r="AH83" s="8"/>
    </row>
    <row r="84" spans="2:34" x14ac:dyDescent="0.35">
      <c r="B84" s="12"/>
      <c r="C84" s="716"/>
      <c r="D84" s="716"/>
      <c r="E84" s="32" t="s">
        <v>106</v>
      </c>
      <c r="F84" s="53"/>
      <c r="G84" s="53">
        <f t="shared" ref="G84:V84" si="34">(G83-F83)/F83</f>
        <v>4.690429333788812E-2</v>
      </c>
      <c r="H84" s="53">
        <f t="shared" si="34"/>
        <v>5.0121518694152937E-4</v>
      </c>
      <c r="I84" s="53">
        <f t="shared" si="34"/>
        <v>0.11068869565564081</v>
      </c>
      <c r="J84" s="53">
        <f t="shared" si="34"/>
        <v>7.3874299813282626E-2</v>
      </c>
      <c r="K84" s="53">
        <f t="shared" si="34"/>
        <v>-2.2397650186729151E-2</v>
      </c>
      <c r="L84" s="53">
        <f t="shared" si="34"/>
        <v>-1.5299738574197154E-2</v>
      </c>
      <c r="M84" s="53">
        <f t="shared" si="34"/>
        <v>-0.10854760046609722</v>
      </c>
      <c r="N84" s="53">
        <f t="shared" si="34"/>
        <v>-0.10038533287671368</v>
      </c>
      <c r="O84" s="53">
        <f t="shared" si="34"/>
        <v>0.13990767686425304</v>
      </c>
      <c r="P84" s="53">
        <f t="shared" si="34"/>
        <v>4.3237268402182644E-2</v>
      </c>
      <c r="Q84" s="53">
        <f t="shared" si="34"/>
        <v>8.5914395233643193E-2</v>
      </c>
      <c r="R84" s="53">
        <f t="shared" si="34"/>
        <v>-1.3417445062515335E-3</v>
      </c>
      <c r="S84" s="53">
        <f t="shared" si="34"/>
        <v>1.6682091180470451E-2</v>
      </c>
      <c r="T84" s="53">
        <f t="shared" si="34"/>
        <v>9.9248440271640934E-4</v>
      </c>
      <c r="U84" s="53">
        <f t="shared" si="34"/>
        <v>4.7167149369875816E-2</v>
      </c>
      <c r="V84" s="53">
        <f t="shared" si="34"/>
        <v>-1.9708535582710237E-2</v>
      </c>
      <c r="W84" s="14"/>
      <c r="X84" s="8"/>
      <c r="Y84" s="8"/>
      <c r="Z84" s="8"/>
      <c r="AA84" s="8"/>
      <c r="AB84" s="8"/>
      <c r="AC84" s="8"/>
      <c r="AD84" s="8"/>
      <c r="AE84" s="8"/>
      <c r="AF84" s="8"/>
      <c r="AG84" s="352"/>
      <c r="AH84" s="8"/>
    </row>
    <row r="85" spans="2:34" x14ac:dyDescent="0.35">
      <c r="B85" s="12"/>
      <c r="C85" s="716" t="s">
        <v>15</v>
      </c>
      <c r="D85" s="716" t="s">
        <v>65</v>
      </c>
      <c r="E85" s="32" t="s">
        <v>112</v>
      </c>
      <c r="F85" s="27">
        <v>363.29</v>
      </c>
      <c r="G85" s="27">
        <v>465.29</v>
      </c>
      <c r="H85" s="27">
        <v>505.46899999999999</v>
      </c>
      <c r="I85" s="27">
        <v>497.58</v>
      </c>
      <c r="J85" s="27">
        <v>470.34</v>
      </c>
      <c r="K85" s="27">
        <v>609.73400000000004</v>
      </c>
      <c r="L85" s="27">
        <v>798.34836700000005</v>
      </c>
      <c r="M85" s="27">
        <v>993.60206600000004</v>
      </c>
      <c r="N85" s="27">
        <v>1128.729734</v>
      </c>
      <c r="O85" s="27">
        <v>1015.25578</v>
      </c>
      <c r="P85" s="27">
        <v>1115.853357</v>
      </c>
      <c r="Q85" s="27">
        <v>1119.3828610000003</v>
      </c>
      <c r="R85" s="27">
        <v>1162.2731080000001</v>
      </c>
      <c r="S85" s="27">
        <v>1213.5528300000001</v>
      </c>
      <c r="T85" s="27">
        <v>1259.4965419999999</v>
      </c>
      <c r="U85" s="27">
        <v>1181.6926880000001</v>
      </c>
      <c r="V85" s="27">
        <v>1266.8</v>
      </c>
      <c r="W85" s="14"/>
      <c r="X85" s="8"/>
      <c r="Y85" s="8"/>
      <c r="Z85" s="8"/>
      <c r="AA85" s="8"/>
      <c r="AB85" s="8"/>
      <c r="AC85" s="8"/>
      <c r="AD85" s="8"/>
      <c r="AE85" s="8"/>
      <c r="AF85" s="8"/>
      <c r="AG85" s="84"/>
      <c r="AH85" s="8"/>
    </row>
    <row r="86" spans="2:34" x14ac:dyDescent="0.35">
      <c r="B86" s="12"/>
      <c r="C86" s="716"/>
      <c r="D86" s="716"/>
      <c r="E86" s="32" t="s">
        <v>106</v>
      </c>
      <c r="F86" s="53"/>
      <c r="G86" s="53">
        <f t="shared" ref="G86:V86" si="35">(G85-F85)/F85</f>
        <v>0.28076743097800655</v>
      </c>
      <c r="H86" s="53">
        <f t="shared" si="35"/>
        <v>8.6352597304906561E-2</v>
      </c>
      <c r="I86" s="53">
        <f t="shared" si="35"/>
        <v>-1.560728748944052E-2</v>
      </c>
      <c r="J86" s="53">
        <f t="shared" si="35"/>
        <v>-5.4744965633666966E-2</v>
      </c>
      <c r="K86" s="53">
        <f t="shared" si="35"/>
        <v>0.29636858442828606</v>
      </c>
      <c r="L86" s="53">
        <f t="shared" si="35"/>
        <v>0.30933877231710877</v>
      </c>
      <c r="M86" s="53">
        <f t="shared" si="35"/>
        <v>0.24457205284168881</v>
      </c>
      <c r="N86" s="53">
        <f t="shared" si="35"/>
        <v>0.13599777277435729</v>
      </c>
      <c r="O86" s="53">
        <f t="shared" si="35"/>
        <v>-0.10053243977003272</v>
      </c>
      <c r="P86" s="53">
        <f t="shared" si="35"/>
        <v>9.9085943642694657E-2</v>
      </c>
      <c r="Q86" s="53">
        <f t="shared" si="35"/>
        <v>3.1630536197780291E-3</v>
      </c>
      <c r="R86" s="53">
        <f t="shared" si="35"/>
        <v>3.8315976145716427E-2</v>
      </c>
      <c r="S86" s="53">
        <f t="shared" si="35"/>
        <v>4.4120200017567633E-2</v>
      </c>
      <c r="T86" s="53">
        <f t="shared" si="35"/>
        <v>3.785884789210188E-2</v>
      </c>
      <c r="U86" s="53">
        <f t="shared" si="35"/>
        <v>-6.1773773413027588E-2</v>
      </c>
      <c r="V86" s="53">
        <f t="shared" si="35"/>
        <v>7.2021527140057801E-2</v>
      </c>
      <c r="W86" s="14"/>
      <c r="X86" s="8"/>
      <c r="Y86" s="8"/>
      <c r="Z86" s="8"/>
      <c r="AA86" s="8"/>
      <c r="AB86" s="8"/>
      <c r="AC86" s="8"/>
      <c r="AD86" s="8"/>
      <c r="AE86" s="8"/>
      <c r="AF86" s="8"/>
      <c r="AG86" s="352"/>
      <c r="AH86" s="8"/>
    </row>
    <row r="87" spans="2:34" x14ac:dyDescent="0.35">
      <c r="B87" s="12"/>
      <c r="C87" s="716" t="s">
        <v>16</v>
      </c>
      <c r="D87" s="716" t="s">
        <v>65</v>
      </c>
      <c r="E87" s="32" t="s">
        <v>112</v>
      </c>
      <c r="F87" s="27">
        <v>430.49</v>
      </c>
      <c r="G87" s="27">
        <v>477.62</v>
      </c>
      <c r="H87" s="27">
        <v>452.13400000000001</v>
      </c>
      <c r="I87" s="27">
        <v>448.92</v>
      </c>
      <c r="J87" s="27">
        <v>469.58</v>
      </c>
      <c r="K87" s="27">
        <v>452.87099999999998</v>
      </c>
      <c r="L87" s="27">
        <v>445.74503799999991</v>
      </c>
      <c r="M87" s="27">
        <v>467.92107400000003</v>
      </c>
      <c r="N87" s="27">
        <v>486.40424999999999</v>
      </c>
      <c r="O87" s="27">
        <v>485.03085499999992</v>
      </c>
      <c r="P87" s="27">
        <v>474.07597800000002</v>
      </c>
      <c r="Q87" s="27">
        <v>486.49219000000005</v>
      </c>
      <c r="R87" s="27">
        <v>470.49515900000006</v>
      </c>
      <c r="S87" s="27">
        <v>472.78504700000002</v>
      </c>
      <c r="T87" s="27">
        <v>456.22989100000001</v>
      </c>
      <c r="U87" s="27">
        <v>509.8410164</v>
      </c>
      <c r="V87" s="27">
        <v>497</v>
      </c>
      <c r="W87" s="14"/>
      <c r="X87" s="8"/>
      <c r="Y87" s="8"/>
      <c r="Z87" s="8"/>
      <c r="AA87" s="8"/>
      <c r="AB87" s="8"/>
      <c r="AC87" s="8"/>
      <c r="AD87" s="8"/>
      <c r="AE87" s="8"/>
      <c r="AF87" s="8"/>
      <c r="AG87" s="84"/>
      <c r="AH87" s="8"/>
    </row>
    <row r="88" spans="2:34" x14ac:dyDescent="0.35">
      <c r="B88" s="12"/>
      <c r="C88" s="716"/>
      <c r="D88" s="716"/>
      <c r="E88" s="32" t="s">
        <v>106</v>
      </c>
      <c r="F88" s="53"/>
      <c r="G88" s="53">
        <f t="shared" ref="G88:V88" si="36">(G87-F87)/F87</f>
        <v>0.10947989500336824</v>
      </c>
      <c r="H88" s="53">
        <f t="shared" si="36"/>
        <v>-5.336041204304675E-2</v>
      </c>
      <c r="I88" s="53">
        <f t="shared" si="36"/>
        <v>-7.1085120782776751E-3</v>
      </c>
      <c r="J88" s="53">
        <f t="shared" si="36"/>
        <v>4.6021562861979788E-2</v>
      </c>
      <c r="K88" s="53">
        <f t="shared" si="36"/>
        <v>-3.5582861280293039E-2</v>
      </c>
      <c r="L88" s="53">
        <f t="shared" si="36"/>
        <v>-1.5735081292465345E-2</v>
      </c>
      <c r="M88" s="53">
        <f t="shared" si="36"/>
        <v>4.9750494362205619E-2</v>
      </c>
      <c r="N88" s="53">
        <f t="shared" si="36"/>
        <v>3.9500627407091211E-2</v>
      </c>
      <c r="O88" s="53">
        <f t="shared" si="36"/>
        <v>-2.8235670226978344E-3</v>
      </c>
      <c r="P88" s="53">
        <f t="shared" si="36"/>
        <v>-2.2585938372930724E-2</v>
      </c>
      <c r="Q88" s="53">
        <f t="shared" si="36"/>
        <v>2.6190342004631228E-2</v>
      </c>
      <c r="R88" s="53">
        <f t="shared" si="36"/>
        <v>-3.2882400434835327E-2</v>
      </c>
      <c r="S88" s="53">
        <f t="shared" si="36"/>
        <v>4.86697462491843E-3</v>
      </c>
      <c r="T88" s="53">
        <f t="shared" si="36"/>
        <v>-3.5016242804311891E-2</v>
      </c>
      <c r="U88" s="53">
        <f t="shared" si="36"/>
        <v>0.11750901564667535</v>
      </c>
      <c r="V88" s="53">
        <f t="shared" si="36"/>
        <v>-2.51863149235633E-2</v>
      </c>
      <c r="W88" s="14"/>
      <c r="X88" s="8"/>
      <c r="Y88" s="8"/>
      <c r="Z88" s="8"/>
      <c r="AA88" s="8"/>
      <c r="AB88" s="8"/>
      <c r="AC88" s="8"/>
      <c r="AD88" s="8"/>
      <c r="AE88" s="8"/>
      <c r="AF88" s="8"/>
      <c r="AG88" s="352"/>
      <c r="AH88" s="8"/>
    </row>
    <row r="89" spans="2:34" x14ac:dyDescent="0.35">
      <c r="B89" s="12"/>
      <c r="C89" s="718" t="s">
        <v>115</v>
      </c>
      <c r="D89" s="719"/>
      <c r="E89" s="719"/>
      <c r="F89" s="719"/>
      <c r="G89" s="719"/>
      <c r="H89" s="719"/>
      <c r="I89" s="719"/>
      <c r="J89" s="719"/>
      <c r="K89" s="719"/>
      <c r="L89" s="719"/>
      <c r="M89" s="719"/>
      <c r="N89" s="719"/>
      <c r="O89" s="719"/>
      <c r="P89" s="719"/>
      <c r="Q89" s="719"/>
      <c r="R89" s="719"/>
      <c r="S89" s="719"/>
      <c r="T89" s="719"/>
      <c r="U89" s="719"/>
      <c r="V89" s="719"/>
      <c r="W89" s="14"/>
      <c r="X89" s="8"/>
      <c r="Y89" s="8"/>
      <c r="Z89" s="8"/>
      <c r="AA89" s="8"/>
      <c r="AB89" s="8"/>
      <c r="AC89" s="8"/>
      <c r="AD89" s="8"/>
      <c r="AE89" s="8"/>
      <c r="AF89" s="8"/>
      <c r="AG89" s="353"/>
      <c r="AH89" s="8"/>
    </row>
    <row r="90" spans="2:34" x14ac:dyDescent="0.35">
      <c r="B90" s="12"/>
      <c r="C90" s="716" t="s">
        <v>114</v>
      </c>
      <c r="D90" s="716" t="s">
        <v>65</v>
      </c>
      <c r="E90" s="32" t="s">
        <v>112</v>
      </c>
      <c r="F90" s="27">
        <v>19.616026999999999</v>
      </c>
      <c r="G90" s="27">
        <v>20.625039999999998</v>
      </c>
      <c r="H90" s="27">
        <v>22.558800000000002</v>
      </c>
      <c r="I90" s="27">
        <v>24.397120000000001</v>
      </c>
      <c r="J90" s="27">
        <v>26.767285000000001</v>
      </c>
      <c r="K90" s="27">
        <v>29.582999999999998</v>
      </c>
      <c r="L90" s="27">
        <v>30.344390000000001</v>
      </c>
      <c r="M90" s="27">
        <v>30.463771000000001</v>
      </c>
      <c r="N90" s="27">
        <v>30.767419</v>
      </c>
      <c r="O90" s="27">
        <v>30.190176000000001</v>
      </c>
      <c r="P90" s="27">
        <v>29.568580999999998</v>
      </c>
      <c r="Q90" s="27">
        <v>30.302716</v>
      </c>
      <c r="R90" s="27">
        <v>30.045027999999999</v>
      </c>
      <c r="S90" s="27">
        <v>31.976794000000002</v>
      </c>
      <c r="T90" s="27">
        <v>34.086243000000003</v>
      </c>
      <c r="U90" s="27">
        <v>36.773465999999999</v>
      </c>
      <c r="V90" s="27">
        <v>37</v>
      </c>
      <c r="W90" s="14"/>
      <c r="X90" s="8"/>
      <c r="Y90" s="8"/>
      <c r="Z90" s="8"/>
      <c r="AA90" s="8"/>
      <c r="AB90" s="8"/>
      <c r="AC90" s="8"/>
      <c r="AD90" s="8"/>
      <c r="AE90" s="8"/>
      <c r="AF90" s="8"/>
      <c r="AG90" s="84"/>
      <c r="AH90" s="8"/>
    </row>
    <row r="91" spans="2:34" x14ac:dyDescent="0.35">
      <c r="B91" s="12"/>
      <c r="C91" s="716"/>
      <c r="D91" s="716"/>
      <c r="E91" s="32" t="s">
        <v>106</v>
      </c>
      <c r="F91" s="53"/>
      <c r="G91" s="53">
        <f t="shared" ref="G91:V91" si="37">(G90-F90)/F90</f>
        <v>5.1438193880952526E-2</v>
      </c>
      <c r="H91" s="53">
        <f t="shared" si="37"/>
        <v>9.3757878772598904E-2</v>
      </c>
      <c r="I91" s="53">
        <f t="shared" si="37"/>
        <v>8.1490150185293514E-2</v>
      </c>
      <c r="J91" s="53">
        <f t="shared" si="37"/>
        <v>9.7149376647735472E-2</v>
      </c>
      <c r="K91" s="53">
        <f t="shared" si="37"/>
        <v>0.10519240184426613</v>
      </c>
      <c r="L91" s="53">
        <f t="shared" si="37"/>
        <v>2.5737416759625539E-2</v>
      </c>
      <c r="M91" s="53">
        <f t="shared" si="37"/>
        <v>3.9342033239093167E-3</v>
      </c>
      <c r="N91" s="53">
        <f t="shared" si="37"/>
        <v>9.9675119012678712E-3</v>
      </c>
      <c r="O91" s="53">
        <f t="shared" si="37"/>
        <v>-1.8761502224154691E-2</v>
      </c>
      <c r="P91" s="53">
        <f t="shared" si="37"/>
        <v>-2.0589313556833945E-2</v>
      </c>
      <c r="Q91" s="53">
        <f t="shared" si="37"/>
        <v>2.4828212080924748E-2</v>
      </c>
      <c r="R91" s="53">
        <f t="shared" si="37"/>
        <v>-8.5037922013327678E-3</v>
      </c>
      <c r="S91" s="53">
        <f t="shared" si="37"/>
        <v>6.4295696446014405E-2</v>
      </c>
      <c r="T91" s="53">
        <f t="shared" si="37"/>
        <v>6.5968120506389769E-2</v>
      </c>
      <c r="U91" s="53">
        <f t="shared" si="37"/>
        <v>7.883599844077846E-2</v>
      </c>
      <c r="V91" s="53">
        <f t="shared" si="37"/>
        <v>6.1602569635399859E-3</v>
      </c>
      <c r="W91" s="14"/>
      <c r="X91" s="8"/>
      <c r="Y91" s="8"/>
      <c r="Z91" s="8"/>
      <c r="AA91" s="8"/>
      <c r="AB91" s="8"/>
      <c r="AC91" s="8"/>
      <c r="AD91" s="8"/>
      <c r="AE91" s="8"/>
      <c r="AF91" s="8"/>
      <c r="AG91" s="352"/>
      <c r="AH91" s="8"/>
    </row>
    <row r="92" spans="2:34" ht="15" thickBot="1" x14ac:dyDescent="0.4">
      <c r="B92" s="18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1"/>
      <c r="X92" s="8"/>
      <c r="Y92" s="8"/>
      <c r="Z92" s="8"/>
      <c r="AA92" s="8"/>
      <c r="AB92" s="8"/>
      <c r="AC92" s="8"/>
      <c r="AD92" s="8"/>
      <c r="AE92" s="8"/>
      <c r="AF92" s="8"/>
      <c r="AG92" s="84"/>
      <c r="AH92" s="8"/>
    </row>
    <row r="93" spans="2:34" ht="15" thickBot="1" x14ac:dyDescent="0.4"/>
    <row r="94" spans="2:34" s="110" customFormat="1" x14ac:dyDescent="0.35"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1"/>
    </row>
    <row r="95" spans="2:34" s="110" customFormat="1" x14ac:dyDescent="0.35">
      <c r="B95" s="12"/>
      <c r="C95" s="13" t="s">
        <v>348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14"/>
    </row>
    <row r="96" spans="2:34" s="110" customFormat="1" x14ac:dyDescent="0.35">
      <c r="B96" s="12"/>
      <c r="C96" s="25" t="s">
        <v>349</v>
      </c>
      <c r="D96" s="25" t="s">
        <v>64</v>
      </c>
      <c r="E96" s="25" t="s">
        <v>87</v>
      </c>
      <c r="F96" s="25">
        <v>2000</v>
      </c>
      <c r="G96" s="25">
        <v>2001</v>
      </c>
      <c r="H96" s="25">
        <v>2002</v>
      </c>
      <c r="I96" s="25">
        <v>2003</v>
      </c>
      <c r="J96" s="25">
        <v>2004</v>
      </c>
      <c r="K96" s="25">
        <v>2005</v>
      </c>
      <c r="L96" s="25">
        <v>2006</v>
      </c>
      <c r="M96" s="25">
        <v>2007</v>
      </c>
      <c r="N96" s="25">
        <v>2008</v>
      </c>
      <c r="O96" s="25">
        <v>2009</v>
      </c>
      <c r="P96" s="25">
        <v>2010</v>
      </c>
      <c r="Q96" s="25">
        <v>2011</v>
      </c>
      <c r="R96" s="25">
        <v>2012</v>
      </c>
      <c r="S96" s="25">
        <v>2013</v>
      </c>
      <c r="T96" s="25">
        <v>2014</v>
      </c>
      <c r="U96" s="25">
        <v>2015</v>
      </c>
      <c r="V96" s="25">
        <v>2016</v>
      </c>
      <c r="W96" s="14"/>
    </row>
    <row r="97" spans="2:23" s="110" customFormat="1" x14ac:dyDescent="0.35">
      <c r="B97" s="12"/>
      <c r="C97" s="718" t="s">
        <v>350</v>
      </c>
      <c r="D97" s="719"/>
      <c r="E97" s="719"/>
      <c r="F97" s="719"/>
      <c r="G97" s="719"/>
      <c r="H97" s="719"/>
      <c r="I97" s="719"/>
      <c r="J97" s="719"/>
      <c r="K97" s="719"/>
      <c r="L97" s="719"/>
      <c r="M97" s="719"/>
      <c r="N97" s="719"/>
      <c r="O97" s="719"/>
      <c r="P97" s="719"/>
      <c r="Q97" s="719"/>
      <c r="R97" s="719"/>
      <c r="S97" s="719"/>
      <c r="T97" s="719"/>
      <c r="U97" s="719"/>
      <c r="V97" s="720"/>
      <c r="W97" s="14"/>
    </row>
    <row r="98" spans="2:23" s="110" customFormat="1" x14ac:dyDescent="0.35">
      <c r="B98" s="12"/>
      <c r="C98" s="27" t="s">
        <v>17</v>
      </c>
      <c r="D98" s="341" t="s">
        <v>74</v>
      </c>
      <c r="E98" s="336" t="s">
        <v>1</v>
      </c>
      <c r="F98" s="377">
        <f t="shared" ref="F98:J98" si="38">G98</f>
        <v>25</v>
      </c>
      <c r="G98" s="377">
        <f t="shared" si="38"/>
        <v>25</v>
      </c>
      <c r="H98" s="377">
        <f t="shared" si="38"/>
        <v>25</v>
      </c>
      <c r="I98" s="377">
        <f t="shared" si="38"/>
        <v>25</v>
      </c>
      <c r="J98" s="377">
        <f t="shared" si="38"/>
        <v>25</v>
      </c>
      <c r="K98" s="377">
        <f>L98</f>
        <v>25</v>
      </c>
      <c r="L98" s="33">
        <v>25</v>
      </c>
      <c r="M98" s="33">
        <v>25</v>
      </c>
      <c r="N98" s="33">
        <v>25</v>
      </c>
      <c r="O98" s="33">
        <v>25</v>
      </c>
      <c r="P98" s="33">
        <v>25</v>
      </c>
      <c r="Q98" s="33">
        <v>25</v>
      </c>
      <c r="R98" s="33">
        <v>25</v>
      </c>
      <c r="S98" s="33">
        <v>25</v>
      </c>
      <c r="T98" s="33">
        <v>26</v>
      </c>
      <c r="U98" s="33">
        <v>26</v>
      </c>
      <c r="V98" s="377">
        <v>26</v>
      </c>
      <c r="W98" s="14"/>
    </row>
    <row r="99" spans="2:23" s="110" customFormat="1" x14ac:dyDescent="0.35">
      <c r="B99" s="12"/>
      <c r="C99" s="430" t="s">
        <v>379</v>
      </c>
      <c r="D99" s="341" t="s">
        <v>74</v>
      </c>
      <c r="E99" s="336" t="s">
        <v>1</v>
      </c>
      <c r="F99" s="377">
        <f t="shared" ref="F99:J99" si="39">G99</f>
        <v>545</v>
      </c>
      <c r="G99" s="377">
        <f t="shared" si="39"/>
        <v>545</v>
      </c>
      <c r="H99" s="377">
        <f t="shared" si="39"/>
        <v>545</v>
      </c>
      <c r="I99" s="377">
        <f t="shared" si="39"/>
        <v>545</v>
      </c>
      <c r="J99" s="377">
        <f t="shared" si="39"/>
        <v>545</v>
      </c>
      <c r="K99" s="377">
        <f>L99</f>
        <v>545</v>
      </c>
      <c r="L99" s="33">
        <v>545</v>
      </c>
      <c r="M99" s="33">
        <v>545</v>
      </c>
      <c r="N99" s="33">
        <v>545</v>
      </c>
      <c r="O99" s="33">
        <v>545</v>
      </c>
      <c r="P99" s="33">
        <v>545</v>
      </c>
      <c r="Q99" s="33">
        <v>545</v>
      </c>
      <c r="R99" s="33">
        <v>545</v>
      </c>
      <c r="S99" s="33">
        <v>545</v>
      </c>
      <c r="T99" s="33">
        <v>545</v>
      </c>
      <c r="U99" s="33">
        <v>546</v>
      </c>
      <c r="V99" s="377">
        <f>U99</f>
        <v>546</v>
      </c>
      <c r="W99" s="14"/>
    </row>
    <row r="100" spans="2:23" s="110" customFormat="1" x14ac:dyDescent="0.35">
      <c r="B100" s="12"/>
      <c r="C100" s="718" t="s">
        <v>351</v>
      </c>
      <c r="D100" s="719"/>
      <c r="E100" s="719"/>
      <c r="F100" s="719"/>
      <c r="G100" s="719"/>
      <c r="H100" s="719"/>
      <c r="I100" s="719"/>
      <c r="J100" s="719"/>
      <c r="K100" s="719"/>
      <c r="L100" s="719"/>
      <c r="M100" s="719"/>
      <c r="N100" s="719"/>
      <c r="O100" s="719"/>
      <c r="P100" s="719"/>
      <c r="Q100" s="719"/>
      <c r="R100" s="719"/>
      <c r="S100" s="719"/>
      <c r="T100" s="719"/>
      <c r="U100" s="719"/>
      <c r="V100" s="720"/>
      <c r="W100" s="14"/>
    </row>
    <row r="101" spans="2:23" s="110" customFormat="1" x14ac:dyDescent="0.35">
      <c r="B101" s="12"/>
      <c r="C101" s="27" t="s">
        <v>17</v>
      </c>
      <c r="D101" s="341" t="s">
        <v>74</v>
      </c>
      <c r="E101" s="336" t="s">
        <v>1</v>
      </c>
      <c r="F101" s="224">
        <f t="shared" ref="F101:K101" si="40">($F$142/$F$147)*F$134</f>
        <v>2627.3684210526317</v>
      </c>
      <c r="G101" s="224">
        <f t="shared" si="40"/>
        <v>2370.5052631578947</v>
      </c>
      <c r="H101" s="224">
        <f t="shared" si="40"/>
        <v>2362.6736842105265</v>
      </c>
      <c r="I101" s="224">
        <f t="shared" si="40"/>
        <v>2606.7157894736843</v>
      </c>
      <c r="J101" s="224">
        <f t="shared" si="40"/>
        <v>2739.2842105263157</v>
      </c>
      <c r="K101" s="224">
        <f t="shared" si="40"/>
        <v>2597.4947368421053</v>
      </c>
      <c r="L101" s="197">
        <f>($F$142/$F$147)*L$134</f>
        <v>3143.1789473684212</v>
      </c>
      <c r="M101" s="197">
        <f t="shared" ref="M101:V101" si="41">($F$142/$F$147)*M$134</f>
        <v>3052.8</v>
      </c>
      <c r="N101" s="197">
        <f t="shared" si="41"/>
        <v>2924.2736842105264</v>
      </c>
      <c r="O101" s="197">
        <f t="shared" si="41"/>
        <v>2897.8105263157895</v>
      </c>
      <c r="P101" s="197">
        <f t="shared" si="41"/>
        <v>2939.5578947368422</v>
      </c>
      <c r="Q101" s="197">
        <f t="shared" si="41"/>
        <v>2721.7263157894736</v>
      </c>
      <c r="R101" s="197">
        <f t="shared" si="41"/>
        <v>2609.0526315789475</v>
      </c>
      <c r="S101" s="197">
        <f t="shared" si="41"/>
        <v>2238.5052631578947</v>
      </c>
      <c r="T101" s="197">
        <f t="shared" si="41"/>
        <v>2279.7473684210527</v>
      </c>
      <c r="U101" s="197">
        <f t="shared" si="41"/>
        <v>2311.0736842105266</v>
      </c>
      <c r="V101" s="224">
        <f t="shared" si="41"/>
        <v>2229.7894736842104</v>
      </c>
      <c r="W101" s="14"/>
    </row>
    <row r="102" spans="2:23" s="110" customFormat="1" x14ac:dyDescent="0.35">
      <c r="B102" s="12"/>
      <c r="C102" s="27" t="s">
        <v>125</v>
      </c>
      <c r="D102" s="341" t="s">
        <v>74</v>
      </c>
      <c r="E102" s="336" t="s">
        <v>1</v>
      </c>
      <c r="F102" s="224">
        <f>($H$142/$H$147)*F$136</f>
        <v>141.88461538461539</v>
      </c>
      <c r="G102" s="224">
        <f t="shared" ref="G102:V102" si="42">($H$142/$H$147)*G$136</f>
        <v>140.38461538461539</v>
      </c>
      <c r="H102" s="224">
        <f t="shared" si="42"/>
        <v>134.69230769230771</v>
      </c>
      <c r="I102" s="224">
        <f t="shared" si="42"/>
        <v>114</v>
      </c>
      <c r="J102" s="224">
        <f t="shared" si="42"/>
        <v>106</v>
      </c>
      <c r="K102" s="224">
        <f t="shared" si="42"/>
        <v>150.15384615384616</v>
      </c>
      <c r="L102" s="197">
        <f t="shared" si="42"/>
        <v>152.5</v>
      </c>
      <c r="M102" s="197">
        <f t="shared" si="42"/>
        <v>156.46153846153848</v>
      </c>
      <c r="N102" s="197">
        <f t="shared" si="42"/>
        <v>189.23076923076925</v>
      </c>
      <c r="O102" s="197">
        <f t="shared" si="42"/>
        <v>192.57692307692309</v>
      </c>
      <c r="P102" s="197">
        <f t="shared" si="42"/>
        <v>197</v>
      </c>
      <c r="Q102" s="197">
        <f t="shared" si="42"/>
        <v>201.46153846153848</v>
      </c>
      <c r="R102" s="197">
        <f t="shared" si="42"/>
        <v>210.11538461538461</v>
      </c>
      <c r="S102" s="197">
        <f t="shared" si="42"/>
        <v>205.88461538461539</v>
      </c>
      <c r="T102" s="197">
        <f t="shared" si="42"/>
        <v>208.73076923076925</v>
      </c>
      <c r="U102" s="197">
        <f t="shared" si="42"/>
        <v>218.15384615384616</v>
      </c>
      <c r="V102" s="224">
        <f t="shared" si="42"/>
        <v>215.42307692307693</v>
      </c>
      <c r="W102" s="14"/>
    </row>
    <row r="103" spans="2:23" s="110" customFormat="1" x14ac:dyDescent="0.35">
      <c r="B103" s="12"/>
      <c r="C103" s="27" t="s">
        <v>18</v>
      </c>
      <c r="D103" s="341" t="s">
        <v>74</v>
      </c>
      <c r="E103" s="336" t="s">
        <v>1</v>
      </c>
      <c r="F103" s="224">
        <f>($G$142/$G$147)*F$135</f>
        <v>1615.6265060240962</v>
      </c>
      <c r="G103" s="224">
        <f t="shared" ref="G103:V103" si="43">($G$142/$G$147)*G$135</f>
        <v>2027.0873493975903</v>
      </c>
      <c r="H103" s="224">
        <f t="shared" si="43"/>
        <v>2054.1352409638553</v>
      </c>
      <c r="I103" s="224">
        <f t="shared" si="43"/>
        <v>1849.3662650602409</v>
      </c>
      <c r="J103" s="224">
        <f t="shared" si="43"/>
        <v>1657.8954216867469</v>
      </c>
      <c r="K103" s="224">
        <f t="shared" si="43"/>
        <v>1538.1083132530121</v>
      </c>
      <c r="L103" s="197">
        <f t="shared" si="43"/>
        <v>1942.5180722891566</v>
      </c>
      <c r="M103" s="197">
        <f t="shared" si="43"/>
        <v>2014.0351807228915</v>
      </c>
      <c r="N103" s="197">
        <f t="shared" si="43"/>
        <v>1816.9113253012047</v>
      </c>
      <c r="O103" s="197">
        <f t="shared" si="43"/>
        <v>1557.0390361445784</v>
      </c>
      <c r="P103" s="197">
        <f t="shared" si="43"/>
        <v>1498.9879518072289</v>
      </c>
      <c r="Q103" s="197">
        <f t="shared" si="43"/>
        <v>1457.2048192771083</v>
      </c>
      <c r="R103" s="197">
        <f t="shared" si="43"/>
        <v>1407.9397590361446</v>
      </c>
      <c r="S103" s="197">
        <f t="shared" si="43"/>
        <v>1416.2168674698794</v>
      </c>
      <c r="T103" s="197">
        <f t="shared" si="43"/>
        <v>1462.9879518072289</v>
      </c>
      <c r="U103" s="197">
        <f t="shared" si="43"/>
        <v>1344.6867469879517</v>
      </c>
      <c r="V103" s="224">
        <f t="shared" si="43"/>
        <v>1329.7228915662649</v>
      </c>
      <c r="W103" s="14"/>
    </row>
    <row r="104" spans="2:23" s="110" customFormat="1" x14ac:dyDescent="0.35">
      <c r="B104" s="12"/>
      <c r="C104" s="40" t="s">
        <v>15</v>
      </c>
      <c r="D104" s="341" t="s">
        <v>74</v>
      </c>
      <c r="E104" s="336" t="s">
        <v>1</v>
      </c>
      <c r="F104" s="224">
        <f>($I$142/$I$147)*F$137</f>
        <v>3494.8571428571427</v>
      </c>
      <c r="G104" s="224">
        <f t="shared" ref="G104:V104" si="44">($I$142/$I$147)*G$137</f>
        <v>3682.9614285714283</v>
      </c>
      <c r="H104" s="224">
        <f t="shared" si="44"/>
        <v>3698.2857142857142</v>
      </c>
      <c r="I104" s="224">
        <f t="shared" si="44"/>
        <v>4142.8571428571422</v>
      </c>
      <c r="J104" s="224">
        <f t="shared" si="44"/>
        <v>3460</v>
      </c>
      <c r="K104" s="224">
        <f t="shared" si="44"/>
        <v>3308.8571428571427</v>
      </c>
      <c r="L104" s="197">
        <f t="shared" si="44"/>
        <v>3095.1428571428569</v>
      </c>
      <c r="M104" s="197">
        <f t="shared" si="44"/>
        <v>2852</v>
      </c>
      <c r="N104" s="197">
        <f t="shared" si="44"/>
        <v>5953.1428571428569</v>
      </c>
      <c r="O104" s="197">
        <f t="shared" si="44"/>
        <v>3081.7142857142853</v>
      </c>
      <c r="P104" s="197">
        <f t="shared" si="44"/>
        <v>3540.8571428571427</v>
      </c>
      <c r="Q104" s="197">
        <f t="shared" si="44"/>
        <v>3457.1428571428569</v>
      </c>
      <c r="R104" s="197">
        <f t="shared" si="44"/>
        <v>3659.8571428571427</v>
      </c>
      <c r="S104" s="197">
        <f t="shared" si="44"/>
        <v>3929.5714285714284</v>
      </c>
      <c r="T104" s="197">
        <f t="shared" si="44"/>
        <v>4464.2857142857138</v>
      </c>
      <c r="U104" s="197">
        <f t="shared" si="44"/>
        <v>5205.1344285714295</v>
      </c>
      <c r="V104" s="224">
        <f t="shared" si="44"/>
        <v>4741.8571428571422</v>
      </c>
      <c r="W104" s="14"/>
    </row>
    <row r="105" spans="2:23" s="110" customFormat="1" x14ac:dyDescent="0.35">
      <c r="B105" s="12"/>
      <c r="C105" s="718" t="s">
        <v>352</v>
      </c>
      <c r="D105" s="719"/>
      <c r="E105" s="719"/>
      <c r="F105" s="719"/>
      <c r="G105" s="719"/>
      <c r="H105" s="719"/>
      <c r="I105" s="719"/>
      <c r="J105" s="719"/>
      <c r="K105" s="719"/>
      <c r="L105" s="719"/>
      <c r="M105" s="719"/>
      <c r="N105" s="719"/>
      <c r="O105" s="719"/>
      <c r="P105" s="719"/>
      <c r="Q105" s="719"/>
      <c r="R105" s="719"/>
      <c r="S105" s="719"/>
      <c r="T105" s="719"/>
      <c r="U105" s="719"/>
      <c r="V105" s="720"/>
      <c r="W105" s="14"/>
    </row>
    <row r="106" spans="2:23" s="110" customFormat="1" x14ac:dyDescent="0.35">
      <c r="B106" s="12"/>
      <c r="C106" s="40" t="s">
        <v>18</v>
      </c>
      <c r="D106" s="341" t="s">
        <v>74</v>
      </c>
      <c r="E106" s="336" t="s">
        <v>1</v>
      </c>
      <c r="F106" s="224">
        <f>($G$143/$G$147)*F$135</f>
        <v>538.5421686746987</v>
      </c>
      <c r="G106" s="224">
        <f t="shared" ref="G106:V106" si="45">($G$143/$G$147)*G$135</f>
        <v>675.6957831325301</v>
      </c>
      <c r="H106" s="224">
        <f t="shared" si="45"/>
        <v>684.71174698795176</v>
      </c>
      <c r="I106" s="224">
        <f t="shared" si="45"/>
        <v>616.45542168674694</v>
      </c>
      <c r="J106" s="224">
        <f t="shared" si="45"/>
        <v>552.63180722891559</v>
      </c>
      <c r="K106" s="224">
        <f t="shared" si="45"/>
        <v>512.70277108433731</v>
      </c>
      <c r="L106" s="197">
        <f t="shared" si="45"/>
        <v>647.50602409638543</v>
      </c>
      <c r="M106" s="197">
        <f t="shared" si="45"/>
        <v>671.34506024096379</v>
      </c>
      <c r="N106" s="197">
        <f t="shared" si="45"/>
        <v>605.63710843373485</v>
      </c>
      <c r="O106" s="197">
        <f t="shared" si="45"/>
        <v>519.01301204819276</v>
      </c>
      <c r="P106" s="197">
        <f t="shared" si="45"/>
        <v>499.6626506024096</v>
      </c>
      <c r="Q106" s="197">
        <f t="shared" si="45"/>
        <v>485.73493975903608</v>
      </c>
      <c r="R106" s="197">
        <f t="shared" si="45"/>
        <v>469.31325301204816</v>
      </c>
      <c r="S106" s="197">
        <f t="shared" si="45"/>
        <v>472.07228915662648</v>
      </c>
      <c r="T106" s="197">
        <f t="shared" si="45"/>
        <v>487.6626506024096</v>
      </c>
      <c r="U106" s="197">
        <f t="shared" si="45"/>
        <v>448.22891566265054</v>
      </c>
      <c r="V106" s="224">
        <f t="shared" si="45"/>
        <v>443.24096385542163</v>
      </c>
      <c r="W106" s="14"/>
    </row>
    <row r="107" spans="2:23" s="110" customFormat="1" x14ac:dyDescent="0.35">
      <c r="B107" s="12"/>
      <c r="C107" s="718" t="s">
        <v>353</v>
      </c>
      <c r="D107" s="719"/>
      <c r="E107" s="719"/>
      <c r="F107" s="719"/>
      <c r="G107" s="719"/>
      <c r="H107" s="719"/>
      <c r="I107" s="719"/>
      <c r="J107" s="719"/>
      <c r="K107" s="719"/>
      <c r="L107" s="719"/>
      <c r="M107" s="719"/>
      <c r="N107" s="719"/>
      <c r="O107" s="719"/>
      <c r="P107" s="719"/>
      <c r="Q107" s="719"/>
      <c r="R107" s="719"/>
      <c r="S107" s="719"/>
      <c r="T107" s="719"/>
      <c r="U107" s="719"/>
      <c r="V107" s="720"/>
      <c r="W107" s="14"/>
    </row>
    <row r="108" spans="2:23" s="110" customFormat="1" x14ac:dyDescent="0.35">
      <c r="B108" s="12"/>
      <c r="C108" s="27" t="s">
        <v>17</v>
      </c>
      <c r="D108" s="341" t="s">
        <v>74</v>
      </c>
      <c r="E108" s="336" t="s">
        <v>1</v>
      </c>
      <c r="F108" s="224">
        <f>($F$144/$F$147)*F$134</f>
        <v>8757.8947368421068</v>
      </c>
      <c r="G108" s="224">
        <f t="shared" ref="G108:V108" si="46">($F$144/$F$147)*G$134</f>
        <v>7901.6842105263167</v>
      </c>
      <c r="H108" s="224">
        <f t="shared" si="46"/>
        <v>7875.5789473684217</v>
      </c>
      <c r="I108" s="224">
        <f t="shared" si="46"/>
        <v>8689.0526315789484</v>
      </c>
      <c r="J108" s="224">
        <f t="shared" si="46"/>
        <v>9130.9473684210534</v>
      </c>
      <c r="K108" s="224">
        <f t="shared" si="46"/>
        <v>8658.3157894736851</v>
      </c>
      <c r="L108" s="197">
        <f t="shared" si="46"/>
        <v>10477.263157894738</v>
      </c>
      <c r="M108" s="197">
        <f t="shared" si="46"/>
        <v>10176</v>
      </c>
      <c r="N108" s="197">
        <f t="shared" si="46"/>
        <v>9747.5789473684217</v>
      </c>
      <c r="O108" s="197">
        <f t="shared" si="46"/>
        <v>9659.3684210526317</v>
      </c>
      <c r="P108" s="197">
        <f t="shared" si="46"/>
        <v>9798.5263157894751</v>
      </c>
      <c r="Q108" s="197">
        <f t="shared" si="46"/>
        <v>9072.4210526315801</v>
      </c>
      <c r="R108" s="197">
        <f t="shared" si="46"/>
        <v>8696.8421052631584</v>
      </c>
      <c r="S108" s="197">
        <f t="shared" si="46"/>
        <v>7461.6842105263167</v>
      </c>
      <c r="T108" s="197">
        <f t="shared" si="46"/>
        <v>7599.1578947368425</v>
      </c>
      <c r="U108" s="197">
        <f t="shared" si="46"/>
        <v>7703.5789473684217</v>
      </c>
      <c r="V108" s="224">
        <f t="shared" si="46"/>
        <v>7432.6315789473692</v>
      </c>
      <c r="W108" s="14"/>
    </row>
    <row r="109" spans="2:23" s="110" customFormat="1" x14ac:dyDescent="0.35">
      <c r="B109" s="12"/>
      <c r="C109" s="40" t="s">
        <v>125</v>
      </c>
      <c r="D109" s="341" t="s">
        <v>74</v>
      </c>
      <c r="E109" s="336" t="s">
        <v>1</v>
      </c>
      <c r="F109" s="224">
        <f>($H$144/$H$147)*F$136</f>
        <v>212.82692307692307</v>
      </c>
      <c r="G109" s="224">
        <f t="shared" ref="G109:V109" si="47">($H$144/$H$147)*G$136</f>
        <v>210.57692307692307</v>
      </c>
      <c r="H109" s="224">
        <f t="shared" si="47"/>
        <v>202.03846153846152</v>
      </c>
      <c r="I109" s="224">
        <f t="shared" si="47"/>
        <v>171</v>
      </c>
      <c r="J109" s="224">
        <f t="shared" si="47"/>
        <v>159</v>
      </c>
      <c r="K109" s="224">
        <f t="shared" si="47"/>
        <v>225.23076923076923</v>
      </c>
      <c r="L109" s="197">
        <f t="shared" si="47"/>
        <v>228.74999999999997</v>
      </c>
      <c r="M109" s="197">
        <f t="shared" si="47"/>
        <v>234.69230769230768</v>
      </c>
      <c r="N109" s="197">
        <f t="shared" si="47"/>
        <v>283.84615384615381</v>
      </c>
      <c r="O109" s="197">
        <f t="shared" si="47"/>
        <v>288.86538461538458</v>
      </c>
      <c r="P109" s="197">
        <f t="shared" si="47"/>
        <v>295.5</v>
      </c>
      <c r="Q109" s="197">
        <f t="shared" si="47"/>
        <v>302.19230769230768</v>
      </c>
      <c r="R109" s="197">
        <f t="shared" si="47"/>
        <v>315.17307692307691</v>
      </c>
      <c r="S109" s="197">
        <f t="shared" si="47"/>
        <v>308.82692307692304</v>
      </c>
      <c r="T109" s="197">
        <f t="shared" si="47"/>
        <v>313.09615384615381</v>
      </c>
      <c r="U109" s="197">
        <f t="shared" si="47"/>
        <v>327.23076923076923</v>
      </c>
      <c r="V109" s="224">
        <f t="shared" si="47"/>
        <v>323.13461538461536</v>
      </c>
      <c r="W109" s="14"/>
    </row>
    <row r="110" spans="2:23" s="110" customFormat="1" x14ac:dyDescent="0.35">
      <c r="B110" s="12"/>
      <c r="C110" s="40" t="s">
        <v>18</v>
      </c>
      <c r="D110" s="341" t="s">
        <v>74</v>
      </c>
      <c r="E110" s="336" t="s">
        <v>1</v>
      </c>
      <c r="F110" s="224">
        <f>($G$144/$G$147)*F$135</f>
        <v>5923.9638554216863</v>
      </c>
      <c r="G110" s="224">
        <f t="shared" ref="G110:V110" si="48">($G$144/$G$147)*G$135</f>
        <v>7432.6536144578304</v>
      </c>
      <c r="H110" s="224">
        <f t="shared" si="48"/>
        <v>7531.8292168674689</v>
      </c>
      <c r="I110" s="224">
        <f t="shared" si="48"/>
        <v>6781.0096385542165</v>
      </c>
      <c r="J110" s="224">
        <f t="shared" si="48"/>
        <v>6078.9498795180716</v>
      </c>
      <c r="K110" s="224">
        <f t="shared" si="48"/>
        <v>5639.7304819277106</v>
      </c>
      <c r="L110" s="197">
        <f t="shared" si="48"/>
        <v>7122.5662650602399</v>
      </c>
      <c r="M110" s="197">
        <f t="shared" si="48"/>
        <v>7384.7956626506011</v>
      </c>
      <c r="N110" s="197">
        <f t="shared" si="48"/>
        <v>6662.0081927710835</v>
      </c>
      <c r="O110" s="197">
        <f t="shared" si="48"/>
        <v>5709.1431325301201</v>
      </c>
      <c r="P110" s="197">
        <f t="shared" si="48"/>
        <v>5496.2891566265052</v>
      </c>
      <c r="Q110" s="197">
        <f t="shared" si="48"/>
        <v>5343.0843373493972</v>
      </c>
      <c r="R110" s="197">
        <f t="shared" si="48"/>
        <v>5162.4457831325299</v>
      </c>
      <c r="S110" s="197">
        <f t="shared" si="48"/>
        <v>5192.795180722891</v>
      </c>
      <c r="T110" s="197">
        <f t="shared" si="48"/>
        <v>5364.2891566265052</v>
      </c>
      <c r="U110" s="197">
        <f t="shared" si="48"/>
        <v>4930.5180722891564</v>
      </c>
      <c r="V110" s="224">
        <f t="shared" si="48"/>
        <v>4875.6506024096379</v>
      </c>
      <c r="W110" s="14"/>
    </row>
    <row r="111" spans="2:23" s="110" customFormat="1" x14ac:dyDescent="0.35">
      <c r="B111" s="12"/>
      <c r="C111" s="40" t="s">
        <v>15</v>
      </c>
      <c r="D111" s="341" t="s">
        <v>74</v>
      </c>
      <c r="E111" s="336" t="s">
        <v>1</v>
      </c>
      <c r="F111" s="224">
        <f>($I$144/$I$147)*F$137</f>
        <v>3494.8571428571427</v>
      </c>
      <c r="G111" s="224">
        <f t="shared" ref="G111:V111" si="49">($I$144/$I$147)*G$137</f>
        <v>3682.9614285714283</v>
      </c>
      <c r="H111" s="224">
        <f t="shared" si="49"/>
        <v>3698.2857142857142</v>
      </c>
      <c r="I111" s="224">
        <f t="shared" si="49"/>
        <v>4142.8571428571422</v>
      </c>
      <c r="J111" s="224">
        <f t="shared" si="49"/>
        <v>3460</v>
      </c>
      <c r="K111" s="224">
        <f t="shared" si="49"/>
        <v>3308.8571428571427</v>
      </c>
      <c r="L111" s="197">
        <f t="shared" si="49"/>
        <v>3095.1428571428569</v>
      </c>
      <c r="M111" s="197">
        <f t="shared" si="49"/>
        <v>2852</v>
      </c>
      <c r="N111" s="197">
        <f t="shared" si="49"/>
        <v>5953.1428571428569</v>
      </c>
      <c r="O111" s="197">
        <f t="shared" si="49"/>
        <v>3081.7142857142853</v>
      </c>
      <c r="P111" s="197">
        <f t="shared" si="49"/>
        <v>3540.8571428571427</v>
      </c>
      <c r="Q111" s="197">
        <f t="shared" si="49"/>
        <v>3457.1428571428569</v>
      </c>
      <c r="R111" s="197">
        <f t="shared" si="49"/>
        <v>3659.8571428571427</v>
      </c>
      <c r="S111" s="197">
        <f t="shared" si="49"/>
        <v>3929.5714285714284</v>
      </c>
      <c r="T111" s="197">
        <f t="shared" si="49"/>
        <v>4464.2857142857138</v>
      </c>
      <c r="U111" s="197">
        <f t="shared" si="49"/>
        <v>5205.1344285714295</v>
      </c>
      <c r="V111" s="224">
        <f t="shared" si="49"/>
        <v>4741.8571428571422</v>
      </c>
      <c r="W111" s="14"/>
    </row>
    <row r="112" spans="2:23" s="110" customFormat="1" x14ac:dyDescent="0.35">
      <c r="B112" s="12"/>
      <c r="C112" s="718" t="s">
        <v>354</v>
      </c>
      <c r="D112" s="719"/>
      <c r="E112" s="719"/>
      <c r="F112" s="719"/>
      <c r="G112" s="719"/>
      <c r="H112" s="719"/>
      <c r="I112" s="719"/>
      <c r="J112" s="719"/>
      <c r="K112" s="719"/>
      <c r="L112" s="719"/>
      <c r="M112" s="719"/>
      <c r="N112" s="719"/>
      <c r="O112" s="719"/>
      <c r="P112" s="719"/>
      <c r="Q112" s="719"/>
      <c r="R112" s="719"/>
      <c r="S112" s="719"/>
      <c r="T112" s="719"/>
      <c r="U112" s="719"/>
      <c r="V112" s="720"/>
      <c r="W112" s="14"/>
    </row>
    <row r="113" spans="2:23" s="110" customFormat="1" x14ac:dyDescent="0.35">
      <c r="B113" s="12"/>
      <c r="C113" s="27" t="s">
        <v>17</v>
      </c>
      <c r="D113" s="341" t="s">
        <v>74</v>
      </c>
      <c r="E113" s="336" t="s">
        <v>1</v>
      </c>
      <c r="F113" s="224">
        <f>(($F$145/$F$147)*F$134)-F118-F98</f>
        <v>19898.334736842105</v>
      </c>
      <c r="G113" s="224">
        <f t="shared" ref="G113:V113" si="50">(($F$145/$F$147)*G$134)-G118-G98</f>
        <v>17950.541410526319</v>
      </c>
      <c r="H113" s="224">
        <f t="shared" si="50"/>
        <v>17891.154547368424</v>
      </c>
      <c r="I113" s="224">
        <f t="shared" si="50"/>
        <v>19741.725831578948</v>
      </c>
      <c r="J113" s="224">
        <f t="shared" si="50"/>
        <v>20746.992168421053</v>
      </c>
      <c r="K113" s="224">
        <f t="shared" si="50"/>
        <v>19671.802589473686</v>
      </c>
      <c r="L113" s="197">
        <f t="shared" si="50"/>
        <v>23809.725957894734</v>
      </c>
      <c r="M113" s="197">
        <f t="shared" si="50"/>
        <v>23124.382400000002</v>
      </c>
      <c r="N113" s="197">
        <f t="shared" si="50"/>
        <v>22149.767347368419</v>
      </c>
      <c r="O113" s="197">
        <f t="shared" si="50"/>
        <v>21949.097221052631</v>
      </c>
      <c r="P113" s="197">
        <f t="shared" si="50"/>
        <v>22265.667515789475</v>
      </c>
      <c r="Q113" s="197">
        <f t="shared" si="50"/>
        <v>20613.85065263158</v>
      </c>
      <c r="R113" s="197">
        <f t="shared" si="50"/>
        <v>19759.446105263156</v>
      </c>
      <c r="S113" s="197">
        <f t="shared" si="50"/>
        <v>16949.585410526317</v>
      </c>
      <c r="T113" s="197">
        <f t="shared" si="50"/>
        <v>17261.324294736842</v>
      </c>
      <c r="U113" s="197">
        <f t="shared" si="50"/>
        <v>17498.871747368423</v>
      </c>
      <c r="V113" s="224">
        <f t="shared" si="50"/>
        <v>16882.493578947371</v>
      </c>
      <c r="W113" s="14"/>
    </row>
    <row r="114" spans="2:23" s="110" customFormat="1" x14ac:dyDescent="0.35">
      <c r="B114" s="12"/>
      <c r="C114" s="40" t="s">
        <v>125</v>
      </c>
      <c r="D114" s="341" t="s">
        <v>74</v>
      </c>
      <c r="E114" s="336" t="s">
        <v>1</v>
      </c>
      <c r="F114" s="224">
        <f>($H$145/$H$147)*F$136</f>
        <v>2482.9807692307691</v>
      </c>
      <c r="G114" s="224">
        <f t="shared" ref="G114:V114" si="51">($H$145/$H$147)*G$136</f>
        <v>2456.7307692307691</v>
      </c>
      <c r="H114" s="224">
        <f t="shared" si="51"/>
        <v>2357.1153846153843</v>
      </c>
      <c r="I114" s="224">
        <f t="shared" si="51"/>
        <v>1994.9999999999998</v>
      </c>
      <c r="J114" s="224">
        <f t="shared" si="51"/>
        <v>1854.9999999999998</v>
      </c>
      <c r="K114" s="224">
        <f t="shared" si="51"/>
        <v>2627.6923076923076</v>
      </c>
      <c r="L114" s="197">
        <f t="shared" si="51"/>
        <v>2668.7499999999995</v>
      </c>
      <c r="M114" s="197">
        <f t="shared" si="51"/>
        <v>2738.0769230769229</v>
      </c>
      <c r="N114" s="197">
        <f t="shared" si="51"/>
        <v>3311.5384615384614</v>
      </c>
      <c r="O114" s="197">
        <f t="shared" si="51"/>
        <v>3370.0961538461534</v>
      </c>
      <c r="P114" s="197">
        <f t="shared" si="51"/>
        <v>3447.4999999999995</v>
      </c>
      <c r="Q114" s="197">
        <f t="shared" si="51"/>
        <v>3525.5769230769229</v>
      </c>
      <c r="R114" s="197">
        <f t="shared" si="51"/>
        <v>3677.0192307692305</v>
      </c>
      <c r="S114" s="197">
        <f t="shared" si="51"/>
        <v>3602.9807692307691</v>
      </c>
      <c r="T114" s="197">
        <f t="shared" si="51"/>
        <v>3652.7884615384614</v>
      </c>
      <c r="U114" s="197">
        <f t="shared" si="51"/>
        <v>3817.6923076923072</v>
      </c>
      <c r="V114" s="224">
        <f t="shared" si="51"/>
        <v>3769.9038461538457</v>
      </c>
      <c r="W114" s="14"/>
    </row>
    <row r="115" spans="2:23" s="110" customFormat="1" x14ac:dyDescent="0.35">
      <c r="B115" s="12"/>
      <c r="C115" s="40" t="s">
        <v>18</v>
      </c>
      <c r="D115" s="341" t="s">
        <v>74</v>
      </c>
      <c r="E115" s="336" t="s">
        <v>1</v>
      </c>
      <c r="F115" s="224">
        <f>($G$145/$G$147)*F$135</f>
        <v>32851.072289156626</v>
      </c>
      <c r="G115" s="224">
        <f t="shared" ref="G115:V115" si="52">($G$145/$G$147)*G$135</f>
        <v>41217.44277108433</v>
      </c>
      <c r="H115" s="224">
        <f t="shared" si="52"/>
        <v>41767.416566265056</v>
      </c>
      <c r="I115" s="224">
        <f t="shared" si="52"/>
        <v>37603.780722891563</v>
      </c>
      <c r="J115" s="224">
        <f t="shared" si="52"/>
        <v>33710.540240963855</v>
      </c>
      <c r="K115" s="224">
        <f t="shared" si="52"/>
        <v>31274.869036144577</v>
      </c>
      <c r="L115" s="197">
        <f t="shared" si="52"/>
        <v>39497.867469879515</v>
      </c>
      <c r="M115" s="197">
        <f t="shared" si="52"/>
        <v>40952.048674698788</v>
      </c>
      <c r="N115" s="197">
        <f t="shared" si="52"/>
        <v>36943.863614457827</v>
      </c>
      <c r="O115" s="197">
        <f t="shared" si="52"/>
        <v>31659.793734939758</v>
      </c>
      <c r="P115" s="197">
        <f t="shared" si="52"/>
        <v>30479.421686746984</v>
      </c>
      <c r="Q115" s="197">
        <f t="shared" si="52"/>
        <v>29629.831325301202</v>
      </c>
      <c r="R115" s="197">
        <f t="shared" si="52"/>
        <v>28628.108433734938</v>
      </c>
      <c r="S115" s="197">
        <f t="shared" si="52"/>
        <v>28796.409638554214</v>
      </c>
      <c r="T115" s="197">
        <f t="shared" si="52"/>
        <v>29747.421686746984</v>
      </c>
      <c r="U115" s="197">
        <f t="shared" si="52"/>
        <v>27341.963855421684</v>
      </c>
      <c r="V115" s="224">
        <f t="shared" si="52"/>
        <v>27037.69879518072</v>
      </c>
      <c r="W115" s="14"/>
    </row>
    <row r="116" spans="2:23" s="110" customFormat="1" x14ac:dyDescent="0.35">
      <c r="B116" s="12"/>
      <c r="C116" s="40" t="s">
        <v>15</v>
      </c>
      <c r="D116" s="341" t="s">
        <v>74</v>
      </c>
      <c r="E116" s="336" t="s">
        <v>1</v>
      </c>
      <c r="F116" s="224">
        <f>($I$145/$I$147)*F$137</f>
        <v>10484.571428571428</v>
      </c>
      <c r="G116" s="224">
        <f t="shared" ref="G116:V116" si="53">($I$145/$I$147)*G$137</f>
        <v>11048.884285714284</v>
      </c>
      <c r="H116" s="224">
        <f t="shared" si="53"/>
        <v>11094.857142857143</v>
      </c>
      <c r="I116" s="224">
        <f t="shared" si="53"/>
        <v>12428.571428571428</v>
      </c>
      <c r="J116" s="224">
        <f t="shared" si="53"/>
        <v>10380</v>
      </c>
      <c r="K116" s="224">
        <f t="shared" si="53"/>
        <v>9926.5714285714275</v>
      </c>
      <c r="L116" s="197">
        <f t="shared" si="53"/>
        <v>9285.4285714285706</v>
      </c>
      <c r="M116" s="197">
        <f t="shared" si="53"/>
        <v>8556</v>
      </c>
      <c r="N116" s="197">
        <f t="shared" si="53"/>
        <v>17859.428571428569</v>
      </c>
      <c r="O116" s="197">
        <f t="shared" si="53"/>
        <v>9245.1428571428569</v>
      </c>
      <c r="P116" s="197">
        <f t="shared" si="53"/>
        <v>10622.571428571428</v>
      </c>
      <c r="Q116" s="197">
        <f t="shared" si="53"/>
        <v>10371.428571428571</v>
      </c>
      <c r="R116" s="197">
        <f t="shared" si="53"/>
        <v>10979.571428571428</v>
      </c>
      <c r="S116" s="197">
        <f t="shared" si="53"/>
        <v>11788.714285714284</v>
      </c>
      <c r="T116" s="197">
        <f t="shared" si="53"/>
        <v>13392.857142857141</v>
      </c>
      <c r="U116" s="197">
        <f t="shared" si="53"/>
        <v>15615.403285714288</v>
      </c>
      <c r="V116" s="224">
        <f t="shared" si="53"/>
        <v>14225.571428571428</v>
      </c>
      <c r="W116" s="14"/>
    </row>
    <row r="117" spans="2:23" s="110" customFormat="1" x14ac:dyDescent="0.35">
      <c r="B117" s="12"/>
      <c r="C117" s="718" t="s">
        <v>355</v>
      </c>
      <c r="D117" s="719"/>
      <c r="E117" s="719"/>
      <c r="F117" s="719"/>
      <c r="G117" s="719"/>
      <c r="H117" s="719"/>
      <c r="I117" s="719"/>
      <c r="J117" s="719"/>
      <c r="K117" s="719"/>
      <c r="L117" s="719"/>
      <c r="M117" s="719"/>
      <c r="N117" s="719"/>
      <c r="O117" s="719"/>
      <c r="P117" s="719"/>
      <c r="Q117" s="719"/>
      <c r="R117" s="719"/>
      <c r="S117" s="719"/>
      <c r="T117" s="719"/>
      <c r="U117" s="719"/>
      <c r="V117" s="720"/>
      <c r="W117" s="14"/>
    </row>
    <row r="118" spans="2:23" s="110" customFormat="1" x14ac:dyDescent="0.35">
      <c r="B118" s="12"/>
      <c r="C118" s="27" t="s">
        <v>17</v>
      </c>
      <c r="D118" s="337" t="s">
        <v>74</v>
      </c>
      <c r="E118" s="336" t="s">
        <v>1</v>
      </c>
      <c r="F118" s="224">
        <f>F$134*4.7*2.8/100</f>
        <v>5474.56</v>
      </c>
      <c r="G118" s="224">
        <f t="shared" ref="G118:V118" si="54">G$134*4.7*2.8/100</f>
        <v>4939.3427999999994</v>
      </c>
      <c r="H118" s="224">
        <f t="shared" si="54"/>
        <v>4923.0244000000002</v>
      </c>
      <c r="I118" s="224">
        <f t="shared" si="54"/>
        <v>5431.5267999999996</v>
      </c>
      <c r="J118" s="224">
        <f t="shared" si="54"/>
        <v>5707.7551999999987</v>
      </c>
      <c r="K118" s="224">
        <f t="shared" si="54"/>
        <v>5412.3131999999996</v>
      </c>
      <c r="L118" s="197">
        <f>L$134*4.7*2.8/100</f>
        <v>6549.3371999999999</v>
      </c>
      <c r="M118" s="197">
        <f t="shared" si="54"/>
        <v>6361.0176000000001</v>
      </c>
      <c r="N118" s="197">
        <f t="shared" si="54"/>
        <v>6093.2116000000005</v>
      </c>
      <c r="O118" s="197">
        <f t="shared" si="54"/>
        <v>6038.0712000000003</v>
      </c>
      <c r="P118" s="197">
        <f t="shared" si="54"/>
        <v>6125.0587999999998</v>
      </c>
      <c r="Q118" s="197">
        <f t="shared" si="54"/>
        <v>5671.1704</v>
      </c>
      <c r="R118" s="197">
        <f t="shared" si="54"/>
        <v>5436.3959999999997</v>
      </c>
      <c r="S118" s="197">
        <f t="shared" si="54"/>
        <v>4664.2988000000005</v>
      </c>
      <c r="T118" s="197">
        <f t="shared" si="54"/>
        <v>4750.2335999999996</v>
      </c>
      <c r="U118" s="197">
        <f t="shared" si="54"/>
        <v>4815.5072</v>
      </c>
      <c r="V118" s="224">
        <f t="shared" si="54"/>
        <v>4646.1379999999999</v>
      </c>
      <c r="W118" s="14"/>
    </row>
    <row r="119" spans="2:23" s="110" customFormat="1" x14ac:dyDescent="0.35">
      <c r="B119" s="12"/>
      <c r="C119" s="40" t="s">
        <v>136</v>
      </c>
      <c r="D119" s="337" t="s">
        <v>74</v>
      </c>
      <c r="E119" s="336" t="s">
        <v>1</v>
      </c>
      <c r="F119" s="224">
        <f>F134*2.8*0.5/100</f>
        <v>582.4</v>
      </c>
      <c r="G119" s="224">
        <f t="shared" ref="G119:V119" si="55">G134*2.8*0.5/100</f>
        <v>525.46199999999999</v>
      </c>
      <c r="H119" s="224">
        <f t="shared" si="55"/>
        <v>523.726</v>
      </c>
      <c r="I119" s="224">
        <f t="shared" si="55"/>
        <v>577.822</v>
      </c>
      <c r="J119" s="224">
        <f t="shared" si="55"/>
        <v>607.20799999999997</v>
      </c>
      <c r="K119" s="224">
        <f t="shared" si="55"/>
        <v>575.77799999999991</v>
      </c>
      <c r="L119" s="197">
        <f t="shared" si="55"/>
        <v>696.73799999999983</v>
      </c>
      <c r="M119" s="197">
        <f t="shared" si="55"/>
        <v>676.70399999999995</v>
      </c>
      <c r="N119" s="197">
        <f t="shared" si="55"/>
        <v>648.21399999999994</v>
      </c>
      <c r="O119" s="197">
        <f t="shared" si="55"/>
        <v>642.34799999999996</v>
      </c>
      <c r="P119" s="197">
        <f t="shared" si="55"/>
        <v>651.60199999999998</v>
      </c>
      <c r="Q119" s="197">
        <f t="shared" si="55"/>
        <v>603.31600000000003</v>
      </c>
      <c r="R119" s="197">
        <f t="shared" si="55"/>
        <v>578.33999999999992</v>
      </c>
      <c r="S119" s="197">
        <f t="shared" si="55"/>
        <v>496.202</v>
      </c>
      <c r="T119" s="197">
        <f t="shared" si="55"/>
        <v>505.34399999999994</v>
      </c>
      <c r="U119" s="197">
        <f t="shared" si="55"/>
        <v>512.28800000000001</v>
      </c>
      <c r="V119" s="224">
        <f t="shared" si="55"/>
        <v>494.27</v>
      </c>
      <c r="W119" s="14"/>
    </row>
    <row r="120" spans="2:23" s="110" customFormat="1" x14ac:dyDescent="0.35">
      <c r="B120" s="12"/>
      <c r="C120" s="40" t="s">
        <v>125</v>
      </c>
      <c r="D120" s="337" t="s">
        <v>74</v>
      </c>
      <c r="E120" s="336" t="s">
        <v>1</v>
      </c>
      <c r="F120" s="224">
        <f>F136*2.8*0.7/100</f>
        <v>72.304399999999987</v>
      </c>
      <c r="G120" s="224">
        <f t="shared" ref="G120:V120" si="56">G136*2.8*0.7/100</f>
        <v>71.540000000000006</v>
      </c>
      <c r="H120" s="224">
        <f t="shared" si="56"/>
        <v>68.639199999999988</v>
      </c>
      <c r="I120" s="224">
        <f t="shared" si="56"/>
        <v>58.094399999999986</v>
      </c>
      <c r="J120" s="224">
        <f t="shared" si="56"/>
        <v>54.017599999999995</v>
      </c>
      <c r="K120" s="224">
        <f t="shared" si="56"/>
        <v>76.518399999999986</v>
      </c>
      <c r="L120" s="197">
        <f t="shared" si="56"/>
        <v>77.713999999999999</v>
      </c>
      <c r="M120" s="197">
        <f t="shared" si="56"/>
        <v>79.732799999999983</v>
      </c>
      <c r="N120" s="197">
        <f t="shared" si="56"/>
        <v>96.431999999999988</v>
      </c>
      <c r="O120" s="197">
        <f t="shared" si="56"/>
        <v>98.137199999999979</v>
      </c>
      <c r="P120" s="197">
        <f t="shared" si="56"/>
        <v>100.39119999999998</v>
      </c>
      <c r="Q120" s="197">
        <f t="shared" si="56"/>
        <v>102.6648</v>
      </c>
      <c r="R120" s="197">
        <f t="shared" si="56"/>
        <v>107.0748</v>
      </c>
      <c r="S120" s="197">
        <f t="shared" si="56"/>
        <v>104.91879999999999</v>
      </c>
      <c r="T120" s="197">
        <f t="shared" si="56"/>
        <v>106.36919999999998</v>
      </c>
      <c r="U120" s="197">
        <f t="shared" si="56"/>
        <v>111.17119999999998</v>
      </c>
      <c r="V120" s="224">
        <f t="shared" si="56"/>
        <v>109.77959999999999</v>
      </c>
      <c r="W120" s="14"/>
    </row>
    <row r="121" spans="2:23" s="110" customFormat="1" x14ac:dyDescent="0.35">
      <c r="B121" s="12"/>
      <c r="C121" s="40" t="s">
        <v>18</v>
      </c>
      <c r="D121" s="337" t="s">
        <v>74</v>
      </c>
      <c r="E121" s="336" t="s">
        <v>1</v>
      </c>
      <c r="F121" s="224">
        <f>F135*2.8*4.2/100</f>
        <v>5256.6023999999998</v>
      </c>
      <c r="G121" s="224">
        <f t="shared" ref="G121:U121" si="57">G135*2.8*4.2/100</f>
        <v>6595.3313999999991</v>
      </c>
      <c r="H121" s="224">
        <f t="shared" si="57"/>
        <v>6683.3344199999992</v>
      </c>
      <c r="I121" s="224">
        <f t="shared" si="57"/>
        <v>6017.0980799999998</v>
      </c>
      <c r="J121" s="224">
        <f t="shared" si="57"/>
        <v>5394.1285440000011</v>
      </c>
      <c r="K121" s="224">
        <f t="shared" si="57"/>
        <v>5004.3892080000005</v>
      </c>
      <c r="L121" s="197">
        <f t="shared" si="57"/>
        <v>6320.1768000000002</v>
      </c>
      <c r="M121" s="197">
        <f t="shared" si="57"/>
        <v>6552.8648639999992</v>
      </c>
      <c r="N121" s="197">
        <f t="shared" si="57"/>
        <v>5911.5026879999996</v>
      </c>
      <c r="O121" s="197">
        <f t="shared" si="57"/>
        <v>5065.9822080000004</v>
      </c>
      <c r="P121" s="197">
        <f t="shared" si="57"/>
        <v>4877.1071999999995</v>
      </c>
      <c r="Q121" s="197">
        <f t="shared" si="57"/>
        <v>4741.1615999999995</v>
      </c>
      <c r="R121" s="197">
        <f t="shared" si="57"/>
        <v>4580.8728000000001</v>
      </c>
      <c r="S121" s="197">
        <f t="shared" si="57"/>
        <v>4607.8032000000003</v>
      </c>
      <c r="T121" s="197">
        <f t="shared" si="57"/>
        <v>4759.9775999999993</v>
      </c>
      <c r="U121" s="197">
        <f t="shared" si="57"/>
        <v>4375.0727999999999</v>
      </c>
      <c r="V121" s="224">
        <f>V135*2.8*4.2/100</f>
        <v>4326.3864000000003</v>
      </c>
      <c r="W121" s="14"/>
    </row>
    <row r="122" spans="2:23" s="110" customFormat="1" x14ac:dyDescent="0.35">
      <c r="B122" s="12"/>
      <c r="C122" s="718" t="s">
        <v>356</v>
      </c>
      <c r="D122" s="719"/>
      <c r="E122" s="719"/>
      <c r="F122" s="719"/>
      <c r="G122" s="719"/>
      <c r="H122" s="719"/>
      <c r="I122" s="719"/>
      <c r="J122" s="719"/>
      <c r="K122" s="719"/>
      <c r="L122" s="719"/>
      <c r="M122" s="719"/>
      <c r="N122" s="719"/>
      <c r="O122" s="719"/>
      <c r="P122" s="719"/>
      <c r="Q122" s="719"/>
      <c r="R122" s="719"/>
      <c r="S122" s="719"/>
      <c r="T122" s="719"/>
      <c r="U122" s="719"/>
      <c r="V122" s="720"/>
      <c r="W122" s="14"/>
    </row>
    <row r="123" spans="2:23" s="110" customFormat="1" x14ac:dyDescent="0.35">
      <c r="B123" s="12"/>
      <c r="C123" s="27" t="s">
        <v>17</v>
      </c>
      <c r="D123" s="337" t="s">
        <v>74</v>
      </c>
      <c r="E123" s="336" t="s">
        <v>1</v>
      </c>
      <c r="F123" s="224">
        <f>($F$146/$F$147)*F$134</f>
        <v>4816.8421052631575</v>
      </c>
      <c r="G123" s="224">
        <f t="shared" ref="G123:V123" si="58">($F$146/$F$147)*G$134</f>
        <v>4345.9263157894738</v>
      </c>
      <c r="H123" s="224">
        <f t="shared" si="58"/>
        <v>4331.5684210526315</v>
      </c>
      <c r="I123" s="224">
        <f t="shared" si="58"/>
        <v>4778.9789473684214</v>
      </c>
      <c r="J123" s="224">
        <f t="shared" si="58"/>
        <v>5022.0210526315786</v>
      </c>
      <c r="K123" s="224">
        <f t="shared" si="58"/>
        <v>4762.0736842105262</v>
      </c>
      <c r="L123" s="197">
        <f t="shared" si="58"/>
        <v>5762.4947368421053</v>
      </c>
      <c r="M123" s="197">
        <f t="shared" si="58"/>
        <v>5596.8</v>
      </c>
      <c r="N123" s="197">
        <f t="shared" si="58"/>
        <v>5361.1684210526319</v>
      </c>
      <c r="O123" s="197">
        <f t="shared" si="58"/>
        <v>5312.652631578947</v>
      </c>
      <c r="P123" s="197">
        <f t="shared" si="58"/>
        <v>5389.1894736842105</v>
      </c>
      <c r="Q123" s="197">
        <f t="shared" si="58"/>
        <v>4989.8315789473681</v>
      </c>
      <c r="R123" s="197">
        <f t="shared" si="58"/>
        <v>4783.2631578947367</v>
      </c>
      <c r="S123" s="197">
        <f t="shared" si="58"/>
        <v>4103.9263157894738</v>
      </c>
      <c r="T123" s="197">
        <f t="shared" si="58"/>
        <v>4179.5368421052635</v>
      </c>
      <c r="U123" s="197">
        <f t="shared" si="58"/>
        <v>4236.9684210526311</v>
      </c>
      <c r="V123" s="224">
        <f t="shared" si="58"/>
        <v>4087.9473684210525</v>
      </c>
      <c r="W123" s="14"/>
    </row>
    <row r="124" spans="2:23" s="110" customFormat="1" x14ac:dyDescent="0.35">
      <c r="B124" s="12"/>
      <c r="C124" s="40" t="s">
        <v>18</v>
      </c>
      <c r="D124" s="337" t="s">
        <v>74</v>
      </c>
      <c r="E124" s="336" t="s">
        <v>1</v>
      </c>
      <c r="F124" s="224">
        <f>($G$146/$G$147)*F$135</f>
        <v>3769.7951807228915</v>
      </c>
      <c r="G124" s="224">
        <f t="shared" ref="G124:V124" si="59">($G$146/$G$147)*G$135</f>
        <v>4729.8704819277109</v>
      </c>
      <c r="H124" s="224">
        <f t="shared" si="59"/>
        <v>4792.9822289156618</v>
      </c>
      <c r="I124" s="224">
        <f t="shared" si="59"/>
        <v>4315.1879518072292</v>
      </c>
      <c r="J124" s="224">
        <f t="shared" si="59"/>
        <v>3868.4226506024097</v>
      </c>
      <c r="K124" s="224">
        <f t="shared" si="59"/>
        <v>3588.9193975903613</v>
      </c>
      <c r="L124" s="197">
        <f t="shared" si="59"/>
        <v>4532.5421686746986</v>
      </c>
      <c r="M124" s="197">
        <f t="shared" si="59"/>
        <v>4699.4154216867464</v>
      </c>
      <c r="N124" s="197">
        <f t="shared" si="59"/>
        <v>4239.4597590361436</v>
      </c>
      <c r="O124" s="197">
        <f t="shared" si="59"/>
        <v>3633.0910843373495</v>
      </c>
      <c r="P124" s="197">
        <f t="shared" si="59"/>
        <v>3497.6385542168673</v>
      </c>
      <c r="Q124" s="197">
        <f t="shared" si="59"/>
        <v>3400.1445783132526</v>
      </c>
      <c r="R124" s="197">
        <f t="shared" si="59"/>
        <v>3285.192771084337</v>
      </c>
      <c r="S124" s="197">
        <f t="shared" si="59"/>
        <v>3304.5060240963853</v>
      </c>
      <c r="T124" s="197">
        <f t="shared" si="59"/>
        <v>3413.6385542168673</v>
      </c>
      <c r="U124" s="197">
        <f t="shared" si="59"/>
        <v>3137.602409638554</v>
      </c>
      <c r="V124" s="224">
        <f t="shared" si="59"/>
        <v>3102.6867469879517</v>
      </c>
      <c r="W124" s="14"/>
    </row>
    <row r="125" spans="2:23" s="110" customFormat="1" x14ac:dyDescent="0.35">
      <c r="B125" s="12"/>
      <c r="C125" s="40" t="s">
        <v>125</v>
      </c>
      <c r="D125" s="337" t="s">
        <v>74</v>
      </c>
      <c r="E125" s="336" t="s">
        <v>1</v>
      </c>
      <c r="F125" s="224">
        <f>($H$146/$H$147)*F$136</f>
        <v>851.30769230769226</v>
      </c>
      <c r="G125" s="224">
        <f t="shared" ref="G125:V125" si="60">($H$146/$H$147)*G$136</f>
        <v>842.30769230769226</v>
      </c>
      <c r="H125" s="224">
        <f t="shared" si="60"/>
        <v>808.15384615384608</v>
      </c>
      <c r="I125" s="224">
        <f t="shared" si="60"/>
        <v>684</v>
      </c>
      <c r="J125" s="224">
        <f t="shared" si="60"/>
        <v>636</v>
      </c>
      <c r="K125" s="224">
        <f t="shared" si="60"/>
        <v>900.92307692307691</v>
      </c>
      <c r="L125" s="197">
        <f t="shared" si="60"/>
        <v>914.99999999999989</v>
      </c>
      <c r="M125" s="197">
        <f t="shared" si="60"/>
        <v>938.76923076923072</v>
      </c>
      <c r="N125" s="197">
        <f t="shared" si="60"/>
        <v>1135.3846153846152</v>
      </c>
      <c r="O125" s="197">
        <f t="shared" si="60"/>
        <v>1155.4615384615383</v>
      </c>
      <c r="P125" s="197">
        <f t="shared" si="60"/>
        <v>1182</v>
      </c>
      <c r="Q125" s="197">
        <f t="shared" si="60"/>
        <v>1208.7692307692307</v>
      </c>
      <c r="R125" s="197">
        <f t="shared" si="60"/>
        <v>1260.6923076923076</v>
      </c>
      <c r="S125" s="197">
        <f t="shared" si="60"/>
        <v>1235.3076923076922</v>
      </c>
      <c r="T125" s="197">
        <f t="shared" si="60"/>
        <v>1252.3846153846152</v>
      </c>
      <c r="U125" s="197">
        <f t="shared" si="60"/>
        <v>1308.9230769230769</v>
      </c>
      <c r="V125" s="224">
        <f t="shared" si="60"/>
        <v>1292.5384615384614</v>
      </c>
      <c r="W125" s="14"/>
    </row>
    <row r="126" spans="2:23" s="110" customFormat="1" x14ac:dyDescent="0.35">
      <c r="B126" s="12"/>
      <c r="C126" s="40" t="s">
        <v>15</v>
      </c>
      <c r="D126" s="337" t="s">
        <v>74</v>
      </c>
      <c r="E126" s="336" t="s">
        <v>1</v>
      </c>
      <c r="F126" s="224">
        <f>($I$146/$I$147)*F$137</f>
        <v>6989.7142857142853</v>
      </c>
      <c r="G126" s="224">
        <f t="shared" ref="G126:V126" si="61">($I$146/$I$147)*G$137</f>
        <v>7365.9228571428566</v>
      </c>
      <c r="H126" s="224">
        <f t="shared" si="61"/>
        <v>7396.5714285714284</v>
      </c>
      <c r="I126" s="224">
        <f t="shared" si="61"/>
        <v>8285.7142857142844</v>
      </c>
      <c r="J126" s="224">
        <f t="shared" si="61"/>
        <v>6920</v>
      </c>
      <c r="K126" s="224">
        <f t="shared" si="61"/>
        <v>6617.7142857142853</v>
      </c>
      <c r="L126" s="197">
        <f t="shared" si="61"/>
        <v>6190.2857142857138</v>
      </c>
      <c r="M126" s="197">
        <f t="shared" si="61"/>
        <v>5704</v>
      </c>
      <c r="N126" s="197">
        <f t="shared" si="61"/>
        <v>11906.285714285714</v>
      </c>
      <c r="O126" s="197">
        <f t="shared" si="61"/>
        <v>6163.4285714285706</v>
      </c>
      <c r="P126" s="197">
        <f t="shared" si="61"/>
        <v>7081.7142857142853</v>
      </c>
      <c r="Q126" s="197">
        <f t="shared" si="61"/>
        <v>6914.2857142857138</v>
      </c>
      <c r="R126" s="197">
        <f t="shared" si="61"/>
        <v>7319.7142857142853</v>
      </c>
      <c r="S126" s="197">
        <f t="shared" si="61"/>
        <v>7859.1428571428569</v>
      </c>
      <c r="T126" s="197">
        <f t="shared" si="61"/>
        <v>8928.5714285714275</v>
      </c>
      <c r="U126" s="197">
        <f t="shared" si="61"/>
        <v>10410.268857142859</v>
      </c>
      <c r="V126" s="224">
        <f t="shared" si="61"/>
        <v>9483.7142857142844</v>
      </c>
      <c r="W126" s="14"/>
    </row>
    <row r="127" spans="2:23" s="110" customFormat="1" x14ac:dyDescent="0.35">
      <c r="B127" s="12"/>
      <c r="C127" s="27" t="s">
        <v>126</v>
      </c>
      <c r="D127" s="337" t="s">
        <v>74</v>
      </c>
      <c r="E127" s="336" t="s">
        <v>1</v>
      </c>
      <c r="F127" s="224">
        <f>F138</f>
        <v>1500</v>
      </c>
      <c r="G127" s="224">
        <f t="shared" ref="G127:V127" si="62">G138</f>
        <v>1500</v>
      </c>
      <c r="H127" s="224">
        <f t="shared" si="62"/>
        <v>1450</v>
      </c>
      <c r="I127" s="224">
        <f t="shared" si="62"/>
        <v>1430</v>
      </c>
      <c r="J127" s="224">
        <f t="shared" si="62"/>
        <v>1415</v>
      </c>
      <c r="K127" s="224">
        <f t="shared" si="62"/>
        <v>1400</v>
      </c>
      <c r="L127" s="224">
        <f t="shared" si="62"/>
        <v>1425</v>
      </c>
      <c r="M127" s="224">
        <f t="shared" si="62"/>
        <v>1425</v>
      </c>
      <c r="N127" s="224">
        <f t="shared" si="62"/>
        <v>1425</v>
      </c>
      <c r="O127" s="224">
        <f t="shared" si="62"/>
        <v>1426</v>
      </c>
      <c r="P127" s="224">
        <f t="shared" si="62"/>
        <v>1426</v>
      </c>
      <c r="Q127" s="224">
        <f t="shared" si="62"/>
        <v>1425</v>
      </c>
      <c r="R127" s="224">
        <f t="shared" si="62"/>
        <v>1410</v>
      </c>
      <c r="S127" s="224">
        <f t="shared" si="62"/>
        <v>1385</v>
      </c>
      <c r="T127" s="224">
        <f t="shared" si="62"/>
        <v>1343</v>
      </c>
      <c r="U127" s="224">
        <f t="shared" si="62"/>
        <v>1300</v>
      </c>
      <c r="V127" s="224">
        <f t="shared" si="62"/>
        <v>1261</v>
      </c>
      <c r="W127" s="14"/>
    </row>
    <row r="128" spans="2:23" s="110" customFormat="1" x14ac:dyDescent="0.35">
      <c r="B128" s="12"/>
      <c r="C128" s="27" t="s">
        <v>16</v>
      </c>
      <c r="D128" s="337" t="s">
        <v>74</v>
      </c>
      <c r="E128" s="336" t="s">
        <v>1</v>
      </c>
      <c r="F128" s="224">
        <f>F139</f>
        <v>531800</v>
      </c>
      <c r="G128" s="224">
        <f t="shared" ref="G128:V128" si="63">G139</f>
        <v>529000</v>
      </c>
      <c r="H128" s="224">
        <f t="shared" si="63"/>
        <v>442722</v>
      </c>
      <c r="I128" s="224">
        <f t="shared" si="63"/>
        <v>510246</v>
      </c>
      <c r="J128" s="224">
        <f t="shared" si="63"/>
        <v>518379</v>
      </c>
      <c r="K128" s="224">
        <f t="shared" si="63"/>
        <v>476198</v>
      </c>
      <c r="L128" s="224">
        <f t="shared" si="63"/>
        <v>463563</v>
      </c>
      <c r="M128" s="224">
        <f t="shared" si="63"/>
        <v>400646</v>
      </c>
      <c r="N128" s="224">
        <f t="shared" si="63"/>
        <v>239276</v>
      </c>
      <c r="O128" s="224">
        <f t="shared" si="63"/>
        <v>226759</v>
      </c>
      <c r="P128" s="224">
        <f t="shared" si="63"/>
        <v>265988</v>
      </c>
      <c r="Q128" s="224">
        <f t="shared" si="63"/>
        <v>244288</v>
      </c>
      <c r="R128" s="224">
        <f t="shared" si="63"/>
        <v>213123</v>
      </c>
      <c r="S128" s="224">
        <f t="shared" si="63"/>
        <v>204565</v>
      </c>
      <c r="T128" s="224">
        <f t="shared" si="63"/>
        <v>177973</v>
      </c>
      <c r="U128" s="224">
        <f t="shared" si="63"/>
        <v>197646</v>
      </c>
      <c r="V128" s="224">
        <f t="shared" si="63"/>
        <v>158431</v>
      </c>
      <c r="W128" s="14"/>
    </row>
    <row r="129" spans="2:34" s="110" customFormat="1" ht="15" thickBot="1" x14ac:dyDescent="0.4">
      <c r="B129" s="18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1"/>
    </row>
    <row r="130" spans="2:34" s="110" customFormat="1" ht="15" thickBot="1" x14ac:dyDescent="0.4"/>
    <row r="131" spans="2:34" x14ac:dyDescent="0.35">
      <c r="B131" s="9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1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</row>
    <row r="132" spans="2:34" x14ac:dyDescent="0.35">
      <c r="B132" s="12"/>
      <c r="C132" s="25" t="s">
        <v>119</v>
      </c>
      <c r="D132" s="338" t="s">
        <v>64</v>
      </c>
      <c r="E132" s="338" t="s">
        <v>87</v>
      </c>
      <c r="F132" s="338">
        <v>2000</v>
      </c>
      <c r="G132" s="338">
        <v>2001</v>
      </c>
      <c r="H132" s="338">
        <v>2002</v>
      </c>
      <c r="I132" s="338">
        <v>2003</v>
      </c>
      <c r="J132" s="338">
        <v>2004</v>
      </c>
      <c r="K132" s="338">
        <v>2005</v>
      </c>
      <c r="L132" s="338">
        <v>2006</v>
      </c>
      <c r="M132" s="338">
        <v>2007</v>
      </c>
      <c r="N132" s="338">
        <v>2008</v>
      </c>
      <c r="O132" s="338">
        <v>2009</v>
      </c>
      <c r="P132" s="338">
        <v>2010</v>
      </c>
      <c r="Q132" s="338">
        <v>2011</v>
      </c>
      <c r="R132" s="338">
        <v>2012</v>
      </c>
      <c r="S132" s="338">
        <v>2013</v>
      </c>
      <c r="T132" s="338">
        <v>2014</v>
      </c>
      <c r="U132" s="338">
        <v>2015</v>
      </c>
      <c r="V132" s="338">
        <v>2016</v>
      </c>
      <c r="W132" s="14"/>
      <c r="X132" s="8"/>
      <c r="Y132" s="8"/>
      <c r="Z132" s="8"/>
      <c r="AA132" s="8"/>
      <c r="AB132" s="8"/>
      <c r="AC132" s="8"/>
      <c r="AD132" s="8"/>
      <c r="AE132" s="8"/>
      <c r="AF132" s="8"/>
      <c r="AG132" s="347"/>
      <c r="AH132" s="8"/>
    </row>
    <row r="133" spans="2:34" x14ac:dyDescent="0.35">
      <c r="B133" s="12"/>
      <c r="C133" s="379" t="s">
        <v>127</v>
      </c>
      <c r="D133" s="379"/>
      <c r="E133" s="379"/>
      <c r="F133" s="379"/>
      <c r="G133" s="379"/>
      <c r="H133" s="379"/>
      <c r="I133" s="379"/>
      <c r="J133" s="379"/>
      <c r="K133" s="379"/>
      <c r="L133" s="379"/>
      <c r="M133" s="379"/>
      <c r="N133" s="379"/>
      <c r="O133" s="379"/>
      <c r="P133" s="379"/>
      <c r="Q133" s="379"/>
      <c r="R133" s="379"/>
      <c r="S133" s="379"/>
      <c r="T133" s="379"/>
      <c r="U133" s="379"/>
      <c r="V133" s="379"/>
      <c r="W133" s="14"/>
      <c r="X133" s="8"/>
      <c r="Y133" s="8"/>
      <c r="Z133" s="8"/>
      <c r="AA133" s="8"/>
      <c r="AB133" s="8"/>
      <c r="AC133" s="8"/>
      <c r="AD133" s="8"/>
      <c r="AE133" s="8"/>
      <c r="AF133" s="8"/>
      <c r="AG133" s="353"/>
      <c r="AH133" s="8"/>
    </row>
    <row r="134" spans="2:34" x14ac:dyDescent="0.35">
      <c r="B134" s="12"/>
      <c r="C134" s="27" t="s">
        <v>17</v>
      </c>
      <c r="D134" s="336" t="s">
        <v>108</v>
      </c>
      <c r="E134" s="336" t="s">
        <v>1</v>
      </c>
      <c r="F134" s="65">
        <v>41600</v>
      </c>
      <c r="G134" s="65">
        <v>37533</v>
      </c>
      <c r="H134" s="65">
        <v>37409</v>
      </c>
      <c r="I134" s="65">
        <v>41273</v>
      </c>
      <c r="J134" s="65">
        <v>43372</v>
      </c>
      <c r="K134" s="65">
        <v>41127</v>
      </c>
      <c r="L134" s="388">
        <v>49767</v>
      </c>
      <c r="M134" s="388">
        <v>48336</v>
      </c>
      <c r="N134" s="388">
        <v>46301</v>
      </c>
      <c r="O134" s="388">
        <v>45882</v>
      </c>
      <c r="P134" s="388">
        <v>46543</v>
      </c>
      <c r="Q134" s="388">
        <v>43094</v>
      </c>
      <c r="R134" s="388">
        <v>41310</v>
      </c>
      <c r="S134" s="388">
        <v>35443</v>
      </c>
      <c r="T134" s="388">
        <v>36096</v>
      </c>
      <c r="U134" s="388">
        <v>36592</v>
      </c>
      <c r="V134" s="65">
        <v>35305</v>
      </c>
      <c r="W134" s="14"/>
      <c r="X134" s="8"/>
      <c r="Y134" s="8"/>
      <c r="Z134" s="8"/>
      <c r="AA134" s="8"/>
      <c r="AB134" s="8"/>
      <c r="AC134" s="8"/>
      <c r="AD134" s="8"/>
      <c r="AE134" s="8"/>
      <c r="AF134" s="8"/>
      <c r="AG134" s="356"/>
      <c r="AH134" s="8"/>
    </row>
    <row r="135" spans="2:34" x14ac:dyDescent="0.35">
      <c r="B135" s="12"/>
      <c r="C135" s="27" t="s">
        <v>18</v>
      </c>
      <c r="D135" s="336" t="s">
        <v>108</v>
      </c>
      <c r="E135" s="336" t="s">
        <v>1</v>
      </c>
      <c r="F135" s="65">
        <v>44699</v>
      </c>
      <c r="G135" s="65">
        <v>56082.75</v>
      </c>
      <c r="H135" s="65">
        <v>56831.074999999997</v>
      </c>
      <c r="I135" s="65">
        <v>51165.8</v>
      </c>
      <c r="J135" s="65">
        <v>45868.44</v>
      </c>
      <c r="K135" s="65">
        <v>42554.33</v>
      </c>
      <c r="L135" s="388">
        <v>53743</v>
      </c>
      <c r="M135" s="388">
        <v>55721.64</v>
      </c>
      <c r="N135" s="388">
        <v>50267.88</v>
      </c>
      <c r="O135" s="388">
        <v>43078.080000000002</v>
      </c>
      <c r="P135" s="388">
        <v>41472</v>
      </c>
      <c r="Q135" s="388">
        <v>40316</v>
      </c>
      <c r="R135" s="388">
        <v>38953</v>
      </c>
      <c r="S135" s="388">
        <v>39182</v>
      </c>
      <c r="T135" s="388">
        <v>40476</v>
      </c>
      <c r="U135" s="388">
        <v>37203</v>
      </c>
      <c r="V135" s="65">
        <v>36789</v>
      </c>
      <c r="W135" s="14"/>
      <c r="X135" s="8"/>
      <c r="Y135" s="8"/>
      <c r="Z135" s="8"/>
      <c r="AA135" s="8"/>
      <c r="AB135" s="8"/>
      <c r="AC135" s="8"/>
      <c r="AD135" s="8"/>
      <c r="AE135" s="8"/>
      <c r="AF135" s="8"/>
      <c r="AG135" s="356"/>
      <c r="AH135" s="8"/>
    </row>
    <row r="136" spans="2:34" x14ac:dyDescent="0.35">
      <c r="B136" s="12"/>
      <c r="C136" s="27" t="s">
        <v>125</v>
      </c>
      <c r="D136" s="336" t="s">
        <v>108</v>
      </c>
      <c r="E136" s="336" t="s">
        <v>1</v>
      </c>
      <c r="F136" s="65">
        <v>3689</v>
      </c>
      <c r="G136" s="65">
        <v>3650</v>
      </c>
      <c r="H136" s="65">
        <v>3502</v>
      </c>
      <c r="I136" s="65">
        <v>2964</v>
      </c>
      <c r="J136" s="65">
        <v>2756</v>
      </c>
      <c r="K136" s="65">
        <v>3904</v>
      </c>
      <c r="L136" s="388">
        <v>3965</v>
      </c>
      <c r="M136" s="388">
        <v>4068</v>
      </c>
      <c r="N136" s="388">
        <v>4920</v>
      </c>
      <c r="O136" s="388">
        <v>5007</v>
      </c>
      <c r="P136" s="388">
        <v>5122</v>
      </c>
      <c r="Q136" s="388">
        <v>5238</v>
      </c>
      <c r="R136" s="388">
        <v>5463</v>
      </c>
      <c r="S136" s="388">
        <v>5353</v>
      </c>
      <c r="T136" s="388">
        <v>5427</v>
      </c>
      <c r="U136" s="388">
        <v>5672</v>
      </c>
      <c r="V136" s="65">
        <v>5601</v>
      </c>
      <c r="W136" s="14"/>
      <c r="X136" s="8"/>
      <c r="Y136" s="8"/>
      <c r="Z136" s="8"/>
      <c r="AA136" s="8"/>
      <c r="AB136" s="8"/>
      <c r="AC136" s="8"/>
      <c r="AD136" s="8"/>
      <c r="AE136" s="8"/>
      <c r="AF136" s="8"/>
      <c r="AG136" s="356"/>
      <c r="AH136" s="8"/>
    </row>
    <row r="137" spans="2:34" x14ac:dyDescent="0.35">
      <c r="B137" s="12"/>
      <c r="C137" s="27" t="s">
        <v>15</v>
      </c>
      <c r="D137" s="336" t="s">
        <v>108</v>
      </c>
      <c r="E137" s="336" t="s">
        <v>1</v>
      </c>
      <c r="F137" s="65">
        <v>24464</v>
      </c>
      <c r="G137" s="65">
        <v>25780.73</v>
      </c>
      <c r="H137" s="65">
        <v>25888</v>
      </c>
      <c r="I137" s="65">
        <v>29000</v>
      </c>
      <c r="J137" s="65">
        <v>24220</v>
      </c>
      <c r="K137" s="65">
        <v>23162</v>
      </c>
      <c r="L137" s="388">
        <v>21666</v>
      </c>
      <c r="M137" s="388">
        <v>19964</v>
      </c>
      <c r="N137" s="388">
        <v>41672</v>
      </c>
      <c r="O137" s="388">
        <v>21572</v>
      </c>
      <c r="P137" s="388">
        <v>24786</v>
      </c>
      <c r="Q137" s="388">
        <v>24200</v>
      </c>
      <c r="R137" s="388">
        <v>25619</v>
      </c>
      <c r="S137" s="388">
        <v>27507</v>
      </c>
      <c r="T137" s="388">
        <v>31250</v>
      </c>
      <c r="U137" s="388">
        <v>36435.941000000006</v>
      </c>
      <c r="V137" s="65">
        <v>33193</v>
      </c>
      <c r="W137" s="14"/>
      <c r="X137" s="8"/>
      <c r="Y137" s="8"/>
      <c r="Z137" s="8"/>
      <c r="AA137" s="8"/>
      <c r="AB137" s="8"/>
      <c r="AC137" s="8"/>
      <c r="AD137" s="8"/>
      <c r="AE137" s="8"/>
      <c r="AF137" s="8"/>
      <c r="AG137" s="356"/>
      <c r="AH137" s="8"/>
    </row>
    <row r="138" spans="2:34" x14ac:dyDescent="0.35">
      <c r="B138" s="12"/>
      <c r="C138" s="27" t="s">
        <v>126</v>
      </c>
      <c r="D138" s="336" t="s">
        <v>108</v>
      </c>
      <c r="E138" s="336" t="s">
        <v>1</v>
      </c>
      <c r="F138" s="65">
        <v>1500</v>
      </c>
      <c r="G138" s="65">
        <v>1500</v>
      </c>
      <c r="H138" s="65">
        <v>1450</v>
      </c>
      <c r="I138" s="65">
        <v>1430</v>
      </c>
      <c r="J138" s="65">
        <v>1415</v>
      </c>
      <c r="K138" s="65">
        <v>1400</v>
      </c>
      <c r="L138" s="65">
        <v>1425</v>
      </c>
      <c r="M138" s="65">
        <v>1425</v>
      </c>
      <c r="N138" s="65">
        <v>1425</v>
      </c>
      <c r="O138" s="65">
        <v>1426</v>
      </c>
      <c r="P138" s="65">
        <v>1426</v>
      </c>
      <c r="Q138" s="65">
        <v>1425</v>
      </c>
      <c r="R138" s="65">
        <v>1410</v>
      </c>
      <c r="S138" s="65">
        <v>1385</v>
      </c>
      <c r="T138" s="65">
        <v>1343</v>
      </c>
      <c r="U138" s="65">
        <v>1300</v>
      </c>
      <c r="V138" s="65">
        <v>1261</v>
      </c>
      <c r="W138" s="14"/>
      <c r="X138" s="8"/>
      <c r="Y138" s="8"/>
      <c r="Z138" s="8"/>
      <c r="AA138" s="8"/>
      <c r="AB138" s="8"/>
      <c r="AC138" s="8"/>
      <c r="AD138" s="8"/>
      <c r="AE138" s="8"/>
      <c r="AF138" s="8"/>
      <c r="AG138" s="356"/>
      <c r="AH138" s="8"/>
    </row>
    <row r="139" spans="2:34" x14ac:dyDescent="0.35">
      <c r="B139" s="12"/>
      <c r="C139" s="27" t="s">
        <v>16</v>
      </c>
      <c r="D139" s="336" t="s">
        <v>108</v>
      </c>
      <c r="E139" s="336" t="s">
        <v>1</v>
      </c>
      <c r="F139" s="65">
        <v>531800</v>
      </c>
      <c r="G139" s="65">
        <v>529000</v>
      </c>
      <c r="H139" s="65">
        <v>442722</v>
      </c>
      <c r="I139" s="65">
        <v>510246</v>
      </c>
      <c r="J139" s="65">
        <v>518379</v>
      </c>
      <c r="K139" s="65">
        <v>476198</v>
      </c>
      <c r="L139" s="65">
        <v>463563</v>
      </c>
      <c r="M139" s="65">
        <v>400646</v>
      </c>
      <c r="N139" s="65">
        <v>239276</v>
      </c>
      <c r="O139" s="65">
        <v>226759</v>
      </c>
      <c r="P139" s="65">
        <v>265988</v>
      </c>
      <c r="Q139" s="65">
        <v>244288</v>
      </c>
      <c r="R139" s="65">
        <v>213123</v>
      </c>
      <c r="S139" s="65">
        <v>204565</v>
      </c>
      <c r="T139" s="65">
        <v>177973</v>
      </c>
      <c r="U139" s="65">
        <v>197646</v>
      </c>
      <c r="V139" s="65">
        <v>158431</v>
      </c>
      <c r="W139" s="14"/>
      <c r="X139" s="8"/>
      <c r="Y139" s="8"/>
      <c r="Z139" s="8"/>
      <c r="AA139" s="8"/>
      <c r="AB139" s="8"/>
      <c r="AC139" s="8"/>
      <c r="AD139" s="8"/>
      <c r="AE139" s="8"/>
      <c r="AF139" s="8"/>
      <c r="AG139" s="356"/>
      <c r="AH139" s="8"/>
    </row>
    <row r="140" spans="2:34" s="110" customFormat="1" x14ac:dyDescent="0.35">
      <c r="B140" s="12"/>
      <c r="C140" s="8"/>
      <c r="D140" s="15"/>
      <c r="E140" s="15"/>
      <c r="F140" s="378"/>
      <c r="G140" s="378"/>
      <c r="H140" s="378"/>
      <c r="I140" s="378"/>
      <c r="J140" s="378"/>
      <c r="K140" s="378"/>
      <c r="L140" s="378"/>
      <c r="M140" s="378"/>
      <c r="N140" s="378"/>
      <c r="O140" s="378"/>
      <c r="P140" s="378"/>
      <c r="Q140" s="378"/>
      <c r="R140" s="378"/>
      <c r="S140" s="378"/>
      <c r="T140" s="378"/>
      <c r="U140" s="378"/>
      <c r="V140" s="378"/>
      <c r="W140" s="14"/>
      <c r="X140" s="8"/>
      <c r="Y140" s="8"/>
      <c r="Z140" s="8"/>
      <c r="AA140" s="8"/>
      <c r="AB140" s="8"/>
      <c r="AC140" s="8"/>
      <c r="AD140" s="8"/>
      <c r="AE140" s="8"/>
      <c r="AF140" s="8"/>
      <c r="AG140" s="356"/>
      <c r="AH140" s="8"/>
    </row>
    <row r="141" spans="2:34" s="110" customFormat="1" x14ac:dyDescent="0.35">
      <c r="B141" s="12"/>
      <c r="C141" s="43" t="s">
        <v>363</v>
      </c>
      <c r="D141" s="338" t="s">
        <v>64</v>
      </c>
      <c r="E141" s="338" t="s">
        <v>87</v>
      </c>
      <c r="F141" s="380" t="s">
        <v>17</v>
      </c>
      <c r="G141" s="338" t="s">
        <v>58</v>
      </c>
      <c r="H141" s="338" t="s">
        <v>117</v>
      </c>
      <c r="I141" s="338" t="s">
        <v>15</v>
      </c>
      <c r="J141" s="378"/>
      <c r="K141" s="378"/>
      <c r="L141" s="378"/>
      <c r="M141" s="378"/>
      <c r="N141" s="378"/>
      <c r="O141" s="378"/>
      <c r="P141" s="378"/>
      <c r="Q141" s="378"/>
      <c r="R141" s="378"/>
      <c r="S141" s="378"/>
      <c r="T141" s="378"/>
      <c r="U141" s="378"/>
      <c r="V141" s="378"/>
      <c r="W141" s="14"/>
      <c r="X141" s="8"/>
      <c r="Y141" s="8"/>
      <c r="Z141" s="8"/>
      <c r="AA141" s="8"/>
      <c r="AB141" s="8"/>
      <c r="AC141" s="8"/>
      <c r="AD141" s="8"/>
      <c r="AE141" s="8"/>
      <c r="AF141" s="8"/>
      <c r="AG141" s="356"/>
      <c r="AH141" s="8"/>
    </row>
    <row r="142" spans="2:34" s="110" customFormat="1" x14ac:dyDescent="0.35">
      <c r="B142" s="12"/>
      <c r="C142" s="40" t="s">
        <v>358</v>
      </c>
      <c r="D142" s="336" t="s">
        <v>74</v>
      </c>
      <c r="E142" s="336" t="s">
        <v>106</v>
      </c>
      <c r="F142" s="387">
        <v>0.06</v>
      </c>
      <c r="G142" s="387">
        <v>0.06</v>
      </c>
      <c r="H142" s="387">
        <v>0.02</v>
      </c>
      <c r="I142" s="387">
        <v>0.03</v>
      </c>
      <c r="J142" s="378"/>
      <c r="K142" s="378"/>
      <c r="L142" s="378"/>
      <c r="M142" s="378"/>
      <c r="N142" s="378"/>
      <c r="O142" s="378"/>
      <c r="P142" s="378"/>
      <c r="Q142" s="378"/>
      <c r="R142" s="378"/>
      <c r="S142" s="378"/>
      <c r="T142" s="378"/>
      <c r="U142" s="378"/>
      <c r="V142" s="378"/>
      <c r="W142" s="14"/>
      <c r="X142" s="8"/>
      <c r="Y142" s="8"/>
      <c r="Z142" s="8"/>
      <c r="AA142" s="8"/>
      <c r="AB142" s="8"/>
      <c r="AC142" s="8"/>
      <c r="AD142" s="8"/>
      <c r="AE142" s="8"/>
      <c r="AF142" s="8"/>
      <c r="AG142" s="356"/>
      <c r="AH142" s="8"/>
    </row>
    <row r="143" spans="2:34" s="110" customFormat="1" x14ac:dyDescent="0.35">
      <c r="B143" s="12"/>
      <c r="C143" s="40" t="s">
        <v>359</v>
      </c>
      <c r="D143" s="336" t="s">
        <v>74</v>
      </c>
      <c r="E143" s="336" t="s">
        <v>106</v>
      </c>
      <c r="F143" s="387">
        <v>0</v>
      </c>
      <c r="G143" s="387">
        <v>0.02</v>
      </c>
      <c r="H143" s="387">
        <v>0</v>
      </c>
      <c r="I143" s="387">
        <v>0</v>
      </c>
      <c r="J143" s="378"/>
      <c r="K143" s="378"/>
      <c r="L143" s="378"/>
      <c r="M143" s="378"/>
      <c r="N143" s="378"/>
      <c r="O143" s="378"/>
      <c r="P143" s="378"/>
      <c r="Q143" s="378"/>
      <c r="R143" s="378"/>
      <c r="S143" s="378"/>
      <c r="T143" s="378"/>
      <c r="U143" s="378"/>
      <c r="V143" s="378"/>
      <c r="W143" s="14"/>
      <c r="X143" s="8"/>
      <c r="Y143" s="8"/>
      <c r="Z143" s="8"/>
      <c r="AA143" s="8"/>
      <c r="AB143" s="8"/>
      <c r="AC143" s="8"/>
      <c r="AD143" s="8"/>
      <c r="AE143" s="8"/>
      <c r="AF143" s="8"/>
      <c r="AG143" s="356"/>
      <c r="AH143" s="8"/>
    </row>
    <row r="144" spans="2:34" s="110" customFormat="1" x14ac:dyDescent="0.35">
      <c r="B144" s="12"/>
      <c r="C144" s="40" t="s">
        <v>360</v>
      </c>
      <c r="D144" s="336" t="s">
        <v>74</v>
      </c>
      <c r="E144" s="336" t="s">
        <v>106</v>
      </c>
      <c r="F144" s="387">
        <v>0.2</v>
      </c>
      <c r="G144" s="387">
        <v>0.22</v>
      </c>
      <c r="H144" s="387">
        <v>0.03</v>
      </c>
      <c r="I144" s="387">
        <v>0.03</v>
      </c>
      <c r="J144" s="378"/>
      <c r="K144" s="378"/>
      <c r="L144" s="378"/>
      <c r="M144" s="378"/>
      <c r="N144" s="378"/>
      <c r="O144" s="378"/>
      <c r="P144" s="378"/>
      <c r="Q144" s="378"/>
      <c r="R144" s="378"/>
      <c r="S144" s="378"/>
      <c r="T144" s="378"/>
      <c r="U144" s="378"/>
      <c r="V144" s="378"/>
      <c r="W144" s="14"/>
      <c r="X144" s="8"/>
      <c r="Y144" s="8"/>
      <c r="Z144" s="8"/>
      <c r="AA144" s="8"/>
      <c r="AB144" s="8"/>
      <c r="AC144" s="8"/>
      <c r="AD144" s="8"/>
      <c r="AE144" s="8"/>
      <c r="AF144" s="8"/>
      <c r="AG144" s="356"/>
      <c r="AH144" s="8"/>
    </row>
    <row r="145" spans="2:34" s="110" customFormat="1" x14ac:dyDescent="0.35">
      <c r="B145" s="12"/>
      <c r="C145" s="40" t="s">
        <v>361</v>
      </c>
      <c r="D145" s="336" t="s">
        <v>74</v>
      </c>
      <c r="E145" s="336" t="s">
        <v>106</v>
      </c>
      <c r="F145" s="387">
        <v>0.57999999999999996</v>
      </c>
      <c r="G145" s="387">
        <v>1.22</v>
      </c>
      <c r="H145" s="387">
        <v>0.35</v>
      </c>
      <c r="I145" s="387">
        <v>0.09</v>
      </c>
      <c r="J145" s="378"/>
      <c r="K145" s="378"/>
      <c r="L145" s="378"/>
      <c r="M145" s="378"/>
      <c r="N145" s="378"/>
      <c r="O145" s="378"/>
      <c r="P145" s="378"/>
      <c r="Q145" s="378"/>
      <c r="R145" s="378"/>
      <c r="S145" s="378"/>
      <c r="T145" s="378"/>
      <c r="U145" s="378"/>
      <c r="V145" s="378"/>
      <c r="W145" s="14"/>
      <c r="X145" s="8"/>
      <c r="Y145" s="8"/>
      <c r="Z145" s="8"/>
      <c r="AA145" s="8"/>
      <c r="AB145" s="8"/>
      <c r="AC145" s="8"/>
      <c r="AD145" s="8"/>
      <c r="AE145" s="8"/>
      <c r="AF145" s="8"/>
      <c r="AG145" s="356"/>
      <c r="AH145" s="8"/>
    </row>
    <row r="146" spans="2:34" s="110" customFormat="1" x14ac:dyDescent="0.35">
      <c r="B146" s="12"/>
      <c r="C146" s="40" t="s">
        <v>362</v>
      </c>
      <c r="D146" s="336" t="s">
        <v>74</v>
      </c>
      <c r="E146" s="336" t="s">
        <v>106</v>
      </c>
      <c r="F146" s="387">
        <v>0.11</v>
      </c>
      <c r="G146" s="387">
        <v>0.14000000000000001</v>
      </c>
      <c r="H146" s="387">
        <v>0.12</v>
      </c>
      <c r="I146" s="387">
        <v>0.06</v>
      </c>
      <c r="J146" s="378"/>
      <c r="K146" s="378"/>
      <c r="L146" s="378"/>
      <c r="M146" s="378"/>
      <c r="N146" s="378"/>
      <c r="O146" s="378"/>
      <c r="P146" s="378"/>
      <c r="Q146" s="378"/>
      <c r="R146" s="378"/>
      <c r="S146" s="378"/>
      <c r="T146" s="378"/>
      <c r="U146" s="378"/>
      <c r="V146" s="378"/>
      <c r="W146" s="14"/>
      <c r="X146" s="8"/>
      <c r="Y146" s="8"/>
      <c r="Z146" s="8"/>
      <c r="AA146" s="8"/>
      <c r="AB146" s="8"/>
      <c r="AC146" s="8"/>
      <c r="AD146" s="8"/>
      <c r="AE146" s="8"/>
      <c r="AF146" s="8"/>
      <c r="AG146" s="356"/>
      <c r="AH146" s="8"/>
    </row>
    <row r="147" spans="2:34" s="110" customFormat="1" x14ac:dyDescent="0.35">
      <c r="B147" s="12"/>
      <c r="C147" s="40" t="s">
        <v>219</v>
      </c>
      <c r="D147" s="336"/>
      <c r="E147" s="336"/>
      <c r="F147" s="381">
        <f>SUM(F142:F146)</f>
        <v>0.95</v>
      </c>
      <c r="G147" s="381">
        <f t="shared" ref="G147:I147" si="64">SUM(G142:G146)</f>
        <v>1.6600000000000001</v>
      </c>
      <c r="H147" s="381">
        <f t="shared" si="64"/>
        <v>0.52</v>
      </c>
      <c r="I147" s="381">
        <f t="shared" si="64"/>
        <v>0.21</v>
      </c>
      <c r="J147" s="378"/>
      <c r="K147" s="378"/>
      <c r="L147" s="378"/>
      <c r="M147" s="378"/>
      <c r="N147" s="378"/>
      <c r="O147" s="378"/>
      <c r="P147" s="378"/>
      <c r="Q147" s="378"/>
      <c r="R147" s="378"/>
      <c r="S147" s="378"/>
      <c r="T147" s="378"/>
      <c r="U147" s="378"/>
      <c r="V147" s="378"/>
      <c r="W147" s="14"/>
      <c r="X147" s="8"/>
      <c r="Y147" s="8"/>
      <c r="Z147" s="8"/>
      <c r="AA147" s="8"/>
      <c r="AB147" s="8"/>
      <c r="AC147" s="8"/>
      <c r="AD147" s="8"/>
      <c r="AE147" s="8"/>
      <c r="AF147" s="8"/>
      <c r="AG147" s="356"/>
      <c r="AH147" s="8"/>
    </row>
    <row r="148" spans="2:34" s="110" customFormat="1" ht="15" thickBot="1" x14ac:dyDescent="0.4">
      <c r="B148" s="18"/>
      <c r="C148" s="22"/>
      <c r="D148" s="382"/>
      <c r="E148" s="382"/>
      <c r="F148" s="383"/>
      <c r="G148" s="383"/>
      <c r="H148" s="383"/>
      <c r="I148" s="383"/>
      <c r="J148" s="383"/>
      <c r="K148" s="383"/>
      <c r="L148" s="383"/>
      <c r="M148" s="383"/>
      <c r="N148" s="383"/>
      <c r="O148" s="383"/>
      <c r="P148" s="383"/>
      <c r="Q148" s="383"/>
      <c r="R148" s="383"/>
      <c r="S148" s="383"/>
      <c r="T148" s="383"/>
      <c r="U148" s="383"/>
      <c r="V148" s="383"/>
      <c r="W148" s="21"/>
      <c r="X148" s="8"/>
      <c r="Y148" s="8"/>
      <c r="Z148" s="8"/>
      <c r="AA148" s="8"/>
      <c r="AB148" s="8"/>
      <c r="AC148" s="8"/>
      <c r="AD148" s="8"/>
      <c r="AE148" s="8"/>
      <c r="AF148" s="8"/>
      <c r="AG148" s="356"/>
      <c r="AH148" s="8"/>
    </row>
    <row r="149" spans="2:34" s="110" customFormat="1" ht="15" thickBot="1" x14ac:dyDescent="0.4">
      <c r="B149" s="8"/>
      <c r="C149" s="8"/>
      <c r="D149" s="15"/>
      <c r="E149" s="15"/>
      <c r="F149" s="378"/>
      <c r="G149" s="378"/>
      <c r="H149" s="378"/>
      <c r="I149" s="378"/>
      <c r="J149" s="378"/>
      <c r="K149" s="378"/>
      <c r="L149" s="378"/>
      <c r="M149" s="378"/>
      <c r="N149" s="378"/>
      <c r="O149" s="378"/>
      <c r="P149" s="378"/>
      <c r="Q149" s="378"/>
      <c r="R149" s="378"/>
      <c r="S149" s="378"/>
      <c r="T149" s="378"/>
      <c r="U149" s="378"/>
      <c r="V149" s="37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356"/>
      <c r="AH149" s="8"/>
    </row>
    <row r="150" spans="2:34" s="8" customFormat="1" x14ac:dyDescent="0.35">
      <c r="B150" s="9"/>
      <c r="C150" s="10"/>
      <c r="D150" s="384"/>
      <c r="E150" s="384"/>
      <c r="F150" s="385"/>
      <c r="G150" s="385"/>
      <c r="H150" s="385"/>
      <c r="I150" s="385"/>
      <c r="J150" s="385"/>
      <c r="K150" s="385"/>
      <c r="L150" s="385"/>
      <c r="M150" s="385"/>
      <c r="N150" s="385"/>
      <c r="O150" s="385"/>
      <c r="P150" s="385"/>
      <c r="Q150" s="385"/>
      <c r="R150" s="385"/>
      <c r="S150" s="385"/>
      <c r="T150" s="385"/>
      <c r="U150" s="385"/>
      <c r="V150" s="385"/>
      <c r="W150" s="10"/>
      <c r="X150" s="10"/>
      <c r="Y150" s="11"/>
      <c r="AG150" s="356"/>
    </row>
    <row r="151" spans="2:34" x14ac:dyDescent="0.35">
      <c r="B151" s="12"/>
      <c r="C151" s="379" t="s">
        <v>129</v>
      </c>
      <c r="D151" s="369" t="s">
        <v>64</v>
      </c>
      <c r="E151" s="369" t="s">
        <v>87</v>
      </c>
      <c r="F151" s="369">
        <v>2000</v>
      </c>
      <c r="G151" s="369">
        <v>2001</v>
      </c>
      <c r="H151" s="369">
        <v>2002</v>
      </c>
      <c r="I151" s="369">
        <v>2003</v>
      </c>
      <c r="J151" s="369">
        <v>2004</v>
      </c>
      <c r="K151" s="369">
        <v>2005</v>
      </c>
      <c r="L151" s="369">
        <v>2006</v>
      </c>
      <c r="M151" s="369">
        <v>2007</v>
      </c>
      <c r="N151" s="369">
        <v>2008</v>
      </c>
      <c r="O151" s="369">
        <v>2009</v>
      </c>
      <c r="P151" s="369">
        <v>2010</v>
      </c>
      <c r="Q151" s="369">
        <v>2011</v>
      </c>
      <c r="R151" s="369">
        <v>2012</v>
      </c>
      <c r="S151" s="369">
        <v>2013</v>
      </c>
      <c r="T151" s="369">
        <v>2014</v>
      </c>
      <c r="U151" s="369">
        <v>2015</v>
      </c>
      <c r="V151" s="369">
        <v>2016</v>
      </c>
      <c r="W151" s="369">
        <v>2017</v>
      </c>
      <c r="X151" s="369">
        <v>2018</v>
      </c>
      <c r="Y151" s="14"/>
      <c r="Z151" s="8"/>
      <c r="AA151" s="8"/>
      <c r="AB151" s="8"/>
      <c r="AC151" s="8"/>
      <c r="AD151" s="8"/>
      <c r="AE151" s="8"/>
      <c r="AF151" s="8"/>
      <c r="AG151" s="353"/>
      <c r="AH151" s="8"/>
    </row>
    <row r="152" spans="2:34" x14ac:dyDescent="0.35">
      <c r="B152" s="12"/>
      <c r="C152" s="27" t="s">
        <v>130</v>
      </c>
      <c r="D152" s="376" t="s">
        <v>65</v>
      </c>
      <c r="E152" s="376" t="s">
        <v>1</v>
      </c>
      <c r="F152" s="65">
        <v>89100</v>
      </c>
      <c r="G152" s="65">
        <v>85042</v>
      </c>
      <c r="H152" s="65">
        <v>85028</v>
      </c>
      <c r="I152" s="65">
        <v>86283.999999999985</v>
      </c>
      <c r="J152" s="65">
        <v>88011</v>
      </c>
      <c r="K152" s="65">
        <v>89498</v>
      </c>
      <c r="L152" s="65">
        <v>86885.999999999985</v>
      </c>
      <c r="M152" s="65">
        <v>96463</v>
      </c>
      <c r="N152" s="65">
        <v>98867</v>
      </c>
      <c r="O152" s="65">
        <v>108871</v>
      </c>
      <c r="P152" s="65">
        <v>115266</v>
      </c>
      <c r="Q152" s="65">
        <v>117370</v>
      </c>
      <c r="R152" s="65">
        <v>123352</v>
      </c>
      <c r="S152" s="65">
        <v>128928</v>
      </c>
      <c r="T152" s="65">
        <v>137244</v>
      </c>
      <c r="U152" s="65">
        <v>147564.71</v>
      </c>
      <c r="V152" s="400">
        <v>161833</v>
      </c>
      <c r="W152" s="27"/>
      <c r="X152" s="27"/>
      <c r="Y152" s="14"/>
      <c r="Z152" s="8"/>
      <c r="AA152" s="8"/>
      <c r="AB152" s="8"/>
      <c r="AC152" s="8"/>
      <c r="AD152" s="8"/>
      <c r="AE152" s="8"/>
      <c r="AF152" s="8"/>
      <c r="AG152" s="356"/>
      <c r="AH152" s="8"/>
    </row>
    <row r="153" spans="2:34" x14ac:dyDescent="0.35">
      <c r="B153" s="12"/>
      <c r="C153" s="27" t="s">
        <v>41</v>
      </c>
      <c r="D153" s="376" t="s">
        <v>65</v>
      </c>
      <c r="E153" s="376" t="s">
        <v>1</v>
      </c>
      <c r="F153" s="65">
        <v>140512</v>
      </c>
      <c r="G153" s="65">
        <v>144364</v>
      </c>
      <c r="H153" s="65">
        <v>152362.94099999999</v>
      </c>
      <c r="I153" s="65">
        <v>160138.13099999999</v>
      </c>
      <c r="J153" s="65">
        <v>162971.16</v>
      </c>
      <c r="K153" s="65">
        <v>165344.43</v>
      </c>
      <c r="L153" s="65">
        <v>172504</v>
      </c>
      <c r="M153" s="65">
        <v>150716.54699999999</v>
      </c>
      <c r="N153" s="65">
        <v>151839.63</v>
      </c>
      <c r="O153" s="65">
        <v>152631.05100000001</v>
      </c>
      <c r="P153" s="65">
        <v>159470.83499999999</v>
      </c>
      <c r="Q153" s="65">
        <v>159903.783</v>
      </c>
      <c r="R153" s="65">
        <v>164650</v>
      </c>
      <c r="S153" s="65">
        <v>164802</v>
      </c>
      <c r="T153" s="65">
        <v>165140</v>
      </c>
      <c r="U153" s="65">
        <v>166293.5</v>
      </c>
      <c r="V153" s="400">
        <v>168544</v>
      </c>
      <c r="W153" s="27"/>
      <c r="X153" s="27"/>
      <c r="Y153" s="14"/>
      <c r="Z153" s="8"/>
      <c r="AA153" s="8"/>
      <c r="AB153" s="8"/>
      <c r="AC153" s="8"/>
      <c r="AD153" s="8"/>
      <c r="AE153" s="8"/>
      <c r="AF153" s="8"/>
      <c r="AG153" s="356"/>
      <c r="AH153" s="8"/>
    </row>
    <row r="154" spans="2:34" x14ac:dyDescent="0.35">
      <c r="B154" s="12"/>
      <c r="C154" s="27" t="s">
        <v>117</v>
      </c>
      <c r="D154" s="376" t="s">
        <v>65</v>
      </c>
      <c r="E154" s="376" t="s">
        <v>1</v>
      </c>
      <c r="F154" s="65">
        <v>633.00000000000011</v>
      </c>
      <c r="G154" s="65">
        <v>820</v>
      </c>
      <c r="H154" s="65">
        <v>1216.0000000000002</v>
      </c>
      <c r="I154" s="65">
        <v>2223</v>
      </c>
      <c r="J154" s="65">
        <v>2691</v>
      </c>
      <c r="K154" s="65">
        <v>6726</v>
      </c>
      <c r="L154" s="65">
        <v>6887</v>
      </c>
      <c r="M154" s="65">
        <v>6633</v>
      </c>
      <c r="N154" s="65">
        <v>5184</v>
      </c>
      <c r="O154" s="65">
        <v>4587</v>
      </c>
      <c r="P154" s="65">
        <v>4641</v>
      </c>
      <c r="Q154" s="65">
        <v>4502.0000000000009</v>
      </c>
      <c r="R154" s="65">
        <v>4363</v>
      </c>
      <c r="S154" s="65">
        <v>4068</v>
      </c>
      <c r="T154" s="65">
        <v>3744</v>
      </c>
      <c r="U154" s="65">
        <v>3190</v>
      </c>
      <c r="V154" s="400">
        <v>3479</v>
      </c>
      <c r="W154" s="27"/>
      <c r="X154" s="27"/>
      <c r="Y154" s="14"/>
      <c r="Z154" s="8"/>
      <c r="AA154" s="8"/>
      <c r="AB154" s="8"/>
      <c r="AC154" s="8"/>
      <c r="AD154" s="8"/>
      <c r="AE154" s="8"/>
      <c r="AF154" s="8"/>
      <c r="AG154" s="356"/>
      <c r="AH154" s="8"/>
    </row>
    <row r="155" spans="2:34" x14ac:dyDescent="0.35">
      <c r="B155" s="12"/>
      <c r="C155" s="386" t="s">
        <v>135</v>
      </c>
      <c r="D155" s="376"/>
      <c r="E155" s="376" t="s">
        <v>5</v>
      </c>
      <c r="F155" s="66">
        <f>IFERROR((F152/1000)*'Conversion Factors CF'!$D$19,0)+IFERROR((F153/1000)*'Conversion Factors CF'!$D$20,0)+IFERROR(('Activity Data Calculations'!F154/1000)*'Conversion Factors CF'!$D$21,0)</f>
        <v>10110.012189999999</v>
      </c>
      <c r="G155" s="66">
        <f>IFERROR((G152/1000)*'Conversion Factors CF'!$D$19,0)+IFERROR((G153/1000)*'Conversion Factors CF'!$D$20,0)+IFERROR(('Activity Data Calculations'!G154/1000)*'Conversion Factors CF'!$D$21,0)</f>
        <v>10103.967919999999</v>
      </c>
      <c r="H155" s="66">
        <f>IFERROR((H152/1000)*'Conversion Factors CF'!$D$19,0)+IFERROR((H153/1000)*'Conversion Factors CF'!$D$20,0)+IFERROR(('Activity Data Calculations'!H154/1000)*'Conversion Factors CF'!$D$21,0)</f>
        <v>10468.669593529998</v>
      </c>
      <c r="I155" s="66">
        <f>IFERROR((I152/1000)*'Conversion Factors CF'!$D$19,0)+IFERROR((I153/1000)*'Conversion Factors CF'!$D$20,0)+IFERROR(('Activity Data Calculations'!I154/1000)*'Conversion Factors CF'!$D$21,0)</f>
        <v>10909.478546229999</v>
      </c>
      <c r="J155" s="66">
        <f>IFERROR((J152/1000)*'Conversion Factors CF'!$D$19,0)+IFERROR((J153/1000)*'Conversion Factors CF'!$D$20,0)+IFERROR(('Activity Data Calculations'!J154/1000)*'Conversion Factors CF'!$D$21,0)</f>
        <v>11131.7443728</v>
      </c>
      <c r="K155" s="66">
        <f>IFERROR((K152/1000)*'Conversion Factors CF'!$D$19,0)+IFERROR((K153/1000)*'Conversion Factors CF'!$D$20,0)+IFERROR(('Activity Data Calculations'!K154/1000)*'Conversion Factors CF'!$D$21,0)</f>
        <v>11492.091611899999</v>
      </c>
      <c r="L155" s="66">
        <f>IFERROR((L152/1000)*'Conversion Factors CF'!$D$19,0)+IFERROR((L153/1000)*'Conversion Factors CF'!$D$20,0)+IFERROR(('Activity Data Calculations'!L154/1000)*'Conversion Factors CF'!$D$21,0)</f>
        <v>11692.915089999997</v>
      </c>
      <c r="M155" s="66">
        <f>IFERROR((M152/1000)*'Conversion Factors CF'!$D$19,0)+IFERROR((M153/1000)*'Conversion Factors CF'!$D$20,0)+IFERROR(('Activity Data Calculations'!M154/1000)*'Conversion Factors CF'!$D$21,0)</f>
        <v>11165.897611509999</v>
      </c>
      <c r="N155" s="66">
        <f>IFERROR((N152/1000)*'Conversion Factors CF'!$D$19,0)+IFERROR((N153/1000)*'Conversion Factors CF'!$D$20,0)+IFERROR(('Activity Data Calculations'!N154/1000)*'Conversion Factors CF'!$D$21,0)</f>
        <v>11253.7078079</v>
      </c>
      <c r="O155" s="66">
        <f>IFERROR((O152/1000)*'Conversion Factors CF'!$D$19,0)+IFERROR((O153/1000)*'Conversion Factors CF'!$D$20,0)+IFERROR(('Activity Data Calculations'!O154/1000)*'Conversion Factors CF'!$D$21,0)</f>
        <v>11707.935209830001</v>
      </c>
      <c r="P155" s="66">
        <f>IFERROR((P152/1000)*'Conversion Factors CF'!$D$19,0)+IFERROR((P153/1000)*'Conversion Factors CF'!$D$20,0)+IFERROR(('Activity Data Calculations'!P154/1000)*'Conversion Factors CF'!$D$21,0)</f>
        <v>12293.35379055</v>
      </c>
      <c r="Q155" s="66">
        <f>IFERROR((Q152/1000)*'Conversion Factors CF'!$D$19,0)+IFERROR((Q153/1000)*'Conversion Factors CF'!$D$20,0)+IFERROR(('Activity Data Calculations'!Q154/1000)*'Conversion Factors CF'!$D$21,0)</f>
        <v>12399.796537390001</v>
      </c>
      <c r="R155" s="66">
        <f>IFERROR((R152/1000)*'Conversion Factors CF'!$D$19,0)+IFERROR((R153/1000)*'Conversion Factors CF'!$D$20,0)+IFERROR(('Activity Data Calculations'!R154/1000)*'Conversion Factors CF'!$D$21,0)</f>
        <v>12866.867629999999</v>
      </c>
      <c r="S155" s="66">
        <f>IFERROR((S152/1000)*'Conversion Factors CF'!$D$19,0)+IFERROR((S153/1000)*'Conversion Factors CF'!$D$20,0)+IFERROR(('Activity Data Calculations'!S154/1000)*'Conversion Factors CF'!$D$21,0)</f>
        <v>13109.30214</v>
      </c>
      <c r="T155" s="66">
        <f>IFERROR((T152/1000)*'Conversion Factors CF'!$D$19,0)+IFERROR((T153/1000)*'Conversion Factors CF'!$D$20,0)+IFERROR(('Activity Data Calculations'!T154/1000)*'Conversion Factors CF'!$D$21,0)</f>
        <v>13481.17604</v>
      </c>
      <c r="U155" s="66">
        <f>IFERROR((U152/1000)*'Conversion Factors CF'!$D$19,0)+IFERROR((U153/1000)*'Conversion Factors CF'!$D$20,0)+IFERROR(('Activity Data Calculations'!U154/1000)*'Conversion Factors CF'!$D$21,0)</f>
        <v>13967.315263</v>
      </c>
      <c r="V155" s="401">
        <f>IFERROR((V152/1000)*'Conversion Factors CF'!$D$19,0)+IFERROR((V153/1000)*'Conversion Factors CF'!$D$20,0)+IFERROR(('Activity Data Calculations'!V154/1000)*'Conversion Factors CF'!$D$21,0)</f>
        <v>14717.72141</v>
      </c>
      <c r="W155" s="27"/>
      <c r="X155" s="27"/>
      <c r="Y155" s="14"/>
      <c r="Z155" s="8"/>
      <c r="AA155" s="8"/>
      <c r="AB155" s="8"/>
      <c r="AC155" s="8"/>
      <c r="AD155" s="8"/>
      <c r="AE155" s="8"/>
      <c r="AF155" s="8"/>
      <c r="AG155" s="357"/>
      <c r="AH155" s="8"/>
    </row>
    <row r="156" spans="2:34" x14ac:dyDescent="0.35">
      <c r="B156" s="12"/>
      <c r="C156" s="354" t="s">
        <v>131</v>
      </c>
      <c r="D156" s="355"/>
      <c r="E156" s="355"/>
      <c r="F156" s="355"/>
      <c r="G156" s="355"/>
      <c r="H156" s="355"/>
      <c r="I156" s="355"/>
      <c r="J156" s="355"/>
      <c r="K156" s="355"/>
      <c r="L156" s="355"/>
      <c r="M156" s="355"/>
      <c r="N156" s="355"/>
      <c r="O156" s="355"/>
      <c r="P156" s="355"/>
      <c r="Q156" s="355"/>
      <c r="R156" s="355"/>
      <c r="S156" s="355"/>
      <c r="T156" s="355"/>
      <c r="U156" s="355"/>
      <c r="V156" s="355"/>
      <c r="W156" s="27"/>
      <c r="X156" s="27"/>
      <c r="Y156" s="14"/>
      <c r="Z156" s="8"/>
      <c r="AA156" s="8"/>
      <c r="AB156" s="8"/>
      <c r="AC156" s="8"/>
      <c r="AD156" s="8"/>
      <c r="AE156" s="8"/>
      <c r="AF156" s="8"/>
      <c r="AG156" s="353"/>
      <c r="AH156" s="8"/>
    </row>
    <row r="157" spans="2:34" x14ac:dyDescent="0.35">
      <c r="B157" s="12"/>
      <c r="C157" s="709" t="s">
        <v>132</v>
      </c>
      <c r="D157" s="717" t="s">
        <v>174</v>
      </c>
      <c r="E157" s="376" t="s">
        <v>340</v>
      </c>
      <c r="F157" s="345">
        <f t="shared" ref="F157:L157" si="65">G157-G157*G191</f>
        <v>1496458.7585539883</v>
      </c>
      <c r="G157" s="345">
        <f t="shared" si="65"/>
        <v>1585310.5922526452</v>
      </c>
      <c r="H157" s="345">
        <f t="shared" si="65"/>
        <v>1854547.7008507531</v>
      </c>
      <c r="I157" s="345">
        <f t="shared" si="65"/>
        <v>1973424.8318839727</v>
      </c>
      <c r="J157" s="345">
        <f t="shared" si="65"/>
        <v>1886295.2239817376</v>
      </c>
      <c r="K157" s="345">
        <f t="shared" si="65"/>
        <v>1689549.4153527135</v>
      </c>
      <c r="L157" s="345">
        <f t="shared" si="65"/>
        <v>1752483.9175918126</v>
      </c>
      <c r="M157" s="345">
        <f>N157-N157*N191</f>
        <v>1960798.3497689678</v>
      </c>
      <c r="N157" s="339">
        <v>1753488</v>
      </c>
      <c r="O157" s="339">
        <v>1333704</v>
      </c>
      <c r="P157" s="339">
        <v>1824068</v>
      </c>
      <c r="Q157" s="339">
        <v>1988153</v>
      </c>
      <c r="R157" s="339">
        <v>2111184</v>
      </c>
      <c r="S157" s="339">
        <v>2168327</v>
      </c>
      <c r="T157" s="339">
        <v>2240160</v>
      </c>
      <c r="U157" s="339">
        <v>2662203</v>
      </c>
      <c r="V157" s="402">
        <v>3044782</v>
      </c>
      <c r="W157" s="27"/>
      <c r="X157" s="27"/>
      <c r="Y157" s="14"/>
      <c r="Z157" s="8"/>
      <c r="AA157" s="8"/>
      <c r="AB157" s="8"/>
      <c r="AC157" s="8"/>
      <c r="AD157" s="8"/>
      <c r="AE157" s="8"/>
      <c r="AF157" s="8"/>
      <c r="AG157" s="358"/>
      <c r="AH157" s="8"/>
    </row>
    <row r="158" spans="2:34" x14ac:dyDescent="0.35">
      <c r="B158" s="12"/>
      <c r="C158" s="709"/>
      <c r="D158" s="717"/>
      <c r="E158" s="376" t="s">
        <v>106</v>
      </c>
      <c r="F158" s="67"/>
      <c r="G158" s="67"/>
      <c r="H158" s="67"/>
      <c r="I158" s="67"/>
      <c r="J158" s="67"/>
      <c r="K158" s="67"/>
      <c r="L158" s="67"/>
      <c r="M158" s="67"/>
      <c r="N158" s="67">
        <f t="shared" ref="N158:V158" si="66">(N157-M157)/M157</f>
        <v>-0.10572752154416812</v>
      </c>
      <c r="O158" s="67">
        <f t="shared" si="66"/>
        <v>-0.23939941419616217</v>
      </c>
      <c r="P158" s="67">
        <f t="shared" si="66"/>
        <v>0.36767078752106913</v>
      </c>
      <c r="Q158" s="67">
        <f t="shared" si="66"/>
        <v>8.995552797373782E-2</v>
      </c>
      <c r="R158" s="67">
        <f t="shared" si="66"/>
        <v>6.1882058372771109E-2</v>
      </c>
      <c r="S158" s="67">
        <f t="shared" si="66"/>
        <v>2.7066802325140773E-2</v>
      </c>
      <c r="T158" s="67">
        <f t="shared" si="66"/>
        <v>3.3128305832100045E-2</v>
      </c>
      <c r="U158" s="67">
        <f t="shared" si="66"/>
        <v>0.18839859652881938</v>
      </c>
      <c r="V158" s="403">
        <f t="shared" si="66"/>
        <v>0.14370767368228493</v>
      </c>
      <c r="W158" s="27"/>
      <c r="X158" s="27"/>
      <c r="Y158" s="14"/>
      <c r="Z158" s="8"/>
      <c r="AA158" s="8"/>
      <c r="AB158" s="8"/>
      <c r="AC158" s="8"/>
      <c r="AD158" s="8"/>
      <c r="AE158" s="8"/>
      <c r="AF158" s="8"/>
      <c r="AG158" s="359"/>
      <c r="AH158" s="8"/>
    </row>
    <row r="159" spans="2:34" s="110" customFormat="1" x14ac:dyDescent="0.35">
      <c r="B159" s="12"/>
      <c r="C159" s="354" t="s">
        <v>452</v>
      </c>
      <c r="D159" s="355"/>
      <c r="E159" s="355"/>
      <c r="F159" s="355"/>
      <c r="G159" s="355"/>
      <c r="H159" s="355"/>
      <c r="I159" s="355"/>
      <c r="J159" s="355"/>
      <c r="K159" s="355"/>
      <c r="L159" s="355"/>
      <c r="M159" s="355"/>
      <c r="N159" s="355"/>
      <c r="O159" s="355"/>
      <c r="P159" s="355"/>
      <c r="Q159" s="355"/>
      <c r="R159" s="355"/>
      <c r="S159" s="355"/>
      <c r="T159" s="355"/>
      <c r="U159" s="355"/>
      <c r="V159" s="355"/>
      <c r="W159" s="27"/>
      <c r="X159" s="27"/>
      <c r="Y159" s="14"/>
      <c r="Z159" s="8"/>
      <c r="AA159" s="8"/>
      <c r="AB159" s="8"/>
      <c r="AC159" s="8"/>
      <c r="AD159" s="8"/>
      <c r="AE159" s="8"/>
      <c r="AF159" s="8"/>
      <c r="AG159" s="353"/>
      <c r="AH159" s="8"/>
    </row>
    <row r="160" spans="2:34" s="110" customFormat="1" x14ac:dyDescent="0.35">
      <c r="B160" s="12"/>
      <c r="C160" s="495" t="s">
        <v>22</v>
      </c>
      <c r="D160" s="494" t="s">
        <v>453</v>
      </c>
      <c r="E160" s="488" t="s">
        <v>2</v>
      </c>
      <c r="F160" s="499">
        <v>192</v>
      </c>
      <c r="G160" s="499">
        <v>196</v>
      </c>
      <c r="H160" s="499">
        <v>198</v>
      </c>
      <c r="I160" s="499">
        <v>209</v>
      </c>
      <c r="J160" s="499">
        <v>221</v>
      </c>
      <c r="K160" s="499">
        <v>229</v>
      </c>
      <c r="L160" s="499">
        <v>236</v>
      </c>
      <c r="M160" s="499">
        <v>250</v>
      </c>
      <c r="N160" s="339">
        <v>252</v>
      </c>
      <c r="O160" s="339">
        <v>208</v>
      </c>
      <c r="P160" s="339">
        <v>229</v>
      </c>
      <c r="Q160" s="339">
        <v>242</v>
      </c>
      <c r="R160" s="339">
        <v>249</v>
      </c>
      <c r="S160" s="339">
        <v>230</v>
      </c>
      <c r="T160" s="339">
        <v>242</v>
      </c>
      <c r="U160" s="339">
        <v>259</v>
      </c>
      <c r="V160" s="402">
        <v>291</v>
      </c>
      <c r="W160" s="27"/>
      <c r="X160" s="27"/>
      <c r="Y160" s="14"/>
      <c r="Z160" s="8"/>
      <c r="AA160" s="8"/>
      <c r="AB160" s="8"/>
      <c r="AC160" s="8"/>
      <c r="AD160" s="8"/>
      <c r="AE160" s="8"/>
      <c r="AF160" s="8"/>
      <c r="AG160" s="358"/>
      <c r="AH160" s="8"/>
    </row>
    <row r="161" spans="2:34" x14ac:dyDescent="0.35">
      <c r="B161" s="12"/>
      <c r="C161" s="354" t="s">
        <v>133</v>
      </c>
      <c r="D161" s="355"/>
      <c r="E161" s="355"/>
      <c r="F161" s="355"/>
      <c r="G161" s="355"/>
      <c r="H161" s="355"/>
      <c r="I161" s="355"/>
      <c r="J161" s="355"/>
      <c r="K161" s="355"/>
      <c r="L161" s="355"/>
      <c r="M161" s="355"/>
      <c r="N161" s="355"/>
      <c r="O161" s="355"/>
      <c r="P161" s="355"/>
      <c r="Q161" s="355"/>
      <c r="R161" s="355"/>
      <c r="S161" s="355"/>
      <c r="T161" s="355"/>
      <c r="U161" s="355"/>
      <c r="V161" s="355"/>
      <c r="W161" s="27"/>
      <c r="X161" s="27"/>
      <c r="Y161" s="14"/>
      <c r="Z161" s="8"/>
      <c r="AA161" s="8"/>
      <c r="AB161" s="8"/>
      <c r="AC161" s="8"/>
      <c r="AD161" s="8"/>
      <c r="AE161" s="8"/>
      <c r="AF161" s="8"/>
      <c r="AG161" s="353"/>
      <c r="AH161" s="8"/>
    </row>
    <row r="162" spans="2:34" x14ac:dyDescent="0.35">
      <c r="B162" s="12"/>
      <c r="C162" s="372" t="s">
        <v>136</v>
      </c>
      <c r="D162" s="372" t="s">
        <v>105</v>
      </c>
      <c r="E162" s="376" t="s">
        <v>1</v>
      </c>
      <c r="F162" s="224">
        <f t="shared" ref="F162:V162" si="67">G162-G162*G$191</f>
        <v>9464.5907088678578</v>
      </c>
      <c r="G162" s="224">
        <f t="shared" si="67"/>
        <v>10026.548220147872</v>
      </c>
      <c r="H162" s="224">
        <f t="shared" si="67"/>
        <v>11729.381005852179</v>
      </c>
      <c r="I162" s="224">
        <f t="shared" si="67"/>
        <v>12481.238271174394</v>
      </c>
      <c r="J162" s="224">
        <f t="shared" si="67"/>
        <v>11930.173250033658</v>
      </c>
      <c r="K162" s="224">
        <f t="shared" si="67"/>
        <v>10685.823185780435</v>
      </c>
      <c r="L162" s="224">
        <f t="shared" si="67"/>
        <v>11083.862424586434</v>
      </c>
      <c r="M162" s="224">
        <f t="shared" si="67"/>
        <v>12401.380082882699</v>
      </c>
      <c r="N162" s="224">
        <f t="shared" si="67"/>
        <v>11090.212902992302</v>
      </c>
      <c r="O162" s="224">
        <f t="shared" si="67"/>
        <v>10866.506151500122</v>
      </c>
      <c r="P162" s="224">
        <f t="shared" si="67"/>
        <v>12626.195884438937</v>
      </c>
      <c r="Q162" s="224">
        <f t="shared" si="67"/>
        <v>13608.69102924459</v>
      </c>
      <c r="R162" s="224">
        <f t="shared" si="67"/>
        <v>14186.277413775771</v>
      </c>
      <c r="S162" s="224">
        <f t="shared" si="67"/>
        <v>14656.310822563675</v>
      </c>
      <c r="T162" s="224">
        <f t="shared" si="67"/>
        <v>14610.678002288518</v>
      </c>
      <c r="U162" s="224">
        <f t="shared" si="67"/>
        <v>17322.862356581307</v>
      </c>
      <c r="V162" s="404">
        <f t="shared" si="67"/>
        <v>20123.84377096872</v>
      </c>
      <c r="W162" s="224">
        <f>X162-X162*X$191</f>
        <v>21201.901385561439</v>
      </c>
      <c r="X162" s="197">
        <f>(32748120*97%)/1384.08</f>
        <v>22950.75169065372</v>
      </c>
      <c r="Y162" s="14"/>
      <c r="Z162" s="8"/>
      <c r="AA162" s="8"/>
      <c r="AB162" s="8"/>
      <c r="AC162" s="8"/>
      <c r="AD162" s="8"/>
      <c r="AE162" s="8"/>
      <c r="AF162" s="8"/>
      <c r="AG162" s="356"/>
      <c r="AH162" s="8"/>
    </row>
    <row r="163" spans="2:34" x14ac:dyDescent="0.35">
      <c r="B163" s="12"/>
      <c r="C163" s="372" t="s">
        <v>61</v>
      </c>
      <c r="D163" s="372" t="s">
        <v>105</v>
      </c>
      <c r="E163" s="376" t="s">
        <v>1</v>
      </c>
      <c r="F163" s="224">
        <f t="shared" ref="F163:V163" si="68">G163-G163*G$191</f>
        <v>345.02906486204085</v>
      </c>
      <c r="G163" s="224">
        <f t="shared" si="68"/>
        <v>365.51507218906409</v>
      </c>
      <c r="H163" s="224">
        <f t="shared" si="68"/>
        <v>427.59137551166816</v>
      </c>
      <c r="I163" s="224">
        <f t="shared" si="68"/>
        <v>455.00012641737806</v>
      </c>
      <c r="J163" s="224">
        <f t="shared" si="68"/>
        <v>434.91120183829156</v>
      </c>
      <c r="K163" s="224">
        <f t="shared" si="68"/>
        <v>389.54876068930002</v>
      </c>
      <c r="L163" s="224">
        <f t="shared" si="68"/>
        <v>404.05917223989741</v>
      </c>
      <c r="M163" s="224">
        <f t="shared" si="68"/>
        <v>452.08891801171035</v>
      </c>
      <c r="N163" s="224">
        <f t="shared" si="68"/>
        <v>404.29067719274758</v>
      </c>
      <c r="O163" s="224">
        <f t="shared" si="68"/>
        <v>396.13550877132252</v>
      </c>
      <c r="P163" s="224">
        <f t="shared" si="68"/>
        <v>460.28451654979415</v>
      </c>
      <c r="Q163" s="224">
        <f t="shared" si="68"/>
        <v>496.10110825155397</v>
      </c>
      <c r="R163" s="224">
        <f t="shared" si="68"/>
        <v>517.15686187702465</v>
      </c>
      <c r="S163" s="224">
        <f t="shared" si="68"/>
        <v>534.29180119733326</v>
      </c>
      <c r="T163" s="224">
        <f t="shared" si="68"/>
        <v>532.62826921894532</v>
      </c>
      <c r="U163" s="224">
        <f t="shared" si="68"/>
        <v>631.50020782462821</v>
      </c>
      <c r="V163" s="404">
        <f t="shared" si="68"/>
        <v>733.60921896195691</v>
      </c>
      <c r="W163" s="224">
        <f>X163-X163*X$191</f>
        <v>772.90951435474324</v>
      </c>
      <c r="X163" s="197">
        <f>(32748120*3%)/1174.24</f>
        <v>836.66337375664261</v>
      </c>
      <c r="Y163" s="14"/>
      <c r="Z163" s="8"/>
      <c r="AA163" s="8"/>
      <c r="AB163" s="8"/>
      <c r="AC163" s="8"/>
      <c r="AD163" s="8"/>
      <c r="AE163" s="8"/>
      <c r="AF163" s="8"/>
      <c r="AG163" s="356"/>
      <c r="AH163" s="8"/>
    </row>
    <row r="164" spans="2:34" s="110" customFormat="1" x14ac:dyDescent="0.35">
      <c r="B164" s="12"/>
      <c r="C164" s="354" t="s">
        <v>451</v>
      </c>
      <c r="D164" s="355"/>
      <c r="E164" s="355"/>
      <c r="F164" s="355"/>
      <c r="G164" s="355"/>
      <c r="H164" s="355"/>
      <c r="I164" s="355"/>
      <c r="J164" s="355"/>
      <c r="K164" s="355"/>
      <c r="L164" s="355"/>
      <c r="M164" s="355"/>
      <c r="N164" s="355"/>
      <c r="O164" s="355"/>
      <c r="P164" s="355"/>
      <c r="Q164" s="355"/>
      <c r="R164" s="355"/>
      <c r="S164" s="355"/>
      <c r="T164" s="355"/>
      <c r="U164" s="355"/>
      <c r="V164" s="355"/>
      <c r="W164" s="27"/>
      <c r="X164" s="27"/>
      <c r="Y164" s="14"/>
      <c r="Z164" s="8"/>
      <c r="AA164" s="8"/>
      <c r="AB164" s="8"/>
      <c r="AC164" s="8"/>
      <c r="AD164" s="8"/>
      <c r="AE164" s="8"/>
      <c r="AF164" s="8"/>
      <c r="AG164" s="353"/>
      <c r="AH164" s="8"/>
    </row>
    <row r="165" spans="2:34" s="110" customFormat="1" x14ac:dyDescent="0.35">
      <c r="B165" s="12"/>
      <c r="C165" s="489" t="s">
        <v>61</v>
      </c>
      <c r="D165" s="489" t="s">
        <v>453</v>
      </c>
      <c r="E165" s="488" t="s">
        <v>2</v>
      </c>
      <c r="F165" s="197">
        <v>160</v>
      </c>
      <c r="G165" s="197">
        <v>157</v>
      </c>
      <c r="H165" s="197">
        <v>139</v>
      </c>
      <c r="I165" s="197">
        <v>98</v>
      </c>
      <c r="J165" s="197">
        <v>105</v>
      </c>
      <c r="K165" s="197">
        <v>135</v>
      </c>
      <c r="L165" s="197">
        <v>122</v>
      </c>
      <c r="M165" s="197">
        <v>118</v>
      </c>
      <c r="N165" s="197">
        <v>117</v>
      </c>
      <c r="O165" s="197">
        <v>109</v>
      </c>
      <c r="P165" s="197">
        <v>113</v>
      </c>
      <c r="Q165" s="197">
        <v>100</v>
      </c>
      <c r="R165" s="197">
        <v>103</v>
      </c>
      <c r="S165" s="197">
        <v>114</v>
      </c>
      <c r="T165" s="197">
        <v>117</v>
      </c>
      <c r="U165" s="197">
        <v>116</v>
      </c>
      <c r="V165" s="407">
        <v>120</v>
      </c>
      <c r="W165" s="196"/>
      <c r="X165" s="196"/>
      <c r="Y165" s="14"/>
      <c r="Z165" s="8"/>
      <c r="AA165" s="8"/>
      <c r="AB165" s="8"/>
      <c r="AC165" s="8"/>
      <c r="AD165" s="8"/>
      <c r="AE165" s="8"/>
      <c r="AF165" s="8"/>
      <c r="AG165" s="356"/>
      <c r="AH165" s="8"/>
    </row>
    <row r="166" spans="2:34" s="110" customFormat="1" x14ac:dyDescent="0.35">
      <c r="B166" s="12"/>
      <c r="C166" s="489" t="s">
        <v>58</v>
      </c>
      <c r="D166" s="489" t="s">
        <v>453</v>
      </c>
      <c r="E166" s="488" t="s">
        <v>2</v>
      </c>
      <c r="F166" s="197">
        <v>58</v>
      </c>
      <c r="G166" s="197">
        <v>44</v>
      </c>
      <c r="H166" s="197">
        <v>27</v>
      </c>
      <c r="I166" s="197">
        <v>35</v>
      </c>
      <c r="J166" s="197">
        <v>40</v>
      </c>
      <c r="K166" s="197">
        <v>55</v>
      </c>
      <c r="L166" s="197">
        <v>49</v>
      </c>
      <c r="M166" s="197">
        <v>76</v>
      </c>
      <c r="N166" s="197">
        <v>96</v>
      </c>
      <c r="O166" s="197">
        <v>108</v>
      </c>
      <c r="P166" s="197">
        <v>123</v>
      </c>
      <c r="Q166" s="197">
        <v>185</v>
      </c>
      <c r="R166" s="197">
        <v>163</v>
      </c>
      <c r="S166" s="197">
        <v>156</v>
      </c>
      <c r="T166" s="197">
        <v>171</v>
      </c>
      <c r="U166" s="197">
        <v>167</v>
      </c>
      <c r="V166" s="407">
        <v>217</v>
      </c>
      <c r="W166" s="196"/>
      <c r="X166" s="196"/>
      <c r="Y166" s="14"/>
      <c r="Z166" s="8"/>
      <c r="AA166" s="8"/>
      <c r="AB166" s="8"/>
      <c r="AC166" s="8"/>
      <c r="AD166" s="8"/>
      <c r="AE166" s="8"/>
      <c r="AF166" s="8"/>
      <c r="AG166" s="356"/>
      <c r="AH166" s="8"/>
    </row>
    <row r="167" spans="2:34" x14ac:dyDescent="0.35">
      <c r="B167" s="12"/>
      <c r="C167" s="354" t="s">
        <v>116</v>
      </c>
      <c r="D167" s="355"/>
      <c r="E167" s="355"/>
      <c r="F167" s="355"/>
      <c r="G167" s="355"/>
      <c r="H167" s="355"/>
      <c r="I167" s="355"/>
      <c r="J167" s="355"/>
      <c r="K167" s="355"/>
      <c r="L167" s="355"/>
      <c r="M167" s="355"/>
      <c r="N167" s="355"/>
      <c r="O167" s="355"/>
      <c r="P167" s="355"/>
      <c r="Q167" s="355"/>
      <c r="R167" s="355"/>
      <c r="S167" s="355"/>
      <c r="T167" s="355"/>
      <c r="U167" s="355"/>
      <c r="V167" s="355"/>
      <c r="W167" s="27"/>
      <c r="X167" s="27"/>
      <c r="Y167" s="14"/>
      <c r="Z167" s="8"/>
      <c r="AA167" s="8"/>
      <c r="AB167" s="8"/>
      <c r="AC167" s="8"/>
      <c r="AD167" s="8"/>
      <c r="AE167" s="8"/>
      <c r="AF167" s="8"/>
      <c r="AG167" s="353"/>
      <c r="AH167" s="8"/>
    </row>
    <row r="168" spans="2:34" x14ac:dyDescent="0.35">
      <c r="B168" s="12"/>
      <c r="C168" s="27" t="s">
        <v>117</v>
      </c>
      <c r="D168" s="370" t="s">
        <v>82</v>
      </c>
      <c r="E168" s="370" t="s">
        <v>1</v>
      </c>
      <c r="F168" s="27">
        <v>4150</v>
      </c>
      <c r="G168" s="27">
        <v>4450</v>
      </c>
      <c r="H168" s="27">
        <v>4559</v>
      </c>
      <c r="I168" s="27">
        <v>5749</v>
      </c>
      <c r="J168" s="27">
        <v>6372</v>
      </c>
      <c r="K168" s="27">
        <v>6985</v>
      </c>
      <c r="L168" s="27">
        <v>11436</v>
      </c>
      <c r="M168" s="27">
        <v>10927</v>
      </c>
      <c r="N168" s="27">
        <v>10094</v>
      </c>
      <c r="O168" s="27">
        <v>10575</v>
      </c>
      <c r="P168" s="27">
        <v>10925</v>
      </c>
      <c r="Q168" s="27">
        <v>11260</v>
      </c>
      <c r="R168" s="27">
        <v>11918</v>
      </c>
      <c r="S168" s="27">
        <v>13285</v>
      </c>
      <c r="T168" s="33">
        <v>14028</v>
      </c>
      <c r="U168" s="33">
        <v>15099</v>
      </c>
      <c r="V168" s="405">
        <v>16083</v>
      </c>
      <c r="W168" s="27"/>
      <c r="X168" s="27"/>
      <c r="Y168" s="14"/>
      <c r="Z168" s="8"/>
      <c r="AA168" s="8"/>
      <c r="AB168" s="8"/>
      <c r="AC168" s="8"/>
      <c r="AD168" s="8"/>
      <c r="AE168" s="8"/>
      <c r="AF168" s="8"/>
      <c r="AG168" s="84"/>
      <c r="AH168" s="8"/>
    </row>
    <row r="169" spans="2:34" x14ac:dyDescent="0.35">
      <c r="B169" s="12"/>
      <c r="C169" s="27" t="s">
        <v>44</v>
      </c>
      <c r="D169" s="370" t="s">
        <v>82</v>
      </c>
      <c r="E169" s="370" t="s">
        <v>1</v>
      </c>
      <c r="F169" s="27">
        <v>300</v>
      </c>
      <c r="G169" s="27">
        <v>330</v>
      </c>
      <c r="H169" s="27">
        <v>340</v>
      </c>
      <c r="I169" s="27">
        <v>350</v>
      </c>
      <c r="J169" s="27">
        <v>360</v>
      </c>
      <c r="K169" s="27">
        <v>380</v>
      </c>
      <c r="L169" s="27">
        <v>393</v>
      </c>
      <c r="M169" s="27">
        <v>407</v>
      </c>
      <c r="N169" s="27">
        <v>422</v>
      </c>
      <c r="O169" s="27">
        <v>437.2</v>
      </c>
      <c r="P169" s="27">
        <v>453</v>
      </c>
      <c r="Q169" s="27">
        <v>469</v>
      </c>
      <c r="R169" s="27">
        <v>474</v>
      </c>
      <c r="S169" s="27">
        <v>483</v>
      </c>
      <c r="T169" s="33">
        <v>497</v>
      </c>
      <c r="U169" s="33">
        <v>450</v>
      </c>
      <c r="V169" s="405">
        <v>420</v>
      </c>
      <c r="W169" s="27"/>
      <c r="X169" s="27"/>
      <c r="Y169" s="14"/>
      <c r="Z169" s="8"/>
      <c r="AA169" s="8"/>
      <c r="AB169" s="8"/>
      <c r="AC169" s="8"/>
      <c r="AD169" s="8"/>
      <c r="AE169" s="8"/>
      <c r="AF169" s="8"/>
      <c r="AG169" s="84"/>
      <c r="AH169" s="8"/>
    </row>
    <row r="170" spans="2:34" x14ac:dyDescent="0.35">
      <c r="B170" s="12"/>
      <c r="C170" s="354" t="s">
        <v>118</v>
      </c>
      <c r="D170" s="355"/>
      <c r="E170" s="355"/>
      <c r="F170" s="355"/>
      <c r="G170" s="355"/>
      <c r="H170" s="355"/>
      <c r="I170" s="355"/>
      <c r="J170" s="355"/>
      <c r="K170" s="355"/>
      <c r="L170" s="355"/>
      <c r="M170" s="355"/>
      <c r="N170" s="355"/>
      <c r="O170" s="355"/>
      <c r="P170" s="355"/>
      <c r="Q170" s="355"/>
      <c r="R170" s="355"/>
      <c r="S170" s="355"/>
      <c r="T170" s="355"/>
      <c r="U170" s="355"/>
      <c r="V170" s="355"/>
      <c r="W170" s="27"/>
      <c r="X170" s="27"/>
      <c r="Y170" s="14"/>
      <c r="Z170" s="8"/>
      <c r="AA170" s="8"/>
      <c r="AB170" s="8"/>
      <c r="AC170" s="8"/>
      <c r="AD170" s="8"/>
      <c r="AE170" s="8"/>
      <c r="AF170" s="8"/>
      <c r="AG170" s="353"/>
      <c r="AH170" s="8"/>
    </row>
    <row r="171" spans="2:34" x14ac:dyDescent="0.35">
      <c r="B171" s="12"/>
      <c r="C171" s="36" t="s">
        <v>14</v>
      </c>
      <c r="D171" s="370" t="s">
        <v>82</v>
      </c>
      <c r="E171" s="370" t="s">
        <v>1</v>
      </c>
      <c r="F171" s="27">
        <v>9600</v>
      </c>
      <c r="G171" s="27">
        <v>9480</v>
      </c>
      <c r="H171" s="27">
        <v>8409</v>
      </c>
      <c r="I171" s="27">
        <v>8265</v>
      </c>
      <c r="J171" s="27">
        <v>8726</v>
      </c>
      <c r="K171" s="27">
        <v>9765</v>
      </c>
      <c r="L171" s="27">
        <v>3923</v>
      </c>
      <c r="M171" s="27">
        <v>1238</v>
      </c>
      <c r="N171" s="27">
        <v>1772</v>
      </c>
      <c r="O171" s="27">
        <v>1476</v>
      </c>
      <c r="P171" s="27">
        <v>1731</v>
      </c>
      <c r="Q171" s="27">
        <v>515</v>
      </c>
      <c r="R171" s="27">
        <v>243</v>
      </c>
      <c r="S171" s="27">
        <v>202</v>
      </c>
      <c r="T171" s="33">
        <v>153</v>
      </c>
      <c r="U171" s="33">
        <v>131</v>
      </c>
      <c r="V171" s="405">
        <v>71</v>
      </c>
      <c r="W171" s="27"/>
      <c r="X171" s="27"/>
      <c r="Y171" s="14"/>
      <c r="Z171" s="8"/>
      <c r="AA171" s="8"/>
      <c r="AB171" s="8"/>
      <c r="AC171" s="8"/>
      <c r="AD171" s="8"/>
      <c r="AE171" s="8"/>
      <c r="AF171" s="8"/>
      <c r="AG171" s="84"/>
      <c r="AH171" s="8"/>
    </row>
    <row r="172" spans="2:34" x14ac:dyDescent="0.35">
      <c r="B172" s="12"/>
      <c r="C172" s="36" t="s">
        <v>117</v>
      </c>
      <c r="D172" s="370" t="s">
        <v>82</v>
      </c>
      <c r="E172" s="370" t="s">
        <v>1</v>
      </c>
      <c r="F172" s="27">
        <v>37710</v>
      </c>
      <c r="G172" s="27">
        <v>37850</v>
      </c>
      <c r="H172" s="27">
        <v>39023</v>
      </c>
      <c r="I172" s="27">
        <v>40559</v>
      </c>
      <c r="J172" s="27">
        <v>42856</v>
      </c>
      <c r="K172" s="27">
        <v>43206</v>
      </c>
      <c r="L172" s="27">
        <v>41599</v>
      </c>
      <c r="M172" s="27">
        <v>42088</v>
      </c>
      <c r="N172" s="27">
        <v>42394</v>
      </c>
      <c r="O172" s="27">
        <v>43237</v>
      </c>
      <c r="P172" s="27">
        <v>44059</v>
      </c>
      <c r="Q172" s="27">
        <v>44640</v>
      </c>
      <c r="R172" s="27">
        <v>45329</v>
      </c>
      <c r="S172" s="27">
        <v>46360</v>
      </c>
      <c r="T172" s="33">
        <v>47570</v>
      </c>
      <c r="U172" s="33">
        <v>49093</v>
      </c>
      <c r="V172" s="405">
        <v>49455</v>
      </c>
      <c r="W172" s="27"/>
      <c r="X172" s="27"/>
      <c r="Y172" s="14"/>
      <c r="Z172" s="8"/>
      <c r="AA172" s="8"/>
      <c r="AB172" s="8"/>
      <c r="AC172" s="8"/>
      <c r="AD172" s="8"/>
      <c r="AE172" s="8"/>
      <c r="AF172" s="8"/>
      <c r="AG172" s="84"/>
      <c r="AH172" s="8"/>
    </row>
    <row r="173" spans="2:34" x14ac:dyDescent="0.35">
      <c r="B173" s="12"/>
      <c r="C173" s="36" t="s">
        <v>46</v>
      </c>
      <c r="D173" s="370" t="s">
        <v>82</v>
      </c>
      <c r="E173" s="370" t="s">
        <v>1</v>
      </c>
      <c r="F173" s="27">
        <v>16000</v>
      </c>
      <c r="G173" s="27">
        <v>15900</v>
      </c>
      <c r="H173" s="27">
        <v>15850</v>
      </c>
      <c r="I173" s="27">
        <v>15780</v>
      </c>
      <c r="J173" s="27">
        <v>15940</v>
      </c>
      <c r="K173" s="27">
        <v>16540</v>
      </c>
      <c r="L173" s="27">
        <v>17473</v>
      </c>
      <c r="M173" s="27">
        <v>17497</v>
      </c>
      <c r="N173" s="27">
        <v>16726</v>
      </c>
      <c r="O173" s="27">
        <v>16619</v>
      </c>
      <c r="P173" s="27">
        <v>16597</v>
      </c>
      <c r="Q173" s="27">
        <v>16336</v>
      </c>
      <c r="R173" s="27">
        <v>16003</v>
      </c>
      <c r="S173" s="27">
        <v>15466</v>
      </c>
      <c r="T173" s="33">
        <v>14529</v>
      </c>
      <c r="U173" s="33">
        <v>13625</v>
      </c>
      <c r="V173" s="405">
        <v>13564</v>
      </c>
      <c r="W173" s="27"/>
      <c r="X173" s="27"/>
      <c r="Y173" s="14"/>
      <c r="Z173" s="8"/>
      <c r="AA173" s="8"/>
      <c r="AB173" s="8"/>
      <c r="AC173" s="8"/>
      <c r="AD173" s="8"/>
      <c r="AE173" s="8"/>
      <c r="AF173" s="8"/>
      <c r="AG173" s="84"/>
      <c r="AH173" s="8"/>
    </row>
    <row r="174" spans="2:34" x14ac:dyDescent="0.35">
      <c r="B174" s="12"/>
      <c r="C174" s="36" t="s">
        <v>44</v>
      </c>
      <c r="D174" s="370" t="s">
        <v>82</v>
      </c>
      <c r="E174" s="370" t="s">
        <v>1</v>
      </c>
      <c r="F174" s="27">
        <v>150</v>
      </c>
      <c r="G174" s="27">
        <v>150</v>
      </c>
      <c r="H174" s="27">
        <v>130</v>
      </c>
      <c r="I174" s="27">
        <v>125</v>
      </c>
      <c r="J174" s="27">
        <v>120</v>
      </c>
      <c r="K174" s="27">
        <v>130</v>
      </c>
      <c r="L174" s="27">
        <v>123</v>
      </c>
      <c r="M174" s="27">
        <v>126</v>
      </c>
      <c r="N174" s="27">
        <v>119</v>
      </c>
      <c r="O174" s="27">
        <v>119</v>
      </c>
      <c r="P174" s="27">
        <v>119</v>
      </c>
      <c r="Q174" s="27">
        <v>116</v>
      </c>
      <c r="R174" s="27">
        <v>114</v>
      </c>
      <c r="S174" s="27">
        <v>111</v>
      </c>
      <c r="T174" s="33">
        <v>103</v>
      </c>
      <c r="U174" s="33">
        <v>98</v>
      </c>
      <c r="V174" s="405">
        <v>95</v>
      </c>
      <c r="W174" s="27"/>
      <c r="X174" s="27"/>
      <c r="Y174" s="14"/>
      <c r="Z174" s="8"/>
      <c r="AA174" s="8"/>
      <c r="AB174" s="8"/>
      <c r="AC174" s="8"/>
      <c r="AD174" s="8"/>
      <c r="AE174" s="8"/>
      <c r="AF174" s="8"/>
      <c r="AG174" s="84"/>
      <c r="AH174" s="8"/>
    </row>
    <row r="175" spans="2:34" x14ac:dyDescent="0.35">
      <c r="B175" s="12"/>
      <c r="C175" s="354" t="s">
        <v>400</v>
      </c>
      <c r="D175" s="355"/>
      <c r="E175" s="355"/>
      <c r="F175" s="355"/>
      <c r="G175" s="355"/>
      <c r="H175" s="355"/>
      <c r="I175" s="355"/>
      <c r="J175" s="355"/>
      <c r="K175" s="355"/>
      <c r="L175" s="355"/>
      <c r="M175" s="355"/>
      <c r="N175" s="355"/>
      <c r="O175" s="355"/>
      <c r="P175" s="355"/>
      <c r="Q175" s="355"/>
      <c r="R175" s="355"/>
      <c r="S175" s="355"/>
      <c r="T175" s="355"/>
      <c r="U175" s="355"/>
      <c r="V175" s="355"/>
      <c r="W175" s="27"/>
      <c r="X175" s="27"/>
      <c r="Y175" s="14"/>
      <c r="Z175" s="8"/>
      <c r="AA175" s="8"/>
      <c r="AB175" s="8"/>
      <c r="AC175" s="8"/>
      <c r="AD175" s="8"/>
      <c r="AE175" s="8"/>
      <c r="AF175" s="8"/>
      <c r="AG175" s="84"/>
      <c r="AH175" s="8"/>
    </row>
    <row r="176" spans="2:34" x14ac:dyDescent="0.35">
      <c r="B176" s="12"/>
      <c r="C176" s="36" t="s">
        <v>41</v>
      </c>
      <c r="D176" s="370" t="s">
        <v>82</v>
      </c>
      <c r="E176" s="370" t="s">
        <v>1</v>
      </c>
      <c r="F176" s="461">
        <v>2456</v>
      </c>
      <c r="G176" s="461">
        <v>2791</v>
      </c>
      <c r="H176" s="461">
        <v>2750</v>
      </c>
      <c r="I176" s="461">
        <v>2929</v>
      </c>
      <c r="J176" s="461">
        <v>3147</v>
      </c>
      <c r="K176" s="461">
        <v>2995</v>
      </c>
      <c r="L176" s="461">
        <v>3049</v>
      </c>
      <c r="M176" s="468">
        <f>L176+L176*$M$177</f>
        <v>3103.9736227045073</v>
      </c>
      <c r="N176" s="468">
        <f t="shared" ref="N176:V176" si="69">M176+M176*$M$177</f>
        <v>3159.9384225796471</v>
      </c>
      <c r="O176" s="468">
        <f t="shared" si="69"/>
        <v>3216.9122705994469</v>
      </c>
      <c r="P176" s="468">
        <f t="shared" si="69"/>
        <v>3274.9133599524921</v>
      </c>
      <c r="Q176" s="468">
        <f t="shared" si="69"/>
        <v>3333.9602118514686</v>
      </c>
      <c r="R176" s="468">
        <f t="shared" si="69"/>
        <v>3394.0716814474549</v>
      </c>
      <c r="S176" s="468">
        <f t="shared" si="69"/>
        <v>3455.2669638508482</v>
      </c>
      <c r="T176" s="468">
        <f t="shared" si="69"/>
        <v>3517.5656002608466</v>
      </c>
      <c r="U176" s="468">
        <f t="shared" si="69"/>
        <v>3580.9874842054496</v>
      </c>
      <c r="V176" s="468">
        <f t="shared" si="69"/>
        <v>3645.5528678939618</v>
      </c>
      <c r="W176" s="27"/>
      <c r="X176" s="27"/>
      <c r="Y176" s="14"/>
      <c r="Z176" s="8"/>
      <c r="AA176" s="8"/>
      <c r="AB176" s="8"/>
      <c r="AC176" s="8"/>
      <c r="AD176" s="8"/>
      <c r="AE176" s="8"/>
      <c r="AF176" s="8"/>
      <c r="AG176" s="84"/>
      <c r="AH176" s="8"/>
    </row>
    <row r="177" spans="2:34" s="465" customFormat="1" x14ac:dyDescent="0.35">
      <c r="B177" s="463"/>
      <c r="C177" s="46"/>
      <c r="D177" s="466"/>
      <c r="E177" s="466"/>
      <c r="F177" s="462"/>
      <c r="G177" s="467">
        <f>(G176-F176)/F176</f>
        <v>0.13640065146579805</v>
      </c>
      <c r="H177" s="467">
        <f t="shared" ref="H177:L177" si="70">(H176-G176)/G176</f>
        <v>-1.46900752418488E-2</v>
      </c>
      <c r="I177" s="467">
        <f t="shared" si="70"/>
        <v>6.5090909090909088E-2</v>
      </c>
      <c r="J177" s="467">
        <f t="shared" si="70"/>
        <v>7.4428132468419256E-2</v>
      </c>
      <c r="K177" s="467">
        <f t="shared" si="70"/>
        <v>-4.8299968223705116E-2</v>
      </c>
      <c r="L177" s="467">
        <f t="shared" si="70"/>
        <v>1.8030050083472453E-2</v>
      </c>
      <c r="M177" s="469">
        <f>MEDIAN($H$177:$L$177)</f>
        <v>1.8030050083472453E-2</v>
      </c>
      <c r="N177" s="467"/>
      <c r="O177" s="467"/>
      <c r="P177" s="467"/>
      <c r="Q177" s="467"/>
      <c r="R177" s="467"/>
      <c r="S177" s="467"/>
      <c r="T177" s="467"/>
      <c r="U177" s="467"/>
      <c r="V177" s="467"/>
      <c r="W177" s="40"/>
      <c r="X177" s="40"/>
      <c r="Y177" s="464"/>
      <c r="Z177" s="84"/>
      <c r="AA177" s="84"/>
      <c r="AB177" s="84"/>
      <c r="AC177" s="84"/>
      <c r="AD177" s="84"/>
      <c r="AE177" s="84"/>
      <c r="AF177" s="84"/>
      <c r="AG177" s="84"/>
      <c r="AH177" s="84"/>
    </row>
    <row r="178" spans="2:34" s="110" customFormat="1" x14ac:dyDescent="0.35">
      <c r="B178" s="12"/>
      <c r="C178" s="354" t="s">
        <v>338</v>
      </c>
      <c r="D178" s="355"/>
      <c r="E178" s="355"/>
      <c r="F178" s="355"/>
      <c r="G178" s="355"/>
      <c r="H178" s="355"/>
      <c r="I178" s="355"/>
      <c r="J178" s="355"/>
      <c r="K178" s="355"/>
      <c r="L178" s="355"/>
      <c r="M178" s="355"/>
      <c r="N178" s="355"/>
      <c r="O178" s="355"/>
      <c r="P178" s="355"/>
      <c r="Q178" s="355"/>
      <c r="R178" s="355"/>
      <c r="S178" s="355"/>
      <c r="T178" s="355"/>
      <c r="U178" s="355"/>
      <c r="V178" s="355"/>
      <c r="W178" s="27"/>
      <c r="X178" s="27"/>
      <c r="Y178" s="14"/>
      <c r="Z178" s="8"/>
      <c r="AA178" s="8"/>
      <c r="AB178" s="8"/>
      <c r="AC178" s="8"/>
      <c r="AD178" s="8"/>
      <c r="AE178" s="8"/>
      <c r="AF178" s="8"/>
      <c r="AG178" s="84"/>
      <c r="AH178" s="8"/>
    </row>
    <row r="179" spans="2:34" s="110" customFormat="1" x14ac:dyDescent="0.35">
      <c r="B179" s="12"/>
      <c r="C179" s="36" t="s">
        <v>136</v>
      </c>
      <c r="D179" s="370" t="s">
        <v>82</v>
      </c>
      <c r="E179" s="370" t="s">
        <v>1</v>
      </c>
      <c r="F179" s="197">
        <v>8925</v>
      </c>
      <c r="G179" s="197">
        <v>9035</v>
      </c>
      <c r="H179" s="197">
        <v>9100</v>
      </c>
      <c r="I179" s="197">
        <v>11635</v>
      </c>
      <c r="J179" s="197">
        <v>8905</v>
      </c>
      <c r="K179" s="197">
        <v>9360</v>
      </c>
      <c r="L179" s="197">
        <v>10010</v>
      </c>
      <c r="M179" s="197">
        <v>9854.1156269654784</v>
      </c>
      <c r="N179" s="197">
        <v>12541.60170704697</v>
      </c>
      <c r="O179" s="197">
        <v>14333.259093767967</v>
      </c>
      <c r="P179" s="197">
        <v>14557.216267108091</v>
      </c>
      <c r="Q179" s="197">
        <v>15453.044960468589</v>
      </c>
      <c r="R179" s="197">
        <v>13213.473227067345</v>
      </c>
      <c r="S179" s="197">
        <v>11197.858667006223</v>
      </c>
      <c r="T179" s="197">
        <v>11645.773013686474</v>
      </c>
      <c r="U179" s="197">
        <v>12317.644533706845</v>
      </c>
      <c r="V179" s="407">
        <v>11645.773013686474</v>
      </c>
      <c r="W179" s="197">
        <v>11869.730187026596</v>
      </c>
      <c r="X179" s="27"/>
      <c r="Y179" s="14"/>
      <c r="Z179" s="8"/>
      <c r="AA179" s="8"/>
      <c r="AB179" s="8"/>
      <c r="AC179" s="8"/>
      <c r="AD179" s="8"/>
      <c r="AE179" s="8"/>
      <c r="AF179" s="8"/>
      <c r="AG179" s="84"/>
      <c r="AH179" s="8"/>
    </row>
    <row r="180" spans="2:34" s="110" customFormat="1" x14ac:dyDescent="0.35">
      <c r="B180" s="12"/>
      <c r="C180" s="36" t="s">
        <v>61</v>
      </c>
      <c r="D180" s="370" t="s">
        <v>82</v>
      </c>
      <c r="E180" s="370" t="s">
        <v>1</v>
      </c>
      <c r="F180" s="197">
        <v>1632</v>
      </c>
      <c r="G180" s="197">
        <v>1622</v>
      </c>
      <c r="H180" s="197">
        <v>1486</v>
      </c>
      <c r="I180" s="197">
        <v>1779</v>
      </c>
      <c r="J180" s="197">
        <v>1874</v>
      </c>
      <c r="K180" s="197">
        <v>1672</v>
      </c>
      <c r="L180" s="197">
        <v>1519</v>
      </c>
      <c r="M180" s="197">
        <v>1706.7406014022172</v>
      </c>
      <c r="N180" s="197">
        <v>2172.2153108755488</v>
      </c>
      <c r="O180" s="197">
        <v>2482.5317838577703</v>
      </c>
      <c r="P180" s="197">
        <v>2521.3213429805478</v>
      </c>
      <c r="Q180" s="197">
        <v>2676.4795794716588</v>
      </c>
      <c r="R180" s="197">
        <v>2288.5839882438822</v>
      </c>
      <c r="S180" s="197">
        <v>1939.477956138883</v>
      </c>
      <c r="T180" s="197">
        <v>2017.0570743844385</v>
      </c>
      <c r="U180" s="197">
        <v>2133.4257517527712</v>
      </c>
      <c r="V180" s="407">
        <v>2017.0570743844385</v>
      </c>
      <c r="W180" s="197">
        <v>2055.8466335072158</v>
      </c>
      <c r="X180" s="27"/>
      <c r="Y180" s="14"/>
      <c r="Z180" s="8"/>
      <c r="AA180" s="8"/>
      <c r="AB180" s="8"/>
      <c r="AC180" s="8"/>
      <c r="AD180" s="8"/>
      <c r="AE180" s="8"/>
      <c r="AF180" s="8"/>
      <c r="AG180" s="84"/>
      <c r="AH180" s="8"/>
    </row>
    <row r="181" spans="2:34" s="110" customFormat="1" x14ac:dyDescent="0.35">
      <c r="B181" s="12"/>
      <c r="C181" s="354" t="s">
        <v>221</v>
      </c>
      <c r="D181" s="355"/>
      <c r="E181" s="355"/>
      <c r="F181" s="355"/>
      <c r="G181" s="355"/>
      <c r="H181" s="355"/>
      <c r="I181" s="355"/>
      <c r="J181" s="355"/>
      <c r="K181" s="355"/>
      <c r="L181" s="355"/>
      <c r="M181" s="355"/>
      <c r="N181" s="355"/>
      <c r="O181" s="355"/>
      <c r="P181" s="355"/>
      <c r="Q181" s="355"/>
      <c r="R181" s="355"/>
      <c r="S181" s="355"/>
      <c r="T181" s="355"/>
      <c r="U181" s="355"/>
      <c r="V181" s="355"/>
      <c r="W181" s="355"/>
      <c r="X181" s="27"/>
      <c r="Y181" s="14"/>
      <c r="Z181" s="8"/>
      <c r="AA181" s="8"/>
      <c r="AB181" s="8"/>
      <c r="AC181" s="8"/>
      <c r="AD181" s="8"/>
      <c r="AE181" s="8"/>
      <c r="AF181" s="8"/>
      <c r="AG181" s="84"/>
      <c r="AH181" s="8"/>
    </row>
    <row r="182" spans="2:34" s="110" customFormat="1" x14ac:dyDescent="0.35">
      <c r="B182" s="12"/>
      <c r="C182" s="36" t="s">
        <v>117</v>
      </c>
      <c r="D182" s="370" t="s">
        <v>65</v>
      </c>
      <c r="E182" s="370" t="s">
        <v>1</v>
      </c>
      <c r="F182" s="65" t="s">
        <v>134</v>
      </c>
      <c r="G182" s="65" t="s">
        <v>134</v>
      </c>
      <c r="H182" s="65" t="s">
        <v>134</v>
      </c>
      <c r="I182" s="65" t="s">
        <v>134</v>
      </c>
      <c r="J182" s="65" t="s">
        <v>134</v>
      </c>
      <c r="K182" s="65" t="s">
        <v>134</v>
      </c>
      <c r="L182" s="65" t="s">
        <v>134</v>
      </c>
      <c r="M182" s="65" t="s">
        <v>134</v>
      </c>
      <c r="N182" s="65" t="s">
        <v>134</v>
      </c>
      <c r="O182" s="65" t="s">
        <v>134</v>
      </c>
      <c r="P182" s="65" t="s">
        <v>134</v>
      </c>
      <c r="Q182" s="65" t="s">
        <v>134</v>
      </c>
      <c r="R182" s="65" t="s">
        <v>134</v>
      </c>
      <c r="S182" s="40">
        <v>258</v>
      </c>
      <c r="T182" s="40">
        <v>270</v>
      </c>
      <c r="U182" s="40">
        <v>285</v>
      </c>
      <c r="V182" s="406">
        <v>292</v>
      </c>
      <c r="W182" s="27"/>
      <c r="X182" s="27"/>
      <c r="Y182" s="14"/>
      <c r="Z182" s="8"/>
      <c r="AA182" s="8"/>
      <c r="AB182" s="8"/>
      <c r="AC182" s="8"/>
      <c r="AD182" s="8"/>
      <c r="AE182" s="8"/>
      <c r="AF182" s="8"/>
      <c r="AG182" s="84"/>
      <c r="AH182" s="8"/>
    </row>
    <row r="183" spans="2:34" ht="15" thickBot="1" x14ac:dyDescent="0.4">
      <c r="B183" s="18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1"/>
      <c r="Z183" s="8"/>
      <c r="AA183" s="8"/>
      <c r="AB183" s="8"/>
      <c r="AC183" s="8"/>
      <c r="AD183" s="8"/>
      <c r="AE183" s="8"/>
      <c r="AF183" s="8"/>
      <c r="AG183" s="8"/>
      <c r="AH183" s="8"/>
    </row>
    <row r="184" spans="2:34" s="110" customFormat="1" ht="15" thickBot="1" x14ac:dyDescent="0.4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</row>
    <row r="185" spans="2:34" s="110" customFormat="1" x14ac:dyDescent="0.35">
      <c r="B185" s="9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1"/>
      <c r="Z185" s="8"/>
      <c r="AA185" s="8"/>
      <c r="AB185" s="8"/>
      <c r="AC185" s="8"/>
      <c r="AD185" s="8"/>
      <c r="AE185" s="8"/>
      <c r="AF185" s="8"/>
      <c r="AG185" s="8"/>
      <c r="AH185" s="8"/>
    </row>
    <row r="186" spans="2:34" s="72" customFormat="1" x14ac:dyDescent="0.35">
      <c r="B186" s="343"/>
      <c r="C186" s="369" t="s">
        <v>375</v>
      </c>
      <c r="D186" s="369" t="s">
        <v>64</v>
      </c>
      <c r="E186" s="369" t="s">
        <v>87</v>
      </c>
      <c r="F186" s="369">
        <v>2000</v>
      </c>
      <c r="G186" s="369">
        <v>2001</v>
      </c>
      <c r="H186" s="369">
        <v>2002</v>
      </c>
      <c r="I186" s="369">
        <v>2003</v>
      </c>
      <c r="J186" s="369">
        <v>2004</v>
      </c>
      <c r="K186" s="369">
        <v>2005</v>
      </c>
      <c r="L186" s="369">
        <v>2006</v>
      </c>
      <c r="M186" s="369">
        <v>2007</v>
      </c>
      <c r="N186" s="369">
        <v>2008</v>
      </c>
      <c r="O186" s="369">
        <v>2009</v>
      </c>
      <c r="P186" s="369">
        <v>2010</v>
      </c>
      <c r="Q186" s="369">
        <v>2011</v>
      </c>
      <c r="R186" s="369">
        <v>2012</v>
      </c>
      <c r="S186" s="369">
        <v>2013</v>
      </c>
      <c r="T186" s="369">
        <v>2014</v>
      </c>
      <c r="U186" s="369">
        <v>2015</v>
      </c>
      <c r="V186" s="369">
        <v>2016</v>
      </c>
      <c r="W186" s="369">
        <v>2017</v>
      </c>
      <c r="X186" s="369">
        <v>2018</v>
      </c>
      <c r="Y186" s="344"/>
      <c r="Z186" s="340"/>
      <c r="AA186" s="340"/>
      <c r="AB186" s="340"/>
      <c r="AC186" s="340"/>
      <c r="AD186" s="340"/>
      <c r="AE186" s="340"/>
      <c r="AF186" s="340"/>
      <c r="AG186" s="340"/>
      <c r="AH186" s="340"/>
    </row>
    <row r="187" spans="2:34" s="110" customFormat="1" x14ac:dyDescent="0.35">
      <c r="B187" s="12"/>
      <c r="C187" s="371" t="s">
        <v>376</v>
      </c>
      <c r="D187" s="375" t="s">
        <v>85</v>
      </c>
      <c r="E187" s="375" t="s">
        <v>341</v>
      </c>
      <c r="F187" s="197">
        <v>49530</v>
      </c>
      <c r="G187" s="197">
        <v>52777</v>
      </c>
      <c r="H187" s="197">
        <v>60355</v>
      </c>
      <c r="I187" s="197">
        <v>63649</v>
      </c>
      <c r="J187" s="197">
        <v>60862</v>
      </c>
      <c r="K187" s="197">
        <v>53534</v>
      </c>
      <c r="L187" s="197">
        <v>55368</v>
      </c>
      <c r="M187" s="197">
        <v>61617</v>
      </c>
      <c r="N187" s="197">
        <v>54433</v>
      </c>
      <c r="O187" s="197">
        <v>52981</v>
      </c>
      <c r="P187" s="197">
        <v>60573</v>
      </c>
      <c r="Q187" s="197">
        <v>65423</v>
      </c>
      <c r="R187" s="197">
        <v>67527</v>
      </c>
      <c r="S187" s="197">
        <v>69762</v>
      </c>
      <c r="T187" s="197">
        <v>69514</v>
      </c>
      <c r="U187" s="197">
        <v>80884</v>
      </c>
      <c r="V187" s="197">
        <v>92746</v>
      </c>
      <c r="W187" s="197">
        <v>96630</v>
      </c>
      <c r="X187" s="224">
        <f>(X189*W187)+W187</f>
        <v>104013.5490168331</v>
      </c>
      <c r="Y187" s="14"/>
      <c r="Z187" s="8"/>
      <c r="AA187" s="8"/>
      <c r="AB187" s="8"/>
      <c r="AC187" s="8"/>
      <c r="AD187" s="8"/>
      <c r="AE187" s="8"/>
      <c r="AF187" s="8"/>
      <c r="AG187" s="8"/>
      <c r="AH187" s="8"/>
    </row>
    <row r="188" spans="2:34" s="110" customFormat="1" x14ac:dyDescent="0.35">
      <c r="B188" s="12"/>
      <c r="C188" s="36" t="s">
        <v>377</v>
      </c>
      <c r="D188" s="375" t="s">
        <v>85</v>
      </c>
      <c r="E188" s="375" t="s">
        <v>341</v>
      </c>
      <c r="F188" s="197">
        <v>49981</v>
      </c>
      <c r="G188" s="197">
        <v>52307</v>
      </c>
      <c r="H188" s="197">
        <v>59984</v>
      </c>
      <c r="I188" s="197">
        <v>63937</v>
      </c>
      <c r="J188" s="197">
        <v>60830</v>
      </c>
      <c r="K188" s="197">
        <v>53987</v>
      </c>
      <c r="L188" s="197">
        <v>56015</v>
      </c>
      <c r="M188" s="197">
        <v>61595</v>
      </c>
      <c r="N188" s="197">
        <v>54212</v>
      </c>
      <c r="O188" s="197">
        <v>53426</v>
      </c>
      <c r="P188" s="197">
        <v>60662</v>
      </c>
      <c r="Q188" s="197">
        <v>64564</v>
      </c>
      <c r="R188" s="197">
        <v>67745</v>
      </c>
      <c r="S188" s="197">
        <v>69848</v>
      </c>
      <c r="T188" s="197">
        <v>69660</v>
      </c>
      <c r="U188" s="197">
        <v>80079</v>
      </c>
      <c r="V188" s="197">
        <v>90627</v>
      </c>
      <c r="W188" s="197">
        <v>96048</v>
      </c>
      <c r="X188" s="224">
        <f>(X190*W188)+W188</f>
        <v>103346.66243823041</v>
      </c>
      <c r="Y188" s="14"/>
      <c r="Z188" s="8"/>
      <c r="AA188" s="8"/>
      <c r="AB188" s="8"/>
      <c r="AC188" s="8"/>
      <c r="AD188" s="8"/>
      <c r="AE188" s="8"/>
      <c r="AF188" s="8"/>
      <c r="AG188" s="8"/>
      <c r="AH188" s="8"/>
    </row>
    <row r="189" spans="2:34" s="110" customFormat="1" x14ac:dyDescent="0.35">
      <c r="B189" s="12"/>
      <c r="C189" s="36" t="s">
        <v>376</v>
      </c>
      <c r="D189" s="375"/>
      <c r="E189" s="375" t="s">
        <v>106</v>
      </c>
      <c r="F189" s="196"/>
      <c r="G189" s="342">
        <f>(G187-F187)/F187</f>
        <v>6.5556228548354537E-2</v>
      </c>
      <c r="H189" s="342">
        <f t="shared" ref="H189:W189" si="71">(H187-G187)/G187</f>
        <v>0.14358527388824677</v>
      </c>
      <c r="I189" s="342">
        <f t="shared" si="71"/>
        <v>5.4577085577002735E-2</v>
      </c>
      <c r="J189" s="342">
        <f t="shared" si="71"/>
        <v>-4.3787019434712249E-2</v>
      </c>
      <c r="K189" s="342">
        <f t="shared" si="71"/>
        <v>-0.12040353586802931</v>
      </c>
      <c r="L189" s="342">
        <f t="shared" si="71"/>
        <v>3.4258602009937612E-2</v>
      </c>
      <c r="M189" s="342">
        <f t="shared" si="71"/>
        <v>0.11286302557433897</v>
      </c>
      <c r="N189" s="342">
        <f t="shared" si="71"/>
        <v>-0.1165912004803869</v>
      </c>
      <c r="O189" s="342">
        <f t="shared" si="71"/>
        <v>-2.6674994947917623E-2</v>
      </c>
      <c r="P189" s="342">
        <f t="shared" si="71"/>
        <v>0.14329665351729864</v>
      </c>
      <c r="Q189" s="342">
        <f t="shared" si="71"/>
        <v>8.0068677463556365E-2</v>
      </c>
      <c r="R189" s="342">
        <f t="shared" si="71"/>
        <v>3.2159943750668725E-2</v>
      </c>
      <c r="S189" s="342">
        <f t="shared" si="71"/>
        <v>3.3097871962326178E-2</v>
      </c>
      <c r="T189" s="342">
        <f t="shared" si="71"/>
        <v>-3.5549439522949457E-3</v>
      </c>
      <c r="U189" s="342">
        <f t="shared" si="71"/>
        <v>0.16356417412319821</v>
      </c>
      <c r="V189" s="342">
        <f t="shared" si="71"/>
        <v>0.14665446812719449</v>
      </c>
      <c r="W189" s="342">
        <f t="shared" si="71"/>
        <v>4.1877816833070965E-2</v>
      </c>
      <c r="X189" s="399">
        <f t="shared" ref="X189:X190" si="72">FORECAST($X$186,G189:W189,$G$186:$W$186)</f>
        <v>7.6410524855977435E-2</v>
      </c>
      <c r="Y189" s="14"/>
      <c r="Z189" s="8"/>
      <c r="AA189" s="8"/>
      <c r="AB189" s="8"/>
      <c r="AC189" s="8"/>
      <c r="AD189" s="8"/>
      <c r="AE189" s="8"/>
      <c r="AF189" s="8"/>
      <c r="AG189" s="8"/>
      <c r="AH189" s="8"/>
    </row>
    <row r="190" spans="2:34" s="110" customFormat="1" x14ac:dyDescent="0.35">
      <c r="B190" s="12"/>
      <c r="C190" s="36" t="s">
        <v>377</v>
      </c>
      <c r="D190" s="375"/>
      <c r="E190" s="375" t="s">
        <v>106</v>
      </c>
      <c r="F190" s="196"/>
      <c r="G190" s="342">
        <f>(G188-F188)/F188</f>
        <v>4.6537684320041614E-2</v>
      </c>
      <c r="H190" s="342">
        <f t="shared" ref="H190:W190" si="73">(H188-G188)/G188</f>
        <v>0.14676811898981015</v>
      </c>
      <c r="I190" s="342">
        <f t="shared" si="73"/>
        <v>6.590090690850893E-2</v>
      </c>
      <c r="J190" s="342">
        <f t="shared" si="73"/>
        <v>-4.8594710418067788E-2</v>
      </c>
      <c r="K190" s="342">
        <f t="shared" si="73"/>
        <v>-0.1124938352786454</v>
      </c>
      <c r="L190" s="342">
        <f t="shared" si="73"/>
        <v>3.7564598884916742E-2</v>
      </c>
      <c r="M190" s="342">
        <f t="shared" si="73"/>
        <v>9.9616174239043107E-2</v>
      </c>
      <c r="N190" s="342">
        <f t="shared" si="73"/>
        <v>-0.11986362529426089</v>
      </c>
      <c r="O190" s="342">
        <f t="shared" si="73"/>
        <v>-1.4498634988563418E-2</v>
      </c>
      <c r="P190" s="342">
        <f t="shared" si="73"/>
        <v>0.13543967356717704</v>
      </c>
      <c r="Q190" s="342">
        <f t="shared" si="73"/>
        <v>6.4323629290165177E-2</v>
      </c>
      <c r="R190" s="342">
        <f t="shared" si="73"/>
        <v>4.9268942444706025E-2</v>
      </c>
      <c r="S190" s="342">
        <f t="shared" si="73"/>
        <v>3.1042881393460772E-2</v>
      </c>
      <c r="T190" s="342">
        <f t="shared" si="73"/>
        <v>-2.6915588134234338E-3</v>
      </c>
      <c r="U190" s="342">
        <f t="shared" si="73"/>
        <v>0.14956933677863909</v>
      </c>
      <c r="V190" s="342">
        <f t="shared" si="73"/>
        <v>0.13171992657250964</v>
      </c>
      <c r="W190" s="342">
        <f t="shared" si="73"/>
        <v>5.981661094375848E-2</v>
      </c>
      <c r="X190" s="399">
        <f t="shared" si="72"/>
        <v>7.5989738862135781E-2</v>
      </c>
      <c r="Y190" s="14"/>
      <c r="Z190" s="8"/>
      <c r="AA190" s="8"/>
      <c r="AB190" s="8"/>
      <c r="AC190" s="8"/>
      <c r="AD190" s="8"/>
      <c r="AE190" s="8"/>
      <c r="AF190" s="8"/>
      <c r="AG190" s="8"/>
      <c r="AH190" s="8"/>
    </row>
    <row r="191" spans="2:34" s="110" customFormat="1" x14ac:dyDescent="0.35">
      <c r="B191" s="12"/>
      <c r="C191" s="36" t="s">
        <v>378</v>
      </c>
      <c r="D191" s="36"/>
      <c r="E191" s="374" t="s">
        <v>106</v>
      </c>
      <c r="F191" s="27"/>
      <c r="G191" s="342">
        <f>MEDIAN(G189:G190)</f>
        <v>5.6046956434198075E-2</v>
      </c>
      <c r="H191" s="342">
        <f t="shared" ref="H191:X191" si="74">MEDIAN(H189:H190)</f>
        <v>0.14517669643902847</v>
      </c>
      <c r="I191" s="342">
        <f t="shared" si="74"/>
        <v>6.0238996242755832E-2</v>
      </c>
      <c r="J191" s="342">
        <f t="shared" si="74"/>
        <v>-4.6190864926390018E-2</v>
      </c>
      <c r="K191" s="342">
        <f t="shared" si="74"/>
        <v>-0.11644868557333735</v>
      </c>
      <c r="L191" s="342">
        <f t="shared" si="74"/>
        <v>3.591160044742718E-2</v>
      </c>
      <c r="M191" s="342">
        <f t="shared" si="74"/>
        <v>0.10623959990669105</v>
      </c>
      <c r="N191" s="342">
        <f t="shared" si="74"/>
        <v>-0.1182274128873239</v>
      </c>
      <c r="O191" s="342">
        <f t="shared" si="74"/>
        <v>-2.0586814968240521E-2</v>
      </c>
      <c r="P191" s="342">
        <f t="shared" si="74"/>
        <v>0.13936816354223786</v>
      </c>
      <c r="Q191" s="342">
        <f t="shared" si="74"/>
        <v>7.2196153376860778E-2</v>
      </c>
      <c r="R191" s="342">
        <f t="shared" si="74"/>
        <v>4.0714443097687375E-2</v>
      </c>
      <c r="S191" s="342">
        <f t="shared" si="74"/>
        <v>3.2070376677893475E-2</v>
      </c>
      <c r="T191" s="342">
        <f t="shared" si="74"/>
        <v>-3.1232513828591897E-3</v>
      </c>
      <c r="U191" s="342">
        <f t="shared" si="74"/>
        <v>0.15656675545091864</v>
      </c>
      <c r="V191" s="342">
        <f t="shared" si="74"/>
        <v>0.13918719734985208</v>
      </c>
      <c r="W191" s="342">
        <f t="shared" si="74"/>
        <v>5.0847213888414719E-2</v>
      </c>
      <c r="X191" s="342">
        <f t="shared" si="74"/>
        <v>7.6200131859056608E-2</v>
      </c>
      <c r="Y191" s="14"/>
      <c r="Z191" s="8"/>
      <c r="AA191" s="8"/>
      <c r="AB191" s="8"/>
      <c r="AC191" s="8"/>
      <c r="AD191" s="8"/>
      <c r="AE191" s="8"/>
      <c r="AF191" s="8"/>
      <c r="AG191" s="8"/>
      <c r="AH191" s="8"/>
    </row>
    <row r="192" spans="2:34" s="110" customFormat="1" ht="15" thickBot="1" x14ac:dyDescent="0.4">
      <c r="B192" s="18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1"/>
      <c r="Z192" s="8"/>
      <c r="AA192" s="8"/>
      <c r="AB192" s="8"/>
      <c r="AC192" s="8"/>
      <c r="AD192" s="8"/>
      <c r="AE192" s="8"/>
      <c r="AF192" s="8"/>
      <c r="AG192" s="8"/>
      <c r="AH192" s="8"/>
    </row>
    <row r="193" spans="2:34" ht="15" thickBot="1" x14ac:dyDescent="0.4"/>
    <row r="194" spans="2:34" x14ac:dyDescent="0.35">
      <c r="B194" s="9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1"/>
    </row>
    <row r="195" spans="2:34" x14ac:dyDescent="0.35">
      <c r="B195" s="12"/>
      <c r="C195" s="25" t="s">
        <v>120</v>
      </c>
      <c r="D195" s="26" t="s">
        <v>64</v>
      </c>
      <c r="E195" s="26" t="s">
        <v>87</v>
      </c>
      <c r="F195" s="26">
        <v>1990</v>
      </c>
      <c r="G195" s="26">
        <v>1991</v>
      </c>
      <c r="H195" s="26">
        <v>1992</v>
      </c>
      <c r="I195" s="26">
        <v>1993</v>
      </c>
      <c r="J195" s="26">
        <v>1994</v>
      </c>
      <c r="K195" s="26">
        <v>1995</v>
      </c>
      <c r="L195" s="26">
        <v>1996</v>
      </c>
      <c r="M195" s="26">
        <v>1997</v>
      </c>
      <c r="N195" s="26">
        <v>1998</v>
      </c>
      <c r="O195" s="26">
        <v>1999</v>
      </c>
      <c r="P195" s="26">
        <v>2000</v>
      </c>
      <c r="Q195" s="26">
        <v>2001</v>
      </c>
      <c r="R195" s="26">
        <v>2002</v>
      </c>
      <c r="S195" s="26">
        <v>2003</v>
      </c>
      <c r="T195" s="26">
        <v>2004</v>
      </c>
      <c r="U195" s="26">
        <v>2005</v>
      </c>
      <c r="V195" s="26">
        <v>2006</v>
      </c>
      <c r="W195" s="26">
        <v>2007</v>
      </c>
      <c r="X195" s="26">
        <v>2008</v>
      </c>
      <c r="Y195" s="26">
        <v>2009</v>
      </c>
      <c r="Z195" s="26">
        <v>2010</v>
      </c>
      <c r="AA195" s="26">
        <v>2011</v>
      </c>
      <c r="AB195" s="26">
        <v>2012</v>
      </c>
      <c r="AC195" s="26">
        <v>2013</v>
      </c>
      <c r="AD195" s="26">
        <v>2014</v>
      </c>
      <c r="AE195" s="26">
        <v>2015</v>
      </c>
      <c r="AF195" s="26">
        <v>2016</v>
      </c>
      <c r="AG195" s="26">
        <v>2017</v>
      </c>
      <c r="AH195" s="14"/>
    </row>
    <row r="196" spans="2:34" x14ac:dyDescent="0.35">
      <c r="B196" s="12"/>
      <c r="C196" s="644" t="s">
        <v>121</v>
      </c>
      <c r="D196" s="644" t="s">
        <v>65</v>
      </c>
      <c r="E196" s="28" t="s">
        <v>111</v>
      </c>
      <c r="F196" s="27">
        <v>84.751612843380002</v>
      </c>
      <c r="G196" s="27">
        <v>79.520170866140006</v>
      </c>
      <c r="H196" s="27">
        <v>78.567041320520005</v>
      </c>
      <c r="I196" s="27">
        <v>79.948614877420013</v>
      </c>
      <c r="J196" s="27">
        <v>78.650323647340016</v>
      </c>
      <c r="K196" s="27">
        <v>81.344569869980006</v>
      </c>
      <c r="L196" s="27">
        <v>84.208060068320009</v>
      </c>
      <c r="M196" s="27">
        <v>86.932603300339991</v>
      </c>
      <c r="N196" s="27">
        <v>89.793580035740007</v>
      </c>
      <c r="O196" s="27">
        <v>91.976703523780003</v>
      </c>
      <c r="P196" s="27">
        <v>99.197833581080005</v>
      </c>
      <c r="Q196" s="27">
        <v>101.84051210142</v>
      </c>
      <c r="R196" s="27">
        <v>102.79794143902001</v>
      </c>
      <c r="S196" s="27">
        <v>107.03305694896001</v>
      </c>
      <c r="T196" s="27">
        <v>110.94507961752001</v>
      </c>
      <c r="U196" s="27">
        <v>115.431620665</v>
      </c>
      <c r="V196" s="27">
        <v>108.86305601292</v>
      </c>
      <c r="W196" s="27">
        <v>108.76708561140001</v>
      </c>
      <c r="X196" s="27">
        <v>110.14614668248001</v>
      </c>
      <c r="Y196" s="27">
        <v>113.11119999691999</v>
      </c>
      <c r="Z196" s="27">
        <v>116.88665318028001</v>
      </c>
      <c r="AA196" s="27">
        <v>117.401614</v>
      </c>
      <c r="AB196" s="27">
        <v>120.11808585866574</v>
      </c>
      <c r="AC196" s="27">
        <v>123.38530161149585</v>
      </c>
      <c r="AD196" s="27">
        <v>126.47742236363452</v>
      </c>
      <c r="AE196" s="27">
        <v>129.87955619447638</v>
      </c>
      <c r="AF196" s="27">
        <v>132.19999999999999</v>
      </c>
      <c r="AG196" s="27">
        <v>134.28955216248002</v>
      </c>
      <c r="AH196" s="14"/>
    </row>
    <row r="197" spans="2:34" x14ac:dyDescent="0.35">
      <c r="B197" s="12"/>
      <c r="C197" s="644"/>
      <c r="D197" s="644"/>
      <c r="E197" s="28" t="s">
        <v>106</v>
      </c>
      <c r="F197" s="27" t="s">
        <v>101</v>
      </c>
      <c r="G197" s="53">
        <f>(G196-F196)/F196</f>
        <v>-6.1726754237794154E-2</v>
      </c>
      <c r="H197" s="53">
        <f t="shared" ref="H197" si="75">(H196-G196)/G196</f>
        <v>-1.1986009778883002E-2</v>
      </c>
      <c r="I197" s="53">
        <f t="shared" ref="I197" si="76">(I196-H196)/H196</f>
        <v>1.7584645338288581E-2</v>
      </c>
      <c r="J197" s="53">
        <f t="shared" ref="J197" si="77">(J196-I196)/I196</f>
        <v>-1.6239070959147721E-2</v>
      </c>
      <c r="K197" s="53">
        <f t="shared" ref="K197" si="78">(K196-J196)/J196</f>
        <v>3.4256009355037281E-2</v>
      </c>
      <c r="L197" s="53">
        <f t="shared" ref="L197" si="79">(L196-K196)/K196</f>
        <v>3.5201983401190323E-2</v>
      </c>
      <c r="M197" s="53">
        <f t="shared" ref="M197" si="80">(M196-L196)/L196</f>
        <v>3.2354898448076055E-2</v>
      </c>
      <c r="N197" s="53">
        <f t="shared" ref="N197" si="81">(N196-M196)/M196</f>
        <v>3.2910284827382209E-2</v>
      </c>
      <c r="O197" s="53">
        <f t="shared" ref="O197" si="82">(O196-N196)/N196</f>
        <v>2.4312690140776885E-2</v>
      </c>
      <c r="P197" s="53">
        <f t="shared" ref="P197:AG197" si="83">(P196-O196)/O196</f>
        <v>7.8510424712416704E-2</v>
      </c>
      <c r="Q197" s="53">
        <f t="shared" si="83"/>
        <v>2.6640486237836918E-2</v>
      </c>
      <c r="R197" s="53">
        <f t="shared" si="83"/>
        <v>9.4012620110013618E-3</v>
      </c>
      <c r="S197" s="53">
        <f t="shared" si="83"/>
        <v>4.1198446687303387E-2</v>
      </c>
      <c r="T197" s="53">
        <f t="shared" si="83"/>
        <v>3.6549667738869626E-2</v>
      </c>
      <c r="U197" s="53">
        <f t="shared" si="83"/>
        <v>4.0439297199544234E-2</v>
      </c>
      <c r="V197" s="53">
        <f t="shared" si="83"/>
        <v>-5.6904378663650286E-2</v>
      </c>
      <c r="W197" s="53">
        <f t="shared" si="83"/>
        <v>-8.8156997456145206E-4</v>
      </c>
      <c r="X197" s="53">
        <f t="shared" si="83"/>
        <v>1.2679029352749904E-2</v>
      </c>
      <c r="Y197" s="53">
        <f t="shared" si="83"/>
        <v>2.6919265028738492E-2</v>
      </c>
      <c r="Z197" s="53">
        <f t="shared" si="83"/>
        <v>3.3378243564411124E-2</v>
      </c>
      <c r="AA197" s="53">
        <f t="shared" si="83"/>
        <v>4.405642609389619E-3</v>
      </c>
      <c r="AB197" s="53">
        <f t="shared" si="83"/>
        <v>2.313828376044082E-2</v>
      </c>
      <c r="AC197" s="53">
        <f t="shared" si="83"/>
        <v>2.7200031781012626E-2</v>
      </c>
      <c r="AD197" s="53">
        <f t="shared" si="83"/>
        <v>2.5060689658763822E-2</v>
      </c>
      <c r="AE197" s="53">
        <f t="shared" si="83"/>
        <v>2.689913952436828E-2</v>
      </c>
      <c r="AF197" s="53">
        <f t="shared" si="83"/>
        <v>1.7866120531310342E-2</v>
      </c>
      <c r="AG197" s="53">
        <f t="shared" si="83"/>
        <v>1.580599215189132E-2</v>
      </c>
      <c r="AH197" s="14"/>
    </row>
    <row r="198" spans="2:34" x14ac:dyDescent="0.35">
      <c r="B198" s="12"/>
      <c r="C198" s="644" t="s">
        <v>122</v>
      </c>
      <c r="D198" s="644" t="s">
        <v>65</v>
      </c>
      <c r="E198" s="28" t="s">
        <v>111</v>
      </c>
      <c r="F198" s="27">
        <v>63.934920000000005</v>
      </c>
      <c r="G198" s="27">
        <v>66.369240000000005</v>
      </c>
      <c r="H198" s="27">
        <v>73.275840000000017</v>
      </c>
      <c r="I198" s="27">
        <v>78.092640000000003</v>
      </c>
      <c r="J198" s="27">
        <v>85.962600000000009</v>
      </c>
      <c r="K198" s="27">
        <v>90.674639999999997</v>
      </c>
      <c r="L198" s="27">
        <v>94.377960000000002</v>
      </c>
      <c r="M198" s="27">
        <v>94.684680000000014</v>
      </c>
      <c r="N198" s="27">
        <v>95.963948639999998</v>
      </c>
      <c r="O198" s="27">
        <v>97.183799999999991</v>
      </c>
      <c r="P198" s="27">
        <v>238.82875999999996</v>
      </c>
      <c r="Q198" s="27">
        <v>238.53860000000003</v>
      </c>
      <c r="R198" s="27">
        <v>247.03009040999999</v>
      </c>
      <c r="S198" s="27">
        <v>257.32707230999995</v>
      </c>
      <c r="T198" s="27">
        <v>262.55903159999997</v>
      </c>
      <c r="U198" s="27">
        <v>270.91979429999998</v>
      </c>
      <c r="V198" s="27">
        <v>275.50387999999998</v>
      </c>
      <c r="W198" s="27">
        <v>263.56739247000002</v>
      </c>
      <c r="X198" s="27">
        <v>265.73310630000003</v>
      </c>
      <c r="Y198" s="27">
        <v>276.69200151000001</v>
      </c>
      <c r="Z198" s="27">
        <v>290.56510334999996</v>
      </c>
      <c r="AA198" s="27">
        <v>293.12458083000001</v>
      </c>
      <c r="AB198" s="27">
        <v>304.2287</v>
      </c>
      <c r="AC198" s="27">
        <v>310.08570000000003</v>
      </c>
      <c r="AD198" s="27">
        <v>319.05843999999996</v>
      </c>
      <c r="AE198" s="27">
        <v>330.77152180000002</v>
      </c>
      <c r="AF198" s="27">
        <v>348.7</v>
      </c>
      <c r="AG198" s="27">
        <v>360.65650000000005</v>
      </c>
      <c r="AH198" s="14"/>
    </row>
    <row r="199" spans="2:34" x14ac:dyDescent="0.35">
      <c r="B199" s="12"/>
      <c r="C199" s="644"/>
      <c r="D199" s="644"/>
      <c r="E199" s="47" t="s">
        <v>106</v>
      </c>
      <c r="F199" s="27" t="s">
        <v>101</v>
      </c>
      <c r="G199" s="53">
        <f>(G198-F198)/F198</f>
        <v>3.8074967482558821E-2</v>
      </c>
      <c r="H199" s="53">
        <f t="shared" ref="H199" si="84">(H198-G198)/G198</f>
        <v>0.10406326786324525</v>
      </c>
      <c r="I199" s="53">
        <f t="shared" ref="I199" si="85">(I198-H198)/H198</f>
        <v>6.5735172739063596E-2</v>
      </c>
      <c r="J199" s="53">
        <f t="shared" ref="J199" si="86">(J198-I198)/I198</f>
        <v>0.10077723073518843</v>
      </c>
      <c r="K199" s="53">
        <f t="shared" ref="K199" si="87">(K198-J198)/J198</f>
        <v>5.4815000942270091E-2</v>
      </c>
      <c r="L199" s="53">
        <f t="shared" ref="L199" si="88">(L198-K198)/K198</f>
        <v>4.0841849496176717E-2</v>
      </c>
      <c r="M199" s="53">
        <f t="shared" ref="M199" si="89">(M198-L198)/L198</f>
        <v>3.2499113140399809E-3</v>
      </c>
      <c r="N199" s="53">
        <f t="shared" ref="N199" si="90">(N198-M198)/M198</f>
        <v>1.3510830263142712E-2</v>
      </c>
      <c r="O199" s="53">
        <f t="shared" ref="O199" si="91">(O198-N198)/N198</f>
        <v>1.2711558635171984E-2</v>
      </c>
      <c r="P199" s="53">
        <f t="shared" ref="P199:AG199" si="92">(P198-O198)/O198</f>
        <v>1.457495590828924</v>
      </c>
      <c r="Q199" s="53">
        <f t="shared" si="92"/>
        <v>-1.2149290562825398E-3</v>
      </c>
      <c r="R199" s="53">
        <f t="shared" si="92"/>
        <v>3.5597972026330138E-2</v>
      </c>
      <c r="S199" s="53">
        <f t="shared" si="92"/>
        <v>4.1683107846942409E-2</v>
      </c>
      <c r="T199" s="53">
        <f t="shared" si="92"/>
        <v>2.033194270246513E-2</v>
      </c>
      <c r="U199" s="53">
        <f t="shared" si="92"/>
        <v>3.1843363563045721E-2</v>
      </c>
      <c r="V199" s="53">
        <f t="shared" si="92"/>
        <v>1.6920453198498546E-2</v>
      </c>
      <c r="W199" s="53">
        <f t="shared" si="92"/>
        <v>-4.3326023321341126E-2</v>
      </c>
      <c r="X199" s="53">
        <f t="shared" si="92"/>
        <v>8.2169262658184222E-3</v>
      </c>
      <c r="Y199" s="53">
        <f t="shared" si="92"/>
        <v>4.1240232963776477E-2</v>
      </c>
      <c r="Z199" s="53">
        <f t="shared" si="92"/>
        <v>5.0139150261987446E-2</v>
      </c>
      <c r="AA199" s="53">
        <f t="shared" si="92"/>
        <v>8.8086196535343692E-3</v>
      </c>
      <c r="AB199" s="53">
        <f t="shared" si="92"/>
        <v>3.7881910614790487E-2</v>
      </c>
      <c r="AC199" s="53">
        <f t="shared" si="92"/>
        <v>1.9251964065191838E-2</v>
      </c>
      <c r="AD199" s="53">
        <f t="shared" si="92"/>
        <v>2.8936323087455917E-2</v>
      </c>
      <c r="AE199" s="53">
        <f t="shared" si="92"/>
        <v>3.671139932859966E-2</v>
      </c>
      <c r="AF199" s="53">
        <f t="shared" si="92"/>
        <v>5.420200053026443E-2</v>
      </c>
      <c r="AG199" s="53">
        <f t="shared" si="92"/>
        <v>3.4288786922856501E-2</v>
      </c>
      <c r="AH199" s="14"/>
    </row>
    <row r="200" spans="2:34" ht="15" thickBot="1" x14ac:dyDescent="0.4">
      <c r="B200" s="18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1"/>
    </row>
    <row r="201" spans="2:34" ht="15" thickBot="1" x14ac:dyDescent="0.4"/>
    <row r="202" spans="2:34" hidden="1" x14ac:dyDescent="0.35">
      <c r="B202" s="9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1"/>
    </row>
    <row r="203" spans="2:34" s="110" customFormat="1" hidden="1" x14ac:dyDescent="0.35">
      <c r="B203" s="12"/>
      <c r="C203" s="716" t="s">
        <v>272</v>
      </c>
      <c r="D203" s="713" t="s">
        <v>263</v>
      </c>
      <c r="E203" s="714"/>
      <c r="F203" s="714"/>
      <c r="G203" s="714"/>
      <c r="H203" s="715"/>
      <c r="I203" s="713" t="s">
        <v>264</v>
      </c>
      <c r="J203" s="714"/>
      <c r="K203" s="714"/>
      <c r="L203" s="715"/>
      <c r="M203" s="713" t="s">
        <v>225</v>
      </c>
      <c r="N203" s="714"/>
      <c r="O203" s="715"/>
      <c r="P203" s="165" t="s">
        <v>265</v>
      </c>
      <c r="Q203" s="165" t="s">
        <v>266</v>
      </c>
      <c r="R203" s="165" t="s">
        <v>267</v>
      </c>
      <c r="S203" s="165" t="s">
        <v>268</v>
      </c>
      <c r="T203" s="165" t="s">
        <v>269</v>
      </c>
      <c r="U203" s="165" t="s">
        <v>270</v>
      </c>
      <c r="V203" s="165" t="s">
        <v>271</v>
      </c>
      <c r="W203" s="712" t="s">
        <v>219</v>
      </c>
      <c r="X203" s="14"/>
    </row>
    <row r="204" spans="2:34" hidden="1" x14ac:dyDescent="0.35">
      <c r="B204" s="12"/>
      <c r="C204" s="716"/>
      <c r="D204" s="166" t="s">
        <v>262</v>
      </c>
      <c r="E204" s="166" t="s">
        <v>41</v>
      </c>
      <c r="F204" s="166" t="s">
        <v>117</v>
      </c>
      <c r="G204" s="166" t="s">
        <v>226</v>
      </c>
      <c r="H204" s="166" t="s">
        <v>227</v>
      </c>
      <c r="I204" s="166" t="s">
        <v>262</v>
      </c>
      <c r="J204" s="166" t="s">
        <v>41</v>
      </c>
      <c r="K204" s="166" t="s">
        <v>117</v>
      </c>
      <c r="L204" s="166" t="s">
        <v>226</v>
      </c>
      <c r="M204" s="166" t="s">
        <v>262</v>
      </c>
      <c r="N204" s="166" t="s">
        <v>41</v>
      </c>
      <c r="O204" s="166" t="s">
        <v>117</v>
      </c>
      <c r="P204" s="166" t="s">
        <v>262</v>
      </c>
      <c r="Q204" s="166" t="s">
        <v>262</v>
      </c>
      <c r="R204" s="166" t="s">
        <v>41</v>
      </c>
      <c r="S204" s="166" t="s">
        <v>41</v>
      </c>
      <c r="T204" s="166" t="s">
        <v>41</v>
      </c>
      <c r="U204" s="166" t="s">
        <v>41</v>
      </c>
      <c r="V204" s="166" t="s">
        <v>41</v>
      </c>
      <c r="W204" s="712"/>
      <c r="X204" s="14"/>
    </row>
    <row r="205" spans="2:34" hidden="1" x14ac:dyDescent="0.35">
      <c r="B205" s="12"/>
      <c r="C205" s="27">
        <v>2000</v>
      </c>
      <c r="D205" s="167">
        <f>71799+2000</f>
        <v>73799</v>
      </c>
      <c r="E205" s="167">
        <f>6006+500+137</f>
        <v>6643</v>
      </c>
      <c r="F205" s="167">
        <f>119+20</f>
        <v>139</v>
      </c>
      <c r="G205" s="167">
        <v>0</v>
      </c>
      <c r="H205" s="167">
        <v>0</v>
      </c>
      <c r="I205" s="167">
        <v>2426</v>
      </c>
      <c r="J205" s="167">
        <f>17182+1000</f>
        <v>18182</v>
      </c>
      <c r="K205" s="167">
        <v>10</v>
      </c>
      <c r="L205" s="167">
        <v>0</v>
      </c>
      <c r="M205" s="167">
        <v>5894</v>
      </c>
      <c r="N205" s="167">
        <v>10818</v>
      </c>
      <c r="O205" s="167">
        <v>9</v>
      </c>
      <c r="P205" s="167">
        <f>95419+2000+500</f>
        <v>97919</v>
      </c>
      <c r="Q205" s="167">
        <f>22079+500</f>
        <v>22579</v>
      </c>
      <c r="R205" s="167">
        <v>3650</v>
      </c>
      <c r="S205" s="167">
        <v>1157</v>
      </c>
      <c r="T205" s="167">
        <v>26</v>
      </c>
      <c r="U205" s="167">
        <v>61</v>
      </c>
      <c r="V205" s="167">
        <v>706</v>
      </c>
      <c r="W205" s="165">
        <v>244018</v>
      </c>
      <c r="X205" s="14"/>
    </row>
    <row r="206" spans="2:34" hidden="1" x14ac:dyDescent="0.35">
      <c r="B206" s="12"/>
      <c r="C206" s="27">
        <v>2001</v>
      </c>
      <c r="D206" s="167">
        <f>76158+2000</f>
        <v>78158</v>
      </c>
      <c r="E206" s="167">
        <f>6998+500</f>
        <v>7498</v>
      </c>
      <c r="F206" s="167">
        <v>153</v>
      </c>
      <c r="G206" s="167">
        <v>0</v>
      </c>
      <c r="H206" s="167">
        <v>0</v>
      </c>
      <c r="I206" s="167">
        <v>2520</v>
      </c>
      <c r="J206" s="167">
        <f>18932+449</f>
        <v>19381</v>
      </c>
      <c r="K206" s="167">
        <v>11</v>
      </c>
      <c r="L206" s="167">
        <v>0</v>
      </c>
      <c r="M206" s="167">
        <v>6051</v>
      </c>
      <c r="N206" s="167">
        <v>11756</v>
      </c>
      <c r="O206" s="167">
        <v>9</v>
      </c>
      <c r="P206" s="167">
        <f>98865+1000</f>
        <v>99865</v>
      </c>
      <c r="Q206" s="167">
        <f>23216+500</f>
        <v>23716</v>
      </c>
      <c r="R206" s="167">
        <v>3930</v>
      </c>
      <c r="S206" s="167">
        <v>1252</v>
      </c>
      <c r="T206" s="167">
        <v>26</v>
      </c>
      <c r="U206" s="167">
        <v>69</v>
      </c>
      <c r="V206" s="167">
        <v>754</v>
      </c>
      <c r="W206" s="165">
        <v>255149</v>
      </c>
      <c r="X206" s="14"/>
    </row>
    <row r="207" spans="2:34" hidden="1" x14ac:dyDescent="0.35">
      <c r="B207" s="12"/>
      <c r="C207" s="27">
        <v>2002</v>
      </c>
      <c r="D207" s="167">
        <f>81476+500</f>
        <v>81976</v>
      </c>
      <c r="E207" s="167">
        <v>8108</v>
      </c>
      <c r="F207" s="167">
        <v>177</v>
      </c>
      <c r="G207" s="167">
        <v>0</v>
      </c>
      <c r="H207" s="167">
        <v>0</v>
      </c>
      <c r="I207" s="167">
        <v>2569</v>
      </c>
      <c r="J207" s="167">
        <v>20459</v>
      </c>
      <c r="K207" s="167">
        <v>13</v>
      </c>
      <c r="L207" s="167">
        <v>0</v>
      </c>
      <c r="M207" s="167">
        <v>6120</v>
      </c>
      <c r="N207" s="167">
        <v>12578</v>
      </c>
      <c r="O207" s="167">
        <v>10</v>
      </c>
      <c r="P207" s="167">
        <f>101935+554</f>
        <v>102489</v>
      </c>
      <c r="Q207" s="167">
        <f>24430+500</f>
        <v>24930</v>
      </c>
      <c r="R207" s="167">
        <v>4156</v>
      </c>
      <c r="S207" s="167">
        <v>1349</v>
      </c>
      <c r="T207" s="167">
        <v>28</v>
      </c>
      <c r="U207" s="167">
        <v>83</v>
      </c>
      <c r="V207" s="167">
        <v>796</v>
      </c>
      <c r="W207" s="165">
        <v>265841</v>
      </c>
      <c r="X207" s="14"/>
    </row>
    <row r="208" spans="2:34" hidden="1" x14ac:dyDescent="0.35">
      <c r="B208" s="12"/>
      <c r="C208" s="27">
        <v>2003</v>
      </c>
      <c r="D208" s="167">
        <v>85695</v>
      </c>
      <c r="E208" s="167">
        <v>8971</v>
      </c>
      <c r="F208" s="167">
        <v>186</v>
      </c>
      <c r="G208" s="167">
        <v>0</v>
      </c>
      <c r="H208" s="167">
        <v>0</v>
      </c>
      <c r="I208" s="167">
        <v>2600</v>
      </c>
      <c r="J208" s="167">
        <v>21395</v>
      </c>
      <c r="K208" s="167">
        <v>12</v>
      </c>
      <c r="L208" s="167">
        <v>0</v>
      </c>
      <c r="M208" s="167">
        <v>6167</v>
      </c>
      <c r="N208" s="167">
        <v>13511</v>
      </c>
      <c r="O208" s="167">
        <v>10</v>
      </c>
      <c r="P208" s="167">
        <v>104968</v>
      </c>
      <c r="Q208" s="167">
        <v>26041</v>
      </c>
      <c r="R208" s="167">
        <v>4328</v>
      </c>
      <c r="S208" s="167">
        <v>1422</v>
      </c>
      <c r="T208" s="167">
        <v>33</v>
      </c>
      <c r="U208" s="167">
        <v>160</v>
      </c>
      <c r="V208" s="167">
        <v>872</v>
      </c>
      <c r="W208" s="165">
        <v>276371</v>
      </c>
      <c r="X208" s="14"/>
    </row>
    <row r="209" spans="2:24" hidden="1" x14ac:dyDescent="0.35">
      <c r="B209" s="12"/>
      <c r="C209" s="27">
        <v>2004</v>
      </c>
      <c r="D209" s="167">
        <v>92245</v>
      </c>
      <c r="E209" s="167">
        <v>9618</v>
      </c>
      <c r="F209" s="167">
        <v>200</v>
      </c>
      <c r="G209" s="167">
        <v>0</v>
      </c>
      <c r="H209" s="167">
        <v>0</v>
      </c>
      <c r="I209" s="167">
        <v>2612</v>
      </c>
      <c r="J209" s="167">
        <v>22322</v>
      </c>
      <c r="K209" s="167">
        <v>12</v>
      </c>
      <c r="L209" s="167">
        <v>0</v>
      </c>
      <c r="M209" s="167">
        <v>6208</v>
      </c>
      <c r="N209" s="167">
        <v>14223</v>
      </c>
      <c r="O209" s="167">
        <v>11</v>
      </c>
      <c r="P209" s="167">
        <v>108210</v>
      </c>
      <c r="Q209" s="167">
        <v>28503</v>
      </c>
      <c r="R209" s="167">
        <v>4609</v>
      </c>
      <c r="S209" s="167">
        <v>1478</v>
      </c>
      <c r="T209" s="167">
        <v>33</v>
      </c>
      <c r="U209" s="167">
        <v>199</v>
      </c>
      <c r="V209" s="167">
        <v>922</v>
      </c>
      <c r="W209" s="165">
        <v>291405</v>
      </c>
      <c r="X209" s="14"/>
    </row>
    <row r="210" spans="2:24" hidden="1" x14ac:dyDescent="0.35">
      <c r="B210" s="12"/>
      <c r="C210" s="27">
        <v>2005</v>
      </c>
      <c r="D210" s="167">
        <v>97973</v>
      </c>
      <c r="E210" s="167">
        <v>10237</v>
      </c>
      <c r="F210" s="167">
        <v>203</v>
      </c>
      <c r="G210" s="167">
        <v>0</v>
      </c>
      <c r="H210" s="167">
        <v>0</v>
      </c>
      <c r="I210" s="167">
        <v>2675</v>
      </c>
      <c r="J210" s="167">
        <v>23215</v>
      </c>
      <c r="K210" s="167">
        <v>12</v>
      </c>
      <c r="L210" s="167">
        <v>0</v>
      </c>
      <c r="M210" s="167">
        <v>6214</v>
      </c>
      <c r="N210" s="167">
        <v>15539</v>
      </c>
      <c r="O210" s="167">
        <v>11</v>
      </c>
      <c r="P210" s="167">
        <v>110583</v>
      </c>
      <c r="Q210" s="167">
        <v>31099</v>
      </c>
      <c r="R210" s="167">
        <v>4750</v>
      </c>
      <c r="S210" s="167">
        <v>1709</v>
      </c>
      <c r="T210" s="167">
        <v>32</v>
      </c>
      <c r="U210" s="167">
        <v>248</v>
      </c>
      <c r="V210" s="167">
        <v>996</v>
      </c>
      <c r="W210" s="165">
        <v>305496</v>
      </c>
      <c r="X210" s="14"/>
    </row>
    <row r="211" spans="2:24" hidden="1" x14ac:dyDescent="0.35">
      <c r="B211" s="12"/>
      <c r="C211" s="27">
        <v>2006</v>
      </c>
      <c r="D211" s="167">
        <v>103102</v>
      </c>
      <c r="E211" s="167">
        <v>10750</v>
      </c>
      <c r="F211" s="167">
        <v>204</v>
      </c>
      <c r="G211" s="167">
        <v>0</v>
      </c>
      <c r="H211" s="167">
        <v>0</v>
      </c>
      <c r="I211" s="167">
        <v>2685</v>
      </c>
      <c r="J211" s="167">
        <v>23983</v>
      </c>
      <c r="K211" s="167">
        <v>12</v>
      </c>
      <c r="L211" s="167">
        <v>0</v>
      </c>
      <c r="M211" s="167">
        <v>6298</v>
      </c>
      <c r="N211" s="167">
        <v>16690</v>
      </c>
      <c r="O211" s="167">
        <v>11</v>
      </c>
      <c r="P211" s="167">
        <v>113456</v>
      </c>
      <c r="Q211" s="167">
        <v>34200</v>
      </c>
      <c r="R211" s="167">
        <v>4772</v>
      </c>
      <c r="S211" s="167">
        <v>1920</v>
      </c>
      <c r="T211" s="167">
        <v>36</v>
      </c>
      <c r="U211" s="167">
        <v>285</v>
      </c>
      <c r="V211" s="167">
        <v>1036</v>
      </c>
      <c r="W211" s="165">
        <v>319440</v>
      </c>
      <c r="X211" s="14"/>
    </row>
    <row r="212" spans="2:24" hidden="1" x14ac:dyDescent="0.35">
      <c r="B212" s="12"/>
      <c r="C212" s="27">
        <v>2007</v>
      </c>
      <c r="D212" s="167">
        <v>109090</v>
      </c>
      <c r="E212" s="167">
        <v>11345</v>
      </c>
      <c r="F212" s="167">
        <v>204</v>
      </c>
      <c r="G212" s="167">
        <v>0</v>
      </c>
      <c r="H212" s="167">
        <v>0</v>
      </c>
      <c r="I212" s="167">
        <v>2712</v>
      </c>
      <c r="J212" s="167">
        <v>24790</v>
      </c>
      <c r="K212" s="167">
        <v>13</v>
      </c>
      <c r="L212" s="167">
        <v>0</v>
      </c>
      <c r="M212" s="167">
        <v>6301</v>
      </c>
      <c r="N212" s="167">
        <v>17910</v>
      </c>
      <c r="O212" s="167">
        <v>12</v>
      </c>
      <c r="P212" s="167">
        <v>115107</v>
      </c>
      <c r="Q212" s="167">
        <v>38012</v>
      </c>
      <c r="R212" s="167">
        <v>4913</v>
      </c>
      <c r="S212" s="167">
        <v>2279</v>
      </c>
      <c r="T212" s="167">
        <v>39</v>
      </c>
      <c r="U212" s="167">
        <v>332</v>
      </c>
      <c r="V212" s="167">
        <v>1086</v>
      </c>
      <c r="W212" s="165">
        <v>334145</v>
      </c>
      <c r="X212" s="14"/>
    </row>
    <row r="213" spans="2:24" hidden="1" x14ac:dyDescent="0.35">
      <c r="B213" s="12"/>
      <c r="C213" s="27">
        <v>2008</v>
      </c>
      <c r="D213" s="167">
        <v>118980</v>
      </c>
      <c r="E213" s="167">
        <v>12023</v>
      </c>
      <c r="F213" s="167">
        <v>207</v>
      </c>
      <c r="G213" s="167">
        <v>0</v>
      </c>
      <c r="H213" s="167">
        <v>0</v>
      </c>
      <c r="I213" s="167">
        <v>2743</v>
      </c>
      <c r="J213" s="167">
        <v>25826</v>
      </c>
      <c r="K213" s="167">
        <v>13</v>
      </c>
      <c r="L213" s="167">
        <v>0</v>
      </c>
      <c r="M213" s="167">
        <v>6436</v>
      </c>
      <c r="N213" s="167">
        <v>19316</v>
      </c>
      <c r="O213" s="167">
        <v>12</v>
      </c>
      <c r="P213" s="167">
        <v>114454</v>
      </c>
      <c r="Q213" s="167">
        <v>42368</v>
      </c>
      <c r="R213" s="167">
        <v>4979</v>
      </c>
      <c r="S213" s="167">
        <v>2449</v>
      </c>
      <c r="T213" s="167">
        <v>42</v>
      </c>
      <c r="U213" s="167">
        <v>400</v>
      </c>
      <c r="V213" s="167">
        <v>1158</v>
      </c>
      <c r="W213" s="165">
        <v>351406</v>
      </c>
      <c r="X213" s="14"/>
    </row>
    <row r="214" spans="2:24" hidden="1" x14ac:dyDescent="0.35">
      <c r="B214" s="12"/>
      <c r="C214" s="27">
        <v>2009</v>
      </c>
      <c r="D214" s="167">
        <v>124217</v>
      </c>
      <c r="E214" s="167">
        <v>12421</v>
      </c>
      <c r="F214" s="167">
        <v>211</v>
      </c>
      <c r="G214" s="167">
        <v>42</v>
      </c>
      <c r="H214" s="167">
        <v>0</v>
      </c>
      <c r="I214" s="167">
        <v>2726</v>
      </c>
      <c r="J214" s="167">
        <v>26514</v>
      </c>
      <c r="K214" s="167">
        <v>13</v>
      </c>
      <c r="L214" s="167">
        <v>0</v>
      </c>
      <c r="M214" s="167">
        <v>6377</v>
      </c>
      <c r="N214" s="167">
        <v>20470</v>
      </c>
      <c r="O214" s="167">
        <v>12</v>
      </c>
      <c r="P214" s="167">
        <v>118798</v>
      </c>
      <c r="Q214" s="167">
        <v>45295</v>
      </c>
      <c r="R214" s="167">
        <v>5042</v>
      </c>
      <c r="S214" s="167">
        <v>2632</v>
      </c>
      <c r="T214" s="167">
        <v>40</v>
      </c>
      <c r="U214" s="167">
        <v>485</v>
      </c>
      <c r="V214" s="167">
        <v>1225</v>
      </c>
      <c r="W214" s="165">
        <v>366520</v>
      </c>
      <c r="X214" s="14"/>
    </row>
    <row r="215" spans="2:24" hidden="1" x14ac:dyDescent="0.35">
      <c r="B215" s="12"/>
      <c r="C215" s="27">
        <v>2010</v>
      </c>
      <c r="D215" s="167">
        <v>131916</v>
      </c>
      <c r="E215" s="167">
        <v>13000</v>
      </c>
      <c r="F215" s="167">
        <v>214</v>
      </c>
      <c r="G215" s="167">
        <v>161</v>
      </c>
      <c r="H215" s="167">
        <v>0</v>
      </c>
      <c r="I215" s="167">
        <v>2539</v>
      </c>
      <c r="J215" s="167">
        <v>27637</v>
      </c>
      <c r="K215" s="167">
        <v>14</v>
      </c>
      <c r="L215" s="167">
        <v>0</v>
      </c>
      <c r="M215" s="167">
        <v>6385</v>
      </c>
      <c r="N215" s="167">
        <v>21656</v>
      </c>
      <c r="O215" s="167">
        <v>12</v>
      </c>
      <c r="P215" s="167">
        <v>121644</v>
      </c>
      <c r="Q215" s="167">
        <v>49126</v>
      </c>
      <c r="R215" s="167">
        <v>5172</v>
      </c>
      <c r="S215" s="167">
        <v>2778</v>
      </c>
      <c r="T215" s="167">
        <v>42</v>
      </c>
      <c r="U215" s="167">
        <v>557</v>
      </c>
      <c r="V215" s="167">
        <v>1262</v>
      </c>
      <c r="W215" s="165">
        <v>384115</v>
      </c>
      <c r="X215" s="14"/>
    </row>
    <row r="216" spans="2:24" hidden="1" x14ac:dyDescent="0.35">
      <c r="B216" s="12"/>
      <c r="C216" s="27">
        <v>2011</v>
      </c>
      <c r="D216" s="167">
        <v>139364</v>
      </c>
      <c r="E216" s="167">
        <v>13696</v>
      </c>
      <c r="F216" s="167">
        <v>218</v>
      </c>
      <c r="G216" s="167">
        <v>315</v>
      </c>
      <c r="H216" s="167">
        <v>2</v>
      </c>
      <c r="I216" s="167">
        <v>2751</v>
      </c>
      <c r="J216" s="167">
        <v>28362</v>
      </c>
      <c r="K216" s="167">
        <v>14</v>
      </c>
      <c r="L216" s="167">
        <v>0</v>
      </c>
      <c r="M216" s="167">
        <v>6203</v>
      </c>
      <c r="N216" s="167">
        <v>22562</v>
      </c>
      <c r="O216" s="167">
        <v>12</v>
      </c>
      <c r="P216" s="167">
        <v>122653</v>
      </c>
      <c r="Q216" s="167">
        <v>54172</v>
      </c>
      <c r="R216" s="167">
        <v>5553</v>
      </c>
      <c r="S216" s="167">
        <v>3010</v>
      </c>
      <c r="T216" s="167">
        <v>42</v>
      </c>
      <c r="U216" s="167">
        <v>644</v>
      </c>
      <c r="V216" s="167">
        <v>1346</v>
      </c>
      <c r="W216" s="165">
        <v>400919</v>
      </c>
      <c r="X216" s="14"/>
    </row>
    <row r="217" spans="2:24" hidden="1" x14ac:dyDescent="0.35">
      <c r="B217" s="12"/>
      <c r="C217" s="27">
        <v>2012</v>
      </c>
      <c r="D217" s="167">
        <v>148726</v>
      </c>
      <c r="E217" s="167">
        <v>14493</v>
      </c>
      <c r="F217" s="167">
        <v>218</v>
      </c>
      <c r="G217" s="167">
        <v>703</v>
      </c>
      <c r="H217" s="167">
        <v>5</v>
      </c>
      <c r="I217" s="167">
        <v>2704</v>
      </c>
      <c r="J217" s="167">
        <v>29276</v>
      </c>
      <c r="K217" s="167">
        <v>15</v>
      </c>
      <c r="L217" s="167">
        <v>0</v>
      </c>
      <c r="M217" s="167">
        <v>6284</v>
      </c>
      <c r="N217" s="167">
        <v>24117</v>
      </c>
      <c r="O217" s="167">
        <v>12</v>
      </c>
      <c r="P217" s="167">
        <v>124737</v>
      </c>
      <c r="Q217" s="167">
        <v>60109</v>
      </c>
      <c r="R217" s="167">
        <v>5251</v>
      </c>
      <c r="S217" s="167">
        <v>3136</v>
      </c>
      <c r="T217" s="167">
        <v>46</v>
      </c>
      <c r="U217" s="167">
        <v>706</v>
      </c>
      <c r="V217" s="167">
        <v>1388</v>
      </c>
      <c r="W217" s="165">
        <v>421926</v>
      </c>
      <c r="X217" s="14"/>
    </row>
    <row r="218" spans="2:24" hidden="1" x14ac:dyDescent="0.35">
      <c r="B218" s="12"/>
      <c r="C218" s="27">
        <v>2013</v>
      </c>
      <c r="D218" s="167">
        <v>160039</v>
      </c>
      <c r="E218" s="167">
        <v>15141</v>
      </c>
      <c r="F218" s="167">
        <v>218</v>
      </c>
      <c r="G218" s="167">
        <v>1389</v>
      </c>
      <c r="H218" s="167">
        <v>6</v>
      </c>
      <c r="I218" s="167">
        <v>2855</v>
      </c>
      <c r="J218" s="167">
        <v>29888</v>
      </c>
      <c r="K218" s="167">
        <v>17</v>
      </c>
      <c r="L218" s="167">
        <v>0</v>
      </c>
      <c r="M218" s="167">
        <v>6327</v>
      </c>
      <c r="N218" s="167">
        <v>24121</v>
      </c>
      <c r="O218" s="167">
        <v>12</v>
      </c>
      <c r="P218" s="167">
        <v>125013</v>
      </c>
      <c r="Q218" s="167">
        <v>66631</v>
      </c>
      <c r="R218" s="167">
        <v>6349</v>
      </c>
      <c r="S218" s="167">
        <v>3248</v>
      </c>
      <c r="T218" s="167">
        <v>42</v>
      </c>
      <c r="U218" s="167">
        <v>792</v>
      </c>
      <c r="V218" s="167">
        <v>1407</v>
      </c>
      <c r="W218" s="165">
        <v>443495</v>
      </c>
      <c r="X218" s="14"/>
    </row>
    <row r="219" spans="2:24" hidden="1" x14ac:dyDescent="0.35">
      <c r="B219" s="12"/>
      <c r="C219" s="27">
        <v>2014</v>
      </c>
      <c r="D219" s="167">
        <v>172053</v>
      </c>
      <c r="E219" s="167">
        <v>15815</v>
      </c>
      <c r="F219" s="167">
        <v>220</v>
      </c>
      <c r="G219" s="167">
        <v>1824</v>
      </c>
      <c r="H219" s="167">
        <v>8</v>
      </c>
      <c r="I219" s="167">
        <v>3203</v>
      </c>
      <c r="J219" s="167">
        <v>30325</v>
      </c>
      <c r="K219" s="167">
        <v>17</v>
      </c>
      <c r="L219" s="167">
        <v>1</v>
      </c>
      <c r="M219" s="167">
        <v>6254</v>
      </c>
      <c r="N219" s="167">
        <v>24253</v>
      </c>
      <c r="O219" s="167">
        <v>13</v>
      </c>
      <c r="P219" s="167">
        <v>123713</v>
      </c>
      <c r="Q219" s="167">
        <v>74081</v>
      </c>
      <c r="R219" s="167">
        <v>7438</v>
      </c>
      <c r="S219" s="167">
        <v>3501</v>
      </c>
      <c r="T219" s="167">
        <v>42</v>
      </c>
      <c r="U219" s="167">
        <v>854</v>
      </c>
      <c r="V219" s="167">
        <v>1437</v>
      </c>
      <c r="W219" s="165">
        <v>465052</v>
      </c>
      <c r="X219" s="14"/>
    </row>
    <row r="220" spans="2:24" hidden="1" x14ac:dyDescent="0.35">
      <c r="B220" s="12"/>
      <c r="C220" s="27">
        <v>2015</v>
      </c>
      <c r="D220" s="167">
        <v>184850</v>
      </c>
      <c r="E220" s="167">
        <v>16468</v>
      </c>
      <c r="F220" s="167">
        <v>224</v>
      </c>
      <c r="G220" s="167">
        <v>2411</v>
      </c>
      <c r="H220" s="167">
        <v>19</v>
      </c>
      <c r="I220" s="167">
        <v>3423</v>
      </c>
      <c r="J220" s="167">
        <v>30820</v>
      </c>
      <c r="K220" s="167">
        <v>17</v>
      </c>
      <c r="L220" s="167">
        <v>2</v>
      </c>
      <c r="M220" s="167">
        <v>5994</v>
      </c>
      <c r="N220" s="167">
        <v>23753</v>
      </c>
      <c r="O220" s="167">
        <v>13</v>
      </c>
      <c r="P220" s="167">
        <v>123118</v>
      </c>
      <c r="Q220" s="167">
        <v>80159</v>
      </c>
      <c r="R220" s="167">
        <v>8836</v>
      </c>
      <c r="S220" s="167">
        <v>3621</v>
      </c>
      <c r="T220" s="167">
        <v>44</v>
      </c>
      <c r="U220" s="167">
        <v>911</v>
      </c>
      <c r="V220" s="167">
        <v>1461</v>
      </c>
      <c r="W220" s="165">
        <v>486144</v>
      </c>
      <c r="X220" s="14"/>
    </row>
    <row r="221" spans="2:24" s="110" customFormat="1" hidden="1" x14ac:dyDescent="0.35">
      <c r="B221" s="12"/>
      <c r="C221" s="27">
        <v>2016</v>
      </c>
      <c r="D221" s="167">
        <f>D240*$W221</f>
        <v>194534.4493340136</v>
      </c>
      <c r="E221" s="167">
        <f t="shared" ref="E221:V223" si="93">E240*$W221</f>
        <v>17367.329847637237</v>
      </c>
      <c r="F221" s="167">
        <f t="shared" si="93"/>
        <v>225.490604436166</v>
      </c>
      <c r="G221" s="167">
        <f t="shared" si="93"/>
        <v>1893.3957140659838</v>
      </c>
      <c r="H221" s="167">
        <f t="shared" si="93"/>
        <v>11.590205772319376</v>
      </c>
      <c r="I221" s="167">
        <f t="shared" si="93"/>
        <v>3237.6157377168292</v>
      </c>
      <c r="J221" s="167">
        <f t="shared" si="93"/>
        <v>31247.241516279289</v>
      </c>
      <c r="K221" s="167">
        <f t="shared" si="93"/>
        <v>17.288965820584373</v>
      </c>
      <c r="L221" s="167">
        <f t="shared" si="93"/>
        <v>0.98587656942192969</v>
      </c>
      <c r="M221" s="167">
        <f t="shared" si="93"/>
        <v>5957.2671688690871</v>
      </c>
      <c r="N221" s="167">
        <f t="shared" si="93"/>
        <v>27283.614221761898</v>
      </c>
      <c r="O221" s="167">
        <f t="shared" si="93"/>
        <v>13.458899418562</v>
      </c>
      <c r="P221" s="167">
        <f t="shared" si="93"/>
        <v>122805.59060110767</v>
      </c>
      <c r="Q221" s="167">
        <f t="shared" si="93"/>
        <v>88401.649991585582</v>
      </c>
      <c r="R221" s="167">
        <f t="shared" si="93"/>
        <v>7754.0737168417518</v>
      </c>
      <c r="S221" s="167">
        <f t="shared" si="93"/>
        <v>4185.2568007379714</v>
      </c>
      <c r="T221" s="167">
        <f t="shared" si="93"/>
        <v>44.557253491319344</v>
      </c>
      <c r="U221" s="167">
        <f t="shared" si="93"/>
        <v>1064.9086687579936</v>
      </c>
      <c r="V221" s="167">
        <f t="shared" si="93"/>
        <v>1630.2348751167251</v>
      </c>
      <c r="W221" s="165">
        <v>507676</v>
      </c>
      <c r="X221" s="14"/>
    </row>
    <row r="222" spans="2:24" s="110" customFormat="1" hidden="1" x14ac:dyDescent="0.35">
      <c r="B222" s="12"/>
      <c r="C222" s="27">
        <v>2017</v>
      </c>
      <c r="D222" s="167">
        <f t="shared" ref="D222:S223" si="94">D241*$W222</f>
        <v>208306.70105126713</v>
      </c>
      <c r="E222" s="167">
        <f t="shared" si="94"/>
        <v>18370.509873174844</v>
      </c>
      <c r="F222" s="167">
        <f t="shared" si="94"/>
        <v>227.38214677083641</v>
      </c>
      <c r="G222" s="167">
        <f t="shared" si="94"/>
        <v>2125.2051904068526</v>
      </c>
      <c r="H222" s="167">
        <f t="shared" si="94"/>
        <v>12.995678788530114</v>
      </c>
      <c r="I222" s="167">
        <f t="shared" si="94"/>
        <v>3256.3034024158064</v>
      </c>
      <c r="J222" s="167">
        <f t="shared" si="94"/>
        <v>31749.871289129766</v>
      </c>
      <c r="K222" s="167">
        <f t="shared" si="94"/>
        <v>17.781603015776852</v>
      </c>
      <c r="L222" s="167">
        <f t="shared" si="94"/>
        <v>1.1025597283770183</v>
      </c>
      <c r="M222" s="167">
        <f t="shared" si="94"/>
        <v>5817.7532375376677</v>
      </c>
      <c r="N222" s="167">
        <f t="shared" si="94"/>
        <v>27985.891141091797</v>
      </c>
      <c r="O222" s="167">
        <f t="shared" si="94"/>
        <v>14.044890560538935</v>
      </c>
      <c r="P222" s="167">
        <f t="shared" si="94"/>
        <v>121460.10033286763</v>
      </c>
      <c r="Q222" s="167">
        <f t="shared" si="94"/>
        <v>96900.107709352087</v>
      </c>
      <c r="R222" s="167">
        <f t="shared" si="94"/>
        <v>8111.6417204817762</v>
      </c>
      <c r="S222" s="167">
        <f t="shared" si="94"/>
        <v>4500.5017990080805</v>
      </c>
      <c r="T222" s="167">
        <f t="shared" si="93"/>
        <v>45.222818698894208</v>
      </c>
      <c r="U222" s="167">
        <f t="shared" si="93"/>
        <v>1179.3693781294339</v>
      </c>
      <c r="V222" s="167">
        <f t="shared" si="93"/>
        <v>1714.5141775742054</v>
      </c>
      <c r="W222" s="165">
        <v>531797</v>
      </c>
      <c r="X222" s="14"/>
    </row>
    <row r="223" spans="2:24" s="110" customFormat="1" hidden="1" x14ac:dyDescent="0.35">
      <c r="B223" s="12"/>
      <c r="C223" s="27">
        <v>2018</v>
      </c>
      <c r="D223" s="167">
        <f t="shared" si="94"/>
        <v>222523.05742446994</v>
      </c>
      <c r="E223" s="167">
        <f t="shared" si="93"/>
        <v>19392.733336474401</v>
      </c>
      <c r="F223" s="167">
        <f t="shared" si="93"/>
        <v>228.50750342990219</v>
      </c>
      <c r="G223" s="167">
        <f t="shared" si="93"/>
        <v>2370.2363693562324</v>
      </c>
      <c r="H223" s="167">
        <f t="shared" si="93"/>
        <v>14.480856056698311</v>
      </c>
      <c r="I223" s="167">
        <f t="shared" si="93"/>
        <v>3263.2189824777088</v>
      </c>
      <c r="J223" s="167">
        <f t="shared" si="93"/>
        <v>32168.220268432269</v>
      </c>
      <c r="K223" s="167">
        <f t="shared" si="93"/>
        <v>18.247136464460041</v>
      </c>
      <c r="L223" s="167">
        <f t="shared" si="93"/>
        <v>1.2257615559241299</v>
      </c>
      <c r="M223" s="167">
        <f t="shared" si="93"/>
        <v>5745.4552990456968</v>
      </c>
      <c r="N223" s="167">
        <f t="shared" si="93"/>
        <v>28533.848603761249</v>
      </c>
      <c r="O223" s="167">
        <f t="shared" si="93"/>
        <v>14.628214329379228</v>
      </c>
      <c r="P223" s="167">
        <f t="shared" si="93"/>
        <v>119481.08470825315</v>
      </c>
      <c r="Q223" s="167">
        <f t="shared" si="93"/>
        <v>105804.27746555279</v>
      </c>
      <c r="R223" s="167">
        <f t="shared" si="93"/>
        <v>8469.489966381243</v>
      </c>
      <c r="S223" s="167">
        <f t="shared" si="93"/>
        <v>4827.0259415333376</v>
      </c>
      <c r="T223" s="167">
        <f t="shared" si="93"/>
        <v>45.763545744256589</v>
      </c>
      <c r="U223" s="167">
        <f t="shared" si="93"/>
        <v>1299.81756469574</v>
      </c>
      <c r="V223" s="167">
        <f t="shared" si="93"/>
        <v>1799.6810519856788</v>
      </c>
      <c r="W223" s="165">
        <v>556001</v>
      </c>
      <c r="X223" s="14"/>
    </row>
    <row r="224" spans="2:24" hidden="1" x14ac:dyDescent="0.35">
      <c r="B224" s="12"/>
      <c r="C224" s="27">
        <v>2000</v>
      </c>
      <c r="D224" s="35">
        <f>D205/$W205</f>
        <v>0.30243260743059941</v>
      </c>
      <c r="E224" s="35">
        <f t="shared" ref="E224:V224" si="95">E205/$W205</f>
        <v>2.7223401552344498E-2</v>
      </c>
      <c r="F224" s="35">
        <f t="shared" si="95"/>
        <v>5.6963010925423533E-4</v>
      </c>
      <c r="G224" s="35">
        <f t="shared" si="95"/>
        <v>0</v>
      </c>
      <c r="H224" s="35">
        <f t="shared" si="95"/>
        <v>0</v>
      </c>
      <c r="I224" s="35">
        <f t="shared" si="95"/>
        <v>9.941889532739388E-3</v>
      </c>
      <c r="J224" s="35">
        <f t="shared" si="95"/>
        <v>7.4510896737125951E-2</v>
      </c>
      <c r="K224" s="35">
        <f t="shared" si="95"/>
        <v>4.0980583399585278E-5</v>
      </c>
      <c r="L224" s="35">
        <f t="shared" si="95"/>
        <v>0</v>
      </c>
      <c r="M224" s="35">
        <f t="shared" si="95"/>
        <v>2.4153955855715562E-2</v>
      </c>
      <c r="N224" s="35">
        <f t="shared" si="95"/>
        <v>4.4332795121671355E-2</v>
      </c>
      <c r="O224" s="35">
        <f t="shared" si="95"/>
        <v>3.6882525059626749E-5</v>
      </c>
      <c r="P224" s="35">
        <f t="shared" si="95"/>
        <v>0.40127777459039909</v>
      </c>
      <c r="Q224" s="35">
        <f t="shared" si="95"/>
        <v>9.2530059257923597E-2</v>
      </c>
      <c r="R224" s="35">
        <f t="shared" si="95"/>
        <v>1.4957912940848627E-2</v>
      </c>
      <c r="S224" s="35">
        <f t="shared" si="95"/>
        <v>4.7414534993320163E-3</v>
      </c>
      <c r="T224" s="35">
        <f t="shared" si="95"/>
        <v>1.0654951683892172E-4</v>
      </c>
      <c r="U224" s="35">
        <f t="shared" si="95"/>
        <v>2.4998155873747017E-4</v>
      </c>
      <c r="V224" s="35">
        <f t="shared" si="95"/>
        <v>2.8932291880107205E-3</v>
      </c>
      <c r="W224" s="168">
        <f>SUM(D224:V224)</f>
        <v>1</v>
      </c>
      <c r="X224" s="14"/>
    </row>
    <row r="225" spans="2:24" hidden="1" x14ac:dyDescent="0.35">
      <c r="B225" s="12"/>
      <c r="C225" s="27">
        <v>2001</v>
      </c>
      <c r="D225" s="35">
        <f t="shared" ref="D225:V225" si="96">D206/$W206</f>
        <v>0.30632297206730186</v>
      </c>
      <c r="E225" s="35">
        <f t="shared" si="96"/>
        <v>2.938675048697036E-2</v>
      </c>
      <c r="F225" s="35">
        <f t="shared" si="96"/>
        <v>5.9964961649859496E-4</v>
      </c>
      <c r="G225" s="35">
        <f t="shared" si="96"/>
        <v>0</v>
      </c>
      <c r="H225" s="35">
        <f t="shared" si="96"/>
        <v>0</v>
      </c>
      <c r="I225" s="35">
        <f t="shared" si="96"/>
        <v>9.8765819188003871E-3</v>
      </c>
      <c r="J225" s="35">
        <f t="shared" si="96"/>
        <v>7.5959537368361238E-2</v>
      </c>
      <c r="K225" s="35">
        <f t="shared" si="96"/>
        <v>4.3112063931271535E-5</v>
      </c>
      <c r="L225" s="35">
        <f t="shared" si="96"/>
        <v>0</v>
      </c>
      <c r="M225" s="35">
        <f t="shared" si="96"/>
        <v>2.371555444073855E-2</v>
      </c>
      <c r="N225" s="35">
        <f t="shared" si="96"/>
        <v>4.607503850691165E-2</v>
      </c>
      <c r="O225" s="35">
        <f t="shared" si="96"/>
        <v>3.5273506852858525E-5</v>
      </c>
      <c r="P225" s="35">
        <f t="shared" si="96"/>
        <v>0.3913987513178574</v>
      </c>
      <c r="Q225" s="35">
        <f t="shared" si="96"/>
        <v>9.2949609835821428E-2</v>
      </c>
      <c r="R225" s="35">
        <f t="shared" si="96"/>
        <v>1.5402764659081556E-2</v>
      </c>
      <c r="S225" s="35">
        <f t="shared" si="96"/>
        <v>4.9069367310865418E-3</v>
      </c>
      <c r="T225" s="35">
        <f t="shared" si="96"/>
        <v>1.0190124201936908E-4</v>
      </c>
      <c r="U225" s="35">
        <f t="shared" si="96"/>
        <v>2.7043021920524868E-4</v>
      </c>
      <c r="V225" s="35">
        <f t="shared" si="96"/>
        <v>2.9551360185617031E-3</v>
      </c>
      <c r="W225" s="168">
        <f t="shared" ref="W225:W242" si="97">SUM(D225:V225)</f>
        <v>0.99999999999999989</v>
      </c>
      <c r="X225" s="14"/>
    </row>
    <row r="226" spans="2:24" hidden="1" x14ac:dyDescent="0.35">
      <c r="B226" s="12"/>
      <c r="C226" s="27">
        <v>2002</v>
      </c>
      <c r="D226" s="35">
        <f t="shared" ref="D226:V226" si="98">D207/$W207</f>
        <v>0.30836477443283766</v>
      </c>
      <c r="E226" s="35">
        <f t="shared" si="98"/>
        <v>3.0499433872126572E-2</v>
      </c>
      <c r="F226" s="35">
        <f t="shared" si="98"/>
        <v>6.6581151891544196E-4</v>
      </c>
      <c r="G226" s="35">
        <f t="shared" si="98"/>
        <v>0</v>
      </c>
      <c r="H226" s="35">
        <f t="shared" si="98"/>
        <v>0</v>
      </c>
      <c r="I226" s="35">
        <f t="shared" si="98"/>
        <v>9.6636711417727138E-3</v>
      </c>
      <c r="J226" s="35">
        <f t="shared" si="98"/>
        <v>7.6959535963226133E-2</v>
      </c>
      <c r="K226" s="35">
        <f t="shared" si="98"/>
        <v>4.8901410993789523E-5</v>
      </c>
      <c r="L226" s="35">
        <f t="shared" si="98"/>
        <v>0</v>
      </c>
      <c r="M226" s="35">
        <f t="shared" si="98"/>
        <v>2.3021279637076297E-2</v>
      </c>
      <c r="N226" s="35">
        <f t="shared" si="98"/>
        <v>4.7313995959991126E-2</v>
      </c>
      <c r="O226" s="35">
        <f t="shared" si="98"/>
        <v>3.7616469995222706E-5</v>
      </c>
      <c r="P226" s="35">
        <f t="shared" si="98"/>
        <v>0.38552743933403799</v>
      </c>
      <c r="Q226" s="35">
        <f t="shared" si="98"/>
        <v>9.3777859698090216E-2</v>
      </c>
      <c r="R226" s="35">
        <f t="shared" si="98"/>
        <v>1.5633404930014558E-2</v>
      </c>
      <c r="S226" s="35">
        <f t="shared" si="98"/>
        <v>5.0744618023555437E-3</v>
      </c>
      <c r="T226" s="35">
        <f t="shared" si="98"/>
        <v>1.0532611598662359E-4</v>
      </c>
      <c r="U226" s="35">
        <f t="shared" si="98"/>
        <v>3.122167009603485E-4</v>
      </c>
      <c r="V226" s="35">
        <f t="shared" si="98"/>
        <v>2.9942710116197275E-3</v>
      </c>
      <c r="W226" s="168">
        <f t="shared" si="97"/>
        <v>0.99999999999999978</v>
      </c>
      <c r="X226" s="14"/>
    </row>
    <row r="227" spans="2:24" hidden="1" x14ac:dyDescent="0.35">
      <c r="B227" s="12"/>
      <c r="C227" s="27">
        <v>2003</v>
      </c>
      <c r="D227" s="35">
        <f t="shared" ref="D227:V227" si="99">D208/$W208</f>
        <v>0.31007233030962006</v>
      </c>
      <c r="E227" s="35">
        <f t="shared" si="99"/>
        <v>3.2459990375256452E-2</v>
      </c>
      <c r="F227" s="35">
        <f t="shared" si="99"/>
        <v>6.7300838365819853E-4</v>
      </c>
      <c r="G227" s="35">
        <f t="shared" si="99"/>
        <v>0</v>
      </c>
      <c r="H227" s="35">
        <f t="shared" si="99"/>
        <v>0</v>
      </c>
      <c r="I227" s="35">
        <f t="shared" si="99"/>
        <v>9.4076440726414863E-3</v>
      </c>
      <c r="J227" s="35">
        <f t="shared" si="99"/>
        <v>7.7414055743909457E-2</v>
      </c>
      <c r="K227" s="35">
        <f t="shared" si="99"/>
        <v>4.3419895719883782E-5</v>
      </c>
      <c r="L227" s="35">
        <f t="shared" si="99"/>
        <v>0</v>
      </c>
      <c r="M227" s="35">
        <f t="shared" si="99"/>
        <v>2.2314208075376939E-2</v>
      </c>
      <c r="N227" s="35">
        <f t="shared" si="99"/>
        <v>4.8887184255945813E-2</v>
      </c>
      <c r="O227" s="35">
        <f t="shared" si="99"/>
        <v>3.6183246433236484E-5</v>
      </c>
      <c r="P227" s="35">
        <f t="shared" si="99"/>
        <v>0.37980830116039671</v>
      </c>
      <c r="Q227" s="35">
        <f t="shared" si="99"/>
        <v>9.4224792036791127E-2</v>
      </c>
      <c r="R227" s="35">
        <f t="shared" si="99"/>
        <v>1.5660109056304751E-2</v>
      </c>
      <c r="S227" s="35">
        <f t="shared" si="99"/>
        <v>5.1452576428062278E-3</v>
      </c>
      <c r="T227" s="35">
        <f t="shared" si="99"/>
        <v>1.1940471322968039E-4</v>
      </c>
      <c r="U227" s="35">
        <f t="shared" si="99"/>
        <v>5.7893194293178374E-4</v>
      </c>
      <c r="V227" s="35">
        <f t="shared" si="99"/>
        <v>3.1551790889782212E-3</v>
      </c>
      <c r="W227" s="168">
        <f t="shared" si="97"/>
        <v>1</v>
      </c>
      <c r="X227" s="14"/>
    </row>
    <row r="228" spans="2:24" hidden="1" x14ac:dyDescent="0.35">
      <c r="B228" s="12"/>
      <c r="C228" s="27">
        <v>2004</v>
      </c>
      <c r="D228" s="35">
        <f t="shared" ref="D228:V228" si="100">D209/$W209</f>
        <v>0.3165525643005439</v>
      </c>
      <c r="E228" s="35">
        <f t="shared" si="100"/>
        <v>3.3005610747928141E-2</v>
      </c>
      <c r="F228" s="35">
        <f t="shared" si="100"/>
        <v>6.8633002179097817E-4</v>
      </c>
      <c r="G228" s="35">
        <f t="shared" si="100"/>
        <v>0</v>
      </c>
      <c r="H228" s="35">
        <f t="shared" si="100"/>
        <v>0</v>
      </c>
      <c r="I228" s="35">
        <f t="shared" si="100"/>
        <v>8.9634700845901746E-3</v>
      </c>
      <c r="J228" s="35">
        <f t="shared" si="100"/>
        <v>7.6601293732091069E-2</v>
      </c>
      <c r="K228" s="35">
        <f t="shared" si="100"/>
        <v>4.1179801307458694E-5</v>
      </c>
      <c r="L228" s="35">
        <f t="shared" si="100"/>
        <v>0</v>
      </c>
      <c r="M228" s="35">
        <f t="shared" si="100"/>
        <v>2.1303683876391963E-2</v>
      </c>
      <c r="N228" s="35">
        <f t="shared" si="100"/>
        <v>4.8808359499665416E-2</v>
      </c>
      <c r="O228" s="35">
        <f t="shared" si="100"/>
        <v>3.7748151198503802E-5</v>
      </c>
      <c r="P228" s="35">
        <f t="shared" si="100"/>
        <v>0.37133885829000873</v>
      </c>
      <c r="Q228" s="35">
        <f t="shared" si="100"/>
        <v>9.7812323055541259E-2</v>
      </c>
      <c r="R228" s="35">
        <f t="shared" si="100"/>
        <v>1.5816475352173093E-2</v>
      </c>
      <c r="S228" s="35">
        <f t="shared" si="100"/>
        <v>5.0719788610353285E-3</v>
      </c>
      <c r="T228" s="35">
        <f t="shared" si="100"/>
        <v>1.132444535955114E-4</v>
      </c>
      <c r="U228" s="35">
        <f t="shared" si="100"/>
        <v>6.828983716820233E-4</v>
      </c>
      <c r="V228" s="35">
        <f t="shared" si="100"/>
        <v>3.1639814004564095E-3</v>
      </c>
      <c r="W228" s="168">
        <f t="shared" si="97"/>
        <v>0.99999999999999978</v>
      </c>
      <c r="X228" s="14"/>
    </row>
    <row r="229" spans="2:24" hidden="1" x14ac:dyDescent="0.35">
      <c r="B229" s="12"/>
      <c r="C229" s="27">
        <v>2005</v>
      </c>
      <c r="D229" s="35">
        <f t="shared" ref="D229:V229" si="101">D210/$W210</f>
        <v>0.3207014167124938</v>
      </c>
      <c r="E229" s="35">
        <f t="shared" si="101"/>
        <v>3.3509440385471496E-2</v>
      </c>
      <c r="F229" s="35">
        <f t="shared" si="101"/>
        <v>6.6449315211983132E-4</v>
      </c>
      <c r="G229" s="35">
        <f t="shared" si="101"/>
        <v>0</v>
      </c>
      <c r="H229" s="35">
        <f t="shared" si="101"/>
        <v>0</v>
      </c>
      <c r="I229" s="35">
        <f t="shared" si="101"/>
        <v>8.7562521276874326E-3</v>
      </c>
      <c r="J229" s="35">
        <f t="shared" si="101"/>
        <v>7.59911750072014E-2</v>
      </c>
      <c r="K229" s="35">
        <f t="shared" si="101"/>
        <v>3.9280383376541752E-5</v>
      </c>
      <c r="L229" s="35">
        <f t="shared" si="101"/>
        <v>0</v>
      </c>
      <c r="M229" s="35">
        <f t="shared" si="101"/>
        <v>2.0340691858485874E-2</v>
      </c>
      <c r="N229" s="35">
        <f t="shared" si="101"/>
        <v>5.0864823107340196E-2</v>
      </c>
      <c r="O229" s="35">
        <f t="shared" si="101"/>
        <v>3.6007018095163276E-5</v>
      </c>
      <c r="P229" s="35">
        <f t="shared" si="101"/>
        <v>0.36197855291067643</v>
      </c>
      <c r="Q229" s="35">
        <f t="shared" si="101"/>
        <v>0.10179838688558934</v>
      </c>
      <c r="R229" s="35">
        <f t="shared" si="101"/>
        <v>1.5548485086547778E-2</v>
      </c>
      <c r="S229" s="35">
        <f t="shared" si="101"/>
        <v>5.5941812658758215E-3</v>
      </c>
      <c r="T229" s="35">
        <f t="shared" si="101"/>
        <v>1.0474768900411135E-4</v>
      </c>
      <c r="U229" s="35">
        <f t="shared" si="101"/>
        <v>8.117945897818629E-4</v>
      </c>
      <c r="V229" s="35">
        <f t="shared" si="101"/>
        <v>3.2602718202529657E-3</v>
      </c>
      <c r="W229" s="168">
        <f t="shared" si="97"/>
        <v>1.0000000000000002</v>
      </c>
      <c r="X229" s="14"/>
    </row>
    <row r="230" spans="2:24" hidden="1" x14ac:dyDescent="0.35">
      <c r="B230" s="12"/>
      <c r="C230" s="27">
        <v>2006</v>
      </c>
      <c r="D230" s="35">
        <f t="shared" ref="D230:V230" si="102">D211/$W211</f>
        <v>0.32275857751064363</v>
      </c>
      <c r="E230" s="35">
        <f t="shared" si="102"/>
        <v>3.3652642123716506E-2</v>
      </c>
      <c r="F230" s="35">
        <f t="shared" si="102"/>
        <v>6.3861758076634112E-4</v>
      </c>
      <c r="G230" s="35">
        <f t="shared" si="102"/>
        <v>0</v>
      </c>
      <c r="H230" s="35">
        <f t="shared" si="102"/>
        <v>0</v>
      </c>
      <c r="I230" s="35">
        <f t="shared" si="102"/>
        <v>8.4053343350864018E-3</v>
      </c>
      <c r="J230" s="35">
        <f t="shared" si="102"/>
        <v>7.5078261958427248E-2</v>
      </c>
      <c r="K230" s="35">
        <f t="shared" si="102"/>
        <v>3.7565740045078891E-5</v>
      </c>
      <c r="L230" s="35">
        <f t="shared" si="102"/>
        <v>0</v>
      </c>
      <c r="M230" s="35">
        <f t="shared" si="102"/>
        <v>1.9715752566992237E-2</v>
      </c>
      <c r="N230" s="35">
        <f t="shared" si="102"/>
        <v>5.2247683446030556E-2</v>
      </c>
      <c r="O230" s="35">
        <f t="shared" si="102"/>
        <v>3.4435261707988978E-5</v>
      </c>
      <c r="P230" s="35">
        <f t="shared" si="102"/>
        <v>0.3551715502128725</v>
      </c>
      <c r="Q230" s="35">
        <f t="shared" si="102"/>
        <v>0.10706235912847484</v>
      </c>
      <c r="R230" s="35">
        <f t="shared" si="102"/>
        <v>1.4938642624593037E-2</v>
      </c>
      <c r="S230" s="35">
        <f t="shared" si="102"/>
        <v>6.0105184072126224E-3</v>
      </c>
      <c r="T230" s="35">
        <f t="shared" si="102"/>
        <v>1.1269722013523667E-4</v>
      </c>
      <c r="U230" s="35">
        <f t="shared" si="102"/>
        <v>8.9218632607062363E-4</v>
      </c>
      <c r="V230" s="35">
        <f t="shared" si="102"/>
        <v>3.2431755572251441E-3</v>
      </c>
      <c r="W230" s="168">
        <f t="shared" si="97"/>
        <v>1</v>
      </c>
      <c r="X230" s="14"/>
    </row>
    <row r="231" spans="2:24" hidden="1" x14ac:dyDescent="0.35">
      <c r="B231" s="12"/>
      <c r="C231" s="27">
        <v>2007</v>
      </c>
      <c r="D231" s="35">
        <f t="shared" ref="D231:V231" si="103">D212/$W212</f>
        <v>0.3264750332939293</v>
      </c>
      <c r="E231" s="35">
        <f t="shared" si="103"/>
        <v>3.3952326085980637E-2</v>
      </c>
      <c r="F231" s="35">
        <f t="shared" si="103"/>
        <v>6.1051339987131339E-4</v>
      </c>
      <c r="G231" s="35">
        <f t="shared" si="103"/>
        <v>0</v>
      </c>
      <c r="H231" s="35">
        <f t="shared" si="103"/>
        <v>0</v>
      </c>
      <c r="I231" s="35">
        <f t="shared" si="103"/>
        <v>8.1162369629951062E-3</v>
      </c>
      <c r="J231" s="35">
        <f t="shared" si="103"/>
        <v>7.4189348935342445E-2</v>
      </c>
      <c r="K231" s="35">
        <f t="shared" si="103"/>
        <v>3.8905265678073889E-5</v>
      </c>
      <c r="L231" s="35">
        <f t="shared" si="103"/>
        <v>0</v>
      </c>
      <c r="M231" s="35">
        <f t="shared" si="103"/>
        <v>1.8857083002887968E-2</v>
      </c>
      <c r="N231" s="35">
        <f t="shared" si="103"/>
        <v>5.359948525340795E-2</v>
      </c>
      <c r="O231" s="35">
        <f t="shared" si="103"/>
        <v>3.5912552933606668E-5</v>
      </c>
      <c r="P231" s="35">
        <f t="shared" si="103"/>
        <v>0.34448218587738855</v>
      </c>
      <c r="Q231" s="35">
        <f t="shared" si="103"/>
        <v>0.11375899684268806</v>
      </c>
      <c r="R231" s="35">
        <f t="shared" si="103"/>
        <v>1.4703197713567463E-2</v>
      </c>
      <c r="S231" s="35">
        <f t="shared" si="103"/>
        <v>6.8203923446408E-3</v>
      </c>
      <c r="T231" s="35">
        <f t="shared" si="103"/>
        <v>1.1671579703422167E-4</v>
      </c>
      <c r="U231" s="35">
        <f t="shared" si="103"/>
        <v>9.9358063116311785E-4</v>
      </c>
      <c r="V231" s="35">
        <f t="shared" si="103"/>
        <v>3.2500860404914033E-3</v>
      </c>
      <c r="W231" s="168">
        <f t="shared" si="97"/>
        <v>1</v>
      </c>
      <c r="X231" s="14"/>
    </row>
    <row r="232" spans="2:24" hidden="1" x14ac:dyDescent="0.35">
      <c r="B232" s="12"/>
      <c r="C232" s="27">
        <v>2008</v>
      </c>
      <c r="D232" s="35">
        <f t="shared" ref="D232:V232" si="104">D213/$W213</f>
        <v>0.3385827219797044</v>
      </c>
      <c r="E232" s="35">
        <f t="shared" si="104"/>
        <v>3.4213986101546356E-2</v>
      </c>
      <c r="F232" s="35">
        <f t="shared" si="104"/>
        <v>5.8906222432172472E-4</v>
      </c>
      <c r="G232" s="35">
        <f t="shared" si="104"/>
        <v>0</v>
      </c>
      <c r="H232" s="35">
        <f t="shared" si="104"/>
        <v>0</v>
      </c>
      <c r="I232" s="35">
        <f t="shared" si="104"/>
        <v>7.8057859000700046E-3</v>
      </c>
      <c r="J232" s="35">
        <f t="shared" si="104"/>
        <v>7.3493338190013829E-2</v>
      </c>
      <c r="K232" s="35">
        <f t="shared" si="104"/>
        <v>3.6994245971895757E-5</v>
      </c>
      <c r="L232" s="35">
        <f t="shared" si="104"/>
        <v>0</v>
      </c>
      <c r="M232" s="35">
        <f t="shared" si="104"/>
        <v>1.8314997467317008E-2</v>
      </c>
      <c r="N232" s="35">
        <f t="shared" si="104"/>
        <v>5.4967758091779881E-2</v>
      </c>
      <c r="O232" s="35">
        <f t="shared" si="104"/>
        <v>3.4148534743288392E-5</v>
      </c>
      <c r="P232" s="35">
        <f t="shared" si="104"/>
        <v>0.32570303295902747</v>
      </c>
      <c r="Q232" s="35">
        <f t="shared" si="104"/>
        <v>0.12056709333363688</v>
      </c>
      <c r="R232" s="35">
        <f t="shared" si="104"/>
        <v>1.4168796207236075E-2</v>
      </c>
      <c r="S232" s="35">
        <f t="shared" si="104"/>
        <v>6.9691467988594385E-3</v>
      </c>
      <c r="T232" s="35">
        <f t="shared" si="104"/>
        <v>1.1951987160150937E-4</v>
      </c>
      <c r="U232" s="35">
        <f t="shared" si="104"/>
        <v>1.1382844914429463E-3</v>
      </c>
      <c r="V232" s="35">
        <f t="shared" si="104"/>
        <v>3.2953336027273295E-3</v>
      </c>
      <c r="W232" s="168">
        <f t="shared" si="97"/>
        <v>1</v>
      </c>
      <c r="X232" s="14"/>
    </row>
    <row r="233" spans="2:24" hidden="1" x14ac:dyDescent="0.35">
      <c r="B233" s="12"/>
      <c r="C233" s="27">
        <v>2009</v>
      </c>
      <c r="D233" s="35">
        <f t="shared" ref="D233:V233" si="105">D214/$W214</f>
        <v>0.33890920004365382</v>
      </c>
      <c r="E233" s="35">
        <f t="shared" si="105"/>
        <v>3.3889010149514349E-2</v>
      </c>
      <c r="F233" s="35">
        <f t="shared" si="105"/>
        <v>5.7568481938229837E-4</v>
      </c>
      <c r="G233" s="35">
        <f t="shared" si="105"/>
        <v>1.145912910618793E-4</v>
      </c>
      <c r="H233" s="35">
        <f t="shared" si="105"/>
        <v>0</v>
      </c>
      <c r="I233" s="35">
        <f t="shared" si="105"/>
        <v>7.437520462730547E-3</v>
      </c>
      <c r="J233" s="35">
        <f t="shared" si="105"/>
        <v>7.2339845028920657E-2</v>
      </c>
      <c r="K233" s="35">
        <f t="shared" si="105"/>
        <v>3.5468732947724547E-5</v>
      </c>
      <c r="L233" s="35">
        <f t="shared" si="105"/>
        <v>0</v>
      </c>
      <c r="M233" s="35">
        <f t="shared" si="105"/>
        <v>1.7398777692895339E-2</v>
      </c>
      <c r="N233" s="35">
        <f t="shared" si="105"/>
        <v>5.584961257230165E-2</v>
      </c>
      <c r="O233" s="35">
        <f t="shared" si="105"/>
        <v>3.2740368874822657E-5</v>
      </c>
      <c r="P233" s="35">
        <f t="shared" si="105"/>
        <v>0.32412419513259849</v>
      </c>
      <c r="Q233" s="35">
        <f t="shared" si="105"/>
        <v>0.12358125068209101</v>
      </c>
      <c r="R233" s="35">
        <f t="shared" si="105"/>
        <v>1.3756411655571319E-2</v>
      </c>
      <c r="S233" s="35">
        <f t="shared" si="105"/>
        <v>7.1810542398777696E-3</v>
      </c>
      <c r="T233" s="35">
        <f t="shared" si="105"/>
        <v>1.0913456291607552E-4</v>
      </c>
      <c r="U233" s="35">
        <f t="shared" si="105"/>
        <v>1.3232565753574157E-3</v>
      </c>
      <c r="V233" s="35">
        <f t="shared" si="105"/>
        <v>3.3422459893048127E-3</v>
      </c>
      <c r="W233" s="168">
        <f t="shared" si="97"/>
        <v>0.99999999999999989</v>
      </c>
      <c r="X233" s="14"/>
    </row>
    <row r="234" spans="2:24" hidden="1" x14ac:dyDescent="0.35">
      <c r="B234" s="12"/>
      <c r="C234" s="27">
        <v>2010</v>
      </c>
      <c r="D234" s="35">
        <f t="shared" ref="D234:V234" si="106">D215/$W215</f>
        <v>0.34342840034885386</v>
      </c>
      <c r="E234" s="35">
        <f t="shared" si="106"/>
        <v>3.3844031084440861E-2</v>
      </c>
      <c r="F234" s="35">
        <f t="shared" si="106"/>
        <v>5.5712481939002641E-4</v>
      </c>
      <c r="G234" s="35">
        <f t="shared" si="106"/>
        <v>4.1914530804576755E-4</v>
      </c>
      <c r="H234" s="35">
        <f t="shared" si="106"/>
        <v>0</v>
      </c>
      <c r="I234" s="35">
        <f t="shared" si="106"/>
        <v>6.6099996094919492E-3</v>
      </c>
      <c r="J234" s="35">
        <f t="shared" si="106"/>
        <v>7.1949806698514765E-2</v>
      </c>
      <c r="K234" s="35">
        <f t="shared" si="106"/>
        <v>3.6447418090936307E-5</v>
      </c>
      <c r="L234" s="35">
        <f t="shared" si="106"/>
        <v>0</v>
      </c>
      <c r="M234" s="35">
        <f t="shared" si="106"/>
        <v>1.6622626036473451E-2</v>
      </c>
      <c r="N234" s="35">
        <f t="shared" si="106"/>
        <v>5.6378949012665477E-2</v>
      </c>
      <c r="O234" s="35">
        <f t="shared" si="106"/>
        <v>3.1240644077945409E-5</v>
      </c>
      <c r="P234" s="35">
        <f t="shared" si="106"/>
        <v>0.31668640901813261</v>
      </c>
      <c r="Q234" s="35">
        <f t="shared" si="106"/>
        <v>0.1278939900810955</v>
      </c>
      <c r="R234" s="35">
        <f t="shared" si="106"/>
        <v>1.346471759759447E-2</v>
      </c>
      <c r="S234" s="35">
        <f t="shared" si="106"/>
        <v>7.2322091040443615E-3</v>
      </c>
      <c r="T234" s="35">
        <f t="shared" si="106"/>
        <v>1.0934225427280893E-4</v>
      </c>
      <c r="U234" s="35">
        <f t="shared" si="106"/>
        <v>1.4500865626179661E-3</v>
      </c>
      <c r="V234" s="35">
        <f t="shared" si="106"/>
        <v>3.2854744021972586E-3</v>
      </c>
      <c r="W234" s="168">
        <f t="shared" si="97"/>
        <v>0.99999999999999989</v>
      </c>
      <c r="X234" s="14"/>
    </row>
    <row r="235" spans="2:24" hidden="1" x14ac:dyDescent="0.35">
      <c r="B235" s="12"/>
      <c r="C235" s="27">
        <v>2011</v>
      </c>
      <c r="D235" s="35">
        <f t="shared" ref="D235:V235" si="107">D216/$W216</f>
        <v>0.34761136289375161</v>
      </c>
      <c r="E235" s="35">
        <f t="shared" si="107"/>
        <v>3.4161513921764745E-2</v>
      </c>
      <c r="F235" s="35">
        <f t="shared" si="107"/>
        <v>5.4375073269164094E-4</v>
      </c>
      <c r="G235" s="35">
        <f t="shared" si="107"/>
        <v>7.8569486604526098E-4</v>
      </c>
      <c r="H235" s="35">
        <f t="shared" si="107"/>
        <v>4.9885388320334036E-6</v>
      </c>
      <c r="I235" s="35">
        <f t="shared" si="107"/>
        <v>6.8617351634619461E-3</v>
      </c>
      <c r="J235" s="35">
        <f t="shared" si="107"/>
        <v>7.0742469177065698E-2</v>
      </c>
      <c r="K235" s="35">
        <f t="shared" si="107"/>
        <v>3.491977182423382E-5</v>
      </c>
      <c r="L235" s="35">
        <f t="shared" si="107"/>
        <v>0</v>
      </c>
      <c r="M235" s="35">
        <f t="shared" si="107"/>
        <v>1.5471953187551599E-2</v>
      </c>
      <c r="N235" s="35">
        <f t="shared" si="107"/>
        <v>5.6275706564168824E-2</v>
      </c>
      <c r="O235" s="35">
        <f t="shared" si="107"/>
        <v>2.9931232992200418E-5</v>
      </c>
      <c r="P235" s="35">
        <f t="shared" si="107"/>
        <v>0.30592962668269652</v>
      </c>
      <c r="Q235" s="35">
        <f t="shared" si="107"/>
        <v>0.13511956280445675</v>
      </c>
      <c r="R235" s="35">
        <f t="shared" si="107"/>
        <v>1.3850678067140744E-2</v>
      </c>
      <c r="S235" s="35">
        <f t="shared" si="107"/>
        <v>7.5077509422102721E-3</v>
      </c>
      <c r="T235" s="35">
        <f t="shared" si="107"/>
        <v>1.0475931547270147E-4</v>
      </c>
      <c r="U235" s="35">
        <f t="shared" si="107"/>
        <v>1.6063095039147558E-3</v>
      </c>
      <c r="V235" s="35">
        <f t="shared" si="107"/>
        <v>3.3572866339584805E-3</v>
      </c>
      <c r="W235" s="168">
        <f t="shared" si="97"/>
        <v>1</v>
      </c>
      <c r="X235" s="14"/>
    </row>
    <row r="236" spans="2:24" hidden="1" x14ac:dyDescent="0.35">
      <c r="B236" s="12"/>
      <c r="C236" s="27">
        <v>2012</v>
      </c>
      <c r="D236" s="35">
        <f t="shared" ref="D236:V236" si="108">D217/$W217</f>
        <v>0.35249309120556688</v>
      </c>
      <c r="E236" s="35">
        <f t="shared" si="108"/>
        <v>3.4349625289742752E-2</v>
      </c>
      <c r="F236" s="35">
        <f t="shared" si="108"/>
        <v>5.1667828007754917E-4</v>
      </c>
      <c r="G236" s="35">
        <f t="shared" si="108"/>
        <v>1.6661689490574177E-3</v>
      </c>
      <c r="H236" s="35">
        <f t="shared" si="108"/>
        <v>1.1850419267833696E-5</v>
      </c>
      <c r="I236" s="35">
        <f t="shared" si="108"/>
        <v>6.4087067400444625E-3</v>
      </c>
      <c r="J236" s="35">
        <f t="shared" si="108"/>
        <v>6.9386574897019854E-2</v>
      </c>
      <c r="K236" s="35">
        <f t="shared" si="108"/>
        <v>3.5551257803501087E-5</v>
      </c>
      <c r="L236" s="35">
        <f t="shared" si="108"/>
        <v>0</v>
      </c>
      <c r="M236" s="35">
        <f t="shared" si="108"/>
        <v>1.4893606935813389E-2</v>
      </c>
      <c r="N236" s="35">
        <f t="shared" si="108"/>
        <v>5.7159312296469048E-2</v>
      </c>
      <c r="O236" s="35">
        <f t="shared" si="108"/>
        <v>2.844100624280087E-5</v>
      </c>
      <c r="P236" s="35">
        <f t="shared" si="108"/>
        <v>0.29563714964235432</v>
      </c>
      <c r="Q236" s="35">
        <f t="shared" si="108"/>
        <v>0.14246337035404313</v>
      </c>
      <c r="R236" s="35">
        <f t="shared" si="108"/>
        <v>1.2445310315078947E-2</v>
      </c>
      <c r="S236" s="35">
        <f t="shared" si="108"/>
        <v>7.4325829647852943E-3</v>
      </c>
      <c r="T236" s="35">
        <f t="shared" si="108"/>
        <v>1.0902385726407E-4</v>
      </c>
      <c r="U236" s="35">
        <f t="shared" si="108"/>
        <v>1.6732792006181178E-3</v>
      </c>
      <c r="V236" s="35">
        <f t="shared" si="108"/>
        <v>3.2896763887506342E-3</v>
      </c>
      <c r="W236" s="168">
        <f t="shared" si="97"/>
        <v>1</v>
      </c>
      <c r="X236" s="14"/>
    </row>
    <row r="237" spans="2:24" hidden="1" x14ac:dyDescent="0.35">
      <c r="B237" s="12"/>
      <c r="C237" s="27">
        <v>2013</v>
      </c>
      <c r="D237" s="35">
        <f t="shared" ref="D237:V237" si="109">D218/$W218</f>
        <v>0.36085863425743242</v>
      </c>
      <c r="E237" s="35">
        <f t="shared" si="109"/>
        <v>3.4140181963719998E-2</v>
      </c>
      <c r="F237" s="35">
        <f t="shared" si="109"/>
        <v>4.9155007384525196E-4</v>
      </c>
      <c r="G237" s="35">
        <f t="shared" si="109"/>
        <v>3.1319406081241051E-3</v>
      </c>
      <c r="H237" s="35">
        <f t="shared" si="109"/>
        <v>1.3528901115006933E-5</v>
      </c>
      <c r="I237" s="35">
        <f t="shared" si="109"/>
        <v>6.437502113890799E-3</v>
      </c>
      <c r="J237" s="35">
        <f t="shared" si="109"/>
        <v>6.7391966087554545E-2</v>
      </c>
      <c r="K237" s="35">
        <f t="shared" si="109"/>
        <v>3.8331886492519647E-5</v>
      </c>
      <c r="L237" s="35">
        <f t="shared" si="109"/>
        <v>0</v>
      </c>
      <c r="M237" s="35">
        <f t="shared" si="109"/>
        <v>1.4266226225774812E-2</v>
      </c>
      <c r="N237" s="35">
        <f t="shared" si="109"/>
        <v>5.4388437299180373E-2</v>
      </c>
      <c r="O237" s="35">
        <f t="shared" si="109"/>
        <v>2.7057802230013866E-5</v>
      </c>
      <c r="P237" s="35">
        <f t="shared" si="109"/>
        <v>0.28188141918172699</v>
      </c>
      <c r="Q237" s="35">
        <f t="shared" si="109"/>
        <v>0.1502407016990045</v>
      </c>
      <c r="R237" s="35">
        <f t="shared" si="109"/>
        <v>1.4315832196529836E-2</v>
      </c>
      <c r="S237" s="35">
        <f t="shared" si="109"/>
        <v>7.3236451369237537E-3</v>
      </c>
      <c r="T237" s="35">
        <f t="shared" si="109"/>
        <v>9.4702307805048542E-5</v>
      </c>
      <c r="U237" s="35">
        <f t="shared" si="109"/>
        <v>1.7858149471809152E-3</v>
      </c>
      <c r="V237" s="35">
        <f t="shared" si="109"/>
        <v>3.1725273114691257E-3</v>
      </c>
      <c r="W237" s="168">
        <f t="shared" si="97"/>
        <v>1</v>
      </c>
      <c r="X237" s="14"/>
    </row>
    <row r="238" spans="2:24" hidden="1" x14ac:dyDescent="0.35">
      <c r="B238" s="12"/>
      <c r="C238" s="27">
        <v>2014</v>
      </c>
      <c r="D238" s="35">
        <f t="shared" ref="D238:V238" si="110">D219/$W219</f>
        <v>0.36996507917394184</v>
      </c>
      <c r="E238" s="35">
        <f t="shared" si="110"/>
        <v>3.4006949760456893E-2</v>
      </c>
      <c r="F238" s="35">
        <f t="shared" si="110"/>
        <v>4.7306537763518918E-4</v>
      </c>
      <c r="G238" s="35">
        <f t="shared" si="110"/>
        <v>3.9221420400299325E-3</v>
      </c>
      <c r="H238" s="35">
        <f t="shared" si="110"/>
        <v>1.7202377368552333E-5</v>
      </c>
      <c r="I238" s="35">
        <f t="shared" si="110"/>
        <v>6.8874018389341405E-3</v>
      </c>
      <c r="J238" s="35">
        <f t="shared" si="110"/>
        <v>6.5207761712668691E-2</v>
      </c>
      <c r="K238" s="35">
        <f t="shared" si="110"/>
        <v>3.6555051908173707E-5</v>
      </c>
      <c r="L238" s="35">
        <f t="shared" si="110"/>
        <v>2.1502971710690416E-6</v>
      </c>
      <c r="M238" s="35">
        <f t="shared" si="110"/>
        <v>1.3447958507865787E-2</v>
      </c>
      <c r="N238" s="35">
        <f t="shared" si="110"/>
        <v>5.2151157289937466E-2</v>
      </c>
      <c r="O238" s="35">
        <f t="shared" si="110"/>
        <v>2.7953863223897543E-5</v>
      </c>
      <c r="P238" s="35">
        <f t="shared" si="110"/>
        <v>0.26601971392446438</v>
      </c>
      <c r="Q238" s="35">
        <f t="shared" si="110"/>
        <v>0.15929616472996569</v>
      </c>
      <c r="R238" s="35">
        <f t="shared" si="110"/>
        <v>1.5993910358411533E-2</v>
      </c>
      <c r="S238" s="35">
        <f t="shared" si="110"/>
        <v>7.5281903959127155E-3</v>
      </c>
      <c r="T238" s="35">
        <f t="shared" si="110"/>
        <v>9.0312481184899758E-5</v>
      </c>
      <c r="U238" s="35">
        <f t="shared" si="110"/>
        <v>1.8363537840929616E-3</v>
      </c>
      <c r="V238" s="35">
        <f t="shared" si="110"/>
        <v>3.0899770348262129E-3</v>
      </c>
      <c r="W238" s="168">
        <f t="shared" si="97"/>
        <v>0.99999999999999989</v>
      </c>
      <c r="X238" s="14"/>
    </row>
    <row r="239" spans="2:24" hidden="1" x14ac:dyDescent="0.35">
      <c r="B239" s="12"/>
      <c r="C239" s="27">
        <v>2015</v>
      </c>
      <c r="D239" s="35">
        <f t="shared" ref="D239:V239" si="111">D220/$W220</f>
        <v>0.38023713138493942</v>
      </c>
      <c r="E239" s="35">
        <f t="shared" si="111"/>
        <v>3.3874736703528176E-2</v>
      </c>
      <c r="F239" s="35">
        <f t="shared" si="111"/>
        <v>4.6076882569773563E-4</v>
      </c>
      <c r="G239" s="35">
        <f t="shared" si="111"/>
        <v>4.9594358873091098E-3</v>
      </c>
      <c r="H239" s="35">
        <f t="shared" si="111"/>
        <v>3.9083070036861508E-5</v>
      </c>
      <c r="I239" s="35">
        <f t="shared" si="111"/>
        <v>7.0411236176935229E-3</v>
      </c>
      <c r="J239" s="35">
        <f t="shared" si="111"/>
        <v>6.3396853607161657E-2</v>
      </c>
      <c r="K239" s="35">
        <f t="shared" si="111"/>
        <v>3.4969062664560292E-5</v>
      </c>
      <c r="L239" s="35">
        <f t="shared" si="111"/>
        <v>4.1140073723012108E-6</v>
      </c>
      <c r="M239" s="35">
        <f t="shared" si="111"/>
        <v>1.232968009478673E-2</v>
      </c>
      <c r="N239" s="35">
        <f t="shared" si="111"/>
        <v>4.8860008557135334E-2</v>
      </c>
      <c r="O239" s="35">
        <f t="shared" si="111"/>
        <v>2.6741047919957872E-5</v>
      </c>
      <c r="P239" s="35">
        <f t="shared" si="111"/>
        <v>0.25325417983149023</v>
      </c>
      <c r="Q239" s="35">
        <f t="shared" si="111"/>
        <v>0.1648873584781464</v>
      </c>
      <c r="R239" s="35">
        <f t="shared" si="111"/>
        <v>1.8175684570826751E-2</v>
      </c>
      <c r="S239" s="35">
        <f t="shared" si="111"/>
        <v>7.4484103475513427E-3</v>
      </c>
      <c r="T239" s="35">
        <f t="shared" si="111"/>
        <v>9.0508162190626646E-5</v>
      </c>
      <c r="U239" s="35">
        <f t="shared" si="111"/>
        <v>1.8739303580832018E-3</v>
      </c>
      <c r="V239" s="35">
        <f t="shared" si="111"/>
        <v>3.0052823854660347E-3</v>
      </c>
      <c r="W239" s="168">
        <f t="shared" si="97"/>
        <v>1</v>
      </c>
      <c r="X239" s="14"/>
    </row>
    <row r="240" spans="2:24" hidden="1" x14ac:dyDescent="0.35">
      <c r="B240" s="12"/>
      <c r="C240" s="27">
        <v>2016</v>
      </c>
      <c r="D240" s="35">
        <f t="shared" ref="D240:M242" si="112">_xlfn.FORECAST.ETS($C240,D$224:D$239,$C$224:$C$239)</f>
        <v>0.3831862237608506</v>
      </c>
      <c r="E240" s="35">
        <f t="shared" si="112"/>
        <v>3.4209475822448245E-2</v>
      </c>
      <c r="F240" s="35">
        <f t="shared" si="112"/>
        <v>4.4416242728859742E-4</v>
      </c>
      <c r="G240" s="35">
        <f t="shared" si="112"/>
        <v>3.729535597637044E-3</v>
      </c>
      <c r="H240" s="35">
        <f t="shared" si="112"/>
        <v>2.2829926512814032E-5</v>
      </c>
      <c r="I240" s="35">
        <f t="shared" si="112"/>
        <v>6.3773267550895239E-3</v>
      </c>
      <c r="J240" s="35">
        <f t="shared" si="112"/>
        <v>6.1549573972926215E-2</v>
      </c>
      <c r="K240" s="35">
        <f t="shared" si="112"/>
        <v>3.4055117477651838E-5</v>
      </c>
      <c r="L240" s="35">
        <f t="shared" si="112"/>
        <v>1.9419404687673431E-6</v>
      </c>
      <c r="M240" s="35">
        <f t="shared" si="112"/>
        <v>1.1734388012963164E-2</v>
      </c>
      <c r="N240" s="35">
        <f>1-(SUM(D240:M240)+SUM(O240:V240))</f>
        <v>5.3742178518901618E-2</v>
      </c>
      <c r="O240" s="35">
        <f t="shared" ref="O240:V242" si="113">_xlfn.FORECAST.ETS($C240,O$224:O$239,$C$224:$C$239)</f>
        <v>2.6510804959387485E-5</v>
      </c>
      <c r="P240" s="35">
        <f t="shared" si="113"/>
        <v>0.24189756971199677</v>
      </c>
      <c r="Q240" s="35">
        <f t="shared" si="113"/>
        <v>0.1741300553730836</v>
      </c>
      <c r="R240" s="35">
        <f t="shared" si="113"/>
        <v>1.5273666111539155E-2</v>
      </c>
      <c r="S240" s="35">
        <f t="shared" si="113"/>
        <v>8.2439524435623732E-3</v>
      </c>
      <c r="T240" s="35">
        <f t="shared" si="113"/>
        <v>8.7767106365712274E-5</v>
      </c>
      <c r="U240" s="35">
        <f t="shared" si="113"/>
        <v>2.0976147557851734E-3</v>
      </c>
      <c r="V240" s="35">
        <f t="shared" si="113"/>
        <v>3.2111718401435663E-3</v>
      </c>
      <c r="W240" s="169">
        <f t="shared" si="97"/>
        <v>0.99999999999999989</v>
      </c>
      <c r="X240" s="14"/>
    </row>
    <row r="241" spans="2:24" hidden="1" x14ac:dyDescent="0.35">
      <c r="B241" s="12"/>
      <c r="C241" s="27">
        <v>2017</v>
      </c>
      <c r="D241" s="35">
        <f t="shared" si="112"/>
        <v>0.39170341512130968</v>
      </c>
      <c r="E241" s="35">
        <f t="shared" si="112"/>
        <v>3.4544214941368313E-2</v>
      </c>
      <c r="F241" s="35">
        <f t="shared" si="112"/>
        <v>4.2757320325394167E-4</v>
      </c>
      <c r="G241" s="35">
        <f t="shared" si="112"/>
        <v>3.9962714915782764E-3</v>
      </c>
      <c r="H241" s="35">
        <f t="shared" si="112"/>
        <v>2.443729240392502E-5</v>
      </c>
      <c r="I241" s="35">
        <f t="shared" si="112"/>
        <v>6.123207544261826E-3</v>
      </c>
      <c r="J241" s="35">
        <f t="shared" si="112"/>
        <v>5.9702990594399305E-2</v>
      </c>
      <c r="K241" s="35">
        <f t="shared" si="112"/>
        <v>3.343682460746648E-5</v>
      </c>
      <c r="L241" s="35">
        <f t="shared" si="112"/>
        <v>2.0732718093126105E-6</v>
      </c>
      <c r="M241" s="35">
        <f t="shared" si="112"/>
        <v>1.0939800784016586E-2</v>
      </c>
      <c r="N241" s="35">
        <f t="shared" ref="N241:N242" si="114">1-(SUM(D241:M241)+SUM(O241:V241))</f>
        <v>5.2625139181100677E-2</v>
      </c>
      <c r="O241" s="35">
        <f t="shared" si="113"/>
        <v>2.6410247821140277E-5</v>
      </c>
      <c r="P241" s="35">
        <f t="shared" si="113"/>
        <v>0.22839561022884228</v>
      </c>
      <c r="Q241" s="35">
        <f t="shared" si="113"/>
        <v>0.18221258809160654</v>
      </c>
      <c r="R241" s="35">
        <f t="shared" si="113"/>
        <v>1.5253267168640996E-2</v>
      </c>
      <c r="S241" s="35">
        <f t="shared" si="113"/>
        <v>8.4628190813563833E-3</v>
      </c>
      <c r="T241" s="35">
        <f t="shared" si="113"/>
        <v>8.5037746920148499E-5</v>
      </c>
      <c r="U241" s="35">
        <f t="shared" si="113"/>
        <v>2.2177059632330267E-3</v>
      </c>
      <c r="V241" s="35">
        <f t="shared" si="113"/>
        <v>3.224001221470233E-3</v>
      </c>
      <c r="W241" s="169">
        <f t="shared" si="97"/>
        <v>1</v>
      </c>
      <c r="X241" s="14"/>
    </row>
    <row r="242" spans="2:24" hidden="1" x14ac:dyDescent="0.35">
      <c r="B242" s="12"/>
      <c r="C242" s="27">
        <v>2018</v>
      </c>
      <c r="D242" s="35">
        <f t="shared" si="112"/>
        <v>0.40022060648176883</v>
      </c>
      <c r="E242" s="35">
        <f t="shared" si="112"/>
        <v>3.4878954060288382E-2</v>
      </c>
      <c r="F242" s="35">
        <f t="shared" si="112"/>
        <v>4.1098397921928592E-4</v>
      </c>
      <c r="G242" s="35">
        <f t="shared" si="112"/>
        <v>4.2630073855195088E-3</v>
      </c>
      <c r="H242" s="35">
        <f t="shared" si="112"/>
        <v>2.6044658295035999E-5</v>
      </c>
      <c r="I242" s="35">
        <f t="shared" si="112"/>
        <v>5.8690883334341281E-3</v>
      </c>
      <c r="J242" s="35">
        <f t="shared" si="112"/>
        <v>5.7856407215872395E-2</v>
      </c>
      <c r="K242" s="35">
        <f t="shared" si="112"/>
        <v>3.2818531737281122E-5</v>
      </c>
      <c r="L242" s="35">
        <f t="shared" si="112"/>
        <v>2.2046031498578779E-6</v>
      </c>
      <c r="M242" s="35">
        <f t="shared" si="112"/>
        <v>1.0333534110632349E-2</v>
      </c>
      <c r="N242" s="35">
        <f t="shared" si="114"/>
        <v>5.1319779287737344E-2</v>
      </c>
      <c r="O242" s="35">
        <f t="shared" si="113"/>
        <v>2.6309690682893066E-5</v>
      </c>
      <c r="P242" s="35">
        <f t="shared" si="113"/>
        <v>0.21489365074568778</v>
      </c>
      <c r="Q242" s="35">
        <f t="shared" si="113"/>
        <v>0.19029512081012945</v>
      </c>
      <c r="R242" s="35">
        <f t="shared" si="113"/>
        <v>1.5232868225742836E-2</v>
      </c>
      <c r="S242" s="35">
        <f t="shared" si="113"/>
        <v>8.6816857191503935E-3</v>
      </c>
      <c r="T242" s="35">
        <f t="shared" si="113"/>
        <v>8.2308387474584738E-5</v>
      </c>
      <c r="U242" s="35">
        <f t="shared" si="113"/>
        <v>2.33779717068088E-3</v>
      </c>
      <c r="V242" s="35">
        <f t="shared" si="113"/>
        <v>3.2368306027968992E-3</v>
      </c>
      <c r="W242" s="169">
        <f t="shared" si="97"/>
        <v>1</v>
      </c>
      <c r="X242" s="14"/>
    </row>
    <row r="243" spans="2:24" hidden="1" x14ac:dyDescent="0.35">
      <c r="B243" s="12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14"/>
    </row>
    <row r="244" spans="2:24" s="110" customFormat="1" x14ac:dyDescent="0.35">
      <c r="B244" s="9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1"/>
    </row>
    <row r="245" spans="2:24" s="2" customFormat="1" x14ac:dyDescent="0.35">
      <c r="B245" s="623"/>
      <c r="C245" s="573" t="s">
        <v>304</v>
      </c>
      <c r="D245" s="573" t="s">
        <v>502</v>
      </c>
      <c r="E245" s="573" t="s">
        <v>349</v>
      </c>
      <c r="F245" s="624" t="s">
        <v>64</v>
      </c>
      <c r="G245" s="68">
        <v>2000</v>
      </c>
      <c r="H245" s="68">
        <v>2001</v>
      </c>
      <c r="I245" s="68">
        <v>2002</v>
      </c>
      <c r="J245" s="68">
        <v>2003</v>
      </c>
      <c r="K245" s="68">
        <v>2004</v>
      </c>
      <c r="L245" s="68">
        <v>2005</v>
      </c>
      <c r="M245" s="68">
        <v>2006</v>
      </c>
      <c r="N245" s="68">
        <v>2007</v>
      </c>
      <c r="O245" s="68">
        <v>2008</v>
      </c>
      <c r="P245" s="68">
        <v>2009</v>
      </c>
      <c r="Q245" s="68">
        <v>2010</v>
      </c>
      <c r="R245" s="68">
        <v>2011</v>
      </c>
      <c r="S245" s="68">
        <v>2012</v>
      </c>
      <c r="T245" s="68">
        <v>2013</v>
      </c>
      <c r="U245" s="68">
        <v>2014</v>
      </c>
      <c r="V245" s="68">
        <v>2015</v>
      </c>
      <c r="W245" s="68">
        <v>2016</v>
      </c>
      <c r="X245" s="625"/>
    </row>
    <row r="246" spans="2:24" s="110" customFormat="1" x14ac:dyDescent="0.35">
      <c r="B246" s="12"/>
      <c r="C246" s="716" t="s">
        <v>531</v>
      </c>
      <c r="D246" s="716" t="s">
        <v>507</v>
      </c>
      <c r="E246" s="27" t="s">
        <v>136</v>
      </c>
      <c r="F246" s="574" t="s">
        <v>76</v>
      </c>
      <c r="G246" s="173">
        <f>'Transport Data 14-16'!AE53</f>
        <v>42039</v>
      </c>
      <c r="H246" s="173">
        <f>'Transport Data 14-16'!AF53</f>
        <v>43838</v>
      </c>
      <c r="I246" s="173">
        <f>'Transport Data 14-16'!AG53</f>
        <v>45678</v>
      </c>
      <c r="J246" s="173">
        <f>'Transport Data 14-16'!AH53</f>
        <v>47491</v>
      </c>
      <c r="K246" s="173">
        <f>'Transport Data 14-16'!AI53</f>
        <v>50110</v>
      </c>
      <c r="L246" s="173">
        <f>'Transport Data 14-16'!AJ53</f>
        <v>52500</v>
      </c>
      <c r="M246" s="173">
        <f>'Transport Data 14-16'!AK53</f>
        <v>54900</v>
      </c>
      <c r="N246" s="173">
        <f>'Transport Data 14-16'!AL53</f>
        <v>57428</v>
      </c>
      <c r="O246" s="173">
        <f>'Transport Data 14-16'!AM53</f>
        <v>60395</v>
      </c>
      <c r="P246" s="173">
        <f>'Transport Data 14-16'!AN53</f>
        <v>62992</v>
      </c>
      <c r="Q246" s="173">
        <f>'Transport Data 14-16'!AO53</f>
        <v>66015</v>
      </c>
      <c r="R246" s="173">
        <f>'Transport Data 14-16'!AP53</f>
        <v>68905</v>
      </c>
      <c r="S246" s="173">
        <f>'Transport Data 14-16'!AQ53</f>
        <v>72517</v>
      </c>
      <c r="T246" s="173">
        <f>'Transport Data 14-16'!AR53</f>
        <v>76229</v>
      </c>
      <c r="U246" s="618">
        <f>'Transport Data 14-16'!AS53</f>
        <v>71261</v>
      </c>
      <c r="V246" s="618">
        <f>'Transport Data 14-16'!AT53</f>
        <v>82201</v>
      </c>
      <c r="W246" s="618">
        <f>'Transport Data 14-16'!AU53</f>
        <v>98216</v>
      </c>
      <c r="X246" s="14"/>
    </row>
    <row r="247" spans="2:24" s="110" customFormat="1" x14ac:dyDescent="0.35">
      <c r="B247" s="12"/>
      <c r="C247" s="716"/>
      <c r="D247" s="716"/>
      <c r="E247" s="27" t="s">
        <v>41</v>
      </c>
      <c r="F247" s="574" t="s">
        <v>76</v>
      </c>
      <c r="G247" s="173">
        <f>'Transport Data 14-16'!AE54</f>
        <v>3282</v>
      </c>
      <c r="H247" s="173">
        <f>'Transport Data 14-16'!AF54</f>
        <v>3423</v>
      </c>
      <c r="I247" s="173">
        <f>'Transport Data 14-16'!AG54</f>
        <v>3567</v>
      </c>
      <c r="J247" s="173">
        <f>'Transport Data 14-16'!AH54</f>
        <v>3709</v>
      </c>
      <c r="K247" s="173">
        <f>'Transport Data 14-16'!AI54</f>
        <v>3915</v>
      </c>
      <c r="L247" s="173">
        <f>'Transport Data 14-16'!AJ54</f>
        <v>4101</v>
      </c>
      <c r="M247" s="173">
        <f>'Transport Data 14-16'!AK54</f>
        <v>4289</v>
      </c>
      <c r="N247" s="173">
        <f>'Transport Data 14-16'!AL54</f>
        <v>4488</v>
      </c>
      <c r="O247" s="173">
        <f>'Transport Data 14-16'!AM54</f>
        <v>4719</v>
      </c>
      <c r="P247" s="173">
        <f>'Transport Data 14-16'!AN54</f>
        <v>4922</v>
      </c>
      <c r="Q247" s="173">
        <f>'Transport Data 14-16'!AO54</f>
        <v>5158</v>
      </c>
      <c r="R247" s="173">
        <f>'Transport Data 14-16'!AP54</f>
        <v>5384</v>
      </c>
      <c r="S247" s="173">
        <f>'Transport Data 14-16'!AQ54</f>
        <v>5666</v>
      </c>
      <c r="T247" s="173">
        <f>'Transport Data 14-16'!AR54</f>
        <v>5957</v>
      </c>
      <c r="U247" s="618">
        <f>'Transport Data 14-16'!AS54</f>
        <v>5751</v>
      </c>
      <c r="V247" s="618">
        <f>'Transport Data 14-16'!AT54</f>
        <v>6414</v>
      </c>
      <c r="W247" s="618">
        <f>'Transport Data 14-16'!AU54</f>
        <v>7500</v>
      </c>
      <c r="X247" s="14"/>
    </row>
    <row r="248" spans="2:24" s="110" customFormat="1" x14ac:dyDescent="0.35">
      <c r="B248" s="12"/>
      <c r="C248" s="716"/>
      <c r="D248" s="716"/>
      <c r="E248" s="27" t="s">
        <v>117</v>
      </c>
      <c r="F248" s="574" t="s">
        <v>76</v>
      </c>
      <c r="G248" s="173">
        <f>'Transport Data 14-16'!AE55</f>
        <v>37</v>
      </c>
      <c r="H248" s="173">
        <f>'Transport Data 14-16'!AF55</f>
        <v>39</v>
      </c>
      <c r="I248" s="173">
        <f>'Transport Data 14-16'!AG55</f>
        <v>41</v>
      </c>
      <c r="J248" s="173">
        <f>'Transport Data 14-16'!AH55</f>
        <v>42</v>
      </c>
      <c r="K248" s="173">
        <f>'Transport Data 14-16'!AI55</f>
        <v>44</v>
      </c>
      <c r="L248" s="173">
        <f>'Transport Data 14-16'!AJ55</f>
        <v>47</v>
      </c>
      <c r="M248" s="173">
        <f>'Transport Data 14-16'!AK55</f>
        <v>49</v>
      </c>
      <c r="N248" s="173">
        <f>'Transport Data 14-16'!AL55</f>
        <v>51</v>
      </c>
      <c r="O248" s="173">
        <f>'Transport Data 14-16'!AM55</f>
        <v>54</v>
      </c>
      <c r="P248" s="173">
        <f>'Transport Data 14-16'!AN55</f>
        <v>56</v>
      </c>
      <c r="Q248" s="173">
        <f>'Transport Data 14-16'!AO55</f>
        <v>59</v>
      </c>
      <c r="R248" s="173">
        <f>'Transport Data 14-16'!AP55</f>
        <v>61</v>
      </c>
      <c r="S248" s="173">
        <f>'Transport Data 14-16'!AQ55</f>
        <v>64</v>
      </c>
      <c r="T248" s="173">
        <f>'Transport Data 14-16'!AR55</f>
        <v>68</v>
      </c>
      <c r="U248" s="618">
        <f>'Transport Data 14-16'!AS55</f>
        <v>178</v>
      </c>
      <c r="V248" s="618">
        <f>'Transport Data 14-16'!AT55</f>
        <v>17</v>
      </c>
      <c r="W248" s="618">
        <f>'Transport Data 14-16'!AU55</f>
        <v>20</v>
      </c>
      <c r="X248" s="14"/>
    </row>
    <row r="249" spans="2:24" s="110" customFormat="1" x14ac:dyDescent="0.35">
      <c r="B249" s="12"/>
      <c r="C249" s="716"/>
      <c r="D249" s="716"/>
      <c r="E249" s="27" t="s">
        <v>226</v>
      </c>
      <c r="F249" s="574" t="s">
        <v>76</v>
      </c>
      <c r="G249" s="173">
        <f>'Transport Data 14-16'!AE56</f>
        <v>1335</v>
      </c>
      <c r="H249" s="173">
        <f>'Transport Data 14-16'!AF56</f>
        <v>1392</v>
      </c>
      <c r="I249" s="173">
        <f>'Transport Data 14-16'!AG56</f>
        <v>1452</v>
      </c>
      <c r="J249" s="173">
        <f>'Transport Data 14-16'!AH56</f>
        <v>1509</v>
      </c>
      <c r="K249" s="173">
        <f>'Transport Data 14-16'!AI56</f>
        <v>1592</v>
      </c>
      <c r="L249" s="173">
        <f>'Transport Data 14-16'!AJ56</f>
        <v>1668</v>
      </c>
      <c r="M249" s="173">
        <f>'Transport Data 14-16'!AK56</f>
        <v>1744</v>
      </c>
      <c r="N249" s="173">
        <f>'Transport Data 14-16'!AL56</f>
        <v>1824</v>
      </c>
      <c r="O249" s="173">
        <f>'Transport Data 14-16'!AM56</f>
        <v>1918</v>
      </c>
      <c r="P249" s="173">
        <f>'Transport Data 14-16'!AN56</f>
        <v>2001</v>
      </c>
      <c r="Q249" s="173">
        <f>'Transport Data 14-16'!AO56</f>
        <v>2098</v>
      </c>
      <c r="R249" s="173">
        <f>'Transport Data 14-16'!AP56</f>
        <v>2189</v>
      </c>
      <c r="S249" s="173">
        <f>'Transport Data 14-16'!AQ56</f>
        <v>2304</v>
      </c>
      <c r="T249" s="173">
        <f>'Transport Data 14-16'!AR56</f>
        <v>2422</v>
      </c>
      <c r="U249" s="618">
        <f>'Transport Data 14-16'!AS56</f>
        <v>1832</v>
      </c>
      <c r="V249" s="618">
        <f>'Transport Data 14-16'!AT56</f>
        <v>2427</v>
      </c>
      <c r="W249" s="618">
        <f>'Transport Data 14-16'!AU56</f>
        <v>3783</v>
      </c>
      <c r="X249" s="14"/>
    </row>
    <row r="250" spans="2:24" s="110" customFormat="1" x14ac:dyDescent="0.35">
      <c r="B250" s="12"/>
      <c r="C250" s="716"/>
      <c r="D250" s="716"/>
      <c r="E250" s="27" t="s">
        <v>227</v>
      </c>
      <c r="F250" s="574" t="s">
        <v>76</v>
      </c>
      <c r="G250" s="173">
        <f>'Transport Data 14-16'!AE57</f>
        <v>5</v>
      </c>
      <c r="H250" s="173">
        <f>'Transport Data 14-16'!AF57</f>
        <v>5</v>
      </c>
      <c r="I250" s="173">
        <f>'Transport Data 14-16'!AG57</f>
        <v>5</v>
      </c>
      <c r="J250" s="173">
        <f>'Transport Data 14-16'!AH57</f>
        <v>6</v>
      </c>
      <c r="K250" s="173">
        <f>'Transport Data 14-16'!AI57</f>
        <v>6</v>
      </c>
      <c r="L250" s="173">
        <f>'Transport Data 14-16'!AJ57</f>
        <v>6</v>
      </c>
      <c r="M250" s="173">
        <f>'Transport Data 14-16'!AK57</f>
        <v>7</v>
      </c>
      <c r="N250" s="173">
        <f>'Transport Data 14-16'!AL57</f>
        <v>7</v>
      </c>
      <c r="O250" s="173">
        <f>'Transport Data 14-16'!AM57</f>
        <v>7</v>
      </c>
      <c r="P250" s="173">
        <f>'Transport Data 14-16'!AN57</f>
        <v>8</v>
      </c>
      <c r="Q250" s="173">
        <f>'Transport Data 14-16'!AO57</f>
        <v>8</v>
      </c>
      <c r="R250" s="173">
        <f>'Transport Data 14-16'!AP57</f>
        <v>8</v>
      </c>
      <c r="S250" s="173">
        <f>'Transport Data 14-16'!AQ57</f>
        <v>9</v>
      </c>
      <c r="T250" s="173">
        <f>'Transport Data 14-16'!AR57</f>
        <v>9</v>
      </c>
      <c r="U250" s="618">
        <f>'Transport Data 14-16'!AS57</f>
        <v>9</v>
      </c>
      <c r="V250" s="618">
        <f>'Transport Data 14-16'!AT57</f>
        <v>10</v>
      </c>
      <c r="W250" s="618">
        <f>'Transport Data 14-16'!AU57</f>
        <v>11</v>
      </c>
      <c r="X250" s="14"/>
    </row>
    <row r="251" spans="2:24" s="110" customFormat="1" x14ac:dyDescent="0.35">
      <c r="B251" s="12"/>
      <c r="C251" s="716"/>
      <c r="D251" s="716" t="s">
        <v>505</v>
      </c>
      <c r="E251" s="27" t="s">
        <v>136</v>
      </c>
      <c r="F251" s="574" t="s">
        <v>76</v>
      </c>
      <c r="G251" s="173">
        <f>'Transport Data 14-16'!AE58</f>
        <v>49822</v>
      </c>
      <c r="H251" s="173">
        <f>'Transport Data 14-16'!AF58</f>
        <v>51959</v>
      </c>
      <c r="I251" s="173">
        <f>'Transport Data 14-16'!AG58</f>
        <v>54145</v>
      </c>
      <c r="J251" s="173">
        <f>'Transport Data 14-16'!AH58</f>
        <v>56300</v>
      </c>
      <c r="K251" s="173">
        <f>'Transport Data 14-16'!AI58</f>
        <v>59410</v>
      </c>
      <c r="L251" s="173">
        <f>'Transport Data 14-16'!AJ58</f>
        <v>62249</v>
      </c>
      <c r="M251" s="173">
        <f>'Transport Data 14-16'!AK58</f>
        <v>65102</v>
      </c>
      <c r="N251" s="173">
        <f>'Transport Data 14-16'!AL58</f>
        <v>68101</v>
      </c>
      <c r="O251" s="173">
        <f>'Transport Data 14-16'!AM58</f>
        <v>71621</v>
      </c>
      <c r="P251" s="173">
        <f>'Transport Data 14-16'!AN58</f>
        <v>74698</v>
      </c>
      <c r="Q251" s="173">
        <f>'Transport Data 14-16'!AO58</f>
        <v>78283</v>
      </c>
      <c r="R251" s="173">
        <f>'Transport Data 14-16'!AP58</f>
        <v>81711</v>
      </c>
      <c r="S251" s="173">
        <f>'Transport Data 14-16'!AQ58</f>
        <v>86001</v>
      </c>
      <c r="T251" s="173">
        <f>'Transport Data 14-16'!AR58</f>
        <v>90409</v>
      </c>
      <c r="U251" s="618">
        <f>'Transport Data 14-16'!AS58</f>
        <v>101548</v>
      </c>
      <c r="V251" s="618">
        <f>'Transport Data 14-16'!AT58</f>
        <v>97481</v>
      </c>
      <c r="W251" s="618">
        <f>'Transport Data 14-16'!AU58</f>
        <v>98088</v>
      </c>
      <c r="X251" s="14"/>
    </row>
    <row r="252" spans="2:24" s="110" customFormat="1" x14ac:dyDescent="0.35">
      <c r="B252" s="12"/>
      <c r="C252" s="716"/>
      <c r="D252" s="716"/>
      <c r="E252" s="27" t="s">
        <v>41</v>
      </c>
      <c r="F252" s="574" t="s">
        <v>76</v>
      </c>
      <c r="G252" s="173">
        <f>'Transport Data 14-16'!AE59</f>
        <v>5175</v>
      </c>
      <c r="H252" s="173">
        <f>'Transport Data 14-16'!AF59</f>
        <v>5401</v>
      </c>
      <c r="I252" s="173">
        <f>'Transport Data 14-16'!AG59</f>
        <v>5633</v>
      </c>
      <c r="J252" s="173">
        <f>'Transport Data 14-16'!AH59</f>
        <v>5862</v>
      </c>
      <c r="K252" s="173">
        <f>'Transport Data 14-16'!AI59</f>
        <v>6190</v>
      </c>
      <c r="L252" s="173">
        <f>'Transport Data 14-16'!AJ59</f>
        <v>6491</v>
      </c>
      <c r="M252" s="173">
        <f>'Transport Data 14-16'!AK59</f>
        <v>6794</v>
      </c>
      <c r="N252" s="173">
        <f>'Transport Data 14-16'!AL59</f>
        <v>7109</v>
      </c>
      <c r="O252" s="173">
        <f>'Transport Data 14-16'!AM59</f>
        <v>7476</v>
      </c>
      <c r="P252" s="173">
        <f>'Transport Data 14-16'!AN59</f>
        <v>7797</v>
      </c>
      <c r="Q252" s="173">
        <f>'Transport Data 14-16'!AO59</f>
        <v>8170</v>
      </c>
      <c r="R252" s="173">
        <f>'Transport Data 14-16'!AP59</f>
        <v>8530</v>
      </c>
      <c r="S252" s="173">
        <f>'Transport Data 14-16'!AQ59</f>
        <v>8983</v>
      </c>
      <c r="T252" s="173">
        <f>'Transport Data 14-16'!AR59</f>
        <v>9449</v>
      </c>
      <c r="U252" s="618">
        <f>'Transport Data 14-16'!AS59</f>
        <v>10520</v>
      </c>
      <c r="V252" s="618">
        <f>'Transport Data 14-16'!AT59</f>
        <v>10405</v>
      </c>
      <c r="W252" s="618">
        <f>'Transport Data 14-16'!AU59</f>
        <v>10275</v>
      </c>
      <c r="X252" s="14"/>
    </row>
    <row r="253" spans="2:24" s="110" customFormat="1" x14ac:dyDescent="0.35">
      <c r="B253" s="12"/>
      <c r="C253" s="716"/>
      <c r="D253" s="716"/>
      <c r="E253" s="27" t="s">
        <v>117</v>
      </c>
      <c r="F253" s="574" t="s">
        <v>76</v>
      </c>
      <c r="G253" s="173">
        <f>'Transport Data 14-16'!AE60</f>
        <v>74</v>
      </c>
      <c r="H253" s="173">
        <f>'Transport Data 14-16'!AF60</f>
        <v>77</v>
      </c>
      <c r="I253" s="173">
        <f>'Transport Data 14-16'!AG60</f>
        <v>80</v>
      </c>
      <c r="J253" s="173">
        <f>'Transport Data 14-16'!AH60</f>
        <v>83</v>
      </c>
      <c r="K253" s="173">
        <f>'Transport Data 14-16'!AI60</f>
        <v>88</v>
      </c>
      <c r="L253" s="173">
        <f>'Transport Data 14-16'!AJ60</f>
        <v>92</v>
      </c>
      <c r="M253" s="173">
        <f>'Transport Data 14-16'!AK60</f>
        <v>96</v>
      </c>
      <c r="N253" s="173">
        <f>'Transport Data 14-16'!AL60</f>
        <v>101</v>
      </c>
      <c r="O253" s="173">
        <f>'Transport Data 14-16'!AM60</f>
        <v>106</v>
      </c>
      <c r="P253" s="173">
        <f>'Transport Data 14-16'!AN60</f>
        <v>111</v>
      </c>
      <c r="Q253" s="173">
        <f>'Transport Data 14-16'!AO60</f>
        <v>116</v>
      </c>
      <c r="R253" s="173">
        <f>'Transport Data 14-16'!AP60</f>
        <v>121</v>
      </c>
      <c r="S253" s="173">
        <f>'Transport Data 14-16'!AQ60</f>
        <v>127</v>
      </c>
      <c r="T253" s="173">
        <f>'Transport Data 14-16'!AR60</f>
        <v>134</v>
      </c>
      <c r="U253" s="618">
        <f>'Transport Data 14-16'!AS60</f>
        <v>40</v>
      </c>
      <c r="V253" s="618">
        <f>'Transport Data 14-16'!AT60</f>
        <v>204</v>
      </c>
      <c r="W253" s="618">
        <f>'Transport Data 14-16'!AU60</f>
        <v>203</v>
      </c>
      <c r="X253" s="14"/>
    </row>
    <row r="254" spans="2:24" s="110" customFormat="1" x14ac:dyDescent="0.35">
      <c r="B254" s="12"/>
      <c r="C254" s="716"/>
      <c r="D254" s="716"/>
      <c r="E254" s="27" t="s">
        <v>226</v>
      </c>
      <c r="F254" s="574" t="s">
        <v>76</v>
      </c>
      <c r="G254" s="173">
        <f>'Transport Data 14-16'!AE61</f>
        <v>0</v>
      </c>
      <c r="H254" s="173">
        <f>'Transport Data 14-16'!AF61</f>
        <v>0</v>
      </c>
      <c r="I254" s="173">
        <f>'Transport Data 14-16'!AG61</f>
        <v>0</v>
      </c>
      <c r="J254" s="173">
        <f>'Transport Data 14-16'!AH61</f>
        <v>0</v>
      </c>
      <c r="K254" s="173">
        <f>'Transport Data 14-16'!AI61</f>
        <v>0</v>
      </c>
      <c r="L254" s="173">
        <f>'Transport Data 14-16'!AJ61</f>
        <v>0</v>
      </c>
      <c r="M254" s="173">
        <f>'Transport Data 14-16'!AK61</f>
        <v>0</v>
      </c>
      <c r="N254" s="173">
        <f>'Transport Data 14-16'!AL61</f>
        <v>0</v>
      </c>
      <c r="O254" s="173">
        <f>'Transport Data 14-16'!AM61</f>
        <v>0</v>
      </c>
      <c r="P254" s="173">
        <f>'Transport Data 14-16'!AN61</f>
        <v>0</v>
      </c>
      <c r="Q254" s="173">
        <f>'Transport Data 14-16'!AO61</f>
        <v>0</v>
      </c>
      <c r="R254" s="173">
        <f>'Transport Data 14-16'!AP61</f>
        <v>0</v>
      </c>
      <c r="S254" s="173">
        <f>'Transport Data 14-16'!AQ61</f>
        <v>0</v>
      </c>
      <c r="T254" s="173">
        <f>'Transport Data 14-16'!AR61</f>
        <v>0</v>
      </c>
      <c r="U254" s="618">
        <f>'Transport Data 14-16'!AS61</f>
        <v>0</v>
      </c>
      <c r="V254" s="618">
        <f>'Transport Data 14-16'!AT61</f>
        <v>0</v>
      </c>
      <c r="W254" s="618">
        <f>'Transport Data 14-16'!AU61</f>
        <v>0</v>
      </c>
      <c r="X254" s="14"/>
    </row>
    <row r="255" spans="2:24" s="110" customFormat="1" x14ac:dyDescent="0.35">
      <c r="B255" s="12"/>
      <c r="C255" s="716"/>
      <c r="D255" s="716"/>
      <c r="E255" s="27" t="s">
        <v>227</v>
      </c>
      <c r="F255" s="574" t="s">
        <v>76</v>
      </c>
      <c r="G255" s="173">
        <f>'Transport Data 14-16'!AE62</f>
        <v>0</v>
      </c>
      <c r="H255" s="173">
        <f>'Transport Data 14-16'!AF62</f>
        <v>1</v>
      </c>
      <c r="I255" s="173">
        <f>'Transport Data 14-16'!AG62</f>
        <v>1</v>
      </c>
      <c r="J255" s="173">
        <f>'Transport Data 14-16'!AH62</f>
        <v>1</v>
      </c>
      <c r="K255" s="173">
        <f>'Transport Data 14-16'!AI62</f>
        <v>1</v>
      </c>
      <c r="L255" s="173">
        <f>'Transport Data 14-16'!AJ62</f>
        <v>1</v>
      </c>
      <c r="M255" s="173">
        <f>'Transport Data 14-16'!AK62</f>
        <v>1</v>
      </c>
      <c r="N255" s="173">
        <f>'Transport Data 14-16'!AL62</f>
        <v>1</v>
      </c>
      <c r="O255" s="173">
        <f>'Transport Data 14-16'!AM62</f>
        <v>1</v>
      </c>
      <c r="P255" s="173">
        <f>'Transport Data 14-16'!AN62</f>
        <v>1</v>
      </c>
      <c r="Q255" s="173">
        <f>'Transport Data 14-16'!AO62</f>
        <v>1</v>
      </c>
      <c r="R255" s="173">
        <f>'Transport Data 14-16'!AP62</f>
        <v>1</v>
      </c>
      <c r="S255" s="173">
        <f>'Transport Data 14-16'!AQ62</f>
        <v>1</v>
      </c>
      <c r="T255" s="173">
        <f>'Transport Data 14-16'!AR62</f>
        <v>1</v>
      </c>
      <c r="U255" s="618">
        <f>'Transport Data 14-16'!AS62</f>
        <v>0</v>
      </c>
      <c r="V255" s="618">
        <f>'Transport Data 14-16'!AT62</f>
        <v>1</v>
      </c>
      <c r="W255" s="618">
        <f>'Transport Data 14-16'!AU62</f>
        <v>2</v>
      </c>
      <c r="X255" s="14"/>
    </row>
    <row r="256" spans="2:24" s="110" customFormat="1" x14ac:dyDescent="0.35">
      <c r="B256" s="12"/>
      <c r="C256" s="722" t="s">
        <v>266</v>
      </c>
      <c r="D256" s="722"/>
      <c r="E256" s="27" t="s">
        <v>136</v>
      </c>
      <c r="F256" s="574" t="s">
        <v>76</v>
      </c>
      <c r="G256" s="173">
        <f>'Transport Data 14-16'!AE63</f>
        <v>106008</v>
      </c>
      <c r="H256" s="173">
        <f>'Transport Data 14-16'!AF63</f>
        <v>110641</v>
      </c>
      <c r="I256" s="173">
        <f>'Transport Data 14-16'!AG63</f>
        <v>115390</v>
      </c>
      <c r="J256" s="173">
        <f>'Transport Data 14-16'!AH63</f>
        <v>120089</v>
      </c>
      <c r="K256" s="173">
        <f>'Transport Data 14-16'!AI63</f>
        <v>126795</v>
      </c>
      <c r="L256" s="173">
        <f>'Transport Data 14-16'!AJ63</f>
        <v>132956</v>
      </c>
      <c r="M256" s="173">
        <f>'Transport Data 14-16'!AK63</f>
        <v>139162</v>
      </c>
      <c r="N256" s="173">
        <f>'Transport Data 14-16'!AL63</f>
        <v>145612</v>
      </c>
      <c r="O256" s="173">
        <f>'Transport Data 14-16'!AM63</f>
        <v>153152</v>
      </c>
      <c r="P256" s="173">
        <f>'Transport Data 14-16'!AN63</f>
        <v>159708</v>
      </c>
      <c r="Q256" s="173">
        <f>'Transport Data 14-16'!AO63</f>
        <v>167346</v>
      </c>
      <c r="R256" s="173">
        <f>'Transport Data 14-16'!AP63</f>
        <v>174720</v>
      </c>
      <c r="S256" s="173">
        <f>'Transport Data 14-16'!AQ63</f>
        <v>183989</v>
      </c>
      <c r="T256" s="173">
        <f>'Transport Data 14-16'!AR63</f>
        <v>193537</v>
      </c>
      <c r="U256" s="618">
        <f>'Transport Data 14-16'!AS63</f>
        <v>203047</v>
      </c>
      <c r="V256" s="618">
        <f>'Transport Data 14-16'!AT63</f>
        <v>218103</v>
      </c>
      <c r="W256" s="618">
        <f>'Transport Data 14-16'!AU63</f>
        <v>218794</v>
      </c>
      <c r="X256" s="14"/>
    </row>
    <row r="257" spans="2:35" s="110" customFormat="1" x14ac:dyDescent="0.35">
      <c r="B257" s="12"/>
      <c r="C257" s="716" t="s">
        <v>225</v>
      </c>
      <c r="D257" s="716" t="s">
        <v>507</v>
      </c>
      <c r="E257" s="27" t="s">
        <v>136</v>
      </c>
      <c r="F257" s="574" t="s">
        <v>76</v>
      </c>
      <c r="G257" s="173">
        <f>'Transport Data 14-16'!AE64</f>
        <v>352</v>
      </c>
      <c r="H257" s="173">
        <f>'Transport Data 14-16'!AF64</f>
        <v>367</v>
      </c>
      <c r="I257" s="173">
        <f>'Transport Data 14-16'!AG64</f>
        <v>383</v>
      </c>
      <c r="J257" s="173">
        <f>'Transport Data 14-16'!AH64</f>
        <v>398</v>
      </c>
      <c r="K257" s="173">
        <f>'Transport Data 14-16'!AI64</f>
        <v>420</v>
      </c>
      <c r="L257" s="173">
        <f>'Transport Data 14-16'!AJ64</f>
        <v>440</v>
      </c>
      <c r="M257" s="173">
        <f>'Transport Data 14-16'!AK64</f>
        <v>460</v>
      </c>
      <c r="N257" s="173">
        <f>'Transport Data 14-16'!AL64</f>
        <v>481</v>
      </c>
      <c r="O257" s="173">
        <f>'Transport Data 14-16'!AM64</f>
        <v>507</v>
      </c>
      <c r="P257" s="173">
        <f>'Transport Data 14-16'!AN64</f>
        <v>528</v>
      </c>
      <c r="Q257" s="173">
        <f>'Transport Data 14-16'!AO64</f>
        <v>553</v>
      </c>
      <c r="R257" s="173">
        <f>'Transport Data 14-16'!AP64</f>
        <v>577</v>
      </c>
      <c r="S257" s="173">
        <f>'Transport Data 14-16'!AQ64</f>
        <v>608</v>
      </c>
      <c r="T257" s="173">
        <f>'Transport Data 14-16'!AR64</f>
        <v>639</v>
      </c>
      <c r="U257" s="618">
        <f>'Transport Data 14-16'!AS64</f>
        <v>665</v>
      </c>
      <c r="V257" s="618">
        <f>'Transport Data 14-16'!AT64</f>
        <v>698</v>
      </c>
      <c r="W257" s="618">
        <f>'Transport Data 14-16'!AU64</f>
        <v>744</v>
      </c>
      <c r="X257" s="14"/>
    </row>
    <row r="258" spans="2:35" s="110" customFormat="1" x14ac:dyDescent="0.35">
      <c r="B258" s="12"/>
      <c r="C258" s="716"/>
      <c r="D258" s="716"/>
      <c r="E258" s="27" t="s">
        <v>41</v>
      </c>
      <c r="F258" s="574" t="s">
        <v>76</v>
      </c>
      <c r="G258" s="173">
        <f>'Transport Data 14-16'!AE65</f>
        <v>6415</v>
      </c>
      <c r="H258" s="173">
        <f>'Transport Data 14-16'!AF65</f>
        <v>6695</v>
      </c>
      <c r="I258" s="173">
        <f>'Transport Data 14-16'!AG65</f>
        <v>6984</v>
      </c>
      <c r="J258" s="173">
        <f>'Transport Data 14-16'!AH65</f>
        <v>7268</v>
      </c>
      <c r="K258" s="173">
        <f>'Transport Data 14-16'!AI65</f>
        <v>7675</v>
      </c>
      <c r="L258" s="173">
        <f>'Transport Data 14-16'!AJ65</f>
        <v>8049</v>
      </c>
      <c r="M258" s="173">
        <f>'Transport Data 14-16'!AK65</f>
        <v>8425</v>
      </c>
      <c r="N258" s="173">
        <f>'Transport Data 14-16'!AL65</f>
        <v>8816</v>
      </c>
      <c r="O258" s="173">
        <f>'Transport Data 14-16'!AM65</f>
        <v>9272</v>
      </c>
      <c r="P258" s="173">
        <f>'Transport Data 14-16'!AN65</f>
        <v>9670</v>
      </c>
      <c r="Q258" s="173">
        <f>'Transport Data 14-16'!AO65</f>
        <v>10131</v>
      </c>
      <c r="R258" s="173">
        <f>'Transport Data 14-16'!AP65</f>
        <v>10578</v>
      </c>
      <c r="S258" s="173">
        <f>'Transport Data 14-16'!AQ65</f>
        <v>11140</v>
      </c>
      <c r="T258" s="173">
        <f>'Transport Data 14-16'!AR65</f>
        <v>11719</v>
      </c>
      <c r="U258" s="618">
        <f>'Transport Data 14-16'!AS65</f>
        <v>12006</v>
      </c>
      <c r="V258" s="618">
        <f>'Transport Data 14-16'!AT65</f>
        <v>12266</v>
      </c>
      <c r="W258" s="618">
        <f>'Transport Data 14-16'!AU65</f>
        <v>14575</v>
      </c>
      <c r="X258" s="14"/>
    </row>
    <row r="259" spans="2:35" s="110" customFormat="1" x14ac:dyDescent="0.35">
      <c r="B259" s="12"/>
      <c r="C259" s="716"/>
      <c r="D259" s="716"/>
      <c r="E259" s="27" t="s">
        <v>117</v>
      </c>
      <c r="F259" s="574" t="s">
        <v>76</v>
      </c>
      <c r="G259" s="173">
        <f>'Transport Data 14-16'!AE66</f>
        <v>3</v>
      </c>
      <c r="H259" s="173">
        <f>'Transport Data 14-16'!AF66</f>
        <v>3</v>
      </c>
      <c r="I259" s="173">
        <f>'Transport Data 14-16'!AG66</f>
        <v>4</v>
      </c>
      <c r="J259" s="173">
        <f>'Transport Data 14-16'!AH66</f>
        <v>4</v>
      </c>
      <c r="K259" s="173">
        <f>'Transport Data 14-16'!AI66</f>
        <v>4</v>
      </c>
      <c r="L259" s="173">
        <f>'Transport Data 14-16'!AJ66</f>
        <v>4</v>
      </c>
      <c r="M259" s="173">
        <f>'Transport Data 14-16'!AK66</f>
        <v>4</v>
      </c>
      <c r="N259" s="173">
        <f>'Transport Data 14-16'!AL66</f>
        <v>4</v>
      </c>
      <c r="O259" s="173">
        <f>'Transport Data 14-16'!AM66</f>
        <v>4</v>
      </c>
      <c r="P259" s="173">
        <f>'Transport Data 14-16'!AN66</f>
        <v>5</v>
      </c>
      <c r="Q259" s="173">
        <f>'Transport Data 14-16'!AO66</f>
        <v>5</v>
      </c>
      <c r="R259" s="173">
        <f>'Transport Data 14-16'!AP66</f>
        <v>5</v>
      </c>
      <c r="S259" s="173">
        <f>'Transport Data 14-16'!AQ66</f>
        <v>5</v>
      </c>
      <c r="T259" s="173">
        <f>'Transport Data 14-16'!AR66</f>
        <v>5</v>
      </c>
      <c r="U259" s="618">
        <f>'Transport Data 14-16'!AS66</f>
        <v>5</v>
      </c>
      <c r="V259" s="618">
        <f>'Transport Data 14-16'!AT66</f>
        <v>6</v>
      </c>
      <c r="W259" s="618">
        <f>'Transport Data 14-16'!AU66</f>
        <v>8</v>
      </c>
      <c r="X259" s="14"/>
    </row>
    <row r="260" spans="2:35" s="110" customFormat="1" x14ac:dyDescent="0.35">
      <c r="B260" s="12"/>
      <c r="C260" s="716"/>
      <c r="D260" s="716" t="s">
        <v>505</v>
      </c>
      <c r="E260" s="27" t="s">
        <v>136</v>
      </c>
      <c r="F260" s="574" t="s">
        <v>76</v>
      </c>
      <c r="G260" s="173">
        <f>'Transport Data 14-16'!AE67</f>
        <v>2847</v>
      </c>
      <c r="H260" s="173">
        <f>'Transport Data 14-16'!AF67</f>
        <v>2969</v>
      </c>
      <c r="I260" s="173">
        <f>'Transport Data 14-16'!AG67</f>
        <v>3093</v>
      </c>
      <c r="J260" s="173">
        <f>'Transport Data 14-16'!AH67</f>
        <v>3216</v>
      </c>
      <c r="K260" s="173">
        <f>'Transport Data 14-16'!AI67</f>
        <v>3393</v>
      </c>
      <c r="L260" s="173">
        <f>'Transport Data 14-16'!AJ67</f>
        <v>3556</v>
      </c>
      <c r="M260" s="173">
        <f>'Transport Data 14-16'!AK67</f>
        <v>3718</v>
      </c>
      <c r="N260" s="173">
        <f>'Transport Data 14-16'!AL67</f>
        <v>3889</v>
      </c>
      <c r="O260" s="173">
        <f>'Transport Data 14-16'!AM67</f>
        <v>4090</v>
      </c>
      <c r="P260" s="173">
        <f>'Transport Data 14-16'!AN67</f>
        <v>4267</v>
      </c>
      <c r="Q260" s="173">
        <f>'Transport Data 14-16'!AO67</f>
        <v>4471</v>
      </c>
      <c r="R260" s="173">
        <f>'Transport Data 14-16'!AP67</f>
        <v>4667</v>
      </c>
      <c r="S260" s="173">
        <f>'Transport Data 14-16'!AQ67</f>
        <v>4911</v>
      </c>
      <c r="T260" s="173">
        <f>'Transport Data 14-16'!AR67</f>
        <v>5163</v>
      </c>
      <c r="U260" s="618">
        <f>'Transport Data 14-16'!AS67</f>
        <v>5850</v>
      </c>
      <c r="V260" s="618">
        <f>'Transport Data 14-16'!AT67</f>
        <v>5670</v>
      </c>
      <c r="W260" s="618">
        <f>'Transport Data 14-16'!AU67</f>
        <v>5427</v>
      </c>
      <c r="X260" s="14"/>
    </row>
    <row r="261" spans="2:35" s="110" customFormat="1" x14ac:dyDescent="0.35">
      <c r="B261" s="12"/>
      <c r="C261" s="716"/>
      <c r="D261" s="716"/>
      <c r="E261" s="27" t="s">
        <v>41</v>
      </c>
      <c r="F261" s="574" t="s">
        <v>76</v>
      </c>
      <c r="G261" s="173">
        <f>'Transport Data 14-16'!AE68</f>
        <v>10223</v>
      </c>
      <c r="H261" s="173">
        <f>'Transport Data 14-16'!AF68</f>
        <v>10672</v>
      </c>
      <c r="I261" s="173">
        <f>'Transport Data 14-16'!AG68</f>
        <v>11133</v>
      </c>
      <c r="J261" s="173">
        <f>'Transport Data 14-16'!AH68</f>
        <v>11588</v>
      </c>
      <c r="K261" s="173">
        <f>'Transport Data 14-16'!AI68</f>
        <v>12237</v>
      </c>
      <c r="L261" s="173">
        <f>'Transport Data 14-16'!AJ68</f>
        <v>12834</v>
      </c>
      <c r="M261" s="173">
        <f>'Transport Data 14-16'!AK68</f>
        <v>13436</v>
      </c>
      <c r="N261" s="173">
        <f>'Transport Data 14-16'!AL68</f>
        <v>14059</v>
      </c>
      <c r="O261" s="173">
        <f>'Transport Data 14-16'!AM68</f>
        <v>14787</v>
      </c>
      <c r="P261" s="173">
        <f>'Transport Data 14-16'!AN68</f>
        <v>15420</v>
      </c>
      <c r="Q261" s="173">
        <f>'Transport Data 14-16'!AO68</f>
        <v>16157</v>
      </c>
      <c r="R261" s="173">
        <f>'Transport Data 14-16'!AP68</f>
        <v>16870</v>
      </c>
      <c r="S261" s="173">
        <f>'Transport Data 14-16'!AQ68</f>
        <v>17767</v>
      </c>
      <c r="T261" s="173">
        <f>'Transport Data 14-16'!AR68</f>
        <v>18692</v>
      </c>
      <c r="U261" s="618">
        <f>'Transport Data 14-16'!AS68</f>
        <v>20725</v>
      </c>
      <c r="V261" s="618">
        <f>'Transport Data 14-16'!AT68</f>
        <v>20526</v>
      </c>
      <c r="W261" s="618">
        <f>'Transport Data 14-16'!AU68</f>
        <v>20547</v>
      </c>
      <c r="X261" s="14"/>
    </row>
    <row r="262" spans="2:35" s="110" customFormat="1" x14ac:dyDescent="0.35">
      <c r="B262" s="12"/>
      <c r="C262" s="716"/>
      <c r="D262" s="716"/>
      <c r="E262" s="27" t="s">
        <v>117</v>
      </c>
      <c r="F262" s="574" t="s">
        <v>76</v>
      </c>
      <c r="G262" s="173">
        <f>'Transport Data 14-16'!AE69</f>
        <v>7</v>
      </c>
      <c r="H262" s="173">
        <f>'Transport Data 14-16'!AF69</f>
        <v>7</v>
      </c>
      <c r="I262" s="173">
        <f>'Transport Data 14-16'!AG69</f>
        <v>7</v>
      </c>
      <c r="J262" s="173">
        <f>'Transport Data 14-16'!AH69</f>
        <v>7</v>
      </c>
      <c r="K262" s="173">
        <f>'Transport Data 14-16'!AI69</f>
        <v>8</v>
      </c>
      <c r="L262" s="173">
        <f>'Transport Data 14-16'!AJ69</f>
        <v>8</v>
      </c>
      <c r="M262" s="173">
        <f>'Transport Data 14-16'!AK69</f>
        <v>9</v>
      </c>
      <c r="N262" s="173">
        <f>'Transport Data 14-16'!AL69</f>
        <v>9</v>
      </c>
      <c r="O262" s="173">
        <f>'Transport Data 14-16'!AM69</f>
        <v>10</v>
      </c>
      <c r="P262" s="173">
        <f>'Transport Data 14-16'!AN69</f>
        <v>10</v>
      </c>
      <c r="Q262" s="173">
        <f>'Transport Data 14-16'!AO69</f>
        <v>10</v>
      </c>
      <c r="R262" s="173">
        <f>'Transport Data 14-16'!AP69</f>
        <v>11</v>
      </c>
      <c r="S262" s="173">
        <f>'Transport Data 14-16'!AQ69</f>
        <v>12</v>
      </c>
      <c r="T262" s="173">
        <f>'Transport Data 14-16'!AR69</f>
        <v>13</v>
      </c>
      <c r="U262" s="618">
        <f>'Transport Data 14-16'!AS69</f>
        <v>14</v>
      </c>
      <c r="V262" s="618">
        <f>'Transport Data 14-16'!AT69</f>
        <v>15</v>
      </c>
      <c r="W262" s="618">
        <f>'Transport Data 14-16'!AU69</f>
        <v>14</v>
      </c>
      <c r="X262" s="14"/>
    </row>
    <row r="263" spans="2:35" s="110" customFormat="1" x14ac:dyDescent="0.35">
      <c r="B263" s="12"/>
      <c r="C263" s="27" t="s">
        <v>532</v>
      </c>
      <c r="D263" s="27" t="s">
        <v>507</v>
      </c>
      <c r="E263" s="27" t="s">
        <v>41</v>
      </c>
      <c r="F263" s="574" t="s">
        <v>76</v>
      </c>
      <c r="G263" s="173">
        <f>'Transport Data 14-16'!AE70</f>
        <v>2157</v>
      </c>
      <c r="H263" s="173">
        <f>'Transport Data 14-16'!AF70</f>
        <v>2249</v>
      </c>
      <c r="I263" s="173">
        <f>'Transport Data 14-16'!AG70</f>
        <v>2344</v>
      </c>
      <c r="J263" s="173">
        <f>'Transport Data 14-16'!AH70</f>
        <v>2436</v>
      </c>
      <c r="K263" s="173">
        <f>'Transport Data 14-16'!AI70</f>
        <v>2571</v>
      </c>
      <c r="L263" s="173">
        <f>'Transport Data 14-16'!AJ70</f>
        <v>2693</v>
      </c>
      <c r="M263" s="173">
        <f>'Transport Data 14-16'!AK70</f>
        <v>2816</v>
      </c>
      <c r="N263" s="173">
        <f>'Transport Data 14-16'!AL70</f>
        <v>2946</v>
      </c>
      <c r="O263" s="173">
        <f>'Transport Data 14-16'!AM70</f>
        <v>3098</v>
      </c>
      <c r="P263" s="173">
        <f>'Transport Data 14-16'!AN70</f>
        <v>3231</v>
      </c>
      <c r="Q263" s="173">
        <f>'Transport Data 14-16'!AO70</f>
        <v>3386</v>
      </c>
      <c r="R263" s="173">
        <f>'Transport Data 14-16'!AP70</f>
        <v>3534</v>
      </c>
      <c r="S263" s="173">
        <f>'Transport Data 14-16'!AQ70</f>
        <v>3719</v>
      </c>
      <c r="T263" s="173">
        <f>'Transport Data 14-16'!AR70</f>
        <v>3910</v>
      </c>
      <c r="U263" s="618">
        <f>'Transport Data 14-16'!AS70</f>
        <v>3163</v>
      </c>
      <c r="V263" s="618">
        <f>'Transport Data 14-16'!AT70</f>
        <v>4120</v>
      </c>
      <c r="W263" s="618">
        <f>'Transport Data 14-16'!AU70</f>
        <v>5670</v>
      </c>
      <c r="X263" s="14"/>
    </row>
    <row r="264" spans="2:35" s="110" customFormat="1" x14ac:dyDescent="0.35">
      <c r="B264" s="12"/>
      <c r="C264" s="27"/>
      <c r="D264" s="27" t="s">
        <v>505</v>
      </c>
      <c r="E264" s="27" t="s">
        <v>41</v>
      </c>
      <c r="F264" s="574" t="s">
        <v>76</v>
      </c>
      <c r="G264" s="173">
        <f>'Transport Data 14-16'!AE71</f>
        <v>8200</v>
      </c>
      <c r="H264" s="173">
        <f>'Transport Data 14-16'!AF71</f>
        <v>8550</v>
      </c>
      <c r="I264" s="173">
        <f>'Transport Data 14-16'!AG71</f>
        <v>8908</v>
      </c>
      <c r="J264" s="173">
        <f>'Transport Data 14-16'!AH71</f>
        <v>9261</v>
      </c>
      <c r="K264" s="173">
        <f>'Transport Data 14-16'!AI71</f>
        <v>9772</v>
      </c>
      <c r="L264" s="173">
        <f>'Transport Data 14-16'!AJ71</f>
        <v>10237</v>
      </c>
      <c r="M264" s="173">
        <f>'Transport Data 14-16'!AK71</f>
        <v>10704</v>
      </c>
      <c r="N264" s="173">
        <f>'Transport Data 14-16'!AL71</f>
        <v>11197</v>
      </c>
      <c r="O264" s="173">
        <f>'Transport Data 14-16'!AM71</f>
        <v>11776</v>
      </c>
      <c r="P264" s="173">
        <f>'Transport Data 14-16'!AN71</f>
        <v>12282</v>
      </c>
      <c r="Q264" s="173">
        <f>'Transport Data 14-16'!AO71</f>
        <v>12872</v>
      </c>
      <c r="R264" s="173">
        <f>'Transport Data 14-16'!AP71</f>
        <v>13435</v>
      </c>
      <c r="S264" s="173">
        <f>'Transport Data 14-16'!AQ71</f>
        <v>14139</v>
      </c>
      <c r="T264" s="173">
        <f>'Transport Data 14-16'!AR71</f>
        <v>14861</v>
      </c>
      <c r="U264" s="618">
        <f>'Transport Data 14-16'!AS71</f>
        <v>16596</v>
      </c>
      <c r="V264" s="618">
        <f>'Transport Data 14-16'!AT71</f>
        <v>16237</v>
      </c>
      <c r="W264" s="618">
        <f>'Transport Data 14-16'!AU71</f>
        <v>15960</v>
      </c>
      <c r="X264" s="14"/>
    </row>
    <row r="265" spans="2:35" s="8" customFormat="1" x14ac:dyDescent="0.35">
      <c r="B265" s="12"/>
      <c r="C265" s="27" t="s">
        <v>533</v>
      </c>
      <c r="D265" s="27"/>
      <c r="E265" s="27" t="s">
        <v>41</v>
      </c>
      <c r="F265" s="574" t="s">
        <v>76</v>
      </c>
      <c r="G265" s="173">
        <f>'Transport Data 14-16'!AE72</f>
        <v>8872</v>
      </c>
      <c r="H265" s="173">
        <f>'Transport Data 14-16'!AF72</f>
        <v>9263</v>
      </c>
      <c r="I265" s="173">
        <f>'Transport Data 14-16'!AG72</f>
        <v>9664</v>
      </c>
      <c r="J265" s="173">
        <f>'Transport Data 14-16'!AH72</f>
        <v>10062</v>
      </c>
      <c r="K265" s="173">
        <f>'Transport Data 14-16'!AI72</f>
        <v>10628</v>
      </c>
      <c r="L265" s="173">
        <f>'Transport Data 14-16'!AJ72</f>
        <v>11148</v>
      </c>
      <c r="M265" s="173">
        <f>'Transport Data 14-16'!AK72</f>
        <v>11674</v>
      </c>
      <c r="N265" s="173">
        <f>'Transport Data 14-16'!AL72</f>
        <v>12216</v>
      </c>
      <c r="O265" s="173">
        <f>'Transport Data 14-16'!AM72</f>
        <v>12849</v>
      </c>
      <c r="P265" s="173">
        <f>'Transport Data 14-16'!AN72</f>
        <v>13398</v>
      </c>
      <c r="Q265" s="173">
        <f>'Transport Data 14-16'!AO72</f>
        <v>14038</v>
      </c>
      <c r="R265" s="173">
        <f>'Transport Data 14-16'!AP72</f>
        <v>14657</v>
      </c>
      <c r="S265" s="173">
        <f>'Transport Data 14-16'!AQ72</f>
        <v>15440</v>
      </c>
      <c r="T265" s="173">
        <f>'Transport Data 14-16'!AR72</f>
        <v>16245</v>
      </c>
      <c r="U265" s="618">
        <f>'Transport Data 14-16'!AS72</f>
        <v>19405</v>
      </c>
      <c r="V265" s="618">
        <f>'Transport Data 14-16'!AT72</f>
        <v>17468</v>
      </c>
      <c r="W265" s="618">
        <f>'Transport Data 14-16'!AU72</f>
        <v>16788</v>
      </c>
      <c r="X265" s="14"/>
    </row>
    <row r="266" spans="2:35" s="8" customFormat="1" x14ac:dyDescent="0.35">
      <c r="B266" s="12"/>
      <c r="C266" s="27" t="s">
        <v>275</v>
      </c>
      <c r="D266" s="27"/>
      <c r="E266" s="27" t="s">
        <v>41</v>
      </c>
      <c r="F266" s="574" t="s">
        <v>76</v>
      </c>
      <c r="G266" s="173">
        <f>'Transport Data 14-16'!AE73</f>
        <v>1840</v>
      </c>
      <c r="H266" s="173">
        <f>'Transport Data 14-16'!AF73</f>
        <v>1921</v>
      </c>
      <c r="I266" s="173">
        <f>'Transport Data 14-16'!AG73</f>
        <v>2004</v>
      </c>
      <c r="J266" s="173">
        <f>'Transport Data 14-16'!AH73</f>
        <v>2085</v>
      </c>
      <c r="K266" s="173">
        <f>'Transport Data 14-16'!AI73</f>
        <v>2202</v>
      </c>
      <c r="L266" s="173">
        <f>'Transport Data 14-16'!AJ73</f>
        <v>2310</v>
      </c>
      <c r="M266" s="173">
        <f>'Transport Data 14-16'!AK73</f>
        <v>2419</v>
      </c>
      <c r="N266" s="173">
        <f>'Transport Data 14-16'!AL73</f>
        <v>2531</v>
      </c>
      <c r="O266" s="173">
        <f>'Transport Data 14-16'!AM73</f>
        <v>2662</v>
      </c>
      <c r="P266" s="173">
        <f>'Transport Data 14-16'!AN73</f>
        <v>2776</v>
      </c>
      <c r="Q266" s="173">
        <f>'Transport Data 14-16'!AO73</f>
        <v>2908</v>
      </c>
      <c r="R266" s="173">
        <f>'Transport Data 14-16'!AP73</f>
        <v>3038</v>
      </c>
      <c r="S266" s="173">
        <f>'Transport Data 14-16'!AQ73</f>
        <v>3198</v>
      </c>
      <c r="T266" s="173">
        <f>'Transport Data 14-16'!AR73</f>
        <v>3365</v>
      </c>
      <c r="U266" s="618">
        <f>'Transport Data 14-16'!AS73</f>
        <v>3416</v>
      </c>
      <c r="V266" s="618">
        <f>'Transport Data 14-16'!AT73</f>
        <v>3729</v>
      </c>
      <c r="W266" s="618">
        <f>'Transport Data 14-16'!AU73</f>
        <v>4013</v>
      </c>
      <c r="X266" s="464"/>
      <c r="Y266" s="84"/>
      <c r="Z266" s="84"/>
      <c r="AA266" s="84"/>
      <c r="AB266" s="84"/>
      <c r="AC266" s="84"/>
      <c r="AD266" s="84"/>
      <c r="AE266" s="84"/>
      <c r="AF266" s="84"/>
      <c r="AG266" s="84"/>
      <c r="AH266" s="84"/>
      <c r="AI266" s="84"/>
    </row>
    <row r="267" spans="2:35" s="8" customFormat="1" x14ac:dyDescent="0.35">
      <c r="B267" s="12"/>
      <c r="C267" s="721" t="s">
        <v>219</v>
      </c>
      <c r="D267" s="721"/>
      <c r="E267" s="721"/>
      <c r="F267" s="574" t="s">
        <v>76</v>
      </c>
      <c r="G267" s="618">
        <f>SUM(G246:G266)</f>
        <v>248693</v>
      </c>
      <c r="H267" s="618">
        <f t="shared" ref="H267:W267" si="115">SUM(H246:H266)</f>
        <v>259472</v>
      </c>
      <c r="I267" s="618">
        <f t="shared" si="115"/>
        <v>270516</v>
      </c>
      <c r="J267" s="618">
        <f t="shared" si="115"/>
        <v>281417</v>
      </c>
      <c r="K267" s="618">
        <f t="shared" si="115"/>
        <v>297061</v>
      </c>
      <c r="L267" s="618">
        <f t="shared" si="115"/>
        <v>311390</v>
      </c>
      <c r="M267" s="618">
        <f t="shared" si="115"/>
        <v>325809</v>
      </c>
      <c r="N267" s="618">
        <f t="shared" si="115"/>
        <v>340870</v>
      </c>
      <c r="O267" s="618">
        <f t="shared" si="115"/>
        <v>358504</v>
      </c>
      <c r="P267" s="618">
        <f t="shared" si="115"/>
        <v>373881</v>
      </c>
      <c r="Q267" s="618">
        <f t="shared" si="115"/>
        <v>391785</v>
      </c>
      <c r="R267" s="618">
        <f t="shared" si="115"/>
        <v>409002</v>
      </c>
      <c r="S267" s="618">
        <f t="shared" si="115"/>
        <v>430600</v>
      </c>
      <c r="T267" s="618">
        <f t="shared" si="115"/>
        <v>452827</v>
      </c>
      <c r="U267" s="618">
        <f t="shared" si="115"/>
        <v>476031</v>
      </c>
      <c r="V267" s="618">
        <f t="shared" si="115"/>
        <v>497998</v>
      </c>
      <c r="W267" s="618">
        <f t="shared" si="115"/>
        <v>520638</v>
      </c>
      <c r="X267" s="464"/>
      <c r="Y267" s="84"/>
      <c r="Z267" s="84"/>
      <c r="AA267" s="84"/>
      <c r="AB267" s="84"/>
      <c r="AC267" s="84"/>
      <c r="AD267" s="84"/>
      <c r="AE267" s="84"/>
      <c r="AF267" s="84"/>
      <c r="AG267" s="84"/>
      <c r="AH267" s="84"/>
      <c r="AI267" s="84"/>
    </row>
    <row r="268" spans="2:35" s="8" customFormat="1" ht="15" thickBot="1" x14ac:dyDescent="0.4">
      <c r="B268" s="18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626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84"/>
    </row>
    <row r="269" spans="2:35" s="8" customFormat="1" ht="15" thickBot="1" x14ac:dyDescent="0.4"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  <c r="AH269" s="84"/>
      <c r="AI269" s="84"/>
    </row>
    <row r="270" spans="2:35" x14ac:dyDescent="0.35">
      <c r="B270" s="9"/>
      <c r="C270" s="10"/>
      <c r="D270" s="10"/>
      <c r="E270" s="10"/>
      <c r="F270" s="10"/>
      <c r="G270" s="11"/>
    </row>
    <row r="271" spans="2:35" x14ac:dyDescent="0.35">
      <c r="B271" s="12"/>
      <c r="C271" s="25" t="s">
        <v>283</v>
      </c>
      <c r="D271" s="25" t="s">
        <v>64</v>
      </c>
      <c r="E271" s="25" t="s">
        <v>87</v>
      </c>
      <c r="F271" s="25" t="s">
        <v>284</v>
      </c>
      <c r="G271" s="14"/>
    </row>
    <row r="272" spans="2:35" x14ac:dyDescent="0.35">
      <c r="B272" s="12"/>
      <c r="C272" s="27" t="s">
        <v>136</v>
      </c>
      <c r="D272" s="429" t="s">
        <v>76</v>
      </c>
      <c r="E272" s="27" t="s">
        <v>285</v>
      </c>
      <c r="F272" s="223">
        <f>1/(1384/1000)</f>
        <v>0.7225433526011561</v>
      </c>
      <c r="G272" s="14"/>
      <c r="AD272" s="50"/>
      <c r="AE272" s="50"/>
      <c r="AF272" s="50"/>
    </row>
    <row r="273" spans="2:32" x14ac:dyDescent="0.35">
      <c r="B273" s="12"/>
      <c r="C273" s="27" t="s">
        <v>41</v>
      </c>
      <c r="D273" s="429" t="s">
        <v>76</v>
      </c>
      <c r="E273" s="27" t="s">
        <v>285</v>
      </c>
      <c r="F273" s="223">
        <f>1/(1174.24/1000)</f>
        <v>0.85161466139801067</v>
      </c>
      <c r="G273" s="14"/>
      <c r="AF273" s="50"/>
    </row>
    <row r="274" spans="2:32" x14ac:dyDescent="0.35">
      <c r="B274" s="12"/>
      <c r="C274" s="27" t="s">
        <v>117</v>
      </c>
      <c r="D274" s="429" t="s">
        <v>76</v>
      </c>
      <c r="E274" s="27" t="s">
        <v>285</v>
      </c>
      <c r="F274" s="223">
        <f>1/(1769.9/1000)</f>
        <v>0.5650036725238714</v>
      </c>
      <c r="G274" s="14"/>
    </row>
    <row r="275" spans="2:32" x14ac:dyDescent="0.35">
      <c r="B275" s="12"/>
      <c r="C275" s="25" t="s">
        <v>286</v>
      </c>
      <c r="D275" s="25" t="s">
        <v>64</v>
      </c>
      <c r="E275" s="25" t="s">
        <v>87</v>
      </c>
      <c r="F275" s="25" t="s">
        <v>284</v>
      </c>
      <c r="G275" s="14"/>
    </row>
    <row r="276" spans="2:32" x14ac:dyDescent="0.35">
      <c r="B276" s="12"/>
      <c r="C276" s="709" t="s">
        <v>287</v>
      </c>
      <c r="D276" s="710" t="s">
        <v>75</v>
      </c>
      <c r="E276" s="27" t="s">
        <v>288</v>
      </c>
      <c r="F276" s="27">
        <v>6.5</v>
      </c>
      <c r="G276" s="14"/>
    </row>
    <row r="277" spans="2:32" x14ac:dyDescent="0.35">
      <c r="B277" s="12"/>
      <c r="C277" s="709"/>
      <c r="D277" s="711"/>
      <c r="E277" s="27" t="s">
        <v>289</v>
      </c>
      <c r="F277" s="27">
        <v>13500</v>
      </c>
      <c r="G277" s="14"/>
    </row>
    <row r="278" spans="2:32" x14ac:dyDescent="0.35">
      <c r="B278" s="12"/>
      <c r="C278" s="709" t="s">
        <v>290</v>
      </c>
      <c r="D278" s="710" t="s">
        <v>75</v>
      </c>
      <c r="E278" s="27" t="s">
        <v>288</v>
      </c>
      <c r="F278" s="27">
        <v>9</v>
      </c>
      <c r="G278" s="14"/>
    </row>
    <row r="279" spans="2:32" x14ac:dyDescent="0.35">
      <c r="B279" s="12"/>
      <c r="C279" s="709"/>
      <c r="D279" s="711"/>
      <c r="E279" s="27" t="s">
        <v>289</v>
      </c>
      <c r="F279" s="27">
        <v>13500</v>
      </c>
      <c r="G279" s="14"/>
    </row>
    <row r="280" spans="2:32" x14ac:dyDescent="0.35">
      <c r="B280" s="12"/>
      <c r="C280" s="709" t="s">
        <v>291</v>
      </c>
      <c r="D280" s="710" t="s">
        <v>75</v>
      </c>
      <c r="E280" s="27" t="s">
        <v>288</v>
      </c>
      <c r="F280" s="27">
        <v>9</v>
      </c>
      <c r="G280" s="14"/>
    </row>
    <row r="281" spans="2:32" x14ac:dyDescent="0.35">
      <c r="B281" s="12"/>
      <c r="C281" s="709"/>
      <c r="D281" s="711"/>
      <c r="E281" s="27" t="s">
        <v>289</v>
      </c>
      <c r="F281" s="27">
        <v>13500</v>
      </c>
      <c r="G281" s="14"/>
    </row>
    <row r="282" spans="2:32" x14ac:dyDescent="0.35">
      <c r="B282" s="12"/>
      <c r="C282" s="709" t="s">
        <v>292</v>
      </c>
      <c r="D282" s="710" t="s">
        <v>75</v>
      </c>
      <c r="E282" s="27" t="s">
        <v>288</v>
      </c>
      <c r="F282" s="27">
        <f>AVERAGE(3,2.5)</f>
        <v>2.75</v>
      </c>
      <c r="G282" s="14"/>
    </row>
    <row r="283" spans="2:32" x14ac:dyDescent="0.35">
      <c r="B283" s="12"/>
      <c r="C283" s="709"/>
      <c r="D283" s="711"/>
      <c r="E283" s="27" t="s">
        <v>289</v>
      </c>
      <c r="F283" s="27">
        <v>5600</v>
      </c>
      <c r="G283" s="14"/>
    </row>
    <row r="284" spans="2:32" x14ac:dyDescent="0.35">
      <c r="B284" s="12"/>
      <c r="C284" s="709" t="s">
        <v>273</v>
      </c>
      <c r="D284" s="710" t="s">
        <v>75</v>
      </c>
      <c r="E284" s="27" t="s">
        <v>288</v>
      </c>
      <c r="F284" s="27">
        <v>11.5</v>
      </c>
      <c r="G284" s="14"/>
    </row>
    <row r="285" spans="2:32" x14ac:dyDescent="0.35">
      <c r="B285" s="12"/>
      <c r="C285" s="709"/>
      <c r="D285" s="711"/>
      <c r="E285" s="27" t="s">
        <v>289</v>
      </c>
      <c r="F285" s="27">
        <v>13500</v>
      </c>
      <c r="G285" s="14"/>
    </row>
    <row r="286" spans="2:32" x14ac:dyDescent="0.35">
      <c r="B286" s="12"/>
      <c r="C286" s="709" t="s">
        <v>556</v>
      </c>
      <c r="D286" s="710" t="s">
        <v>75</v>
      </c>
      <c r="E286" s="27" t="s">
        <v>288</v>
      </c>
      <c r="F286" s="27">
        <v>11.5</v>
      </c>
      <c r="G286" s="14"/>
    </row>
    <row r="287" spans="2:32" x14ac:dyDescent="0.35">
      <c r="B287" s="12"/>
      <c r="C287" s="709"/>
      <c r="D287" s="711"/>
      <c r="E287" s="27" t="s">
        <v>289</v>
      </c>
      <c r="F287" s="27">
        <v>13500</v>
      </c>
      <c r="G287" s="14"/>
    </row>
    <row r="288" spans="2:32" s="110" customFormat="1" x14ac:dyDescent="0.35">
      <c r="B288" s="12"/>
      <c r="C288" s="709" t="s">
        <v>557</v>
      </c>
      <c r="D288" s="710" t="s">
        <v>75</v>
      </c>
      <c r="E288" s="27" t="s">
        <v>293</v>
      </c>
      <c r="F288" s="27">
        <v>30.3</v>
      </c>
      <c r="G288" s="14"/>
    </row>
    <row r="289" spans="2:23" s="110" customFormat="1" x14ac:dyDescent="0.35">
      <c r="B289" s="12"/>
      <c r="C289" s="709"/>
      <c r="D289" s="711"/>
      <c r="E289" s="27" t="s">
        <v>289</v>
      </c>
      <c r="F289" s="27">
        <v>13500</v>
      </c>
      <c r="G289" s="14"/>
    </row>
    <row r="290" spans="2:23" x14ac:dyDescent="0.35">
      <c r="B290" s="12"/>
      <c r="C290" s="709" t="s">
        <v>275</v>
      </c>
      <c r="D290" s="710" t="s">
        <v>75</v>
      </c>
      <c r="E290" s="27" t="s">
        <v>293</v>
      </c>
      <c r="F290" s="27">
        <v>30.3</v>
      </c>
      <c r="G290" s="14"/>
    </row>
    <row r="291" spans="2:23" x14ac:dyDescent="0.35">
      <c r="B291" s="12"/>
      <c r="C291" s="709"/>
      <c r="D291" s="711"/>
      <c r="E291" s="27" t="s">
        <v>289</v>
      </c>
      <c r="F291" s="27">
        <v>38000</v>
      </c>
      <c r="G291" s="14"/>
    </row>
    <row r="292" spans="2:23" ht="15" thickBot="1" x14ac:dyDescent="0.4">
      <c r="B292" s="18"/>
      <c r="C292" s="174"/>
      <c r="D292" s="22"/>
      <c r="E292" s="22"/>
      <c r="F292" s="22"/>
      <c r="G292" s="21"/>
    </row>
    <row r="293" spans="2:23" ht="15" thickBot="1" x14ac:dyDescent="0.4"/>
    <row r="294" spans="2:23" x14ac:dyDescent="0.35">
      <c r="B294" s="9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1"/>
    </row>
    <row r="295" spans="2:23" x14ac:dyDescent="0.35">
      <c r="B295" s="12"/>
      <c r="C295" s="13" t="s">
        <v>469</v>
      </c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14"/>
    </row>
    <row r="296" spans="2:23" x14ac:dyDescent="0.35">
      <c r="B296" s="12"/>
      <c r="C296" s="13" t="s">
        <v>468</v>
      </c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14"/>
    </row>
    <row r="297" spans="2:23" x14ac:dyDescent="0.35">
      <c r="B297" s="12"/>
      <c r="C297" s="25" t="s">
        <v>470</v>
      </c>
      <c r="D297" s="25" t="s">
        <v>64</v>
      </c>
      <c r="E297" s="25" t="s">
        <v>13</v>
      </c>
      <c r="F297" s="25">
        <v>2000</v>
      </c>
      <c r="G297" s="25">
        <v>2001</v>
      </c>
      <c r="H297" s="25">
        <v>2002</v>
      </c>
      <c r="I297" s="25">
        <v>2003</v>
      </c>
      <c r="J297" s="25">
        <v>2004</v>
      </c>
      <c r="K297" s="25">
        <v>2005</v>
      </c>
      <c r="L297" s="25">
        <v>2006</v>
      </c>
      <c r="M297" s="25">
        <v>2007</v>
      </c>
      <c r="N297" s="25">
        <v>2008</v>
      </c>
      <c r="O297" s="25">
        <v>2009</v>
      </c>
      <c r="P297" s="25">
        <v>2010</v>
      </c>
      <c r="Q297" s="25">
        <v>2011</v>
      </c>
      <c r="R297" s="25">
        <v>2012</v>
      </c>
      <c r="S297" s="25">
        <v>2013</v>
      </c>
      <c r="T297" s="25">
        <v>2014</v>
      </c>
      <c r="U297" s="25">
        <v>2015</v>
      </c>
      <c r="V297" s="25">
        <v>2016</v>
      </c>
      <c r="W297" s="14"/>
    </row>
    <row r="298" spans="2:23" x14ac:dyDescent="0.35">
      <c r="B298" s="12"/>
      <c r="C298" s="27" t="s">
        <v>471</v>
      </c>
      <c r="D298" s="492" t="s">
        <v>453</v>
      </c>
      <c r="E298" s="173" t="s">
        <v>2</v>
      </c>
      <c r="F298" s="173">
        <v>0</v>
      </c>
      <c r="G298" s="173">
        <v>0</v>
      </c>
      <c r="H298" s="173">
        <v>0</v>
      </c>
      <c r="I298" s="173">
        <v>0</v>
      </c>
      <c r="J298" s="173">
        <v>0</v>
      </c>
      <c r="K298" s="173">
        <v>0</v>
      </c>
      <c r="L298" s="173">
        <v>0</v>
      </c>
      <c r="M298" s="173">
        <v>0</v>
      </c>
      <c r="N298" s="173">
        <v>0</v>
      </c>
      <c r="O298" s="173">
        <v>0</v>
      </c>
      <c r="P298" s="173">
        <v>0</v>
      </c>
      <c r="Q298" s="173">
        <v>16</v>
      </c>
      <c r="R298" s="173">
        <v>18</v>
      </c>
      <c r="S298" s="173">
        <v>17</v>
      </c>
      <c r="T298" s="173">
        <v>15</v>
      </c>
      <c r="U298" s="173">
        <v>11</v>
      </c>
      <c r="V298" s="173">
        <v>13</v>
      </c>
      <c r="W298" s="14"/>
    </row>
    <row r="299" spans="2:23" ht="15" thickBot="1" x14ac:dyDescent="0.4">
      <c r="B299" s="18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1"/>
    </row>
  </sheetData>
  <mergeCells count="66">
    <mergeCell ref="C267:E267"/>
    <mergeCell ref="C246:C255"/>
    <mergeCell ref="D246:D250"/>
    <mergeCell ref="D251:D255"/>
    <mergeCell ref="C256:D256"/>
    <mergeCell ref="C257:C262"/>
    <mergeCell ref="D257:D259"/>
    <mergeCell ref="D260:D262"/>
    <mergeCell ref="C78:C79"/>
    <mergeCell ref="D78:D79"/>
    <mergeCell ref="C81:C82"/>
    <mergeCell ref="C83:C84"/>
    <mergeCell ref="D81:D82"/>
    <mergeCell ref="D83:D84"/>
    <mergeCell ref="C85:C86"/>
    <mergeCell ref="C87:C88"/>
    <mergeCell ref="C90:C91"/>
    <mergeCell ref="C80:V80"/>
    <mergeCell ref="C89:V89"/>
    <mergeCell ref="D85:D86"/>
    <mergeCell ref="D87:D88"/>
    <mergeCell ref="C196:C197"/>
    <mergeCell ref="C198:C199"/>
    <mergeCell ref="D196:D197"/>
    <mergeCell ref="D198:D199"/>
    <mergeCell ref="D90:D91"/>
    <mergeCell ref="C157:C158"/>
    <mergeCell ref="D157:D158"/>
    <mergeCell ref="C117:V117"/>
    <mergeCell ref="C122:V122"/>
    <mergeCell ref="C97:V97"/>
    <mergeCell ref="C100:V100"/>
    <mergeCell ref="C105:V105"/>
    <mergeCell ref="C107:V107"/>
    <mergeCell ref="C112:V112"/>
    <mergeCell ref="W203:W204"/>
    <mergeCell ref="D203:H203"/>
    <mergeCell ref="I203:L203"/>
    <mergeCell ref="M203:O203"/>
    <mergeCell ref="C203:C204"/>
    <mergeCell ref="C286:C287"/>
    <mergeCell ref="C290:C291"/>
    <mergeCell ref="D276:D277"/>
    <mergeCell ref="D278:D279"/>
    <mergeCell ref="D280:D281"/>
    <mergeCell ref="D282:D283"/>
    <mergeCell ref="D284:D285"/>
    <mergeCell ref="D286:D287"/>
    <mergeCell ref="D290:D291"/>
    <mergeCell ref="C276:C277"/>
    <mergeCell ref="C278:C279"/>
    <mergeCell ref="C280:C281"/>
    <mergeCell ref="C282:C283"/>
    <mergeCell ref="C284:C285"/>
    <mergeCell ref="C288:C289"/>
    <mergeCell ref="D288:D289"/>
    <mergeCell ref="C32:C33"/>
    <mergeCell ref="D72:E72"/>
    <mergeCell ref="D73:E73"/>
    <mergeCell ref="D50:E50"/>
    <mergeCell ref="D51:E51"/>
    <mergeCell ref="D52:E52"/>
    <mergeCell ref="D53:E53"/>
    <mergeCell ref="D54:E54"/>
    <mergeCell ref="D55:E55"/>
    <mergeCell ref="D56:E5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F6F6F-5924-41C5-BCE8-3A1383B5834C}">
  <sheetPr>
    <tabColor theme="6" tint="0.39997558519241921"/>
  </sheetPr>
  <dimension ref="B2:AY462"/>
  <sheetViews>
    <sheetView topLeftCell="M121" zoomScale="40" zoomScaleNormal="40" workbookViewId="0">
      <selection activeCell="AC169" sqref="AC169"/>
    </sheetView>
  </sheetViews>
  <sheetFormatPr baseColWidth="10" defaultRowHeight="14.5" x14ac:dyDescent="0.35"/>
  <cols>
    <col min="1" max="1" width="4.6328125" customWidth="1"/>
    <col min="2" max="3" width="6.6328125" style="110" customWidth="1"/>
    <col min="4" max="4" width="16.6328125" bestFit="1" customWidth="1"/>
    <col min="5" max="5" width="10.54296875" customWidth="1"/>
    <col min="6" max="6" width="21.26953125" bestFit="1" customWidth="1"/>
    <col min="7" max="7" width="18" customWidth="1"/>
    <col min="8" max="8" width="13.36328125" customWidth="1"/>
    <col min="9" max="9" width="14.36328125" customWidth="1"/>
    <col min="10" max="10" width="16" style="110" bestFit="1" customWidth="1"/>
    <col min="11" max="12" width="16" style="110" customWidth="1"/>
    <col min="13" max="13" width="11.7265625" customWidth="1"/>
    <col min="14" max="14" width="24.08984375" bestFit="1" customWidth="1"/>
    <col min="15" max="15" width="22.90625" bestFit="1" customWidth="1"/>
    <col min="16" max="16" width="13.81640625" customWidth="1"/>
    <col min="17" max="17" width="7.90625" bestFit="1" customWidth="1"/>
    <col min="18" max="18" width="11.90625" bestFit="1" customWidth="1"/>
    <col min="19" max="19" width="13.453125" style="110" customWidth="1"/>
    <col min="20" max="20" width="18.1796875" style="110" customWidth="1"/>
    <col min="21" max="23" width="9.26953125" style="110" customWidth="1"/>
    <col min="24" max="24" width="6" style="110" bestFit="1" customWidth="1"/>
    <col min="25" max="25" width="6" bestFit="1" customWidth="1"/>
    <col min="26" max="26" width="12.1796875" bestFit="1" customWidth="1"/>
    <col min="27" max="27" width="7.6328125" bestFit="1" customWidth="1"/>
    <col min="28" max="28" width="19.36328125" bestFit="1" customWidth="1"/>
    <col min="29" max="29" width="23" customWidth="1"/>
    <col min="30" max="30" width="15.36328125" customWidth="1"/>
    <col min="31" max="32" width="8.7265625" bestFit="1" customWidth="1"/>
    <col min="33" max="35" width="8.26953125" bestFit="1" customWidth="1"/>
    <col min="36" max="40" width="8.7265625" bestFit="1" customWidth="1"/>
    <col min="41" max="41" width="8.26953125" bestFit="1" customWidth="1"/>
    <col min="42" max="47" width="8.7265625" bestFit="1" customWidth="1"/>
    <col min="48" max="48" width="5.36328125" bestFit="1" customWidth="1"/>
    <col min="49" max="49" width="6" bestFit="1" customWidth="1"/>
    <col min="50" max="50" width="9.6328125" bestFit="1" customWidth="1"/>
    <col min="51" max="51" width="11.81640625" bestFit="1" customWidth="1"/>
  </cols>
  <sheetData>
    <row r="2" spans="2:48" x14ac:dyDescent="0.35">
      <c r="B2" s="586" t="s">
        <v>272</v>
      </c>
      <c r="C2" s="586" t="s">
        <v>518</v>
      </c>
      <c r="D2" s="586" t="s">
        <v>501</v>
      </c>
      <c r="E2" s="586" t="s">
        <v>57</v>
      </c>
      <c r="F2" s="586" t="s">
        <v>502</v>
      </c>
      <c r="G2" s="586" t="s">
        <v>503</v>
      </c>
      <c r="H2" s="586" t="s">
        <v>506</v>
      </c>
      <c r="I2" s="586" t="s">
        <v>517</v>
      </c>
      <c r="J2" s="586" t="s">
        <v>520</v>
      </c>
      <c r="K2" s="586" t="s">
        <v>521</v>
      </c>
      <c r="L2" s="586" t="s">
        <v>524</v>
      </c>
      <c r="O2" s="591" t="s">
        <v>512</v>
      </c>
      <c r="S2"/>
      <c r="T2"/>
      <c r="U2"/>
      <c r="V2"/>
    </row>
    <row r="3" spans="2:48" x14ac:dyDescent="0.35">
      <c r="B3" s="592">
        <v>2014</v>
      </c>
      <c r="C3" s="592" t="s">
        <v>59</v>
      </c>
      <c r="D3" s="593" t="s">
        <v>275</v>
      </c>
      <c r="E3" s="593" t="s">
        <v>41</v>
      </c>
      <c r="F3" s="583"/>
      <c r="G3" s="594"/>
      <c r="H3" s="595">
        <v>0</v>
      </c>
      <c r="I3" s="596">
        <v>0</v>
      </c>
      <c r="J3" s="44">
        <f>IF(Tabla1[[#This Row],[Number of vehicle]]="",0,(Tabla1[[#This Row],[Number of vehicle]]*Tabla1[[#This Row],[km travelled]])/Tabla1[[#This Row],[Fuel economy (km/L)]])</f>
        <v>0</v>
      </c>
      <c r="K3" s="44">
        <f>Tabla1[[#This Row],[Consumption (L)]]/$F$455</f>
        <v>0</v>
      </c>
      <c r="L3" s="44">
        <f>Tabla1[[#This Row],[Consumption (ton)]]/1000</f>
        <v>0</v>
      </c>
      <c r="O3" s="110">
        <v>2014</v>
      </c>
      <c r="Q3" s="110">
        <v>2015</v>
      </c>
      <c r="S3" s="110">
        <v>2016</v>
      </c>
      <c r="T3"/>
      <c r="U3" s="110" t="s">
        <v>523</v>
      </c>
      <c r="V3" s="110" t="s">
        <v>525</v>
      </c>
    </row>
    <row r="4" spans="2:48" x14ac:dyDescent="0.35">
      <c r="B4" s="584">
        <v>2014</v>
      </c>
      <c r="C4" s="592" t="s">
        <v>59</v>
      </c>
      <c r="D4" s="40" t="s">
        <v>275</v>
      </c>
      <c r="E4" s="40" t="s">
        <v>41</v>
      </c>
      <c r="F4" s="578"/>
      <c r="G4" s="577">
        <v>1061</v>
      </c>
      <c r="H4" s="575">
        <v>10000</v>
      </c>
      <c r="I4" s="585">
        <v>3.8461538461538458</v>
      </c>
      <c r="J4" s="44">
        <f>IF(Tabla1[[#This Row],[Number of vehicle]]="",0,(Tabla1[[#This Row],[Number of vehicle]]*Tabla1[[#This Row],[km travelled]])/Tabla1[[#This Row],[Fuel economy (km/L)]])</f>
        <v>2758600.0000000005</v>
      </c>
      <c r="K4" s="44">
        <f>Tabla1[[#This Row],[Consumption (L)]]/$F$455</f>
        <v>2349.7444633730838</v>
      </c>
      <c r="L4" s="44">
        <f>Tabla1[[#This Row],[Consumption (ton)]]/1000</f>
        <v>2.3497444633730837</v>
      </c>
      <c r="N4" s="591" t="s">
        <v>514</v>
      </c>
      <c r="O4" s="110" t="s">
        <v>516</v>
      </c>
      <c r="P4" s="110" t="s">
        <v>526</v>
      </c>
      <c r="Q4" s="110" t="s">
        <v>516</v>
      </c>
      <c r="R4" s="110" t="s">
        <v>526</v>
      </c>
      <c r="S4" s="110" t="s">
        <v>516</v>
      </c>
      <c r="T4" s="110" t="s">
        <v>526</v>
      </c>
      <c r="U4"/>
      <c r="V4"/>
      <c r="W4" s="152"/>
      <c r="X4" s="152"/>
      <c r="AB4" s="729" t="s">
        <v>139</v>
      </c>
      <c r="AC4" s="729"/>
      <c r="AD4" s="729"/>
      <c r="AE4">
        <v>2000</v>
      </c>
      <c r="AF4">
        <v>2001</v>
      </c>
      <c r="AG4">
        <v>2002</v>
      </c>
      <c r="AH4" s="110">
        <v>2003</v>
      </c>
      <c r="AI4" s="110">
        <v>2004</v>
      </c>
      <c r="AJ4" s="110">
        <v>2005</v>
      </c>
      <c r="AK4" s="110">
        <v>2006</v>
      </c>
      <c r="AL4" s="110">
        <v>2007</v>
      </c>
      <c r="AM4" s="110">
        <v>2008</v>
      </c>
      <c r="AN4" s="110">
        <v>2009</v>
      </c>
      <c r="AO4" s="110">
        <v>2010</v>
      </c>
      <c r="AP4" s="110">
        <v>2011</v>
      </c>
      <c r="AQ4" s="110">
        <v>2012</v>
      </c>
      <c r="AR4" s="110">
        <v>2013</v>
      </c>
      <c r="AS4" s="110">
        <v>2014</v>
      </c>
      <c r="AT4" s="110">
        <v>2015</v>
      </c>
      <c r="AU4" s="110">
        <v>2016</v>
      </c>
    </row>
    <row r="5" spans="2:48" x14ac:dyDescent="0.35">
      <c r="B5" s="584">
        <v>2014</v>
      </c>
      <c r="C5" s="592" t="s">
        <v>59</v>
      </c>
      <c r="D5" s="40" t="s">
        <v>275</v>
      </c>
      <c r="E5" s="40" t="s">
        <v>41</v>
      </c>
      <c r="F5" s="578"/>
      <c r="G5" s="577">
        <v>2183</v>
      </c>
      <c r="H5" s="575">
        <v>50000</v>
      </c>
      <c r="I5" s="585">
        <v>3.3333333333333335</v>
      </c>
      <c r="J5" s="44">
        <f>IF(Tabla1[[#This Row],[Number of vehicle]]="",0,(Tabla1[[#This Row],[Number of vehicle]]*Tabla1[[#This Row],[km travelled]])/Tabla1[[#This Row],[Fuel economy (km/L)]])</f>
        <v>32745000</v>
      </c>
      <c r="K5" s="44">
        <f>Tabla1[[#This Row],[Consumption (L)]]/$F$455</f>
        <v>27891.822827938671</v>
      </c>
      <c r="L5" s="44">
        <f>Tabla1[[#This Row],[Consumption (ton)]]/1000</f>
        <v>27.891822827938672</v>
      </c>
      <c r="N5" s="220" t="s">
        <v>275</v>
      </c>
      <c r="O5" s="152">
        <v>3416</v>
      </c>
      <c r="P5" s="152">
        <v>31.421805792163546</v>
      </c>
      <c r="Q5" s="152">
        <v>3729</v>
      </c>
      <c r="R5" s="152">
        <v>31.99156729131175</v>
      </c>
      <c r="S5" s="152">
        <v>4013</v>
      </c>
      <c r="T5" s="152">
        <v>38.341908006814307</v>
      </c>
      <c r="U5" s="152">
        <v>11158</v>
      </c>
      <c r="V5" s="152">
        <v>101.7552810902896</v>
      </c>
      <c r="W5" s="152"/>
      <c r="X5" s="152"/>
      <c r="AB5" s="716" t="s">
        <v>531</v>
      </c>
      <c r="AC5" s="716" t="s">
        <v>507</v>
      </c>
      <c r="AD5" s="27" t="s">
        <v>136</v>
      </c>
      <c r="AE5" s="173">
        <f t="shared" ref="AE5:AQ20" si="0">ROUND(AE$26*$AV5,0)</f>
        <v>41976</v>
      </c>
      <c r="AF5" s="173">
        <f t="shared" si="0"/>
        <v>43770</v>
      </c>
      <c r="AG5" s="173">
        <f t="shared" si="0"/>
        <v>45604</v>
      </c>
      <c r="AH5" s="173">
        <f t="shared" si="0"/>
        <v>47411</v>
      </c>
      <c r="AI5" s="173">
        <f t="shared" si="0"/>
        <v>50024</v>
      </c>
      <c r="AJ5" s="173">
        <f t="shared" si="0"/>
        <v>52407</v>
      </c>
      <c r="AK5" s="173">
        <f t="shared" si="0"/>
        <v>54799</v>
      </c>
      <c r="AL5" s="173">
        <f t="shared" si="0"/>
        <v>57322</v>
      </c>
      <c r="AM5" s="173">
        <f t="shared" si="0"/>
        <v>60283</v>
      </c>
      <c r="AN5" s="173">
        <f t="shared" si="0"/>
        <v>62876</v>
      </c>
      <c r="AO5" s="173">
        <f t="shared" si="0"/>
        <v>65894</v>
      </c>
      <c r="AP5" s="173">
        <f t="shared" si="0"/>
        <v>68777</v>
      </c>
      <c r="AQ5" s="173">
        <f t="shared" si="0"/>
        <v>72380</v>
      </c>
      <c r="AR5" s="173">
        <f>ROUND(AR$26*$AV5,0)</f>
        <v>76081</v>
      </c>
      <c r="AS5" s="618">
        <f>Q136</f>
        <v>71092</v>
      </c>
      <c r="AT5" s="618">
        <f t="shared" ref="AT5:AU20" si="1">R136</f>
        <v>82072</v>
      </c>
      <c r="AU5" s="618">
        <f t="shared" si="1"/>
        <v>97940</v>
      </c>
      <c r="AV5" s="156">
        <f>T136</f>
        <v>0.17154780645095594</v>
      </c>
    </row>
    <row r="6" spans="2:48" x14ac:dyDescent="0.35">
      <c r="B6" s="584">
        <v>2014</v>
      </c>
      <c r="C6" s="592" t="s">
        <v>60</v>
      </c>
      <c r="D6" s="40" t="s">
        <v>275</v>
      </c>
      <c r="E6" s="40" t="s">
        <v>41</v>
      </c>
      <c r="F6" s="578"/>
      <c r="G6" s="173"/>
      <c r="H6" s="27">
        <v>9000</v>
      </c>
      <c r="I6" s="585">
        <v>3.8461538461538458</v>
      </c>
      <c r="J6" s="44">
        <f>IF(Tabla1[[#This Row],[Number of vehicle]]="",0,(Tabla1[[#This Row],[Number of vehicle]]*Tabla1[[#This Row],[km travelled]])/Tabla1[[#This Row],[Fuel economy (km/L)]])</f>
        <v>0</v>
      </c>
      <c r="K6" s="44">
        <f>Tabla1[[#This Row],[Consumption (L)]]/$F$455</f>
        <v>0</v>
      </c>
      <c r="L6" s="44">
        <f>Tabla1[[#This Row],[Consumption (ton)]]/1000</f>
        <v>0</v>
      </c>
      <c r="N6" s="111" t="s">
        <v>515</v>
      </c>
      <c r="O6" s="152">
        <v>3416</v>
      </c>
      <c r="P6" s="152">
        <v>31.421805792163546</v>
      </c>
      <c r="Q6" s="152">
        <v>3729</v>
      </c>
      <c r="R6" s="152">
        <v>31.99156729131175</v>
      </c>
      <c r="S6" s="152">
        <v>4013</v>
      </c>
      <c r="T6" s="152">
        <v>38.341908006814307</v>
      </c>
      <c r="U6" s="152">
        <v>11158</v>
      </c>
      <c r="V6" s="152">
        <v>101.7552810902896</v>
      </c>
      <c r="W6" s="152"/>
      <c r="X6" s="152"/>
      <c r="AA6" s="110"/>
      <c r="AB6" s="716"/>
      <c r="AC6" s="716"/>
      <c r="AD6" s="27" t="s">
        <v>41</v>
      </c>
      <c r="AE6" s="173">
        <f t="shared" si="0"/>
        <v>3266</v>
      </c>
      <c r="AF6" s="173">
        <f t="shared" si="0"/>
        <v>3406</v>
      </c>
      <c r="AG6" s="173">
        <f t="shared" si="0"/>
        <v>3549</v>
      </c>
      <c r="AH6" s="173">
        <f t="shared" si="0"/>
        <v>3689</v>
      </c>
      <c r="AI6" s="173">
        <f t="shared" si="0"/>
        <v>3893</v>
      </c>
      <c r="AJ6" s="173">
        <f t="shared" si="0"/>
        <v>4078</v>
      </c>
      <c r="AK6" s="173">
        <f t="shared" si="0"/>
        <v>4264</v>
      </c>
      <c r="AL6" s="173">
        <f t="shared" si="0"/>
        <v>4461</v>
      </c>
      <c r="AM6" s="173">
        <f t="shared" si="0"/>
        <v>4691</v>
      </c>
      <c r="AN6" s="173">
        <f t="shared" si="0"/>
        <v>4893</v>
      </c>
      <c r="AO6" s="173">
        <f t="shared" si="0"/>
        <v>5128</v>
      </c>
      <c r="AP6" s="173">
        <f t="shared" si="0"/>
        <v>5352</v>
      </c>
      <c r="AQ6" s="173">
        <f t="shared" si="0"/>
        <v>5632</v>
      </c>
      <c r="AR6" s="173">
        <f t="shared" ref="AR6:AR25" si="2">ROUND(AR$26*$AV6,0)</f>
        <v>5920</v>
      </c>
      <c r="AS6" s="618">
        <f t="shared" ref="AS6:AS25" si="3">Q137</f>
        <v>5682</v>
      </c>
      <c r="AT6" s="618">
        <f t="shared" si="1"/>
        <v>6388</v>
      </c>
      <c r="AU6" s="618">
        <f t="shared" si="1"/>
        <v>7456</v>
      </c>
      <c r="AV6" s="156">
        <f t="shared" ref="AV6:AV25" si="4">T137</f>
        <v>1.334909344354967E-2</v>
      </c>
    </row>
    <row r="7" spans="2:48" x14ac:dyDescent="0.35">
      <c r="B7" s="584">
        <v>2014</v>
      </c>
      <c r="C7" s="592" t="s">
        <v>60</v>
      </c>
      <c r="D7" s="40" t="s">
        <v>275</v>
      </c>
      <c r="E7" s="40" t="s">
        <v>41</v>
      </c>
      <c r="F7" s="578"/>
      <c r="G7" s="173">
        <v>103</v>
      </c>
      <c r="H7" s="27">
        <v>10000</v>
      </c>
      <c r="I7" s="585">
        <v>3.8461538461538458</v>
      </c>
      <c r="J7" s="44">
        <f>IF(Tabla1[[#This Row],[Number of vehicle]]="",0,(Tabla1[[#This Row],[Number of vehicle]]*Tabla1[[#This Row],[km travelled]])/Tabla1[[#This Row],[Fuel economy (km/L)]])</f>
        <v>267800</v>
      </c>
      <c r="K7" s="44">
        <f>Tabla1[[#This Row],[Consumption (L)]]/$F$455</f>
        <v>228.10902896081771</v>
      </c>
      <c r="L7" s="44">
        <f>Tabla1[[#This Row],[Consumption (ton)]]/1000</f>
        <v>0.22810902896081772</v>
      </c>
      <c r="N7" s="112" t="s">
        <v>41</v>
      </c>
      <c r="O7" s="152">
        <v>3416</v>
      </c>
      <c r="P7" s="152">
        <v>31.421805792163546</v>
      </c>
      <c r="Q7" s="152">
        <v>3729</v>
      </c>
      <c r="R7" s="152">
        <v>31.99156729131175</v>
      </c>
      <c r="S7" s="152">
        <v>4013</v>
      </c>
      <c r="T7" s="152">
        <v>38.341908006814307</v>
      </c>
      <c r="U7" s="152">
        <v>11158</v>
      </c>
      <c r="V7" s="152">
        <v>101.7552810902896</v>
      </c>
      <c r="W7" s="152"/>
      <c r="X7" s="152"/>
      <c r="AA7" s="84"/>
      <c r="AB7" s="716"/>
      <c r="AC7" s="716"/>
      <c r="AD7" s="27" t="s">
        <v>117</v>
      </c>
      <c r="AE7" s="173">
        <f t="shared" si="0"/>
        <v>37</v>
      </c>
      <c r="AF7" s="173">
        <f t="shared" si="0"/>
        <v>39</v>
      </c>
      <c r="AG7" s="173">
        <f t="shared" si="0"/>
        <v>41</v>
      </c>
      <c r="AH7" s="173">
        <f t="shared" si="0"/>
        <v>42</v>
      </c>
      <c r="AI7" s="173">
        <f t="shared" si="0"/>
        <v>44</v>
      </c>
      <c r="AJ7" s="173">
        <f t="shared" si="0"/>
        <v>47</v>
      </c>
      <c r="AK7" s="173">
        <f t="shared" si="0"/>
        <v>49</v>
      </c>
      <c r="AL7" s="173">
        <f t="shared" si="0"/>
        <v>51</v>
      </c>
      <c r="AM7" s="173">
        <f t="shared" si="0"/>
        <v>54</v>
      </c>
      <c r="AN7" s="173">
        <f t="shared" si="0"/>
        <v>56</v>
      </c>
      <c r="AO7" s="173">
        <f t="shared" si="0"/>
        <v>59</v>
      </c>
      <c r="AP7" s="173">
        <f t="shared" si="0"/>
        <v>61</v>
      </c>
      <c r="AQ7" s="173">
        <f t="shared" si="0"/>
        <v>64</v>
      </c>
      <c r="AR7" s="173">
        <f t="shared" si="2"/>
        <v>68</v>
      </c>
      <c r="AS7" s="618">
        <f t="shared" si="3"/>
        <v>178</v>
      </c>
      <c r="AT7" s="618">
        <f t="shared" si="1"/>
        <v>17</v>
      </c>
      <c r="AU7" s="618">
        <f t="shared" si="1"/>
        <v>20</v>
      </c>
      <c r="AV7" s="156">
        <f t="shared" si="4"/>
        <v>1.523747146926626E-4</v>
      </c>
    </row>
    <row r="8" spans="2:48" x14ac:dyDescent="0.35">
      <c r="B8" s="584">
        <v>2014</v>
      </c>
      <c r="C8" s="592" t="s">
        <v>60</v>
      </c>
      <c r="D8" s="40" t="s">
        <v>275</v>
      </c>
      <c r="E8" s="40" t="s">
        <v>41</v>
      </c>
      <c r="F8" s="578"/>
      <c r="G8" s="173">
        <v>69</v>
      </c>
      <c r="H8" s="27">
        <v>54000</v>
      </c>
      <c r="I8" s="585">
        <v>3.3333333333333335</v>
      </c>
      <c r="J8" s="44">
        <f>IF(Tabla1[[#This Row],[Number of vehicle]]="",0,(Tabla1[[#This Row],[Number of vehicle]]*Tabla1[[#This Row],[km travelled]])/Tabla1[[#This Row],[Fuel economy (km/L)]])</f>
        <v>1117800</v>
      </c>
      <c r="K8" s="44">
        <f>Tabla1[[#This Row],[Consumption (L)]]/$F$455</f>
        <v>952.12947189097099</v>
      </c>
      <c r="L8" s="44">
        <f>Tabla1[[#This Row],[Consumption (ton)]]/1000</f>
        <v>0.95212947189097097</v>
      </c>
      <c r="N8" s="220" t="s">
        <v>504</v>
      </c>
      <c r="O8" s="152">
        <v>184219</v>
      </c>
      <c r="P8" s="152">
        <v>107.10366902654025</v>
      </c>
      <c r="Q8" s="152">
        <v>192242</v>
      </c>
      <c r="R8" s="152">
        <v>126.25688529589739</v>
      </c>
      <c r="S8" s="152">
        <v>211180</v>
      </c>
      <c r="T8" s="152">
        <v>140.59995307797951</v>
      </c>
      <c r="U8" s="152">
        <v>587641</v>
      </c>
      <c r="V8" s="152">
        <v>373.96050740041716</v>
      </c>
      <c r="W8" s="152"/>
      <c r="X8" s="152"/>
      <c r="AA8" s="84"/>
      <c r="AB8" s="716"/>
      <c r="AC8" s="716"/>
      <c r="AD8" s="27" t="s">
        <v>226</v>
      </c>
      <c r="AE8" s="173">
        <f t="shared" si="0"/>
        <v>1334</v>
      </c>
      <c r="AF8" s="173">
        <f t="shared" si="0"/>
        <v>1391</v>
      </c>
      <c r="AG8" s="173">
        <f t="shared" si="0"/>
        <v>1450</v>
      </c>
      <c r="AH8" s="173">
        <f t="shared" si="0"/>
        <v>1507</v>
      </c>
      <c r="AI8" s="173">
        <f t="shared" si="0"/>
        <v>1590</v>
      </c>
      <c r="AJ8" s="173">
        <f t="shared" si="0"/>
        <v>1666</v>
      </c>
      <c r="AK8" s="173">
        <f t="shared" si="0"/>
        <v>1742</v>
      </c>
      <c r="AL8" s="173">
        <f t="shared" si="0"/>
        <v>1822</v>
      </c>
      <c r="AM8" s="173">
        <f t="shared" si="0"/>
        <v>1916</v>
      </c>
      <c r="AN8" s="173">
        <f t="shared" si="0"/>
        <v>1999</v>
      </c>
      <c r="AO8" s="173">
        <f t="shared" si="0"/>
        <v>2095</v>
      </c>
      <c r="AP8" s="173">
        <f t="shared" si="0"/>
        <v>2186</v>
      </c>
      <c r="AQ8" s="173">
        <f t="shared" si="0"/>
        <v>2301</v>
      </c>
      <c r="AR8" s="173">
        <f t="shared" si="2"/>
        <v>2419</v>
      </c>
      <c r="AS8" s="618">
        <f t="shared" si="3"/>
        <v>1829</v>
      </c>
      <c r="AT8" s="618">
        <f t="shared" si="1"/>
        <v>2424</v>
      </c>
      <c r="AU8" s="618">
        <f t="shared" si="1"/>
        <v>3777</v>
      </c>
      <c r="AV8" s="156">
        <f t="shared" si="4"/>
        <v>5.4532989489967029E-3</v>
      </c>
    </row>
    <row r="9" spans="2:48" x14ac:dyDescent="0.35">
      <c r="B9" s="584">
        <v>2015</v>
      </c>
      <c r="C9" s="592" t="s">
        <v>59</v>
      </c>
      <c r="D9" s="40" t="s">
        <v>275</v>
      </c>
      <c r="E9" s="40" t="s">
        <v>41</v>
      </c>
      <c r="F9" s="578"/>
      <c r="G9" s="577"/>
      <c r="H9" s="575">
        <v>0</v>
      </c>
      <c r="I9" s="585">
        <v>0</v>
      </c>
      <c r="J9" s="44">
        <f>IF(Tabla1[[#This Row],[Number of vehicle]]="",0,(Tabla1[[#This Row],[Number of vehicle]]*Tabla1[[#This Row],[km travelled]])/Tabla1[[#This Row],[Fuel economy (km/L)]])</f>
        <v>0</v>
      </c>
      <c r="K9" s="44">
        <f>Tabla1[[#This Row],[Consumption (L)]]/$F$455</f>
        <v>0</v>
      </c>
      <c r="L9" s="44">
        <f>Tabla1[[#This Row],[Consumption (ton)]]/1000</f>
        <v>0</v>
      </c>
      <c r="N9" s="111" t="s">
        <v>507</v>
      </c>
      <c r="O9" s="152">
        <v>77545</v>
      </c>
      <c r="P9" s="152">
        <v>45.334871780448573</v>
      </c>
      <c r="Q9" s="152">
        <v>89575</v>
      </c>
      <c r="R9" s="152">
        <v>58.762188862752566</v>
      </c>
      <c r="S9" s="152">
        <v>108035</v>
      </c>
      <c r="T9" s="152">
        <v>71.417891901995077</v>
      </c>
      <c r="U9" s="152">
        <v>275155</v>
      </c>
      <c r="V9" s="152">
        <v>175.51495254519625</v>
      </c>
      <c r="W9" s="152"/>
      <c r="X9" s="152"/>
      <c r="AA9" s="84"/>
      <c r="AB9" s="716"/>
      <c r="AC9" s="716"/>
      <c r="AD9" s="27" t="s">
        <v>227</v>
      </c>
      <c r="AE9" s="173">
        <f t="shared" si="0"/>
        <v>5</v>
      </c>
      <c r="AF9" s="173">
        <f t="shared" si="0"/>
        <v>5</v>
      </c>
      <c r="AG9" s="173">
        <f t="shared" si="0"/>
        <v>5</v>
      </c>
      <c r="AH9" s="173">
        <f t="shared" si="0"/>
        <v>6</v>
      </c>
      <c r="AI9" s="173">
        <f t="shared" si="0"/>
        <v>6</v>
      </c>
      <c r="AJ9" s="173">
        <f t="shared" si="0"/>
        <v>6</v>
      </c>
      <c r="AK9" s="173">
        <f t="shared" si="0"/>
        <v>7</v>
      </c>
      <c r="AL9" s="173">
        <f t="shared" si="0"/>
        <v>7</v>
      </c>
      <c r="AM9" s="173">
        <f t="shared" si="0"/>
        <v>7</v>
      </c>
      <c r="AN9" s="173">
        <f t="shared" si="0"/>
        <v>8</v>
      </c>
      <c r="AO9" s="173">
        <f t="shared" si="0"/>
        <v>8</v>
      </c>
      <c r="AP9" s="173">
        <f t="shared" si="0"/>
        <v>8</v>
      </c>
      <c r="AQ9" s="173">
        <f t="shared" si="0"/>
        <v>9</v>
      </c>
      <c r="AR9" s="173">
        <f t="shared" si="2"/>
        <v>9</v>
      </c>
      <c r="AS9" s="618">
        <f t="shared" si="3"/>
        <v>9</v>
      </c>
      <c r="AT9" s="618">
        <f t="shared" si="1"/>
        <v>10</v>
      </c>
      <c r="AU9" s="618">
        <f t="shared" si="1"/>
        <v>11</v>
      </c>
      <c r="AV9" s="156">
        <f t="shared" si="4"/>
        <v>2.0531380482178581E-5</v>
      </c>
    </row>
    <row r="10" spans="2:48" x14ac:dyDescent="0.35">
      <c r="B10" s="584">
        <v>2015</v>
      </c>
      <c r="C10" s="592" t="s">
        <v>59</v>
      </c>
      <c r="D10" s="40" t="s">
        <v>275</v>
      </c>
      <c r="E10" s="40" t="s">
        <v>41</v>
      </c>
      <c r="F10" s="578"/>
      <c r="G10" s="577">
        <f>911+311+5+1+387</f>
        <v>1615</v>
      </c>
      <c r="H10" s="575">
        <v>10000</v>
      </c>
      <c r="I10" s="585">
        <v>3.8461538461538458</v>
      </c>
      <c r="J10" s="44">
        <f>IF(Tabla1[[#This Row],[Number of vehicle]]="",0,(Tabla1[[#This Row],[Number of vehicle]]*Tabla1[[#This Row],[km travelled]])/Tabla1[[#This Row],[Fuel economy (km/L)]])</f>
        <v>4199000</v>
      </c>
      <c r="K10" s="44">
        <f>Tabla1[[#This Row],[Consumption (L)]]/$F$455</f>
        <v>3576.6609880749575</v>
      </c>
      <c r="L10" s="44">
        <f>Tabla1[[#This Row],[Consumption (ton)]]/1000</f>
        <v>3.5766609880749574</v>
      </c>
      <c r="N10" s="112" t="s">
        <v>41</v>
      </c>
      <c r="O10" s="152">
        <v>5485</v>
      </c>
      <c r="P10" s="152">
        <v>4.2813373874695673</v>
      </c>
      <c r="Q10" s="152">
        <v>6148</v>
      </c>
      <c r="R10" s="152">
        <v>4.7637802223328993</v>
      </c>
      <c r="S10" s="152">
        <v>7234</v>
      </c>
      <c r="T10" s="152">
        <v>6.6640810812356222</v>
      </c>
      <c r="U10" s="152">
        <v>18867</v>
      </c>
      <c r="V10" s="152">
        <v>15.70919869103809</v>
      </c>
      <c r="W10" s="152"/>
      <c r="X10" s="152"/>
      <c r="AA10" s="84"/>
      <c r="AB10" s="716"/>
      <c r="AC10" s="716" t="s">
        <v>505</v>
      </c>
      <c r="AD10" s="27" t="s">
        <v>136</v>
      </c>
      <c r="AE10" s="173">
        <f t="shared" si="0"/>
        <v>49613</v>
      </c>
      <c r="AF10" s="173">
        <f t="shared" si="0"/>
        <v>51733</v>
      </c>
      <c r="AG10" s="173">
        <f t="shared" si="0"/>
        <v>53901</v>
      </c>
      <c r="AH10" s="173">
        <f t="shared" si="0"/>
        <v>56036</v>
      </c>
      <c r="AI10" s="173">
        <f t="shared" si="0"/>
        <v>59125</v>
      </c>
      <c r="AJ10" s="173">
        <f t="shared" si="0"/>
        <v>61941</v>
      </c>
      <c r="AK10" s="173">
        <f t="shared" si="0"/>
        <v>64769</v>
      </c>
      <c r="AL10" s="173">
        <f t="shared" si="0"/>
        <v>67750</v>
      </c>
      <c r="AM10" s="173">
        <f t="shared" si="0"/>
        <v>71250</v>
      </c>
      <c r="AN10" s="173">
        <f t="shared" si="0"/>
        <v>74314</v>
      </c>
      <c r="AO10" s="173">
        <f t="shared" si="0"/>
        <v>77882</v>
      </c>
      <c r="AP10" s="173">
        <f t="shared" si="0"/>
        <v>81289</v>
      </c>
      <c r="AQ10" s="173">
        <f t="shared" si="0"/>
        <v>85548</v>
      </c>
      <c r="AR10" s="173">
        <f t="shared" si="2"/>
        <v>89922</v>
      </c>
      <c r="AS10" s="618">
        <f t="shared" si="3"/>
        <v>101023</v>
      </c>
      <c r="AT10" s="618">
        <f t="shared" si="1"/>
        <v>96804</v>
      </c>
      <c r="AU10" s="618">
        <f t="shared" si="1"/>
        <v>97411</v>
      </c>
      <c r="AV10" s="156">
        <f t="shared" si="4"/>
        <v>0.20275696237370708</v>
      </c>
    </row>
    <row r="11" spans="2:48" x14ac:dyDescent="0.35">
      <c r="B11" s="584">
        <v>2015</v>
      </c>
      <c r="C11" s="592" t="s">
        <v>59</v>
      </c>
      <c r="D11" s="40" t="s">
        <v>275</v>
      </c>
      <c r="E11" s="40" t="s">
        <v>41</v>
      </c>
      <c r="F11" s="578"/>
      <c r="G11" s="577">
        <v>1937</v>
      </c>
      <c r="H11" s="575">
        <v>55000</v>
      </c>
      <c r="I11" s="585">
        <v>3.3333333333333335</v>
      </c>
      <c r="J11" s="44">
        <f>IF(Tabla1[[#This Row],[Number of vehicle]]="",0,(Tabla1[[#This Row],[Number of vehicle]]*Tabla1[[#This Row],[km travelled]])/Tabla1[[#This Row],[Fuel economy (km/L)]])</f>
        <v>31960500</v>
      </c>
      <c r="K11" s="44">
        <f>Tabla1[[#This Row],[Consumption (L)]]/$F$455</f>
        <v>27223.594548551959</v>
      </c>
      <c r="L11" s="44">
        <f>Tabla1[[#This Row],[Consumption (ton)]]/1000</f>
        <v>27.223594548551958</v>
      </c>
      <c r="N11" s="112" t="s">
        <v>136</v>
      </c>
      <c r="O11" s="152">
        <v>70050</v>
      </c>
      <c r="P11" s="152">
        <v>40.972735162105032</v>
      </c>
      <c r="Q11" s="152">
        <v>80983</v>
      </c>
      <c r="R11" s="152">
        <v>53.988587561250029</v>
      </c>
      <c r="S11" s="152">
        <v>96998</v>
      </c>
      <c r="T11" s="152">
        <v>64.742256559000779</v>
      </c>
      <c r="U11" s="152">
        <v>248031</v>
      </c>
      <c r="V11" s="152">
        <v>159.70357928235586</v>
      </c>
      <c r="W11" s="152"/>
      <c r="X11" s="152"/>
      <c r="AB11" s="716"/>
      <c r="AC11" s="716"/>
      <c r="AD11" s="27" t="s">
        <v>41</v>
      </c>
      <c r="AE11" s="173">
        <f t="shared" si="0"/>
        <v>5040</v>
      </c>
      <c r="AF11" s="173">
        <f t="shared" si="0"/>
        <v>5255</v>
      </c>
      <c r="AG11" s="173">
        <f t="shared" si="0"/>
        <v>5475</v>
      </c>
      <c r="AH11" s="173">
        <f t="shared" si="0"/>
        <v>5692</v>
      </c>
      <c r="AI11" s="173">
        <f t="shared" si="0"/>
        <v>6006</v>
      </c>
      <c r="AJ11" s="173">
        <f t="shared" si="0"/>
        <v>6292</v>
      </c>
      <c r="AK11" s="173">
        <f t="shared" si="0"/>
        <v>6579</v>
      </c>
      <c r="AL11" s="173">
        <f t="shared" si="0"/>
        <v>6882</v>
      </c>
      <c r="AM11" s="173">
        <f t="shared" si="0"/>
        <v>7237</v>
      </c>
      <c r="AN11" s="173">
        <f t="shared" si="0"/>
        <v>7549</v>
      </c>
      <c r="AO11" s="173">
        <f t="shared" si="0"/>
        <v>7911</v>
      </c>
      <c r="AP11" s="173">
        <f t="shared" si="0"/>
        <v>8257</v>
      </c>
      <c r="AQ11" s="173">
        <f t="shared" si="0"/>
        <v>8690</v>
      </c>
      <c r="AR11" s="173">
        <f t="shared" si="2"/>
        <v>9134</v>
      </c>
      <c r="AS11" s="618">
        <f t="shared" si="3"/>
        <v>10117</v>
      </c>
      <c r="AT11" s="618">
        <f t="shared" si="1"/>
        <v>10004</v>
      </c>
      <c r="AU11" s="618">
        <f t="shared" si="1"/>
        <v>9874</v>
      </c>
      <c r="AV11" s="156">
        <f t="shared" si="4"/>
        <v>2.0595415326340072E-2</v>
      </c>
    </row>
    <row r="12" spans="2:48" x14ac:dyDescent="0.35">
      <c r="B12" s="584">
        <v>2015</v>
      </c>
      <c r="C12" s="592" t="s">
        <v>60</v>
      </c>
      <c r="D12" s="40" t="s">
        <v>275</v>
      </c>
      <c r="E12" s="40" t="s">
        <v>41</v>
      </c>
      <c r="F12" s="578"/>
      <c r="G12" s="173"/>
      <c r="H12" s="27">
        <v>9000</v>
      </c>
      <c r="I12" s="585">
        <v>3.8461538461538458</v>
      </c>
      <c r="J12" s="44">
        <f>IF(Tabla1[[#This Row],[Number of vehicle]]="",0,(Tabla1[[#This Row],[Number of vehicle]]*Tabla1[[#This Row],[km travelled]])/Tabla1[[#This Row],[Fuel economy (km/L)]])</f>
        <v>0</v>
      </c>
      <c r="K12" s="44">
        <f>Tabla1[[#This Row],[Consumption (L)]]/$F$455</f>
        <v>0</v>
      </c>
      <c r="L12" s="44">
        <f>Tabla1[[#This Row],[Consumption (ton)]]/1000</f>
        <v>0</v>
      </c>
      <c r="N12" s="112" t="s">
        <v>226</v>
      </c>
      <c r="O12" s="152">
        <v>1832</v>
      </c>
      <c r="P12" s="152">
        <v>0</v>
      </c>
      <c r="Q12" s="152">
        <v>2427</v>
      </c>
      <c r="R12" s="152">
        <v>0</v>
      </c>
      <c r="S12" s="152">
        <v>3783</v>
      </c>
      <c r="T12" s="152">
        <v>0</v>
      </c>
      <c r="U12" s="152">
        <v>8042</v>
      </c>
      <c r="V12" s="152">
        <v>0</v>
      </c>
      <c r="W12" s="152"/>
      <c r="X12" s="152"/>
      <c r="AB12" s="716"/>
      <c r="AC12" s="716"/>
      <c r="AD12" s="27" t="s">
        <v>117</v>
      </c>
      <c r="AE12" s="173">
        <f t="shared" si="0"/>
        <v>74</v>
      </c>
      <c r="AF12" s="173">
        <f t="shared" si="0"/>
        <v>77</v>
      </c>
      <c r="AG12" s="173">
        <f t="shared" si="0"/>
        <v>80</v>
      </c>
      <c r="AH12" s="173">
        <f t="shared" si="0"/>
        <v>83</v>
      </c>
      <c r="AI12" s="173">
        <f t="shared" si="0"/>
        <v>88</v>
      </c>
      <c r="AJ12" s="173">
        <f t="shared" si="0"/>
        <v>92</v>
      </c>
      <c r="AK12" s="173">
        <f t="shared" si="0"/>
        <v>96</v>
      </c>
      <c r="AL12" s="173">
        <f t="shared" si="0"/>
        <v>101</v>
      </c>
      <c r="AM12" s="173">
        <f t="shared" si="0"/>
        <v>106</v>
      </c>
      <c r="AN12" s="173">
        <f t="shared" si="0"/>
        <v>111</v>
      </c>
      <c r="AO12" s="173">
        <f t="shared" si="0"/>
        <v>116</v>
      </c>
      <c r="AP12" s="173">
        <f t="shared" si="0"/>
        <v>121</v>
      </c>
      <c r="AQ12" s="173">
        <f t="shared" si="0"/>
        <v>127</v>
      </c>
      <c r="AR12" s="173">
        <f t="shared" si="2"/>
        <v>134</v>
      </c>
      <c r="AS12" s="618">
        <f t="shared" si="3"/>
        <v>40</v>
      </c>
      <c r="AT12" s="618">
        <f t="shared" si="1"/>
        <v>204</v>
      </c>
      <c r="AU12" s="618">
        <f t="shared" si="1"/>
        <v>203</v>
      </c>
      <c r="AV12" s="156">
        <f t="shared" si="4"/>
        <v>3.0186128771993761E-4</v>
      </c>
    </row>
    <row r="13" spans="2:48" x14ac:dyDescent="0.35">
      <c r="B13" s="584">
        <v>2015</v>
      </c>
      <c r="C13" s="592" t="s">
        <v>60</v>
      </c>
      <c r="D13" s="40" t="s">
        <v>275</v>
      </c>
      <c r="E13" s="40" t="s">
        <v>41</v>
      </c>
      <c r="F13" s="578"/>
      <c r="G13" s="173">
        <v>108</v>
      </c>
      <c r="H13" s="27">
        <v>10000</v>
      </c>
      <c r="I13" s="585">
        <v>3.8461538461538458</v>
      </c>
      <c r="J13" s="44">
        <f>IF(Tabla1[[#This Row],[Number of vehicle]]="",0,(Tabla1[[#This Row],[Number of vehicle]]*Tabla1[[#This Row],[km travelled]])/Tabla1[[#This Row],[Fuel economy (km/L)]])</f>
        <v>280800</v>
      </c>
      <c r="K13" s="44">
        <f>Tabla1[[#This Row],[Consumption (L)]]/$F$455</f>
        <v>239.18228279386713</v>
      </c>
      <c r="L13" s="44">
        <f>Tabla1[[#This Row],[Consumption (ton)]]/1000</f>
        <v>0.23918228279386713</v>
      </c>
      <c r="N13" s="112" t="s">
        <v>117</v>
      </c>
      <c r="O13" s="152">
        <v>178</v>
      </c>
      <c r="P13" s="152">
        <v>8.0799230873973074E-2</v>
      </c>
      <c r="Q13" s="152">
        <v>17</v>
      </c>
      <c r="R13" s="152">
        <v>9.8210791696409765E-3</v>
      </c>
      <c r="S13" s="152">
        <v>20</v>
      </c>
      <c r="T13" s="152">
        <v>1.1554261758674331E-2</v>
      </c>
      <c r="U13" s="152">
        <v>215</v>
      </c>
      <c r="V13" s="152">
        <v>0.10217457180228838</v>
      </c>
      <c r="W13" s="152"/>
      <c r="X13" s="152"/>
      <c r="AB13" s="716"/>
      <c r="AC13" s="716"/>
      <c r="AD13" s="27" t="s">
        <v>226</v>
      </c>
      <c r="AE13" s="173">
        <f t="shared" si="0"/>
        <v>0</v>
      </c>
      <c r="AF13" s="173">
        <f t="shared" si="0"/>
        <v>0</v>
      </c>
      <c r="AG13" s="173">
        <f t="shared" si="0"/>
        <v>0</v>
      </c>
      <c r="AH13" s="173">
        <f t="shared" si="0"/>
        <v>0</v>
      </c>
      <c r="AI13" s="173">
        <f t="shared" si="0"/>
        <v>0</v>
      </c>
      <c r="AJ13" s="173">
        <f t="shared" si="0"/>
        <v>0</v>
      </c>
      <c r="AK13" s="173">
        <f t="shared" si="0"/>
        <v>0</v>
      </c>
      <c r="AL13" s="173">
        <f t="shared" si="0"/>
        <v>0</v>
      </c>
      <c r="AM13" s="173">
        <f t="shared" si="0"/>
        <v>0</v>
      </c>
      <c r="AN13" s="173">
        <f t="shared" si="0"/>
        <v>0</v>
      </c>
      <c r="AO13" s="173">
        <f t="shared" si="0"/>
        <v>0</v>
      </c>
      <c r="AP13" s="173">
        <f t="shared" si="0"/>
        <v>0</v>
      </c>
      <c r="AQ13" s="173">
        <f t="shared" si="0"/>
        <v>0</v>
      </c>
      <c r="AR13" s="173">
        <f t="shared" si="2"/>
        <v>0</v>
      </c>
      <c r="AS13" s="618">
        <f t="shared" si="3"/>
        <v>0</v>
      </c>
      <c r="AT13" s="618">
        <f t="shared" si="1"/>
        <v>0</v>
      </c>
      <c r="AU13" s="618">
        <f t="shared" si="1"/>
        <v>0</v>
      </c>
      <c r="AV13" s="156">
        <f t="shared" si="4"/>
        <v>0</v>
      </c>
    </row>
    <row r="14" spans="2:48" x14ac:dyDescent="0.35">
      <c r="B14" s="584">
        <v>2015</v>
      </c>
      <c r="C14" s="592" t="s">
        <v>60</v>
      </c>
      <c r="D14" s="40" t="s">
        <v>275</v>
      </c>
      <c r="E14" s="40" t="s">
        <v>41</v>
      </c>
      <c r="F14" s="578"/>
      <c r="G14" s="173">
        <v>69</v>
      </c>
      <c r="H14" s="27">
        <v>54000</v>
      </c>
      <c r="I14" s="585">
        <v>3.3333333333333335</v>
      </c>
      <c r="J14" s="44">
        <f>IF(Tabla1[[#This Row],[Number of vehicle]]="",0,(Tabla1[[#This Row],[Number of vehicle]]*Tabla1[[#This Row],[km travelled]])/Tabla1[[#This Row],[Fuel economy (km/L)]])</f>
        <v>1117800</v>
      </c>
      <c r="K14" s="44">
        <f>Tabla1[[#This Row],[Consumption (L)]]/$F$455</f>
        <v>952.12947189097099</v>
      </c>
      <c r="L14" s="44">
        <f>Tabla1[[#This Row],[Consumption (ton)]]/1000</f>
        <v>0.95212947189097097</v>
      </c>
      <c r="N14" s="111" t="s">
        <v>505</v>
      </c>
      <c r="O14" s="152">
        <v>106674</v>
      </c>
      <c r="P14" s="152">
        <v>61.768797246091673</v>
      </c>
      <c r="Q14" s="152">
        <v>102667</v>
      </c>
      <c r="R14" s="152">
        <v>67.494696433144824</v>
      </c>
      <c r="S14" s="152">
        <v>103145</v>
      </c>
      <c r="T14" s="152">
        <v>69.182061175984401</v>
      </c>
      <c r="U14" s="152">
        <v>312486</v>
      </c>
      <c r="V14" s="152">
        <v>198.44555485522093</v>
      </c>
      <c r="W14" s="152"/>
      <c r="X14" s="152"/>
      <c r="AB14" s="716"/>
      <c r="AC14" s="716"/>
      <c r="AD14" s="27" t="s">
        <v>227</v>
      </c>
      <c r="AE14" s="173">
        <f t="shared" si="0"/>
        <v>0</v>
      </c>
      <c r="AF14" s="173">
        <f t="shared" si="0"/>
        <v>1</v>
      </c>
      <c r="AG14" s="173">
        <f t="shared" si="0"/>
        <v>1</v>
      </c>
      <c r="AH14" s="173">
        <f t="shared" si="0"/>
        <v>1</v>
      </c>
      <c r="AI14" s="173">
        <f t="shared" si="0"/>
        <v>1</v>
      </c>
      <c r="AJ14" s="173">
        <f t="shared" si="0"/>
        <v>1</v>
      </c>
      <c r="AK14" s="173">
        <f t="shared" si="0"/>
        <v>1</v>
      </c>
      <c r="AL14" s="173">
        <f t="shared" si="0"/>
        <v>1</v>
      </c>
      <c r="AM14" s="173">
        <f t="shared" si="0"/>
        <v>1</v>
      </c>
      <c r="AN14" s="173">
        <f t="shared" si="0"/>
        <v>1</v>
      </c>
      <c r="AO14" s="173">
        <f t="shared" si="0"/>
        <v>1</v>
      </c>
      <c r="AP14" s="173">
        <f t="shared" si="0"/>
        <v>1</v>
      </c>
      <c r="AQ14" s="173">
        <f t="shared" si="0"/>
        <v>1</v>
      </c>
      <c r="AR14" s="173">
        <f t="shared" si="2"/>
        <v>1</v>
      </c>
      <c r="AS14" s="618">
        <f t="shared" si="3"/>
        <v>0</v>
      </c>
      <c r="AT14" s="618">
        <f t="shared" si="1"/>
        <v>1</v>
      </c>
      <c r="AU14" s="618">
        <f t="shared" si="1"/>
        <v>2</v>
      </c>
      <c r="AV14" s="156">
        <f t="shared" si="4"/>
        <v>1.9989921013457659E-6</v>
      </c>
    </row>
    <row r="15" spans="2:48" x14ac:dyDescent="0.35">
      <c r="B15" s="584">
        <v>2016</v>
      </c>
      <c r="C15" s="592" t="s">
        <v>59</v>
      </c>
      <c r="D15" s="40" t="s">
        <v>275</v>
      </c>
      <c r="E15" s="40" t="s">
        <v>41</v>
      </c>
      <c r="F15" s="578"/>
      <c r="G15" s="577"/>
      <c r="H15" s="575">
        <v>0</v>
      </c>
      <c r="I15" s="585">
        <v>0</v>
      </c>
      <c r="J15" s="44">
        <f>IF(Tabla1[[#This Row],[Number of vehicle]]="",0,(Tabla1[[#This Row],[Number of vehicle]]*Tabla1[[#This Row],[km travelled]])/Tabla1[[#This Row],[Fuel economy (km/L)]])</f>
        <v>0</v>
      </c>
      <c r="K15" s="44">
        <f>Tabla1[[#This Row],[Consumption (L)]]/$F$455</f>
        <v>0</v>
      </c>
      <c r="L15" s="44">
        <f>Tabla1[[#This Row],[Consumption (ton)]]/1000</f>
        <v>0</v>
      </c>
      <c r="N15" s="112" t="s">
        <v>41</v>
      </c>
      <c r="O15" s="152">
        <v>8716</v>
      </c>
      <c r="P15" s="152">
        <v>6.5105662197800251</v>
      </c>
      <c r="Q15" s="152">
        <v>8620</v>
      </c>
      <c r="R15" s="152">
        <v>6.4406263510182189</v>
      </c>
      <c r="S15" s="152">
        <v>8490</v>
      </c>
      <c r="T15" s="152">
        <v>7.5523687836015752</v>
      </c>
      <c r="U15" s="152">
        <v>25826</v>
      </c>
      <c r="V15" s="152">
        <v>20.503561354399821</v>
      </c>
      <c r="W15" s="152"/>
      <c r="X15" s="152"/>
      <c r="AB15" s="722" t="s">
        <v>266</v>
      </c>
      <c r="AC15" s="722"/>
      <c r="AD15" s="27" t="s">
        <v>136</v>
      </c>
      <c r="AE15" s="173">
        <f t="shared" si="0"/>
        <v>103311</v>
      </c>
      <c r="AF15" s="173">
        <f t="shared" si="0"/>
        <v>107727</v>
      </c>
      <c r="AG15" s="173">
        <f t="shared" si="0"/>
        <v>112241</v>
      </c>
      <c r="AH15" s="173">
        <f t="shared" si="0"/>
        <v>116687</v>
      </c>
      <c r="AI15" s="173">
        <f t="shared" si="0"/>
        <v>123119</v>
      </c>
      <c r="AJ15" s="173">
        <f t="shared" si="0"/>
        <v>128984</v>
      </c>
      <c r="AK15" s="173">
        <f t="shared" si="0"/>
        <v>134871</v>
      </c>
      <c r="AL15" s="173">
        <f t="shared" si="0"/>
        <v>141080</v>
      </c>
      <c r="AM15" s="173">
        <f t="shared" si="0"/>
        <v>148368</v>
      </c>
      <c r="AN15" s="173">
        <f t="shared" si="0"/>
        <v>154749</v>
      </c>
      <c r="AO15" s="173">
        <f t="shared" si="0"/>
        <v>162178</v>
      </c>
      <c r="AP15" s="173">
        <f t="shared" si="0"/>
        <v>169273</v>
      </c>
      <c r="AQ15" s="173">
        <f t="shared" si="0"/>
        <v>178142</v>
      </c>
      <c r="AR15" s="173">
        <f t="shared" si="2"/>
        <v>187249</v>
      </c>
      <c r="AS15" s="618">
        <f t="shared" si="3"/>
        <v>195611</v>
      </c>
      <c r="AT15" s="618">
        <f t="shared" si="1"/>
        <v>210055</v>
      </c>
      <c r="AU15" s="618">
        <f t="shared" si="1"/>
        <v>210100</v>
      </c>
      <c r="AV15" s="156">
        <f t="shared" si="4"/>
        <v>0.42221223208456382</v>
      </c>
    </row>
    <row r="16" spans="2:48" x14ac:dyDescent="0.35">
      <c r="B16" s="584">
        <v>2016</v>
      </c>
      <c r="C16" s="592" t="s">
        <v>59</v>
      </c>
      <c r="D16" s="40" t="s">
        <v>275</v>
      </c>
      <c r="E16" s="40" t="s">
        <v>41</v>
      </c>
      <c r="F16" s="578"/>
      <c r="G16" s="577">
        <v>1796</v>
      </c>
      <c r="H16" s="575">
        <v>15000</v>
      </c>
      <c r="I16" s="585">
        <v>3.8461538461538458</v>
      </c>
      <c r="J16" s="44">
        <f>IF(Tabla1[[#This Row],[Number of vehicle]]="",0,(Tabla1[[#This Row],[Number of vehicle]]*Tabla1[[#This Row],[km travelled]])/Tabla1[[#This Row],[Fuel economy (km/L)]])</f>
        <v>7004400.0000000009</v>
      </c>
      <c r="K16" s="44">
        <f>Tabla1[[#This Row],[Consumption (L)]]/$F$455</f>
        <v>5966.2691652470194</v>
      </c>
      <c r="L16" s="44">
        <f>Tabla1[[#This Row],[Consumption (ton)]]/1000</f>
        <v>5.9662691652470192</v>
      </c>
      <c r="N16" s="112" t="s">
        <v>136</v>
      </c>
      <c r="O16" s="152">
        <v>97918</v>
      </c>
      <c r="P16" s="152">
        <v>55.240074420038979</v>
      </c>
      <c r="Q16" s="152">
        <v>93843</v>
      </c>
      <c r="R16" s="152">
        <v>60.93621435927605</v>
      </c>
      <c r="S16" s="152">
        <v>94452</v>
      </c>
      <c r="T16" s="152">
        <v>61.512414339294978</v>
      </c>
      <c r="U16" s="152">
        <v>286213</v>
      </c>
      <c r="V16" s="152">
        <v>177.68870311861002</v>
      </c>
      <c r="W16" s="152"/>
      <c r="X16" s="152"/>
      <c r="AB16" s="716" t="s">
        <v>225</v>
      </c>
      <c r="AC16" s="716" t="s">
        <v>507</v>
      </c>
      <c r="AD16" s="27" t="s">
        <v>136</v>
      </c>
      <c r="AE16" s="173">
        <f t="shared" si="0"/>
        <v>349</v>
      </c>
      <c r="AF16" s="173">
        <f t="shared" si="0"/>
        <v>364</v>
      </c>
      <c r="AG16" s="173">
        <f t="shared" si="0"/>
        <v>380</v>
      </c>
      <c r="AH16" s="173">
        <f t="shared" si="0"/>
        <v>395</v>
      </c>
      <c r="AI16" s="173">
        <f t="shared" si="0"/>
        <v>416</v>
      </c>
      <c r="AJ16" s="173">
        <f t="shared" si="0"/>
        <v>436</v>
      </c>
      <c r="AK16" s="173">
        <f t="shared" si="0"/>
        <v>456</v>
      </c>
      <c r="AL16" s="173">
        <f t="shared" si="0"/>
        <v>477</v>
      </c>
      <c r="AM16" s="173">
        <f t="shared" si="0"/>
        <v>502</v>
      </c>
      <c r="AN16" s="173">
        <f t="shared" si="0"/>
        <v>523</v>
      </c>
      <c r="AO16" s="173">
        <f t="shared" si="0"/>
        <v>548</v>
      </c>
      <c r="AP16" s="173">
        <f t="shared" si="0"/>
        <v>572</v>
      </c>
      <c r="AQ16" s="173">
        <f t="shared" si="0"/>
        <v>602</v>
      </c>
      <c r="AR16" s="173">
        <f t="shared" si="2"/>
        <v>633</v>
      </c>
      <c r="AS16" s="618">
        <f t="shared" si="3"/>
        <v>659</v>
      </c>
      <c r="AT16" s="618">
        <f t="shared" si="1"/>
        <v>692</v>
      </c>
      <c r="AU16" s="618">
        <f t="shared" si="1"/>
        <v>732</v>
      </c>
      <c r="AV16" s="156">
        <f t="shared" si="4"/>
        <v>1.4275456245977688E-3</v>
      </c>
    </row>
    <row r="17" spans="2:49" x14ac:dyDescent="0.35">
      <c r="B17" s="584">
        <v>2016</v>
      </c>
      <c r="C17" s="592" t="s">
        <v>59</v>
      </c>
      <c r="D17" s="40" t="s">
        <v>275</v>
      </c>
      <c r="E17" s="40" t="s">
        <v>41</v>
      </c>
      <c r="F17" s="578"/>
      <c r="G17" s="577">
        <v>2032</v>
      </c>
      <c r="H17" s="575">
        <v>60000</v>
      </c>
      <c r="I17" s="585">
        <v>3.3333333333333335</v>
      </c>
      <c r="J17" s="44">
        <f>IF(Tabla1[[#This Row],[Number of vehicle]]="",0,(Tabla1[[#This Row],[Number of vehicle]]*Tabla1[[#This Row],[km travelled]])/Tabla1[[#This Row],[Fuel economy (km/L)]])</f>
        <v>36576000</v>
      </c>
      <c r="K17" s="44">
        <f>Tabla1[[#This Row],[Consumption (L)]]/$F$455</f>
        <v>31155.02555366269</v>
      </c>
      <c r="L17" s="44">
        <f>Tabla1[[#This Row],[Consumption (ton)]]/1000</f>
        <v>31.155025553662689</v>
      </c>
      <c r="N17" s="112" t="s">
        <v>226</v>
      </c>
      <c r="O17" s="152">
        <v>0</v>
      </c>
      <c r="P17" s="152">
        <v>0</v>
      </c>
      <c r="Q17" s="152">
        <v>0</v>
      </c>
      <c r="R17" s="152">
        <v>0</v>
      </c>
      <c r="S17" s="152">
        <v>0</v>
      </c>
      <c r="T17" s="152">
        <v>0</v>
      </c>
      <c r="U17" s="152">
        <v>0</v>
      </c>
      <c r="V17" s="152">
        <v>0</v>
      </c>
      <c r="W17" s="152"/>
      <c r="X17" s="152"/>
      <c r="AB17" s="716"/>
      <c r="AC17" s="716"/>
      <c r="AD17" s="27" t="s">
        <v>41</v>
      </c>
      <c r="AE17" s="173">
        <f t="shared" si="0"/>
        <v>6238</v>
      </c>
      <c r="AF17" s="173">
        <f t="shared" si="0"/>
        <v>6504</v>
      </c>
      <c r="AG17" s="173">
        <f t="shared" si="0"/>
        <v>6777</v>
      </c>
      <c r="AH17" s="173">
        <f t="shared" si="0"/>
        <v>7045</v>
      </c>
      <c r="AI17" s="173">
        <f t="shared" si="0"/>
        <v>7434</v>
      </c>
      <c r="AJ17" s="173">
        <f t="shared" si="0"/>
        <v>7788</v>
      </c>
      <c r="AK17" s="173">
        <f t="shared" si="0"/>
        <v>8143</v>
      </c>
      <c r="AL17" s="173">
        <f t="shared" si="0"/>
        <v>8518</v>
      </c>
      <c r="AM17" s="173">
        <f t="shared" si="0"/>
        <v>8958</v>
      </c>
      <c r="AN17" s="173">
        <f t="shared" si="0"/>
        <v>9344</v>
      </c>
      <c r="AO17" s="173">
        <f t="shared" si="0"/>
        <v>9792</v>
      </c>
      <c r="AP17" s="173">
        <f t="shared" si="0"/>
        <v>10220</v>
      </c>
      <c r="AQ17" s="173">
        <f t="shared" si="0"/>
        <v>10756</v>
      </c>
      <c r="AR17" s="173">
        <f t="shared" si="2"/>
        <v>11306</v>
      </c>
      <c r="AS17" s="618">
        <f t="shared" si="3"/>
        <v>11666</v>
      </c>
      <c r="AT17" s="618">
        <f t="shared" si="1"/>
        <v>11681</v>
      </c>
      <c r="AU17" s="618">
        <f t="shared" si="1"/>
        <v>13890</v>
      </c>
      <c r="AV17" s="156">
        <f t="shared" si="4"/>
        <v>2.5492666743342218E-2</v>
      </c>
    </row>
    <row r="18" spans="2:49" x14ac:dyDescent="0.35">
      <c r="B18" s="584">
        <v>2016</v>
      </c>
      <c r="C18" s="592" t="s">
        <v>60</v>
      </c>
      <c r="D18" s="40" t="s">
        <v>275</v>
      </c>
      <c r="E18" s="40" t="s">
        <v>41</v>
      </c>
      <c r="F18" s="578"/>
      <c r="G18" s="173"/>
      <c r="H18" s="27">
        <v>9000</v>
      </c>
      <c r="I18" s="585">
        <v>3.8461538461538458</v>
      </c>
      <c r="J18" s="44">
        <f>IF(Tabla1[[#This Row],[Number of vehicle]]="",0,(Tabla1[[#This Row],[Number of vehicle]]*Tabla1[[#This Row],[km travelled]])/Tabla1[[#This Row],[Fuel economy (km/L)]])</f>
        <v>0</v>
      </c>
      <c r="K18" s="44">
        <f>Tabla1[[#This Row],[Consumption (L)]]/$F$455</f>
        <v>0</v>
      </c>
      <c r="L18" s="44">
        <f>Tabla1[[#This Row],[Consumption (ton)]]/1000</f>
        <v>0</v>
      </c>
      <c r="N18" s="112" t="s">
        <v>117</v>
      </c>
      <c r="O18" s="152">
        <v>40</v>
      </c>
      <c r="P18" s="152">
        <v>1.815660627266838E-2</v>
      </c>
      <c r="Q18" s="152">
        <v>204</v>
      </c>
      <c r="R18" s="152">
        <v>0.11785572285055269</v>
      </c>
      <c r="S18" s="152">
        <v>203</v>
      </c>
      <c r="T18" s="152">
        <v>0.11727805308785118</v>
      </c>
      <c r="U18" s="152">
        <v>447</v>
      </c>
      <c r="V18" s="152">
        <v>0.25329038221107225</v>
      </c>
      <c r="W18" s="152"/>
      <c r="X18" s="152"/>
      <c r="AB18" s="716"/>
      <c r="AC18" s="716"/>
      <c r="AD18" s="27" t="s">
        <v>117</v>
      </c>
      <c r="AE18" s="173">
        <f t="shared" si="0"/>
        <v>2</v>
      </c>
      <c r="AF18" s="173">
        <f t="shared" si="0"/>
        <v>2</v>
      </c>
      <c r="AG18" s="173">
        <f t="shared" si="0"/>
        <v>3</v>
      </c>
      <c r="AH18" s="173">
        <f t="shared" si="0"/>
        <v>3</v>
      </c>
      <c r="AI18" s="173">
        <f t="shared" si="0"/>
        <v>3</v>
      </c>
      <c r="AJ18" s="173">
        <f t="shared" si="0"/>
        <v>3</v>
      </c>
      <c r="AK18" s="173">
        <f t="shared" si="0"/>
        <v>3</v>
      </c>
      <c r="AL18" s="173">
        <f t="shared" si="0"/>
        <v>3</v>
      </c>
      <c r="AM18" s="173">
        <f t="shared" si="0"/>
        <v>3</v>
      </c>
      <c r="AN18" s="173">
        <f t="shared" si="0"/>
        <v>4</v>
      </c>
      <c r="AO18" s="173">
        <f t="shared" si="0"/>
        <v>4</v>
      </c>
      <c r="AP18" s="173">
        <f t="shared" si="0"/>
        <v>4</v>
      </c>
      <c r="AQ18" s="173">
        <f t="shared" si="0"/>
        <v>4</v>
      </c>
      <c r="AR18" s="173">
        <f t="shared" si="2"/>
        <v>4</v>
      </c>
      <c r="AS18" s="618">
        <f t="shared" si="3"/>
        <v>5</v>
      </c>
      <c r="AT18" s="618">
        <f t="shared" si="1"/>
        <v>4</v>
      </c>
      <c r="AU18" s="618">
        <f t="shared" si="1"/>
        <v>5</v>
      </c>
      <c r="AV18" s="156">
        <f t="shared" si="4"/>
        <v>9.6099863423360647E-6</v>
      </c>
    </row>
    <row r="19" spans="2:49" x14ac:dyDescent="0.35">
      <c r="B19" s="584">
        <v>2016</v>
      </c>
      <c r="C19" s="592" t="s">
        <v>60</v>
      </c>
      <c r="D19" s="40" t="s">
        <v>275</v>
      </c>
      <c r="E19" s="40" t="s">
        <v>41</v>
      </c>
      <c r="F19" s="578"/>
      <c r="G19" s="173">
        <v>115</v>
      </c>
      <c r="H19" s="27">
        <v>10000</v>
      </c>
      <c r="I19" s="585">
        <v>3.8461538461538458</v>
      </c>
      <c r="J19" s="44">
        <f>IF(Tabla1[[#This Row],[Number of vehicle]]="",0,(Tabla1[[#This Row],[Number of vehicle]]*Tabla1[[#This Row],[km travelled]])/Tabla1[[#This Row],[Fuel economy (km/L)]])</f>
        <v>299000</v>
      </c>
      <c r="K19" s="44">
        <f>Tabla1[[#This Row],[Consumption (L)]]/$F$455</f>
        <v>254.68483816013628</v>
      </c>
      <c r="L19" s="44">
        <f>Tabla1[[#This Row],[Consumption (ton)]]/1000</f>
        <v>0.25468483816013626</v>
      </c>
      <c r="N19" s="220" t="s">
        <v>273</v>
      </c>
      <c r="O19" s="152">
        <v>39265</v>
      </c>
      <c r="P19" s="152">
        <v>38.405624526625395</v>
      </c>
      <c r="Q19" s="152">
        <v>39181</v>
      </c>
      <c r="R19" s="152">
        <v>40.237325487684359</v>
      </c>
      <c r="S19" s="152">
        <v>41315</v>
      </c>
      <c r="T19" s="152">
        <v>42.707915225894318</v>
      </c>
      <c r="U19" s="152">
        <v>119761</v>
      </c>
      <c r="V19" s="152">
        <v>121.35086524020407</v>
      </c>
      <c r="W19" s="152"/>
      <c r="X19" s="152"/>
      <c r="AB19" s="716"/>
      <c r="AC19" s="716" t="s">
        <v>505</v>
      </c>
      <c r="AD19" s="27" t="s">
        <v>136</v>
      </c>
      <c r="AE19" s="173">
        <f t="shared" si="0"/>
        <v>2842</v>
      </c>
      <c r="AF19" s="173">
        <f t="shared" si="0"/>
        <v>2964</v>
      </c>
      <c r="AG19" s="173">
        <f t="shared" si="0"/>
        <v>3088</v>
      </c>
      <c r="AH19" s="173">
        <f t="shared" si="0"/>
        <v>3210</v>
      </c>
      <c r="AI19" s="173">
        <f t="shared" si="0"/>
        <v>3387</v>
      </c>
      <c r="AJ19" s="173">
        <f t="shared" si="0"/>
        <v>3549</v>
      </c>
      <c r="AK19" s="173">
        <f t="shared" si="0"/>
        <v>3711</v>
      </c>
      <c r="AL19" s="173">
        <f t="shared" si="0"/>
        <v>3881</v>
      </c>
      <c r="AM19" s="173">
        <f t="shared" si="0"/>
        <v>4082</v>
      </c>
      <c r="AN19" s="173">
        <f t="shared" si="0"/>
        <v>4258</v>
      </c>
      <c r="AO19" s="173">
        <f t="shared" si="0"/>
        <v>4462</v>
      </c>
      <c r="AP19" s="173">
        <f t="shared" si="0"/>
        <v>4657</v>
      </c>
      <c r="AQ19" s="173">
        <f t="shared" si="0"/>
        <v>4901</v>
      </c>
      <c r="AR19" s="173">
        <f t="shared" si="2"/>
        <v>5152</v>
      </c>
      <c r="AS19" s="618">
        <f t="shared" si="3"/>
        <v>5836</v>
      </c>
      <c r="AT19" s="618">
        <f t="shared" si="1"/>
        <v>5656</v>
      </c>
      <c r="AU19" s="618">
        <f t="shared" si="1"/>
        <v>5413</v>
      </c>
      <c r="AV19" s="156">
        <f t="shared" si="4"/>
        <v>1.161603968528417E-2</v>
      </c>
    </row>
    <row r="20" spans="2:49" x14ac:dyDescent="0.35">
      <c r="B20" s="584">
        <v>2016</v>
      </c>
      <c r="C20" s="592" t="s">
        <v>60</v>
      </c>
      <c r="D20" s="40" t="s">
        <v>275</v>
      </c>
      <c r="E20" s="40" t="s">
        <v>41</v>
      </c>
      <c r="F20" s="578"/>
      <c r="G20" s="173">
        <v>70</v>
      </c>
      <c r="H20" s="27">
        <v>54000</v>
      </c>
      <c r="I20" s="585">
        <v>3.3333333333333335</v>
      </c>
      <c r="J20" s="44">
        <f>IF(Tabla1[[#This Row],[Number of vehicle]]="",0,(Tabla1[[#This Row],[Number of vehicle]]*Tabla1[[#This Row],[km travelled]])/Tabla1[[#This Row],[Fuel economy (km/L)]])</f>
        <v>1134000</v>
      </c>
      <c r="K20" s="44">
        <f>Tabla1[[#This Row],[Consumption (L)]]/$F$455</f>
        <v>965.92844974446336</v>
      </c>
      <c r="L20" s="44">
        <f>Tabla1[[#This Row],[Consumption (ton)]]/1000</f>
        <v>0.96592844974446335</v>
      </c>
      <c r="N20" s="111" t="s">
        <v>507</v>
      </c>
      <c r="O20" s="152">
        <v>12676</v>
      </c>
      <c r="P20" s="152">
        <v>12.978930482565623</v>
      </c>
      <c r="Q20" s="152">
        <v>12970</v>
      </c>
      <c r="R20" s="152">
        <v>13.5262321404656</v>
      </c>
      <c r="S20" s="152">
        <v>15327</v>
      </c>
      <c r="T20" s="152">
        <v>16.019283539716984</v>
      </c>
      <c r="U20" s="152">
        <v>40973</v>
      </c>
      <c r="V20" s="152">
        <v>42.524446162748212</v>
      </c>
      <c r="W20" s="152"/>
      <c r="X20" s="152"/>
      <c r="AB20" s="716"/>
      <c r="AC20" s="716"/>
      <c r="AD20" s="27" t="s">
        <v>41</v>
      </c>
      <c r="AE20" s="173">
        <f t="shared" si="0"/>
        <v>9908</v>
      </c>
      <c r="AF20" s="173">
        <f t="shared" si="0"/>
        <v>10332</v>
      </c>
      <c r="AG20" s="173">
        <f t="shared" si="0"/>
        <v>10765</v>
      </c>
      <c r="AH20" s="173">
        <f t="shared" si="0"/>
        <v>11191</v>
      </c>
      <c r="AI20" s="173">
        <f t="shared" si="0"/>
        <v>11808</v>
      </c>
      <c r="AJ20" s="173">
        <f t="shared" si="0"/>
        <v>12370</v>
      </c>
      <c r="AK20" s="173">
        <f t="shared" si="0"/>
        <v>12935</v>
      </c>
      <c r="AL20" s="173">
        <f t="shared" si="0"/>
        <v>13530</v>
      </c>
      <c r="AM20" s="173">
        <f t="shared" si="0"/>
        <v>14229</v>
      </c>
      <c r="AN20" s="173">
        <f t="shared" si="0"/>
        <v>14841</v>
      </c>
      <c r="AO20" s="173">
        <f t="shared" si="0"/>
        <v>15554</v>
      </c>
      <c r="AP20" s="173">
        <f t="shared" si="0"/>
        <v>16234</v>
      </c>
      <c r="AQ20" s="173">
        <f t="shared" si="0"/>
        <v>17085</v>
      </c>
      <c r="AR20" s="173">
        <f t="shared" si="2"/>
        <v>17958</v>
      </c>
      <c r="AS20" s="618">
        <f t="shared" si="3"/>
        <v>19801</v>
      </c>
      <c r="AT20" s="618">
        <f t="shared" si="1"/>
        <v>19610</v>
      </c>
      <c r="AU20" s="618">
        <f t="shared" si="1"/>
        <v>19573</v>
      </c>
      <c r="AV20" s="156">
        <f t="shared" si="4"/>
        <v>4.0492623049056452E-2</v>
      </c>
    </row>
    <row r="21" spans="2:49" x14ac:dyDescent="0.35">
      <c r="B21" s="584">
        <v>2014</v>
      </c>
      <c r="C21" s="592" t="s">
        <v>59</v>
      </c>
      <c r="D21" s="40" t="s">
        <v>504</v>
      </c>
      <c r="E21" s="40" t="s">
        <v>41</v>
      </c>
      <c r="F21" s="578" t="s">
        <v>505</v>
      </c>
      <c r="G21" s="577">
        <v>52</v>
      </c>
      <c r="H21" s="575">
        <v>10000</v>
      </c>
      <c r="I21" s="585">
        <v>15.5</v>
      </c>
      <c r="J21" s="44">
        <f>IF(Tabla1[[#This Row],[Number of vehicle]]="",0,(Tabla1[[#This Row],[Number of vehicle]]*Tabla1[[#This Row],[km travelled]])/Tabla1[[#This Row],[Fuel economy (km/L)]])</f>
        <v>33548.387096774197</v>
      </c>
      <c r="K21" s="44">
        <f>Tabla1[[#This Row],[Consumption (L)]]/$F$455</f>
        <v>28.576138923998464</v>
      </c>
      <c r="L21" s="44">
        <f>Tabla1[[#This Row],[Consumption (ton)]]/1000</f>
        <v>2.8576138923998465E-2</v>
      </c>
      <c r="N21" s="112" t="s">
        <v>41</v>
      </c>
      <c r="O21" s="152">
        <v>12006</v>
      </c>
      <c r="P21" s="152">
        <v>12.421925214027503</v>
      </c>
      <c r="Q21" s="152">
        <v>12266</v>
      </c>
      <c r="R21" s="152">
        <v>12.703810819068597</v>
      </c>
      <c r="S21" s="152">
        <v>14575</v>
      </c>
      <c r="T21" s="152">
        <v>15.111663175941688</v>
      </c>
      <c r="U21" s="152">
        <v>38847</v>
      </c>
      <c r="V21" s="152">
        <v>40.23739920903779</v>
      </c>
      <c r="W21" s="152"/>
      <c r="X21" s="152"/>
      <c r="AB21" s="716"/>
      <c r="AC21" s="716"/>
      <c r="AD21" s="27" t="s">
        <v>117</v>
      </c>
      <c r="AE21" s="173">
        <f t="shared" ref="AE21:AQ25" si="5">ROUND(AE$26*$AV21,0)</f>
        <v>5</v>
      </c>
      <c r="AF21" s="173">
        <f t="shared" si="5"/>
        <v>5</v>
      </c>
      <c r="AG21" s="173">
        <f t="shared" si="5"/>
        <v>5</v>
      </c>
      <c r="AH21" s="173">
        <f t="shared" si="5"/>
        <v>5</v>
      </c>
      <c r="AI21" s="173">
        <f t="shared" si="5"/>
        <v>6</v>
      </c>
      <c r="AJ21" s="173">
        <f t="shared" si="5"/>
        <v>6</v>
      </c>
      <c r="AK21" s="173">
        <f t="shared" si="5"/>
        <v>6</v>
      </c>
      <c r="AL21" s="173">
        <f t="shared" si="5"/>
        <v>6</v>
      </c>
      <c r="AM21" s="173">
        <f t="shared" si="5"/>
        <v>7</v>
      </c>
      <c r="AN21" s="173">
        <f t="shared" si="5"/>
        <v>7</v>
      </c>
      <c r="AO21" s="173">
        <f t="shared" si="5"/>
        <v>7</v>
      </c>
      <c r="AP21" s="173">
        <f t="shared" si="5"/>
        <v>8</v>
      </c>
      <c r="AQ21" s="173">
        <f t="shared" si="5"/>
        <v>8</v>
      </c>
      <c r="AR21" s="173">
        <f t="shared" si="2"/>
        <v>9</v>
      </c>
      <c r="AS21" s="618">
        <f t="shared" si="3"/>
        <v>9</v>
      </c>
      <c r="AT21" s="618">
        <f t="shared" ref="AT21:AT25" si="6">R152</f>
        <v>10</v>
      </c>
      <c r="AU21" s="618">
        <f t="shared" ref="AU21:AU25" si="7">S152</f>
        <v>9</v>
      </c>
      <c r="AV21" s="156">
        <f t="shared" si="4"/>
        <v>1.9218173361181643E-5</v>
      </c>
    </row>
    <row r="22" spans="2:49" x14ac:dyDescent="0.35">
      <c r="B22" s="584">
        <v>2014</v>
      </c>
      <c r="C22" s="592" t="s">
        <v>59</v>
      </c>
      <c r="D22" s="40" t="s">
        <v>504</v>
      </c>
      <c r="E22" s="40" t="s">
        <v>41</v>
      </c>
      <c r="F22" s="578" t="s">
        <v>507</v>
      </c>
      <c r="G22" s="577">
        <v>2</v>
      </c>
      <c r="H22" s="575">
        <v>10000</v>
      </c>
      <c r="I22" s="585">
        <v>15.5</v>
      </c>
      <c r="J22" s="44">
        <f>IF(Tabla1[[#This Row],[Number of vehicle]]="",0,(Tabla1[[#This Row],[Number of vehicle]]*Tabla1[[#This Row],[km travelled]])/Tabla1[[#This Row],[Fuel economy (km/L)]])</f>
        <v>1290.3225806451612</v>
      </c>
      <c r="K22" s="44">
        <f>Tabla1[[#This Row],[Consumption (L)]]/$F$455</f>
        <v>1.0990822663076332</v>
      </c>
      <c r="L22" s="44">
        <f>Tabla1[[#This Row],[Consumption (ton)]]/1000</f>
        <v>1.0990822663076332E-3</v>
      </c>
      <c r="N22" s="112" t="s">
        <v>136</v>
      </c>
      <c r="O22" s="152">
        <v>665</v>
      </c>
      <c r="P22" s="152">
        <v>0.55324673338593799</v>
      </c>
      <c r="Q22" s="152">
        <v>698</v>
      </c>
      <c r="R22" s="152">
        <v>0.81752383619870483</v>
      </c>
      <c r="S22" s="152">
        <v>744</v>
      </c>
      <c r="T22" s="152">
        <v>0.90086336829762481</v>
      </c>
      <c r="U22" s="152">
        <v>2107</v>
      </c>
      <c r="V22" s="152">
        <v>2.2716339378822674</v>
      </c>
      <c r="W22" s="152"/>
      <c r="X22" s="152"/>
      <c r="AB22" s="27" t="s">
        <v>532</v>
      </c>
      <c r="AC22" s="27" t="s">
        <v>507</v>
      </c>
      <c r="AD22" s="27" t="s">
        <v>41</v>
      </c>
      <c r="AE22" s="173">
        <f t="shared" si="5"/>
        <v>2157</v>
      </c>
      <c r="AF22" s="173">
        <f t="shared" si="5"/>
        <v>2249</v>
      </c>
      <c r="AG22" s="173">
        <f t="shared" si="5"/>
        <v>2344</v>
      </c>
      <c r="AH22" s="173">
        <f t="shared" si="5"/>
        <v>2436</v>
      </c>
      <c r="AI22" s="173">
        <f t="shared" si="5"/>
        <v>2571</v>
      </c>
      <c r="AJ22" s="173">
        <f t="shared" si="5"/>
        <v>2693</v>
      </c>
      <c r="AK22" s="173">
        <f t="shared" si="5"/>
        <v>2816</v>
      </c>
      <c r="AL22" s="173">
        <f t="shared" si="5"/>
        <v>2946</v>
      </c>
      <c r="AM22" s="173">
        <f t="shared" si="5"/>
        <v>3098</v>
      </c>
      <c r="AN22" s="173">
        <f t="shared" si="5"/>
        <v>3231</v>
      </c>
      <c r="AO22" s="173">
        <f t="shared" si="5"/>
        <v>3386</v>
      </c>
      <c r="AP22" s="173">
        <f t="shared" si="5"/>
        <v>3534</v>
      </c>
      <c r="AQ22" s="173">
        <f t="shared" si="5"/>
        <v>3719</v>
      </c>
      <c r="AR22" s="173">
        <f t="shared" si="2"/>
        <v>3910</v>
      </c>
      <c r="AS22" s="618">
        <f t="shared" si="3"/>
        <v>3163</v>
      </c>
      <c r="AT22" s="618">
        <f t="shared" si="6"/>
        <v>4120</v>
      </c>
      <c r="AU22" s="618">
        <f t="shared" si="7"/>
        <v>5670</v>
      </c>
      <c r="AV22" s="156">
        <f t="shared" si="4"/>
        <v>8.8155062910939535E-3</v>
      </c>
    </row>
    <row r="23" spans="2:49" x14ac:dyDescent="0.35">
      <c r="B23" s="584">
        <v>2014</v>
      </c>
      <c r="C23" s="592" t="s">
        <v>59</v>
      </c>
      <c r="D23" s="40" t="s">
        <v>504</v>
      </c>
      <c r="E23" s="40" t="s">
        <v>41</v>
      </c>
      <c r="F23" s="578" t="s">
        <v>505</v>
      </c>
      <c r="G23" s="577">
        <f>378+396+1-104</f>
        <v>671</v>
      </c>
      <c r="H23" s="575">
        <v>10000</v>
      </c>
      <c r="I23" s="585">
        <v>15.2</v>
      </c>
      <c r="J23" s="44">
        <f>IF(Tabla1[[#This Row],[Number of vehicle]]="",0,(Tabla1[[#This Row],[Number of vehicle]]*Tabla1[[#This Row],[km travelled]])/Tabla1[[#This Row],[Fuel economy (km/L)]])</f>
        <v>441447.36842105264</v>
      </c>
      <c r="K23" s="44">
        <f>Tabla1[[#This Row],[Consumption (L)]]/$F$455</f>
        <v>376.01990495830717</v>
      </c>
      <c r="L23" s="44">
        <f>Tabla1[[#This Row],[Consumption (ton)]]/1000</f>
        <v>0.37601990495830717</v>
      </c>
      <c r="N23" s="112" t="s">
        <v>117</v>
      </c>
      <c r="O23" s="152">
        <v>5</v>
      </c>
      <c r="P23" s="152">
        <v>3.7585351521823213E-3</v>
      </c>
      <c r="Q23" s="152">
        <v>6</v>
      </c>
      <c r="R23" s="152">
        <v>4.8974851982981765E-3</v>
      </c>
      <c r="S23" s="152">
        <v>8</v>
      </c>
      <c r="T23" s="152">
        <v>6.756995477671E-3</v>
      </c>
      <c r="U23" s="152">
        <v>19</v>
      </c>
      <c r="V23" s="152">
        <v>1.5413015828151497E-2</v>
      </c>
      <c r="W23" s="152"/>
      <c r="X23" s="152"/>
      <c r="AB23" s="27"/>
      <c r="AC23" s="27" t="s">
        <v>505</v>
      </c>
      <c r="AD23" s="27" t="s">
        <v>41</v>
      </c>
      <c r="AE23" s="173">
        <f t="shared" si="5"/>
        <v>8200</v>
      </c>
      <c r="AF23" s="173">
        <f t="shared" si="5"/>
        <v>8550</v>
      </c>
      <c r="AG23" s="173">
        <f t="shared" si="5"/>
        <v>8908</v>
      </c>
      <c r="AH23" s="173">
        <f t="shared" si="5"/>
        <v>9261</v>
      </c>
      <c r="AI23" s="173">
        <f t="shared" si="5"/>
        <v>9772</v>
      </c>
      <c r="AJ23" s="173">
        <f t="shared" si="5"/>
        <v>10237</v>
      </c>
      <c r="AK23" s="173">
        <f t="shared" si="5"/>
        <v>10704</v>
      </c>
      <c r="AL23" s="173">
        <f t="shared" si="5"/>
        <v>11197</v>
      </c>
      <c r="AM23" s="173">
        <f t="shared" si="5"/>
        <v>11776</v>
      </c>
      <c r="AN23" s="173">
        <f t="shared" si="5"/>
        <v>12282</v>
      </c>
      <c r="AO23" s="173">
        <f t="shared" si="5"/>
        <v>12872</v>
      </c>
      <c r="AP23" s="173">
        <f t="shared" si="5"/>
        <v>13435</v>
      </c>
      <c r="AQ23" s="173">
        <f t="shared" si="5"/>
        <v>14139</v>
      </c>
      <c r="AR23" s="173">
        <f t="shared" si="2"/>
        <v>14861</v>
      </c>
      <c r="AS23" s="618">
        <f t="shared" si="3"/>
        <v>16596</v>
      </c>
      <c r="AT23" s="618">
        <f t="shared" si="6"/>
        <v>16237</v>
      </c>
      <c r="AU23" s="618">
        <f t="shared" si="7"/>
        <v>15960</v>
      </c>
      <c r="AV23" s="156">
        <f t="shared" si="4"/>
        <v>3.3509927501833452E-2</v>
      </c>
    </row>
    <row r="24" spans="2:49" x14ac:dyDescent="0.35">
      <c r="B24" s="584">
        <v>2014</v>
      </c>
      <c r="C24" s="592" t="s">
        <v>59</v>
      </c>
      <c r="D24" s="40" t="s">
        <v>504</v>
      </c>
      <c r="E24" s="40" t="s">
        <v>41</v>
      </c>
      <c r="F24" s="578" t="s">
        <v>507</v>
      </c>
      <c r="G24" s="577">
        <f>53+50+55-5</f>
        <v>153</v>
      </c>
      <c r="H24" s="575">
        <v>10000</v>
      </c>
      <c r="I24" s="585">
        <v>15.2</v>
      </c>
      <c r="J24" s="44">
        <f>IF(Tabla1[[#This Row],[Number of vehicle]]="",0,(Tabla1[[#This Row],[Number of vehicle]]*Tabla1[[#This Row],[km travelled]])/Tabla1[[#This Row],[Fuel economy (km/L)]])</f>
        <v>100657.89473684211</v>
      </c>
      <c r="K24" s="44">
        <f>Tabla1[[#This Row],[Consumption (L)]]/$F$455</f>
        <v>85.739262978570792</v>
      </c>
      <c r="L24" s="44">
        <f>Tabla1[[#This Row],[Consumption (ton)]]/1000</f>
        <v>8.573926297857079E-2</v>
      </c>
      <c r="N24" s="111" t="s">
        <v>505</v>
      </c>
      <c r="O24" s="152">
        <v>26589</v>
      </c>
      <c r="P24" s="152">
        <v>25.426694044059779</v>
      </c>
      <c r="Q24" s="152">
        <v>26211</v>
      </c>
      <c r="R24" s="152">
        <v>26.711093347218767</v>
      </c>
      <c r="S24" s="152">
        <v>25988</v>
      </c>
      <c r="T24" s="152">
        <v>26.688631686177342</v>
      </c>
      <c r="U24" s="152">
        <v>78788</v>
      </c>
      <c r="V24" s="152">
        <v>78.826419077455867</v>
      </c>
      <c r="W24" s="152"/>
      <c r="X24" s="152"/>
      <c r="AB24" s="27" t="s">
        <v>533</v>
      </c>
      <c r="AC24" s="27"/>
      <c r="AD24" s="27" t="s">
        <v>41</v>
      </c>
      <c r="AE24" s="173">
        <f t="shared" si="5"/>
        <v>8552</v>
      </c>
      <c r="AF24" s="173">
        <f t="shared" si="5"/>
        <v>8918</v>
      </c>
      <c r="AG24" s="173">
        <f t="shared" si="5"/>
        <v>9291</v>
      </c>
      <c r="AH24" s="173">
        <f t="shared" si="5"/>
        <v>9659</v>
      </c>
      <c r="AI24" s="173">
        <f t="shared" si="5"/>
        <v>10192</v>
      </c>
      <c r="AJ24" s="173">
        <f t="shared" si="5"/>
        <v>10677</v>
      </c>
      <c r="AK24" s="173">
        <f t="shared" si="5"/>
        <v>11165</v>
      </c>
      <c r="AL24" s="173">
        <f t="shared" si="5"/>
        <v>11679</v>
      </c>
      <c r="AM24" s="173">
        <f t="shared" si="5"/>
        <v>12282</v>
      </c>
      <c r="AN24" s="173">
        <f t="shared" si="5"/>
        <v>12810</v>
      </c>
      <c r="AO24" s="173">
        <f t="shared" si="5"/>
        <v>13425</v>
      </c>
      <c r="AP24" s="173">
        <f t="shared" si="5"/>
        <v>14012</v>
      </c>
      <c r="AQ24" s="173">
        <f t="shared" si="5"/>
        <v>14747</v>
      </c>
      <c r="AR24" s="173">
        <f t="shared" si="2"/>
        <v>15500</v>
      </c>
      <c r="AS24" s="618">
        <f t="shared" si="3"/>
        <v>18492</v>
      </c>
      <c r="AT24" s="618">
        <f t="shared" si="6"/>
        <v>16520</v>
      </c>
      <c r="AU24" s="618">
        <f t="shared" si="7"/>
        <v>15789</v>
      </c>
      <c r="AV24" s="156">
        <f t="shared" si="4"/>
        <v>3.4950713254542569E-2</v>
      </c>
    </row>
    <row r="25" spans="2:49" x14ac:dyDescent="0.35">
      <c r="B25" s="584">
        <v>2014</v>
      </c>
      <c r="C25" s="592" t="s">
        <v>59</v>
      </c>
      <c r="D25" s="40" t="s">
        <v>504</v>
      </c>
      <c r="E25" s="40" t="s">
        <v>41</v>
      </c>
      <c r="F25" s="578" t="s">
        <v>505</v>
      </c>
      <c r="G25" s="577">
        <f>21+2766-544</f>
        <v>2243</v>
      </c>
      <c r="H25" s="575">
        <v>10000</v>
      </c>
      <c r="I25" s="585">
        <v>12.7</v>
      </c>
      <c r="J25" s="44">
        <f>IF(Tabla1[[#This Row],[Number of vehicle]]="",0,(Tabla1[[#This Row],[Number of vehicle]]*Tabla1[[#This Row],[km travelled]])/Tabla1[[#This Row],[Fuel economy (km/L)]])</f>
        <v>1766141.7322834646</v>
      </c>
      <c r="K25" s="44">
        <f>Tabla1[[#This Row],[Consumption (L)]]/$F$455</f>
        <v>1504.3796697474145</v>
      </c>
      <c r="L25" s="44">
        <f>Tabla1[[#This Row],[Consumption (ton)]]/1000</f>
        <v>1.5043796697474145</v>
      </c>
      <c r="N25" s="112" t="s">
        <v>41</v>
      </c>
      <c r="O25" s="152">
        <v>20725</v>
      </c>
      <c r="P25" s="152">
        <v>21.378544426813896</v>
      </c>
      <c r="Q25" s="152">
        <v>20526</v>
      </c>
      <c r="R25" s="152">
        <v>21.17790038316036</v>
      </c>
      <c r="S25" s="152">
        <v>20547</v>
      </c>
      <c r="T25" s="152">
        <v>21.205162573688842</v>
      </c>
      <c r="U25" s="152">
        <v>61798</v>
      </c>
      <c r="V25" s="152">
        <v>63.76160738366309</v>
      </c>
      <c r="W25" s="152"/>
      <c r="X25" s="152"/>
      <c r="AB25" s="27" t="s">
        <v>275</v>
      </c>
      <c r="AC25" s="27"/>
      <c r="AD25" s="27" t="s">
        <v>41</v>
      </c>
      <c r="AE25" s="173">
        <f t="shared" si="5"/>
        <v>1780</v>
      </c>
      <c r="AF25" s="173">
        <f t="shared" si="5"/>
        <v>1856</v>
      </c>
      <c r="AG25" s="173">
        <f t="shared" si="5"/>
        <v>1934</v>
      </c>
      <c r="AH25" s="173">
        <f t="shared" si="5"/>
        <v>2010</v>
      </c>
      <c r="AI25" s="173">
        <f t="shared" si="5"/>
        <v>2121</v>
      </c>
      <c r="AJ25" s="173">
        <f t="shared" si="5"/>
        <v>2222</v>
      </c>
      <c r="AK25" s="173">
        <f t="shared" si="5"/>
        <v>2324</v>
      </c>
      <c r="AL25" s="173">
        <f t="shared" si="5"/>
        <v>2431</v>
      </c>
      <c r="AM25" s="173">
        <f t="shared" si="5"/>
        <v>2556</v>
      </c>
      <c r="AN25" s="173">
        <f t="shared" si="5"/>
        <v>2666</v>
      </c>
      <c r="AO25" s="173">
        <f t="shared" si="5"/>
        <v>2794</v>
      </c>
      <c r="AP25" s="173">
        <f t="shared" si="5"/>
        <v>2917</v>
      </c>
      <c r="AQ25" s="173">
        <f t="shared" si="5"/>
        <v>3069</v>
      </c>
      <c r="AR25" s="173">
        <f t="shared" si="2"/>
        <v>3226</v>
      </c>
      <c r="AS25" s="618">
        <f t="shared" si="3"/>
        <v>3244</v>
      </c>
      <c r="AT25" s="618">
        <f t="shared" si="6"/>
        <v>3552</v>
      </c>
      <c r="AU25" s="618">
        <f t="shared" si="7"/>
        <v>3828</v>
      </c>
      <c r="AV25" s="156">
        <f t="shared" si="4"/>
        <v>7.2745746874365051E-3</v>
      </c>
    </row>
    <row r="26" spans="2:49" x14ac:dyDescent="0.35">
      <c r="B26" s="584">
        <v>2014</v>
      </c>
      <c r="C26" s="592" t="s">
        <v>59</v>
      </c>
      <c r="D26" s="40" t="s">
        <v>504</v>
      </c>
      <c r="E26" s="40" t="s">
        <v>41</v>
      </c>
      <c r="F26" s="578" t="s">
        <v>507</v>
      </c>
      <c r="G26" s="577">
        <f>6+766-130</f>
        <v>642</v>
      </c>
      <c r="H26" s="575">
        <v>10000</v>
      </c>
      <c r="I26" s="585">
        <v>12.7</v>
      </c>
      <c r="J26" s="44">
        <f>IF(Tabla1[[#This Row],[Number of vehicle]]="",0,(Tabla1[[#This Row],[Number of vehicle]]*Tabla1[[#This Row],[km travelled]])/Tabla1[[#This Row],[Fuel economy (km/L)]])</f>
        <v>505511.81102362205</v>
      </c>
      <c r="K26" s="44">
        <f>Tabla1[[#This Row],[Consumption (L)]]/$F$455</f>
        <v>430.58927685146682</v>
      </c>
      <c r="L26" s="44">
        <f>Tabla1[[#This Row],[Consumption (ton)]]/1000</f>
        <v>0.43058927685146681</v>
      </c>
      <c r="N26" s="112" t="s">
        <v>136</v>
      </c>
      <c r="O26" s="152">
        <v>5850</v>
      </c>
      <c r="P26" s="152">
        <v>4.0378729621673015</v>
      </c>
      <c r="Q26" s="152">
        <v>5670</v>
      </c>
      <c r="R26" s="152">
        <v>5.5208923035603545</v>
      </c>
      <c r="S26" s="152">
        <v>5427</v>
      </c>
      <c r="T26" s="152">
        <v>5.471742575789202</v>
      </c>
      <c r="U26" s="152">
        <v>16947</v>
      </c>
      <c r="V26" s="152">
        <v>15.030507841516858</v>
      </c>
      <c r="W26" s="152"/>
      <c r="X26" s="152"/>
      <c r="AD26" s="622" t="s">
        <v>219</v>
      </c>
      <c r="AE26" s="618">
        <f>411.92*11^2+820.37*11+185824</f>
        <v>244690.39</v>
      </c>
      <c r="AF26" s="618">
        <v>255149</v>
      </c>
      <c r="AG26" s="618">
        <v>265841</v>
      </c>
      <c r="AH26" s="618">
        <v>276371</v>
      </c>
      <c r="AI26" s="618">
        <v>291605</v>
      </c>
      <c r="AJ26" s="618">
        <v>305496</v>
      </c>
      <c r="AK26" s="618">
        <v>319440</v>
      </c>
      <c r="AL26" s="618">
        <v>334145</v>
      </c>
      <c r="AM26" s="618">
        <v>351406</v>
      </c>
      <c r="AN26" s="618">
        <v>366520</v>
      </c>
      <c r="AO26" s="618">
        <v>384115</v>
      </c>
      <c r="AP26" s="618">
        <v>400919</v>
      </c>
      <c r="AQ26" s="618">
        <v>421926</v>
      </c>
      <c r="AR26" s="618">
        <v>443495</v>
      </c>
      <c r="AS26" s="618">
        <f t="shared" ref="AS26:AT26" si="8">SUM(AS5:AS25)</f>
        <v>465052</v>
      </c>
      <c r="AT26" s="618">
        <f t="shared" si="8"/>
        <v>486061</v>
      </c>
      <c r="AU26" s="618">
        <f>SUM(AU5:AU25)</f>
        <v>507663</v>
      </c>
      <c r="AV26" s="151"/>
      <c r="AW26" s="619" t="s">
        <v>539</v>
      </c>
    </row>
    <row r="27" spans="2:49" x14ac:dyDescent="0.35">
      <c r="B27" s="584">
        <v>2014</v>
      </c>
      <c r="C27" s="592" t="s">
        <v>59</v>
      </c>
      <c r="D27" s="40" t="s">
        <v>504</v>
      </c>
      <c r="E27" s="40" t="s">
        <v>41</v>
      </c>
      <c r="F27" s="578" t="s">
        <v>505</v>
      </c>
      <c r="G27" s="577">
        <f>3148+3355-1156</f>
        <v>5347</v>
      </c>
      <c r="H27" s="575">
        <v>10000</v>
      </c>
      <c r="I27" s="585">
        <v>10.6</v>
      </c>
      <c r="J27" s="44">
        <f>IF(Tabla1[[#This Row],[Number of vehicle]]="",0,(Tabla1[[#This Row],[Number of vehicle]]*Tabla1[[#This Row],[km travelled]])/Tabla1[[#This Row],[Fuel economy (km/L)]])</f>
        <v>5044339.6226415094</v>
      </c>
      <c r="K27" s="44">
        <f>Tabla1[[#This Row],[Consumption (L)]]/$F$455</f>
        <v>4296.7117739706209</v>
      </c>
      <c r="L27" s="44">
        <f>Tabla1[[#This Row],[Consumption (ton)]]/1000</f>
        <v>4.2967117739706211</v>
      </c>
      <c r="N27" s="112" t="s">
        <v>117</v>
      </c>
      <c r="O27" s="152">
        <v>14</v>
      </c>
      <c r="P27" s="152">
        <v>1.0276655078580043E-2</v>
      </c>
      <c r="Q27" s="152">
        <v>15</v>
      </c>
      <c r="R27" s="152">
        <v>1.2300660498051234E-2</v>
      </c>
      <c r="S27" s="152">
        <v>14</v>
      </c>
      <c r="T27" s="152">
        <v>1.1726536699294875E-2</v>
      </c>
      <c r="U27" s="152">
        <v>43</v>
      </c>
      <c r="V27" s="152">
        <v>3.4303852275926153E-2</v>
      </c>
      <c r="W27" s="152"/>
      <c r="X27" s="152"/>
    </row>
    <row r="28" spans="2:49" x14ac:dyDescent="0.35">
      <c r="B28" s="584">
        <v>2014</v>
      </c>
      <c r="C28" s="592" t="s">
        <v>59</v>
      </c>
      <c r="D28" s="40" t="s">
        <v>504</v>
      </c>
      <c r="E28" s="40" t="s">
        <v>41</v>
      </c>
      <c r="F28" s="578" t="s">
        <v>507</v>
      </c>
      <c r="G28" s="577">
        <f>3643+1107-131</f>
        <v>4619</v>
      </c>
      <c r="H28" s="575">
        <v>10000</v>
      </c>
      <c r="I28" s="585">
        <v>10.6</v>
      </c>
      <c r="J28" s="44">
        <f>IF(Tabla1[[#This Row],[Number of vehicle]]="",0,(Tabla1[[#This Row],[Number of vehicle]]*Tabla1[[#This Row],[km travelled]])/Tabla1[[#This Row],[Fuel economy (km/L)]])</f>
        <v>4357547.1698113205</v>
      </c>
      <c r="K28" s="44">
        <f>Tabla1[[#This Row],[Consumption (L)]]/$F$455</f>
        <v>3711.7096846774452</v>
      </c>
      <c r="L28" s="44">
        <f>Tabla1[[#This Row],[Consumption (ton)]]/1000</f>
        <v>3.7117096846774453</v>
      </c>
      <c r="N28" s="220" t="s">
        <v>510</v>
      </c>
      <c r="O28" s="152">
        <v>9787</v>
      </c>
      <c r="P28" s="152">
        <v>37.842802385008518</v>
      </c>
      <c r="Q28" s="152">
        <v>7820</v>
      </c>
      <c r="R28" s="152">
        <v>30.085298126064735</v>
      </c>
      <c r="S28" s="152">
        <v>6614</v>
      </c>
      <c r="T28" s="152">
        <v>22.494838160136286</v>
      </c>
      <c r="U28" s="152">
        <v>24221</v>
      </c>
      <c r="V28" s="152">
        <v>90.422938671209536</v>
      </c>
      <c r="W28" s="152"/>
      <c r="X28" s="152"/>
      <c r="AB28" s="729" t="s">
        <v>140</v>
      </c>
      <c r="AC28" s="729"/>
      <c r="AD28" s="730"/>
      <c r="AE28" s="110">
        <v>2000</v>
      </c>
      <c r="AF28" s="110">
        <v>2001</v>
      </c>
      <c r="AG28" s="110">
        <v>2002</v>
      </c>
      <c r="AH28" s="110">
        <v>2003</v>
      </c>
      <c r="AI28" s="110">
        <v>2004</v>
      </c>
      <c r="AJ28" s="110">
        <v>2005</v>
      </c>
      <c r="AK28" s="110">
        <v>2006</v>
      </c>
      <c r="AL28" s="110">
        <v>2007</v>
      </c>
      <c r="AM28" s="110">
        <v>2008</v>
      </c>
      <c r="AN28" s="110">
        <v>2009</v>
      </c>
      <c r="AO28" s="110">
        <v>2010</v>
      </c>
      <c r="AP28" s="110">
        <v>2011</v>
      </c>
      <c r="AQ28" s="110">
        <v>2012</v>
      </c>
      <c r="AR28" s="110">
        <v>2013</v>
      </c>
      <c r="AS28" s="110">
        <v>2014</v>
      </c>
      <c r="AT28" s="110">
        <v>2015</v>
      </c>
      <c r="AU28" s="110">
        <v>2016</v>
      </c>
    </row>
    <row r="29" spans="2:49" x14ac:dyDescent="0.35">
      <c r="B29" s="584">
        <v>2014</v>
      </c>
      <c r="C29" s="592" t="s">
        <v>60</v>
      </c>
      <c r="D29" s="40" t="s">
        <v>504</v>
      </c>
      <c r="E29" s="40" t="s">
        <v>41</v>
      </c>
      <c r="F29" s="571" t="s">
        <v>519</v>
      </c>
      <c r="G29" s="173">
        <f>9</f>
        <v>9</v>
      </c>
      <c r="H29" s="575">
        <v>13500</v>
      </c>
      <c r="I29" s="585">
        <v>15.2</v>
      </c>
      <c r="J29" s="44">
        <f>IF(Tabla1[[#This Row],[Number of vehicle]]="",0,(Tabla1[[#This Row],[Number of vehicle]]*Tabla1[[#This Row],[km travelled]])/Tabla1[[#This Row],[Fuel economy (km/L)]])</f>
        <v>7993.4210526315792</v>
      </c>
      <c r="K29" s="44">
        <f>Tabla1[[#This Row],[Consumption (L)]]/$F$455</f>
        <v>6.8087061777100333</v>
      </c>
      <c r="L29" s="44">
        <f>Tabla1[[#This Row],[Consumption (ton)]]/1000</f>
        <v>6.8087061777100336E-3</v>
      </c>
      <c r="N29" s="111" t="s">
        <v>515</v>
      </c>
      <c r="O29" s="152">
        <v>9787</v>
      </c>
      <c r="P29" s="152">
        <v>37.842802385008518</v>
      </c>
      <c r="Q29" s="152">
        <v>7820</v>
      </c>
      <c r="R29" s="152">
        <v>30.085298126064735</v>
      </c>
      <c r="S29" s="152">
        <v>6614</v>
      </c>
      <c r="T29" s="152">
        <v>22.494838160136286</v>
      </c>
      <c r="U29" s="152">
        <v>24221</v>
      </c>
      <c r="V29" s="152">
        <v>90.422938671209536</v>
      </c>
      <c r="W29" s="152"/>
      <c r="X29" s="152"/>
      <c r="AB29" s="716" t="s">
        <v>531</v>
      </c>
      <c r="AC29" s="716" t="s">
        <v>507</v>
      </c>
      <c r="AD29" s="27" t="s">
        <v>136</v>
      </c>
      <c r="AE29" s="173">
        <f t="shared" ref="AE29:AQ44" si="9">ROUND(AE$50*$AV29,0)</f>
        <v>63</v>
      </c>
      <c r="AF29" s="173">
        <f t="shared" si="9"/>
        <v>68</v>
      </c>
      <c r="AG29" s="173">
        <f t="shared" si="9"/>
        <v>74</v>
      </c>
      <c r="AH29" s="173">
        <f t="shared" si="9"/>
        <v>80</v>
      </c>
      <c r="AI29" s="173">
        <f t="shared" si="9"/>
        <v>86</v>
      </c>
      <c r="AJ29" s="173">
        <f t="shared" si="9"/>
        <v>93</v>
      </c>
      <c r="AK29" s="173">
        <f t="shared" si="9"/>
        <v>101</v>
      </c>
      <c r="AL29" s="173">
        <f t="shared" si="9"/>
        <v>106</v>
      </c>
      <c r="AM29" s="173">
        <f t="shared" si="9"/>
        <v>112</v>
      </c>
      <c r="AN29" s="173">
        <f t="shared" si="9"/>
        <v>116</v>
      </c>
      <c r="AO29" s="173">
        <f t="shared" si="9"/>
        <v>121</v>
      </c>
      <c r="AP29" s="173">
        <f t="shared" si="9"/>
        <v>128</v>
      </c>
      <c r="AQ29" s="173">
        <f t="shared" si="9"/>
        <v>137</v>
      </c>
      <c r="AR29" s="173">
        <f>ROUND(AR$50*$AV29,0)</f>
        <v>148</v>
      </c>
      <c r="AS29" s="618">
        <f>Q160</f>
        <v>169</v>
      </c>
      <c r="AT29" s="618">
        <f t="shared" ref="AT29:AU44" si="10">R160</f>
        <v>129</v>
      </c>
      <c r="AU29" s="618">
        <f t="shared" si="10"/>
        <v>276</v>
      </c>
      <c r="AV29" s="156">
        <f>T160</f>
        <v>1.582381156840483E-2</v>
      </c>
    </row>
    <row r="30" spans="2:49" x14ac:dyDescent="0.35">
      <c r="B30" s="584">
        <v>2014</v>
      </c>
      <c r="C30" s="592" t="s">
        <v>60</v>
      </c>
      <c r="D30" s="40" t="s">
        <v>504</v>
      </c>
      <c r="E30" s="40" t="s">
        <v>41</v>
      </c>
      <c r="F30" s="597" t="s">
        <v>507</v>
      </c>
      <c r="G30" s="173">
        <v>2</v>
      </c>
      <c r="H30" s="575">
        <v>13500</v>
      </c>
      <c r="I30" s="585">
        <v>15.2</v>
      </c>
      <c r="J30" s="44">
        <f>IF(Tabla1[[#This Row],[Number of vehicle]]="",0,(Tabla1[[#This Row],[Number of vehicle]]*Tabla1[[#This Row],[km travelled]])/Tabla1[[#This Row],[Fuel economy (km/L)]])</f>
        <v>1776.3157894736844</v>
      </c>
      <c r="K30" s="44">
        <f>Tabla1[[#This Row],[Consumption (L)]]/$F$455</f>
        <v>1.5130458172688963</v>
      </c>
      <c r="L30" s="44">
        <f>Tabla1[[#This Row],[Consumption (ton)]]/1000</f>
        <v>1.5130458172688964E-3</v>
      </c>
      <c r="N30" s="112" t="s">
        <v>41</v>
      </c>
      <c r="O30" s="152">
        <v>9787</v>
      </c>
      <c r="P30" s="152">
        <v>37.842802385008518</v>
      </c>
      <c r="Q30" s="152">
        <v>7820</v>
      </c>
      <c r="R30" s="152">
        <v>30.085298126064735</v>
      </c>
      <c r="S30" s="152">
        <v>6614</v>
      </c>
      <c r="T30" s="152">
        <v>22.494838160136286</v>
      </c>
      <c r="U30" s="152">
        <v>24221</v>
      </c>
      <c r="V30" s="152">
        <v>90.422938671209536</v>
      </c>
      <c r="W30" s="152"/>
      <c r="X30" s="152"/>
      <c r="AB30" s="716"/>
      <c r="AC30" s="716"/>
      <c r="AD30" s="27" t="s">
        <v>41</v>
      </c>
      <c r="AE30" s="173">
        <f t="shared" si="9"/>
        <v>16</v>
      </c>
      <c r="AF30" s="173">
        <f t="shared" si="9"/>
        <v>17</v>
      </c>
      <c r="AG30" s="173">
        <f t="shared" si="9"/>
        <v>18</v>
      </c>
      <c r="AH30" s="173">
        <f t="shared" si="9"/>
        <v>20</v>
      </c>
      <c r="AI30" s="173">
        <f t="shared" si="9"/>
        <v>22</v>
      </c>
      <c r="AJ30" s="173">
        <f t="shared" si="9"/>
        <v>23</v>
      </c>
      <c r="AK30" s="173">
        <f t="shared" si="9"/>
        <v>25</v>
      </c>
      <c r="AL30" s="173">
        <f t="shared" si="9"/>
        <v>27</v>
      </c>
      <c r="AM30" s="173">
        <f t="shared" si="9"/>
        <v>28</v>
      </c>
      <c r="AN30" s="173">
        <f t="shared" si="9"/>
        <v>29</v>
      </c>
      <c r="AO30" s="173">
        <f t="shared" si="9"/>
        <v>30</v>
      </c>
      <c r="AP30" s="173">
        <f t="shared" si="9"/>
        <v>32</v>
      </c>
      <c r="AQ30" s="173">
        <f t="shared" si="9"/>
        <v>34</v>
      </c>
      <c r="AR30" s="173">
        <f t="shared" ref="AR30:AR49" si="11">ROUND(AR$50*$AV30,0)</f>
        <v>37</v>
      </c>
      <c r="AS30" s="618">
        <f t="shared" ref="AS30:AS49" si="12">Q161</f>
        <v>69</v>
      </c>
      <c r="AT30" s="618">
        <f t="shared" si="10"/>
        <v>26</v>
      </c>
      <c r="AU30" s="618">
        <f t="shared" si="10"/>
        <v>44</v>
      </c>
      <c r="AV30" s="156">
        <f t="shared" ref="AV30:AV49" si="13">T161</f>
        <v>3.9513212956539309E-3</v>
      </c>
    </row>
    <row r="31" spans="2:49" x14ac:dyDescent="0.35">
      <c r="B31" s="584">
        <v>2014</v>
      </c>
      <c r="C31" s="592" t="s">
        <v>60</v>
      </c>
      <c r="D31" s="40" t="s">
        <v>504</v>
      </c>
      <c r="E31" s="40" t="s">
        <v>41</v>
      </c>
      <c r="F31" s="571" t="s">
        <v>519</v>
      </c>
      <c r="G31" s="173">
        <f>1+10</f>
        <v>11</v>
      </c>
      <c r="H31" s="575">
        <v>13500</v>
      </c>
      <c r="I31" s="585">
        <v>15.2</v>
      </c>
      <c r="J31" s="44">
        <f>IF(Tabla1[[#This Row],[Number of vehicle]]="",0,(Tabla1[[#This Row],[Number of vehicle]]*Tabla1[[#This Row],[km travelled]])/Tabla1[[#This Row],[Fuel economy (km/L)]])</f>
        <v>9769.7368421052633</v>
      </c>
      <c r="K31" s="44">
        <f>Tabla1[[#This Row],[Consumption (L)]]/$F$455</f>
        <v>8.3217519949789303</v>
      </c>
      <c r="L31" s="44">
        <f>Tabla1[[#This Row],[Consumption (ton)]]/1000</f>
        <v>8.3217519949789296E-3</v>
      </c>
      <c r="N31" s="220" t="s">
        <v>509</v>
      </c>
      <c r="O31" s="152">
        <v>19759</v>
      </c>
      <c r="P31" s="152">
        <v>25.245741056218055</v>
      </c>
      <c r="Q31" s="152">
        <v>20357</v>
      </c>
      <c r="R31" s="152">
        <v>30.344761499148213</v>
      </c>
      <c r="S31" s="152">
        <v>21630</v>
      </c>
      <c r="T31" s="152">
        <v>32.242333901192509</v>
      </c>
      <c r="U31" s="152">
        <v>61746</v>
      </c>
      <c r="V31" s="152">
        <v>87.83283645655878</v>
      </c>
      <c r="W31" s="152"/>
      <c r="X31" s="152"/>
      <c r="AB31" s="716"/>
      <c r="AC31" s="716"/>
      <c r="AD31" s="27" t="s">
        <v>117</v>
      </c>
      <c r="AE31" s="173">
        <f t="shared" si="9"/>
        <v>0</v>
      </c>
      <c r="AF31" s="173">
        <f t="shared" si="9"/>
        <v>0</v>
      </c>
      <c r="AG31" s="173">
        <f t="shared" si="9"/>
        <v>0</v>
      </c>
      <c r="AH31" s="173">
        <f t="shared" si="9"/>
        <v>0</v>
      </c>
      <c r="AI31" s="173">
        <f t="shared" si="9"/>
        <v>0</v>
      </c>
      <c r="AJ31" s="173">
        <f t="shared" si="9"/>
        <v>0</v>
      </c>
      <c r="AK31" s="173">
        <f t="shared" si="9"/>
        <v>0</v>
      </c>
      <c r="AL31" s="173">
        <f t="shared" si="9"/>
        <v>0</v>
      </c>
      <c r="AM31" s="173">
        <f t="shared" si="9"/>
        <v>0</v>
      </c>
      <c r="AN31" s="173">
        <f t="shared" si="9"/>
        <v>0</v>
      </c>
      <c r="AO31" s="173">
        <f t="shared" si="9"/>
        <v>0</v>
      </c>
      <c r="AP31" s="173">
        <f t="shared" si="9"/>
        <v>0</v>
      </c>
      <c r="AQ31" s="173">
        <f t="shared" si="9"/>
        <v>0</v>
      </c>
      <c r="AR31" s="173">
        <f t="shared" si="11"/>
        <v>0</v>
      </c>
      <c r="AS31" s="618">
        <f t="shared" si="12"/>
        <v>0</v>
      </c>
      <c r="AT31" s="618">
        <f t="shared" si="10"/>
        <v>0</v>
      </c>
      <c r="AU31" s="618">
        <f t="shared" si="10"/>
        <v>0</v>
      </c>
      <c r="AV31" s="156">
        <f t="shared" si="13"/>
        <v>0</v>
      </c>
    </row>
    <row r="32" spans="2:49" x14ac:dyDescent="0.35">
      <c r="B32" s="584">
        <v>2014</v>
      </c>
      <c r="C32" s="592" t="s">
        <v>60</v>
      </c>
      <c r="D32" s="40" t="s">
        <v>504</v>
      </c>
      <c r="E32" s="40" t="s">
        <v>41</v>
      </c>
      <c r="F32" s="597" t="s">
        <v>507</v>
      </c>
      <c r="G32" s="173">
        <v>2</v>
      </c>
      <c r="H32" s="575">
        <v>13500</v>
      </c>
      <c r="I32" s="585">
        <v>15.2</v>
      </c>
      <c r="J32" s="44">
        <f>IF(Tabla1[[#This Row],[Number of vehicle]]="",0,(Tabla1[[#This Row],[Number of vehicle]]*Tabla1[[#This Row],[km travelled]])/Tabla1[[#This Row],[Fuel economy (km/L)]])</f>
        <v>1776.3157894736844</v>
      </c>
      <c r="K32" s="44">
        <f>Tabla1[[#This Row],[Consumption (L)]]/$F$455</f>
        <v>1.5130458172688963</v>
      </c>
      <c r="L32" s="44">
        <f>Tabla1[[#This Row],[Consumption (ton)]]/1000</f>
        <v>1.5130458172688964E-3</v>
      </c>
      <c r="N32" s="111" t="s">
        <v>507</v>
      </c>
      <c r="O32" s="152">
        <v>3163</v>
      </c>
      <c r="P32" s="152">
        <v>4.0413117546848376</v>
      </c>
      <c r="Q32" s="152">
        <v>4120</v>
      </c>
      <c r="R32" s="152">
        <v>6.1413969335604772</v>
      </c>
      <c r="S32" s="152">
        <v>5670</v>
      </c>
      <c r="T32" s="152">
        <v>8.4518739352640555</v>
      </c>
      <c r="U32" s="152">
        <v>12953</v>
      </c>
      <c r="V32" s="152">
        <v>18.63458262350937</v>
      </c>
      <c r="W32" s="152"/>
      <c r="X32" s="152"/>
      <c r="AB32" s="716"/>
      <c r="AC32" s="716"/>
      <c r="AD32" s="27" t="s">
        <v>226</v>
      </c>
      <c r="AE32" s="173">
        <f t="shared" si="9"/>
        <v>1</v>
      </c>
      <c r="AF32" s="173">
        <f t="shared" si="9"/>
        <v>1</v>
      </c>
      <c r="AG32" s="173">
        <f t="shared" si="9"/>
        <v>2</v>
      </c>
      <c r="AH32" s="173">
        <f t="shared" si="9"/>
        <v>2</v>
      </c>
      <c r="AI32" s="173">
        <f t="shared" si="9"/>
        <v>2</v>
      </c>
      <c r="AJ32" s="173">
        <f t="shared" si="9"/>
        <v>2</v>
      </c>
      <c r="AK32" s="173">
        <f t="shared" si="9"/>
        <v>2</v>
      </c>
      <c r="AL32" s="173">
        <f t="shared" si="9"/>
        <v>2</v>
      </c>
      <c r="AM32" s="173">
        <f t="shared" si="9"/>
        <v>2</v>
      </c>
      <c r="AN32" s="173">
        <f t="shared" si="9"/>
        <v>2</v>
      </c>
      <c r="AO32" s="173">
        <f t="shared" si="9"/>
        <v>3</v>
      </c>
      <c r="AP32" s="173">
        <f t="shared" si="9"/>
        <v>3</v>
      </c>
      <c r="AQ32" s="173">
        <f t="shared" si="9"/>
        <v>3</v>
      </c>
      <c r="AR32" s="173">
        <f t="shared" si="11"/>
        <v>3</v>
      </c>
      <c r="AS32" s="618">
        <f t="shared" si="12"/>
        <v>3</v>
      </c>
      <c r="AT32" s="618">
        <f t="shared" si="10"/>
        <v>3</v>
      </c>
      <c r="AU32" s="618">
        <f t="shared" si="10"/>
        <v>6</v>
      </c>
      <c r="AV32" s="156">
        <f t="shared" si="13"/>
        <v>3.2899870081049042E-4</v>
      </c>
    </row>
    <row r="33" spans="2:48" x14ac:dyDescent="0.35">
      <c r="B33" s="584">
        <v>2014</v>
      </c>
      <c r="C33" s="592" t="s">
        <v>60</v>
      </c>
      <c r="D33" s="40" t="s">
        <v>504</v>
      </c>
      <c r="E33" s="40" t="s">
        <v>41</v>
      </c>
      <c r="F33" s="571" t="s">
        <v>519</v>
      </c>
      <c r="G33" s="173">
        <v>57</v>
      </c>
      <c r="H33" s="575">
        <v>13500</v>
      </c>
      <c r="I33" s="585">
        <v>15.2</v>
      </c>
      <c r="J33" s="44">
        <f>IF(Tabla1[[#This Row],[Number of vehicle]]="",0,(Tabla1[[#This Row],[Number of vehicle]]*Tabla1[[#This Row],[km travelled]])/Tabla1[[#This Row],[Fuel economy (km/L)]])</f>
        <v>50625</v>
      </c>
      <c r="K33" s="44">
        <f>Tabla1[[#This Row],[Consumption (L)]]/$F$455</f>
        <v>43.121805792163542</v>
      </c>
      <c r="L33" s="44">
        <f>Tabla1[[#This Row],[Consumption (ton)]]/1000</f>
        <v>4.3121805792163542E-2</v>
      </c>
      <c r="N33" s="112" t="s">
        <v>41</v>
      </c>
      <c r="O33" s="152">
        <v>3163</v>
      </c>
      <c r="P33" s="152">
        <v>4.0413117546848376</v>
      </c>
      <c r="Q33" s="152">
        <v>4120</v>
      </c>
      <c r="R33" s="152">
        <v>6.1413969335604772</v>
      </c>
      <c r="S33" s="152">
        <v>5670</v>
      </c>
      <c r="T33" s="152">
        <v>8.4518739352640555</v>
      </c>
      <c r="U33" s="152">
        <v>12953</v>
      </c>
      <c r="V33" s="152">
        <v>18.63458262350937</v>
      </c>
      <c r="W33" s="152"/>
      <c r="X33" s="152"/>
      <c r="AB33" s="716"/>
      <c r="AC33" s="716"/>
      <c r="AD33" s="27" t="s">
        <v>227</v>
      </c>
      <c r="AE33" s="173">
        <f t="shared" si="9"/>
        <v>0</v>
      </c>
      <c r="AF33" s="173">
        <f t="shared" si="9"/>
        <v>0</v>
      </c>
      <c r="AG33" s="173">
        <f t="shared" si="9"/>
        <v>0</v>
      </c>
      <c r="AH33" s="173">
        <f t="shared" si="9"/>
        <v>0</v>
      </c>
      <c r="AI33" s="173">
        <f t="shared" si="9"/>
        <v>0</v>
      </c>
      <c r="AJ33" s="173">
        <f t="shared" si="9"/>
        <v>0</v>
      </c>
      <c r="AK33" s="173">
        <f t="shared" si="9"/>
        <v>0</v>
      </c>
      <c r="AL33" s="173">
        <f t="shared" si="9"/>
        <v>0</v>
      </c>
      <c r="AM33" s="173">
        <f t="shared" si="9"/>
        <v>0</v>
      </c>
      <c r="AN33" s="173">
        <f t="shared" si="9"/>
        <v>0</v>
      </c>
      <c r="AO33" s="173">
        <f t="shared" si="9"/>
        <v>0</v>
      </c>
      <c r="AP33" s="173">
        <f t="shared" si="9"/>
        <v>0</v>
      </c>
      <c r="AQ33" s="173">
        <f t="shared" si="9"/>
        <v>0</v>
      </c>
      <c r="AR33" s="173">
        <f t="shared" si="11"/>
        <v>0</v>
      </c>
      <c r="AS33" s="618">
        <f t="shared" si="12"/>
        <v>0</v>
      </c>
      <c r="AT33" s="618">
        <f t="shared" si="10"/>
        <v>0</v>
      </c>
      <c r="AU33" s="618">
        <f t="shared" si="10"/>
        <v>0</v>
      </c>
      <c r="AV33" s="156">
        <f t="shared" si="13"/>
        <v>0</v>
      </c>
    </row>
    <row r="34" spans="2:48" x14ac:dyDescent="0.35">
      <c r="B34" s="584">
        <v>2014</v>
      </c>
      <c r="C34" s="592" t="s">
        <v>60</v>
      </c>
      <c r="D34" s="40" t="s">
        <v>504</v>
      </c>
      <c r="E34" s="40" t="s">
        <v>41</v>
      </c>
      <c r="F34" s="597" t="s">
        <v>507</v>
      </c>
      <c r="G34" s="173">
        <v>13</v>
      </c>
      <c r="H34" s="575">
        <v>13500</v>
      </c>
      <c r="I34" s="585">
        <v>15.2</v>
      </c>
      <c r="J34" s="44">
        <f>IF(Tabla1[[#This Row],[Number of vehicle]]="",0,(Tabla1[[#This Row],[Number of vehicle]]*Tabla1[[#This Row],[km travelled]])/Tabla1[[#This Row],[Fuel economy (km/L)]])</f>
        <v>11546.052631578948</v>
      </c>
      <c r="K34" s="44">
        <f>Tabla1[[#This Row],[Consumption (L)]]/$F$455</f>
        <v>9.8347978122478263</v>
      </c>
      <c r="L34" s="44">
        <f>Tabla1[[#This Row],[Consumption (ton)]]/1000</f>
        <v>9.8347978122478256E-3</v>
      </c>
      <c r="N34" s="111" t="s">
        <v>505</v>
      </c>
      <c r="O34" s="152">
        <v>16596</v>
      </c>
      <c r="P34" s="152">
        <v>21.204429301533217</v>
      </c>
      <c r="Q34" s="152">
        <v>16237</v>
      </c>
      <c r="R34" s="152">
        <v>24.203364565587734</v>
      </c>
      <c r="S34" s="152">
        <v>15960</v>
      </c>
      <c r="T34" s="152">
        <v>23.790459965928452</v>
      </c>
      <c r="U34" s="152">
        <v>48793</v>
      </c>
      <c r="V34" s="152">
        <v>69.198253833049407</v>
      </c>
      <c r="W34" s="152"/>
      <c r="X34" s="152"/>
      <c r="AB34" s="716"/>
      <c r="AC34" s="716" t="s">
        <v>505</v>
      </c>
      <c r="AD34" s="27" t="s">
        <v>136</v>
      </c>
      <c r="AE34" s="173">
        <f t="shared" si="9"/>
        <v>209</v>
      </c>
      <c r="AF34" s="173">
        <f t="shared" si="9"/>
        <v>226</v>
      </c>
      <c r="AG34" s="173">
        <f t="shared" si="9"/>
        <v>244</v>
      </c>
      <c r="AH34" s="173">
        <f t="shared" si="9"/>
        <v>264</v>
      </c>
      <c r="AI34" s="173">
        <f t="shared" si="9"/>
        <v>285</v>
      </c>
      <c r="AJ34" s="173">
        <f t="shared" si="9"/>
        <v>308</v>
      </c>
      <c r="AK34" s="173">
        <f t="shared" si="9"/>
        <v>333</v>
      </c>
      <c r="AL34" s="173">
        <f t="shared" si="9"/>
        <v>351</v>
      </c>
      <c r="AM34" s="173">
        <f t="shared" si="9"/>
        <v>371</v>
      </c>
      <c r="AN34" s="173">
        <f t="shared" si="9"/>
        <v>384</v>
      </c>
      <c r="AO34" s="173">
        <f t="shared" si="9"/>
        <v>401</v>
      </c>
      <c r="AP34" s="173">
        <f t="shared" si="9"/>
        <v>422</v>
      </c>
      <c r="AQ34" s="173">
        <f t="shared" si="9"/>
        <v>453</v>
      </c>
      <c r="AR34" s="173">
        <f t="shared" si="11"/>
        <v>487</v>
      </c>
      <c r="AS34" s="618">
        <f t="shared" si="12"/>
        <v>525</v>
      </c>
      <c r="AT34" s="618">
        <f t="shared" si="10"/>
        <v>677</v>
      </c>
      <c r="AU34" s="618">
        <f t="shared" si="10"/>
        <v>677</v>
      </c>
      <c r="AV34" s="156">
        <f t="shared" si="13"/>
        <v>5.2236748012531982E-2</v>
      </c>
    </row>
    <row r="35" spans="2:48" x14ac:dyDescent="0.35">
      <c r="B35" s="584">
        <v>2014</v>
      </c>
      <c r="C35" s="592" t="s">
        <v>60</v>
      </c>
      <c r="D35" s="40" t="s">
        <v>504</v>
      </c>
      <c r="E35" s="40" t="s">
        <v>41</v>
      </c>
      <c r="F35" s="571" t="s">
        <v>519</v>
      </c>
      <c r="G35" s="173">
        <f>11+256+9+50</f>
        <v>326</v>
      </c>
      <c r="H35" s="575">
        <v>13500</v>
      </c>
      <c r="I35" s="585">
        <v>15.2</v>
      </c>
      <c r="J35" s="44">
        <f>IF(Tabla1[[#This Row],[Number of vehicle]]="",0,(Tabla1[[#This Row],[Number of vehicle]]*Tabla1[[#This Row],[km travelled]])/Tabla1[[#This Row],[Fuel economy (km/L)]])</f>
        <v>289539.47368421056</v>
      </c>
      <c r="K35" s="44">
        <f>Tabla1[[#This Row],[Consumption (L)]]/$F$455</f>
        <v>246.62646821483011</v>
      </c>
      <c r="L35" s="44">
        <f>Tabla1[[#This Row],[Consumption (ton)]]/1000</f>
        <v>0.24662646821483011</v>
      </c>
      <c r="N35" s="112" t="s">
        <v>41</v>
      </c>
      <c r="O35" s="152">
        <v>16596</v>
      </c>
      <c r="P35" s="152">
        <v>21.204429301533217</v>
      </c>
      <c r="Q35" s="152">
        <v>16237</v>
      </c>
      <c r="R35" s="152">
        <v>24.203364565587734</v>
      </c>
      <c r="S35" s="152">
        <v>15960</v>
      </c>
      <c r="T35" s="152">
        <v>23.790459965928452</v>
      </c>
      <c r="U35" s="152">
        <v>48793</v>
      </c>
      <c r="V35" s="152">
        <v>69.198253833049407</v>
      </c>
      <c r="W35" s="152"/>
      <c r="X35" s="152"/>
      <c r="AB35" s="716"/>
      <c r="AC35" s="716"/>
      <c r="AD35" s="27" t="s">
        <v>41</v>
      </c>
      <c r="AE35" s="173">
        <f t="shared" si="9"/>
        <v>135</v>
      </c>
      <c r="AF35" s="173">
        <f t="shared" si="9"/>
        <v>146</v>
      </c>
      <c r="AG35" s="173">
        <f t="shared" si="9"/>
        <v>158</v>
      </c>
      <c r="AH35" s="173">
        <f t="shared" si="9"/>
        <v>170</v>
      </c>
      <c r="AI35" s="173">
        <f t="shared" si="9"/>
        <v>184</v>
      </c>
      <c r="AJ35" s="173">
        <f t="shared" si="9"/>
        <v>199</v>
      </c>
      <c r="AK35" s="173">
        <f t="shared" si="9"/>
        <v>215</v>
      </c>
      <c r="AL35" s="173">
        <f t="shared" si="9"/>
        <v>227</v>
      </c>
      <c r="AM35" s="173">
        <f t="shared" si="9"/>
        <v>239</v>
      </c>
      <c r="AN35" s="173">
        <f t="shared" si="9"/>
        <v>248</v>
      </c>
      <c r="AO35" s="173">
        <f t="shared" si="9"/>
        <v>259</v>
      </c>
      <c r="AP35" s="173">
        <f t="shared" si="9"/>
        <v>273</v>
      </c>
      <c r="AQ35" s="173">
        <f t="shared" si="9"/>
        <v>293</v>
      </c>
      <c r="AR35" s="173">
        <f t="shared" si="11"/>
        <v>315</v>
      </c>
      <c r="AS35" s="618">
        <f t="shared" si="12"/>
        <v>403</v>
      </c>
      <c r="AT35" s="618">
        <f t="shared" si="10"/>
        <v>401</v>
      </c>
      <c r="AU35" s="618">
        <f t="shared" si="10"/>
        <v>401</v>
      </c>
      <c r="AV35" s="156">
        <f t="shared" si="13"/>
        <v>3.3735019103198864E-2</v>
      </c>
    </row>
    <row r="36" spans="2:48" x14ac:dyDescent="0.35">
      <c r="B36" s="584">
        <v>2014</v>
      </c>
      <c r="C36" s="592" t="s">
        <v>60</v>
      </c>
      <c r="D36" s="40" t="s">
        <v>504</v>
      </c>
      <c r="E36" s="40" t="s">
        <v>41</v>
      </c>
      <c r="F36" s="597" t="s">
        <v>507</v>
      </c>
      <c r="G36" s="173">
        <v>52</v>
      </c>
      <c r="H36" s="575">
        <v>13500</v>
      </c>
      <c r="I36" s="585">
        <v>15.2</v>
      </c>
      <c r="J36" s="44">
        <f>IF(Tabla1[[#This Row],[Number of vehicle]]="",0,(Tabla1[[#This Row],[Number of vehicle]]*Tabla1[[#This Row],[km travelled]])/Tabla1[[#This Row],[Fuel economy (km/L)]])</f>
        <v>46184.210526315794</v>
      </c>
      <c r="K36" s="44">
        <f>Tabla1[[#This Row],[Consumption (L)]]/$F$455</f>
        <v>39.339191248991305</v>
      </c>
      <c r="L36" s="44">
        <f>Tabla1[[#This Row],[Consumption (ton)]]/1000</f>
        <v>3.9339191248991302E-2</v>
      </c>
      <c r="N36" s="111" t="s">
        <v>515</v>
      </c>
      <c r="O36" s="152"/>
      <c r="P36" s="152">
        <v>0</v>
      </c>
      <c r="Q36" s="152"/>
      <c r="R36" s="152">
        <v>0</v>
      </c>
      <c r="S36" s="152"/>
      <c r="T36" s="152">
        <v>0</v>
      </c>
      <c r="U36" s="152"/>
      <c r="V36" s="152">
        <v>0</v>
      </c>
      <c r="W36" s="152"/>
      <c r="X36" s="152"/>
      <c r="AB36" s="716"/>
      <c r="AC36" s="716"/>
      <c r="AD36" s="27" t="s">
        <v>117</v>
      </c>
      <c r="AE36" s="173">
        <f t="shared" si="9"/>
        <v>0</v>
      </c>
      <c r="AF36" s="173">
        <f t="shared" si="9"/>
        <v>0</v>
      </c>
      <c r="AG36" s="173">
        <f t="shared" si="9"/>
        <v>0</v>
      </c>
      <c r="AH36" s="173">
        <f t="shared" si="9"/>
        <v>0</v>
      </c>
      <c r="AI36" s="173">
        <f t="shared" si="9"/>
        <v>0</v>
      </c>
      <c r="AJ36" s="173">
        <f t="shared" si="9"/>
        <v>0</v>
      </c>
      <c r="AK36" s="173">
        <f t="shared" si="9"/>
        <v>0</v>
      </c>
      <c r="AL36" s="173">
        <f t="shared" si="9"/>
        <v>0</v>
      </c>
      <c r="AM36" s="173">
        <f t="shared" si="9"/>
        <v>0</v>
      </c>
      <c r="AN36" s="173">
        <f t="shared" si="9"/>
        <v>0</v>
      </c>
      <c r="AO36" s="173">
        <f t="shared" si="9"/>
        <v>0</v>
      </c>
      <c r="AP36" s="173">
        <f t="shared" si="9"/>
        <v>0</v>
      </c>
      <c r="AQ36" s="173">
        <f t="shared" si="9"/>
        <v>0</v>
      </c>
      <c r="AR36" s="173">
        <f t="shared" si="11"/>
        <v>0</v>
      </c>
      <c r="AS36" s="618">
        <f t="shared" si="12"/>
        <v>0</v>
      </c>
      <c r="AT36" s="618">
        <f t="shared" si="10"/>
        <v>0</v>
      </c>
      <c r="AU36" s="618">
        <f t="shared" si="10"/>
        <v>0</v>
      </c>
      <c r="AV36" s="156">
        <f t="shared" si="13"/>
        <v>0</v>
      </c>
    </row>
    <row r="37" spans="2:48" x14ac:dyDescent="0.35">
      <c r="B37" s="584">
        <v>2014</v>
      </c>
      <c r="C37" s="592" t="s">
        <v>59</v>
      </c>
      <c r="D37" s="40" t="s">
        <v>504</v>
      </c>
      <c r="E37" s="40" t="s">
        <v>136</v>
      </c>
      <c r="F37" s="578" t="s">
        <v>505</v>
      </c>
      <c r="G37" s="577">
        <f>768+11181</f>
        <v>11949</v>
      </c>
      <c r="H37" s="575">
        <v>10000</v>
      </c>
      <c r="I37" s="585">
        <v>15.5</v>
      </c>
      <c r="J37" s="44">
        <f>IF(Tabla1[[#This Row],[Number of vehicle]]="",0,(Tabla1[[#This Row],[Number of vehicle]]*Tabla1[[#This Row],[km travelled]])/Tabla1[[#This Row],[Fuel economy (km/L)]])</f>
        <v>7709032.2580645159</v>
      </c>
      <c r="K37" s="44">
        <f>Tabla1[[#This Row],[Consumption (L)]]/$F$454</f>
        <v>5570.1100130523955</v>
      </c>
      <c r="L37" s="44">
        <f>Tabla1[[#This Row],[Consumption (ton)]]/1000</f>
        <v>5.5701100130523953</v>
      </c>
      <c r="N37" s="112" t="s">
        <v>41</v>
      </c>
      <c r="O37" s="152"/>
      <c r="P37" s="152">
        <v>0</v>
      </c>
      <c r="Q37" s="152"/>
      <c r="R37" s="152">
        <v>0</v>
      </c>
      <c r="S37" s="152"/>
      <c r="T37" s="152">
        <v>0</v>
      </c>
      <c r="U37" s="152"/>
      <c r="V37" s="152">
        <v>0</v>
      </c>
      <c r="W37" s="152"/>
      <c r="X37" s="152"/>
      <c r="AB37" s="716"/>
      <c r="AC37" s="716"/>
      <c r="AD37" s="27" t="s">
        <v>226</v>
      </c>
      <c r="AE37" s="173">
        <f t="shared" si="9"/>
        <v>0</v>
      </c>
      <c r="AF37" s="173">
        <f t="shared" si="9"/>
        <v>0</v>
      </c>
      <c r="AG37" s="173">
        <f t="shared" si="9"/>
        <v>0</v>
      </c>
      <c r="AH37" s="173">
        <f t="shared" si="9"/>
        <v>0</v>
      </c>
      <c r="AI37" s="173">
        <f t="shared" si="9"/>
        <v>0</v>
      </c>
      <c r="AJ37" s="173">
        <f t="shared" si="9"/>
        <v>0</v>
      </c>
      <c r="AK37" s="173">
        <f t="shared" si="9"/>
        <v>0</v>
      </c>
      <c r="AL37" s="173">
        <f t="shared" si="9"/>
        <v>0</v>
      </c>
      <c r="AM37" s="173">
        <f t="shared" si="9"/>
        <v>0</v>
      </c>
      <c r="AN37" s="173">
        <f t="shared" si="9"/>
        <v>0</v>
      </c>
      <c r="AO37" s="173">
        <f t="shared" si="9"/>
        <v>0</v>
      </c>
      <c r="AP37" s="173">
        <f t="shared" si="9"/>
        <v>0</v>
      </c>
      <c r="AQ37" s="173">
        <f t="shared" si="9"/>
        <v>0</v>
      </c>
      <c r="AR37" s="173">
        <f t="shared" si="11"/>
        <v>0</v>
      </c>
      <c r="AS37" s="618">
        <f t="shared" si="12"/>
        <v>0</v>
      </c>
      <c r="AT37" s="618">
        <f t="shared" si="10"/>
        <v>0</v>
      </c>
      <c r="AU37" s="618">
        <f t="shared" si="10"/>
        <v>0</v>
      </c>
      <c r="AV37" s="156">
        <f t="shared" si="13"/>
        <v>0</v>
      </c>
    </row>
    <row r="38" spans="2:48" x14ac:dyDescent="0.35">
      <c r="B38" s="584">
        <v>2014</v>
      </c>
      <c r="C38" s="592" t="s">
        <v>59</v>
      </c>
      <c r="D38" s="40" t="s">
        <v>504</v>
      </c>
      <c r="E38" s="40" t="s">
        <v>136</v>
      </c>
      <c r="F38" s="578" t="s">
        <v>507</v>
      </c>
      <c r="G38" s="577">
        <f>7+1819+6026</f>
        <v>7852</v>
      </c>
      <c r="H38" s="575">
        <v>10000</v>
      </c>
      <c r="I38" s="585">
        <v>15.5</v>
      </c>
      <c r="J38" s="44">
        <f>IF(Tabla1[[#This Row],[Number of vehicle]]="",0,(Tabla1[[#This Row],[Number of vehicle]]*Tabla1[[#This Row],[km travelled]])/Tabla1[[#This Row],[Fuel economy (km/L)]])</f>
        <v>5065806.4516129028</v>
      </c>
      <c r="K38" s="44">
        <f>Tabla1[[#This Row],[Consumption (L)]]/$F$454</f>
        <v>3660.264777176953</v>
      </c>
      <c r="L38" s="44">
        <f>Tabla1[[#This Row],[Consumption (ton)]]/1000</f>
        <v>3.6602647771769528</v>
      </c>
      <c r="N38" s="220" t="s">
        <v>511</v>
      </c>
      <c r="O38" s="152">
        <v>9618</v>
      </c>
      <c r="P38" s="152">
        <v>26.907761499148215</v>
      </c>
      <c r="Q38" s="152">
        <v>9728</v>
      </c>
      <c r="R38" s="152">
        <v>27.218928449744467</v>
      </c>
      <c r="S38" s="152">
        <v>10174</v>
      </c>
      <c r="T38" s="152">
        <v>28.467643952299834</v>
      </c>
      <c r="U38" s="152">
        <v>29520</v>
      </c>
      <c r="V38" s="152">
        <v>82.594333901192513</v>
      </c>
      <c r="W38" s="152"/>
      <c r="X38" s="152"/>
      <c r="AB38" s="716"/>
      <c r="AC38" s="716"/>
      <c r="AD38" s="27" t="s">
        <v>227</v>
      </c>
      <c r="AE38" s="173">
        <f t="shared" si="9"/>
        <v>0</v>
      </c>
      <c r="AF38" s="173">
        <f t="shared" si="9"/>
        <v>0</v>
      </c>
      <c r="AG38" s="173">
        <f t="shared" si="9"/>
        <v>0</v>
      </c>
      <c r="AH38" s="173">
        <f t="shared" si="9"/>
        <v>0</v>
      </c>
      <c r="AI38" s="173">
        <f t="shared" si="9"/>
        <v>0</v>
      </c>
      <c r="AJ38" s="173">
        <f t="shared" si="9"/>
        <v>0</v>
      </c>
      <c r="AK38" s="173">
        <f t="shared" si="9"/>
        <v>0</v>
      </c>
      <c r="AL38" s="173">
        <f t="shared" si="9"/>
        <v>0</v>
      </c>
      <c r="AM38" s="173">
        <f t="shared" si="9"/>
        <v>0</v>
      </c>
      <c r="AN38" s="173">
        <f t="shared" si="9"/>
        <v>0</v>
      </c>
      <c r="AO38" s="173">
        <f t="shared" si="9"/>
        <v>0</v>
      </c>
      <c r="AP38" s="173">
        <f t="shared" si="9"/>
        <v>0</v>
      </c>
      <c r="AQ38" s="173">
        <f t="shared" si="9"/>
        <v>0</v>
      </c>
      <c r="AR38" s="173">
        <f t="shared" si="11"/>
        <v>0</v>
      </c>
      <c r="AS38" s="618">
        <f t="shared" si="12"/>
        <v>0</v>
      </c>
      <c r="AT38" s="618">
        <f t="shared" si="10"/>
        <v>0</v>
      </c>
      <c r="AU38" s="618">
        <f t="shared" si="10"/>
        <v>0</v>
      </c>
      <c r="AV38" s="156">
        <f t="shared" si="13"/>
        <v>0</v>
      </c>
    </row>
    <row r="39" spans="2:48" x14ac:dyDescent="0.35">
      <c r="B39" s="584">
        <v>2014</v>
      </c>
      <c r="C39" s="592" t="s">
        <v>59</v>
      </c>
      <c r="D39" s="40" t="s">
        <v>504</v>
      </c>
      <c r="E39" s="40" t="s">
        <v>136</v>
      </c>
      <c r="F39" s="578" t="s">
        <v>505</v>
      </c>
      <c r="G39" s="577">
        <f>9+49293+19519-2360</f>
        <v>66461</v>
      </c>
      <c r="H39" s="575">
        <v>10000</v>
      </c>
      <c r="I39" s="585">
        <v>13.5</v>
      </c>
      <c r="J39" s="44">
        <f>IF(Tabla1[[#This Row],[Number of vehicle]]="",0,(Tabla1[[#This Row],[Number of vehicle]]*Tabla1[[#This Row],[km travelled]])/Tabla1[[#This Row],[Fuel economy (km/L)]])</f>
        <v>49230370.370370373</v>
      </c>
      <c r="K39" s="44">
        <f>Tabla1[[#This Row],[Consumption (L)]]/$F$454</f>
        <v>35571.076857204025</v>
      </c>
      <c r="L39" s="44">
        <f>Tabla1[[#This Row],[Consumption (ton)]]/1000</f>
        <v>35.571076857204027</v>
      </c>
      <c r="N39" s="111" t="s">
        <v>515</v>
      </c>
      <c r="O39" s="152">
        <v>9618</v>
      </c>
      <c r="P39" s="152">
        <v>26.907761499148215</v>
      </c>
      <c r="Q39" s="152">
        <v>9728</v>
      </c>
      <c r="R39" s="152">
        <v>27.218928449744467</v>
      </c>
      <c r="S39" s="152">
        <v>10174</v>
      </c>
      <c r="T39" s="152">
        <v>28.467643952299834</v>
      </c>
      <c r="U39" s="152">
        <v>29520</v>
      </c>
      <c r="V39" s="152">
        <v>82.594333901192513</v>
      </c>
      <c r="W39" s="152"/>
      <c r="X39" s="152"/>
      <c r="AB39" s="722" t="s">
        <v>266</v>
      </c>
      <c r="AC39" s="722"/>
      <c r="AD39" s="27" t="s">
        <v>136</v>
      </c>
      <c r="AE39" s="173">
        <f t="shared" si="9"/>
        <v>2697</v>
      </c>
      <c r="AF39" s="173">
        <f t="shared" si="9"/>
        <v>2914</v>
      </c>
      <c r="AG39" s="173">
        <f t="shared" si="9"/>
        <v>3149</v>
      </c>
      <c r="AH39" s="173">
        <f t="shared" si="9"/>
        <v>3402</v>
      </c>
      <c r="AI39" s="173">
        <f t="shared" si="9"/>
        <v>3676</v>
      </c>
      <c r="AJ39" s="173">
        <f t="shared" si="9"/>
        <v>3972</v>
      </c>
      <c r="AK39" s="173">
        <f t="shared" si="9"/>
        <v>4291</v>
      </c>
      <c r="AL39" s="173">
        <f t="shared" si="9"/>
        <v>4532</v>
      </c>
      <c r="AM39" s="173">
        <f t="shared" si="9"/>
        <v>4784</v>
      </c>
      <c r="AN39" s="173">
        <f t="shared" si="9"/>
        <v>4959</v>
      </c>
      <c r="AO39" s="173">
        <f t="shared" si="9"/>
        <v>5168</v>
      </c>
      <c r="AP39" s="173">
        <f t="shared" si="9"/>
        <v>5447</v>
      </c>
      <c r="AQ39" s="173">
        <f t="shared" si="9"/>
        <v>5847</v>
      </c>
      <c r="AR39" s="173">
        <f t="shared" si="11"/>
        <v>6288</v>
      </c>
      <c r="AS39" s="618">
        <f t="shared" si="12"/>
        <v>7436</v>
      </c>
      <c r="AT39" s="618">
        <f t="shared" si="10"/>
        <v>8048</v>
      </c>
      <c r="AU39" s="618">
        <f t="shared" si="10"/>
        <v>8694</v>
      </c>
      <c r="AV39" s="156">
        <f t="shared" si="13"/>
        <v>0.67385235562677381</v>
      </c>
    </row>
    <row r="40" spans="2:48" x14ac:dyDescent="0.35">
      <c r="B40" s="584">
        <v>2014</v>
      </c>
      <c r="C40" s="592" t="s">
        <v>59</v>
      </c>
      <c r="D40" s="40" t="s">
        <v>504</v>
      </c>
      <c r="E40" s="40" t="s">
        <v>136</v>
      </c>
      <c r="F40" s="578" t="s">
        <v>507</v>
      </c>
      <c r="G40" s="577">
        <f>1+30136+11686-787</f>
        <v>41036</v>
      </c>
      <c r="H40" s="575">
        <v>10000</v>
      </c>
      <c r="I40" s="585">
        <v>13.5</v>
      </c>
      <c r="J40" s="44">
        <f>IF(Tabla1[[#This Row],[Number of vehicle]]="",0,(Tabla1[[#This Row],[Number of vehicle]]*Tabla1[[#This Row],[km travelled]])/Tabla1[[#This Row],[Fuel economy (km/L)]])</f>
        <v>30397037.037037037</v>
      </c>
      <c r="K40" s="44">
        <f>Tabla1[[#This Row],[Consumption (L)]]/$F$454</f>
        <v>21963.177049882252</v>
      </c>
      <c r="L40" s="44">
        <f>Tabla1[[#This Row],[Consumption (ton)]]/1000</f>
        <v>21.963177049882251</v>
      </c>
      <c r="N40" s="112" t="s">
        <v>41</v>
      </c>
      <c r="O40" s="152">
        <v>9618</v>
      </c>
      <c r="P40" s="152">
        <v>26.907761499148215</v>
      </c>
      <c r="Q40" s="152">
        <v>9728</v>
      </c>
      <c r="R40" s="152">
        <v>27.218928449744467</v>
      </c>
      <c r="S40" s="152">
        <v>10174</v>
      </c>
      <c r="T40" s="152">
        <v>28.467643952299834</v>
      </c>
      <c r="U40" s="152">
        <v>29520</v>
      </c>
      <c r="V40" s="152">
        <v>82.594333901192513</v>
      </c>
      <c r="W40" s="152"/>
      <c r="X40" s="152"/>
      <c r="AB40" s="716" t="s">
        <v>225</v>
      </c>
      <c r="AC40" s="716" t="s">
        <v>507</v>
      </c>
      <c r="AD40" s="27" t="s">
        <v>136</v>
      </c>
      <c r="AE40" s="173">
        <f t="shared" si="9"/>
        <v>3</v>
      </c>
      <c r="AF40" s="173">
        <f t="shared" si="9"/>
        <v>3</v>
      </c>
      <c r="AG40" s="173">
        <f t="shared" si="9"/>
        <v>3</v>
      </c>
      <c r="AH40" s="173">
        <f t="shared" si="9"/>
        <v>3</v>
      </c>
      <c r="AI40" s="173">
        <f t="shared" si="9"/>
        <v>4</v>
      </c>
      <c r="AJ40" s="173">
        <f t="shared" si="9"/>
        <v>4</v>
      </c>
      <c r="AK40" s="173">
        <f t="shared" si="9"/>
        <v>4</v>
      </c>
      <c r="AL40" s="173">
        <f t="shared" si="9"/>
        <v>4</v>
      </c>
      <c r="AM40" s="173">
        <f t="shared" si="9"/>
        <v>5</v>
      </c>
      <c r="AN40" s="173">
        <f t="shared" si="9"/>
        <v>5</v>
      </c>
      <c r="AO40" s="173">
        <f t="shared" si="9"/>
        <v>5</v>
      </c>
      <c r="AP40" s="173">
        <f t="shared" si="9"/>
        <v>5</v>
      </c>
      <c r="AQ40" s="173">
        <f t="shared" si="9"/>
        <v>6</v>
      </c>
      <c r="AR40" s="173">
        <f t="shared" si="11"/>
        <v>6</v>
      </c>
      <c r="AS40" s="618">
        <f t="shared" si="12"/>
        <v>6</v>
      </c>
      <c r="AT40" s="618">
        <f t="shared" si="10"/>
        <v>6</v>
      </c>
      <c r="AU40" s="618">
        <f t="shared" si="10"/>
        <v>12</v>
      </c>
      <c r="AV40" s="156">
        <f t="shared" si="13"/>
        <v>6.5799740162098084E-4</v>
      </c>
    </row>
    <row r="41" spans="2:48" x14ac:dyDescent="0.35">
      <c r="B41" s="584">
        <v>2014</v>
      </c>
      <c r="C41" s="592" t="s">
        <v>59</v>
      </c>
      <c r="D41" s="40" t="s">
        <v>504</v>
      </c>
      <c r="E41" s="40" t="s">
        <v>136</v>
      </c>
      <c r="F41" s="578" t="s">
        <v>505</v>
      </c>
      <c r="G41" s="577">
        <f>32+18471-1088</f>
        <v>17415</v>
      </c>
      <c r="H41" s="575">
        <v>10000</v>
      </c>
      <c r="I41" s="585">
        <v>10.3</v>
      </c>
      <c r="J41" s="44">
        <f>IF(Tabla1[[#This Row],[Number of vehicle]]="",0,(Tabla1[[#This Row],[Number of vehicle]]*Tabla1[[#This Row],[km travelled]])/Tabla1[[#This Row],[Fuel economy (km/L)]])</f>
        <v>16907766.99029126</v>
      </c>
      <c r="K41" s="44">
        <f>Tabla1[[#This Row],[Consumption (L)]]/$F$454</f>
        <v>12216.594646164205</v>
      </c>
      <c r="L41" s="44">
        <f>Tabla1[[#This Row],[Consumption (ton)]]/1000</f>
        <v>12.216594646164205</v>
      </c>
      <c r="N41" s="220" t="s">
        <v>266</v>
      </c>
      <c r="O41" s="152">
        <v>203047</v>
      </c>
      <c r="P41" s="152">
        <v>15.133921965317917</v>
      </c>
      <c r="Q41" s="152">
        <v>218103</v>
      </c>
      <c r="R41" s="152">
        <v>20.344677745664736</v>
      </c>
      <c r="S41" s="152">
        <v>218794</v>
      </c>
      <c r="T41" s="152">
        <v>22.532797687861272</v>
      </c>
      <c r="U41" s="152">
        <v>639944</v>
      </c>
      <c r="V41" s="152">
        <v>58.011397398843926</v>
      </c>
      <c r="W41" s="152"/>
      <c r="X41" s="152"/>
      <c r="AB41" s="716"/>
      <c r="AC41" s="716"/>
      <c r="AD41" s="27" t="s">
        <v>41</v>
      </c>
      <c r="AE41" s="173">
        <f t="shared" si="9"/>
        <v>177</v>
      </c>
      <c r="AF41" s="173">
        <f t="shared" si="9"/>
        <v>191</v>
      </c>
      <c r="AG41" s="173">
        <f t="shared" si="9"/>
        <v>207</v>
      </c>
      <c r="AH41" s="173">
        <f t="shared" si="9"/>
        <v>223</v>
      </c>
      <c r="AI41" s="173">
        <f t="shared" si="9"/>
        <v>241</v>
      </c>
      <c r="AJ41" s="173">
        <f t="shared" si="9"/>
        <v>261</v>
      </c>
      <c r="AK41" s="173">
        <f t="shared" si="9"/>
        <v>282</v>
      </c>
      <c r="AL41" s="173">
        <f t="shared" si="9"/>
        <v>298</v>
      </c>
      <c r="AM41" s="173">
        <f t="shared" si="9"/>
        <v>314</v>
      </c>
      <c r="AN41" s="173">
        <f t="shared" si="9"/>
        <v>326</v>
      </c>
      <c r="AO41" s="173">
        <f t="shared" si="9"/>
        <v>339</v>
      </c>
      <c r="AP41" s="173">
        <f t="shared" si="9"/>
        <v>358</v>
      </c>
      <c r="AQ41" s="173">
        <f t="shared" si="9"/>
        <v>384</v>
      </c>
      <c r="AR41" s="173">
        <f t="shared" si="11"/>
        <v>413</v>
      </c>
      <c r="AS41" s="618">
        <f t="shared" si="12"/>
        <v>340</v>
      </c>
      <c r="AT41" s="618">
        <f t="shared" si="10"/>
        <v>585</v>
      </c>
      <c r="AU41" s="618">
        <f t="shared" si="10"/>
        <v>685</v>
      </c>
      <c r="AV41" s="156">
        <f t="shared" si="13"/>
        <v>4.4256444867092244E-2</v>
      </c>
    </row>
    <row r="42" spans="2:48" ht="14.5" customHeight="1" x14ac:dyDescent="0.35">
      <c r="B42" s="584">
        <v>2014</v>
      </c>
      <c r="C42" s="592" t="s">
        <v>59</v>
      </c>
      <c r="D42" s="40" t="s">
        <v>504</v>
      </c>
      <c r="E42" s="40" t="s">
        <v>136</v>
      </c>
      <c r="F42" s="578" t="s">
        <v>507</v>
      </c>
      <c r="G42" s="577">
        <f>1+19362-363</f>
        <v>19000</v>
      </c>
      <c r="H42" s="575">
        <v>10000</v>
      </c>
      <c r="I42" s="585">
        <v>10.3</v>
      </c>
      <c r="J42" s="44">
        <f>IF(Tabla1[[#This Row],[Number of vehicle]]="",0,(Tabla1[[#This Row],[Number of vehicle]]*Tabla1[[#This Row],[km travelled]])/Tabla1[[#This Row],[Fuel economy (km/L)]])</f>
        <v>18446601.941747572</v>
      </c>
      <c r="K42" s="44">
        <f>Tabla1[[#This Row],[Consumption (L)]]/$F$454</f>
        <v>13328.469611089286</v>
      </c>
      <c r="L42" s="44">
        <f>Tabla1[[#This Row],[Consumption (ton)]]/1000</f>
        <v>13.328469611089286</v>
      </c>
      <c r="N42" s="111" t="s">
        <v>515</v>
      </c>
      <c r="O42" s="152">
        <v>203047</v>
      </c>
      <c r="P42" s="152">
        <v>15.133921965317917</v>
      </c>
      <c r="Q42" s="152">
        <v>218103</v>
      </c>
      <c r="R42" s="152">
        <v>20.344677745664736</v>
      </c>
      <c r="S42" s="152">
        <v>218794</v>
      </c>
      <c r="T42" s="152">
        <v>22.532797687861272</v>
      </c>
      <c r="U42" s="152">
        <v>639944</v>
      </c>
      <c r="V42" s="152">
        <v>58.011397398843926</v>
      </c>
      <c r="W42" s="152"/>
      <c r="X42" s="152"/>
      <c r="AB42" s="716"/>
      <c r="AC42" s="716"/>
      <c r="AD42" s="27" t="s">
        <v>117</v>
      </c>
      <c r="AE42" s="173">
        <f t="shared" si="9"/>
        <v>1</v>
      </c>
      <c r="AF42" s="173">
        <f t="shared" si="9"/>
        <v>1</v>
      </c>
      <c r="AG42" s="173">
        <f t="shared" si="9"/>
        <v>1</v>
      </c>
      <c r="AH42" s="173">
        <f t="shared" si="9"/>
        <v>1</v>
      </c>
      <c r="AI42" s="173">
        <f t="shared" si="9"/>
        <v>1</v>
      </c>
      <c r="AJ42" s="173">
        <f t="shared" si="9"/>
        <v>1</v>
      </c>
      <c r="AK42" s="173">
        <f t="shared" si="9"/>
        <v>1</v>
      </c>
      <c r="AL42" s="173">
        <f t="shared" si="9"/>
        <v>1</v>
      </c>
      <c r="AM42" s="173">
        <f t="shared" si="9"/>
        <v>1</v>
      </c>
      <c r="AN42" s="173">
        <f t="shared" si="9"/>
        <v>1</v>
      </c>
      <c r="AO42" s="173">
        <f t="shared" si="9"/>
        <v>1</v>
      </c>
      <c r="AP42" s="173">
        <f t="shared" si="9"/>
        <v>1</v>
      </c>
      <c r="AQ42" s="173">
        <f t="shared" si="9"/>
        <v>1</v>
      </c>
      <c r="AR42" s="173">
        <f t="shared" si="11"/>
        <v>1</v>
      </c>
      <c r="AS42" s="618">
        <f t="shared" si="12"/>
        <v>0</v>
      </c>
      <c r="AT42" s="618">
        <f t="shared" si="10"/>
        <v>2</v>
      </c>
      <c r="AU42" s="618">
        <f t="shared" si="10"/>
        <v>3</v>
      </c>
      <c r="AV42" s="156">
        <f t="shared" si="13"/>
        <v>1.3292005249783585E-4</v>
      </c>
    </row>
    <row r="43" spans="2:48" x14ac:dyDescent="0.35">
      <c r="B43" s="584">
        <v>2014</v>
      </c>
      <c r="C43" s="592" t="s">
        <v>59</v>
      </c>
      <c r="D43" s="40" t="s">
        <v>504</v>
      </c>
      <c r="E43" s="40" t="s">
        <v>136</v>
      </c>
      <c r="F43" s="578" t="s">
        <v>505</v>
      </c>
      <c r="G43" s="577">
        <f>103+1647-182</f>
        <v>1568</v>
      </c>
      <c r="H43" s="575">
        <v>10000</v>
      </c>
      <c r="I43" s="585">
        <v>7.6</v>
      </c>
      <c r="J43" s="44">
        <f>IF(Tabla1[[#This Row],[Number of vehicle]]="",0,(Tabla1[[#This Row],[Number of vehicle]]*Tabla1[[#This Row],[km travelled]])/Tabla1[[#This Row],[Fuel economy (km/L)]])</f>
        <v>2063157.8947368423</v>
      </c>
      <c r="K43" s="44">
        <f>Tabla1[[#This Row],[Consumption (L)]]/$F$454</f>
        <v>1490.721022208701</v>
      </c>
      <c r="L43" s="44">
        <f>Tabla1[[#This Row],[Consumption (ton)]]/1000</f>
        <v>1.4907210222087011</v>
      </c>
      <c r="N43" s="112" t="s">
        <v>136</v>
      </c>
      <c r="O43" s="152">
        <v>203047</v>
      </c>
      <c r="P43" s="152">
        <v>15.133921965317917</v>
      </c>
      <c r="Q43" s="152">
        <v>218103</v>
      </c>
      <c r="R43" s="152">
        <v>20.344677745664736</v>
      </c>
      <c r="S43" s="152">
        <v>218794</v>
      </c>
      <c r="T43" s="152">
        <v>22.532797687861272</v>
      </c>
      <c r="U43" s="152">
        <v>639944</v>
      </c>
      <c r="V43" s="152">
        <v>58.011397398843926</v>
      </c>
      <c r="W43" s="152"/>
      <c r="X43" s="152"/>
      <c r="AB43" s="716"/>
      <c r="AC43" s="716" t="s">
        <v>505</v>
      </c>
      <c r="AD43" s="27" t="s">
        <v>136</v>
      </c>
      <c r="AE43" s="173">
        <f t="shared" si="9"/>
        <v>5</v>
      </c>
      <c r="AF43" s="173">
        <f t="shared" si="9"/>
        <v>5</v>
      </c>
      <c r="AG43" s="173">
        <f t="shared" si="9"/>
        <v>5</v>
      </c>
      <c r="AH43" s="173">
        <f t="shared" si="9"/>
        <v>6</v>
      </c>
      <c r="AI43" s="173">
        <f t="shared" si="9"/>
        <v>6</v>
      </c>
      <c r="AJ43" s="173">
        <f t="shared" si="9"/>
        <v>7</v>
      </c>
      <c r="AK43" s="173">
        <f t="shared" si="9"/>
        <v>7</v>
      </c>
      <c r="AL43" s="173">
        <f t="shared" si="9"/>
        <v>8</v>
      </c>
      <c r="AM43" s="173">
        <f t="shared" si="9"/>
        <v>8</v>
      </c>
      <c r="AN43" s="173">
        <f t="shared" si="9"/>
        <v>9</v>
      </c>
      <c r="AO43" s="173">
        <f t="shared" si="9"/>
        <v>9</v>
      </c>
      <c r="AP43" s="173">
        <f t="shared" si="9"/>
        <v>10</v>
      </c>
      <c r="AQ43" s="173">
        <f t="shared" si="9"/>
        <v>10</v>
      </c>
      <c r="AR43" s="173">
        <f t="shared" si="11"/>
        <v>11</v>
      </c>
      <c r="AS43" s="618">
        <f t="shared" si="12"/>
        <v>14</v>
      </c>
      <c r="AT43" s="618">
        <f t="shared" si="10"/>
        <v>14</v>
      </c>
      <c r="AU43" s="618">
        <f t="shared" si="10"/>
        <v>14</v>
      </c>
      <c r="AV43" s="156">
        <f t="shared" si="13"/>
        <v>1.1756612460430468E-3</v>
      </c>
    </row>
    <row r="44" spans="2:48" ht="14.5" customHeight="1" x14ac:dyDescent="0.35">
      <c r="B44" s="584">
        <v>2014</v>
      </c>
      <c r="C44" s="592" t="s">
        <v>59</v>
      </c>
      <c r="D44" s="40" t="s">
        <v>504</v>
      </c>
      <c r="E44" s="40" t="s">
        <v>136</v>
      </c>
      <c r="F44" s="578" t="s">
        <v>507</v>
      </c>
      <c r="G44" s="577">
        <f>103+1951-61</f>
        <v>1993</v>
      </c>
      <c r="H44" s="575">
        <v>10000</v>
      </c>
      <c r="I44" s="585">
        <v>7.6</v>
      </c>
      <c r="J44" s="44">
        <f>IF(Tabla1[[#This Row],[Number of vehicle]]="",0,(Tabla1[[#This Row],[Number of vehicle]]*Tabla1[[#This Row],[km travelled]])/Tabla1[[#This Row],[Fuel economy (km/L)]])</f>
        <v>2622368.4210526319</v>
      </c>
      <c r="K44" s="44">
        <f>Tabla1[[#This Row],[Consumption (L)]]/$F$454</f>
        <v>1894.7748707027688</v>
      </c>
      <c r="L44" s="44">
        <f>Tabla1[[#This Row],[Consumption (ton)]]/1000</f>
        <v>1.8947748707027687</v>
      </c>
      <c r="N44" s="220" t="s">
        <v>508</v>
      </c>
      <c r="O44" s="152">
        <v>6911</v>
      </c>
      <c r="P44" s="152">
        <v>9.7440689114020813</v>
      </c>
      <c r="Q44" s="152">
        <v>6907</v>
      </c>
      <c r="R44" s="152">
        <v>10.558669457491533</v>
      </c>
      <c r="S44" s="152">
        <v>6905</v>
      </c>
      <c r="T44" s="152">
        <v>11.94503233736495</v>
      </c>
      <c r="U44" s="152">
        <v>20723</v>
      </c>
      <c r="V44" s="152">
        <v>32.247770706258564</v>
      </c>
      <c r="W44" s="152"/>
      <c r="X44" s="152"/>
      <c r="AB44" s="716"/>
      <c r="AC44" s="716"/>
      <c r="AD44" s="27" t="s">
        <v>41</v>
      </c>
      <c r="AE44" s="173">
        <f t="shared" si="9"/>
        <v>315</v>
      </c>
      <c r="AF44" s="173">
        <f t="shared" si="9"/>
        <v>340</v>
      </c>
      <c r="AG44" s="173">
        <f t="shared" si="9"/>
        <v>368</v>
      </c>
      <c r="AH44" s="173">
        <f t="shared" si="9"/>
        <v>397</v>
      </c>
      <c r="AI44" s="173">
        <f t="shared" si="9"/>
        <v>429</v>
      </c>
      <c r="AJ44" s="173">
        <f t="shared" si="9"/>
        <v>464</v>
      </c>
      <c r="AK44" s="173">
        <f t="shared" si="9"/>
        <v>501</v>
      </c>
      <c r="AL44" s="173">
        <f t="shared" si="9"/>
        <v>529</v>
      </c>
      <c r="AM44" s="173">
        <f t="shared" si="9"/>
        <v>558</v>
      </c>
      <c r="AN44" s="173">
        <f t="shared" si="9"/>
        <v>579</v>
      </c>
      <c r="AO44" s="173">
        <f t="shared" si="9"/>
        <v>603</v>
      </c>
      <c r="AP44" s="173">
        <f t="shared" si="9"/>
        <v>636</v>
      </c>
      <c r="AQ44" s="173">
        <f t="shared" si="9"/>
        <v>682</v>
      </c>
      <c r="AR44" s="173">
        <f t="shared" si="11"/>
        <v>734</v>
      </c>
      <c r="AS44" s="618">
        <f t="shared" si="12"/>
        <v>924</v>
      </c>
      <c r="AT44" s="618">
        <f t="shared" si="10"/>
        <v>916</v>
      </c>
      <c r="AU44" s="618">
        <f t="shared" si="10"/>
        <v>974</v>
      </c>
      <c r="AV44" s="156">
        <f t="shared" si="13"/>
        <v>7.8654768708361619E-2</v>
      </c>
    </row>
    <row r="45" spans="2:48" x14ac:dyDescent="0.35">
      <c r="B45" s="584">
        <v>2014</v>
      </c>
      <c r="C45" s="592" t="s">
        <v>60</v>
      </c>
      <c r="D45" s="40" t="s">
        <v>504</v>
      </c>
      <c r="E45" s="40" t="s">
        <v>136</v>
      </c>
      <c r="F45" s="571" t="s">
        <v>519</v>
      </c>
      <c r="G45" s="173">
        <f>13+76</f>
        <v>89</v>
      </c>
      <c r="H45" s="575">
        <v>16000</v>
      </c>
      <c r="I45" s="585">
        <v>15.5</v>
      </c>
      <c r="J45" s="44">
        <f>IF(Tabla1[[#This Row],[Number of vehicle]]="",0,(Tabla1[[#This Row],[Number of vehicle]]*Tabla1[[#This Row],[km travelled]])/Tabla1[[#This Row],[Fuel economy (km/L)]])</f>
        <v>91870.967741935485</v>
      </c>
      <c r="K45" s="44">
        <f>Tabla1[[#This Row],[Consumption (L)]]/$F$454</f>
        <v>66.380757038970728</v>
      </c>
      <c r="L45" s="44">
        <f>Tabla1[[#This Row],[Consumption (ton)]]/1000</f>
        <v>6.6380757038970728E-2</v>
      </c>
      <c r="N45" s="111" t="s">
        <v>507</v>
      </c>
      <c r="O45" s="152">
        <v>1477</v>
      </c>
      <c r="P45" s="152">
        <v>1.9199835547248383</v>
      </c>
      <c r="Q45" s="152">
        <v>1484</v>
      </c>
      <c r="R45" s="152">
        <v>2.1377851752517891</v>
      </c>
      <c r="S45" s="152">
        <v>1484</v>
      </c>
      <c r="T45" s="152">
        <v>2.4867459341134794</v>
      </c>
      <c r="U45" s="152">
        <v>4445</v>
      </c>
      <c r="V45" s="152">
        <v>6.5445146640901068</v>
      </c>
      <c r="W45" s="152"/>
      <c r="X45" s="152"/>
      <c r="AB45" s="716"/>
      <c r="AC45" s="716"/>
      <c r="AD45" s="27" t="s">
        <v>117</v>
      </c>
      <c r="AE45" s="173">
        <f t="shared" ref="AE45:AQ49" si="14">ROUND(AE$50*$AV45,0)</f>
        <v>2</v>
      </c>
      <c r="AF45" s="173">
        <f t="shared" si="14"/>
        <v>2</v>
      </c>
      <c r="AG45" s="173">
        <f t="shared" si="14"/>
        <v>2</v>
      </c>
      <c r="AH45" s="173">
        <f t="shared" si="14"/>
        <v>2</v>
      </c>
      <c r="AI45" s="173">
        <f t="shared" si="14"/>
        <v>2</v>
      </c>
      <c r="AJ45" s="173">
        <f t="shared" si="14"/>
        <v>2</v>
      </c>
      <c r="AK45" s="173">
        <f t="shared" si="14"/>
        <v>3</v>
      </c>
      <c r="AL45" s="173">
        <f t="shared" si="14"/>
        <v>3</v>
      </c>
      <c r="AM45" s="173">
        <f t="shared" si="14"/>
        <v>3</v>
      </c>
      <c r="AN45" s="173">
        <f t="shared" si="14"/>
        <v>3</v>
      </c>
      <c r="AO45" s="173">
        <f t="shared" si="14"/>
        <v>3</v>
      </c>
      <c r="AP45" s="173">
        <f t="shared" si="14"/>
        <v>3</v>
      </c>
      <c r="AQ45" s="173">
        <f t="shared" si="14"/>
        <v>4</v>
      </c>
      <c r="AR45" s="173">
        <f t="shared" si="11"/>
        <v>4</v>
      </c>
      <c r="AS45" s="618">
        <f t="shared" si="12"/>
        <v>5</v>
      </c>
      <c r="AT45" s="618">
        <f t="shared" ref="AT45:AT49" si="15">R176</f>
        <v>5</v>
      </c>
      <c r="AU45" s="618">
        <f t="shared" ref="AU45:AU49" si="16">S176</f>
        <v>5</v>
      </c>
      <c r="AV45" s="156">
        <f t="shared" si="13"/>
        <v>4.1987901644394528E-4</v>
      </c>
    </row>
    <row r="46" spans="2:48" x14ac:dyDescent="0.35">
      <c r="B46" s="584">
        <v>2014</v>
      </c>
      <c r="C46" s="592" t="s">
        <v>60</v>
      </c>
      <c r="D46" s="40" t="s">
        <v>504</v>
      </c>
      <c r="E46" s="40" t="s">
        <v>136</v>
      </c>
      <c r="F46" s="597" t="s">
        <v>507</v>
      </c>
      <c r="G46" s="173">
        <v>21</v>
      </c>
      <c r="H46" s="575">
        <v>16000</v>
      </c>
      <c r="I46" s="585">
        <v>15.5</v>
      </c>
      <c r="J46" s="44">
        <f>IF(Tabla1[[#This Row],[Number of vehicle]]="",0,(Tabla1[[#This Row],[Number of vehicle]]*Tabla1[[#This Row],[km travelled]])/Tabla1[[#This Row],[Fuel economy (km/L)]])</f>
        <v>21677.419354838708</v>
      </c>
      <c r="K46" s="44">
        <f>Tabla1[[#This Row],[Consumption (L)]]/$F$454</f>
        <v>15.66287525638635</v>
      </c>
      <c r="L46" s="44">
        <f>Tabla1[[#This Row],[Consumption (ton)]]/1000</f>
        <v>1.5662875256386349E-2</v>
      </c>
      <c r="N46" s="112" t="s">
        <v>41</v>
      </c>
      <c r="O46" s="152">
        <v>266</v>
      </c>
      <c r="P46" s="152">
        <v>0.53345413117085716</v>
      </c>
      <c r="Q46" s="152">
        <v>266</v>
      </c>
      <c r="R46" s="152">
        <v>0.532565684488016</v>
      </c>
      <c r="S46" s="152">
        <v>266</v>
      </c>
      <c r="T46" s="152">
        <v>0.532565684488016</v>
      </c>
      <c r="U46" s="152">
        <v>798</v>
      </c>
      <c r="V46" s="152">
        <v>1.5985855001468892</v>
      </c>
      <c r="W46" s="152"/>
      <c r="X46" s="152"/>
      <c r="AB46" s="27" t="s">
        <v>532</v>
      </c>
      <c r="AC46" s="27" t="s">
        <v>507</v>
      </c>
      <c r="AD46" s="27" t="s">
        <v>41</v>
      </c>
      <c r="AE46" s="173">
        <f t="shared" si="14"/>
        <v>0</v>
      </c>
      <c r="AF46" s="173">
        <f t="shared" si="14"/>
        <v>0</v>
      </c>
      <c r="AG46" s="173">
        <f t="shared" si="14"/>
        <v>0</v>
      </c>
      <c r="AH46" s="173">
        <f t="shared" si="14"/>
        <v>0</v>
      </c>
      <c r="AI46" s="173">
        <f t="shared" si="14"/>
        <v>0</v>
      </c>
      <c r="AJ46" s="173">
        <f t="shared" si="14"/>
        <v>0</v>
      </c>
      <c r="AK46" s="173">
        <f t="shared" si="14"/>
        <v>0</v>
      </c>
      <c r="AL46" s="173">
        <f t="shared" si="14"/>
        <v>0</v>
      </c>
      <c r="AM46" s="173">
        <f t="shared" si="14"/>
        <v>0</v>
      </c>
      <c r="AN46" s="173">
        <f t="shared" si="14"/>
        <v>0</v>
      </c>
      <c r="AO46" s="173">
        <f t="shared" si="14"/>
        <v>0</v>
      </c>
      <c r="AP46" s="173">
        <f t="shared" si="14"/>
        <v>0</v>
      </c>
      <c r="AQ46" s="173">
        <f t="shared" si="14"/>
        <v>0</v>
      </c>
      <c r="AR46" s="173">
        <f t="shared" si="11"/>
        <v>0</v>
      </c>
      <c r="AS46" s="618">
        <f t="shared" si="12"/>
        <v>0</v>
      </c>
      <c r="AT46" s="618">
        <f t="shared" si="15"/>
        <v>0</v>
      </c>
      <c r="AU46" s="618">
        <f t="shared" si="16"/>
        <v>0</v>
      </c>
      <c r="AV46" s="156">
        <f t="shared" si="13"/>
        <v>0</v>
      </c>
    </row>
    <row r="47" spans="2:48" x14ac:dyDescent="0.35">
      <c r="B47" s="584">
        <v>2014</v>
      </c>
      <c r="C47" s="592" t="s">
        <v>60</v>
      </c>
      <c r="D47" s="40" t="s">
        <v>504</v>
      </c>
      <c r="E47" s="40" t="s">
        <v>136</v>
      </c>
      <c r="F47" s="571" t="s">
        <v>519</v>
      </c>
      <c r="G47" s="173">
        <f>97+242</f>
        <v>339</v>
      </c>
      <c r="H47" s="575">
        <v>16000</v>
      </c>
      <c r="I47" s="585">
        <v>15.5</v>
      </c>
      <c r="J47" s="44">
        <f>IF(Tabla1[[#This Row],[Number of vehicle]]="",0,(Tabla1[[#This Row],[Number of vehicle]]*Tabla1[[#This Row],[km travelled]])/Tabla1[[#This Row],[Fuel economy (km/L)]])</f>
        <v>349935.48387096776</v>
      </c>
      <c r="K47" s="44">
        <f>Tabla1[[#This Row],[Consumption (L)]]/$F$454</f>
        <v>252.84355771023681</v>
      </c>
      <c r="L47" s="44">
        <f>Tabla1[[#This Row],[Consumption (ton)]]/1000</f>
        <v>0.25284355771023681</v>
      </c>
      <c r="N47" s="112" t="s">
        <v>136</v>
      </c>
      <c r="O47" s="152">
        <v>1211</v>
      </c>
      <c r="P47" s="152">
        <v>1.3865294235539811</v>
      </c>
      <c r="Q47" s="152">
        <v>1218</v>
      </c>
      <c r="R47" s="152">
        <v>1.6052194907637733</v>
      </c>
      <c r="S47" s="152">
        <v>1218</v>
      </c>
      <c r="T47" s="152">
        <v>1.9541802496254634</v>
      </c>
      <c r="U47" s="152">
        <v>3647</v>
      </c>
      <c r="V47" s="152">
        <v>4.9459291639432177</v>
      </c>
      <c r="W47" s="152"/>
      <c r="X47" s="152"/>
      <c r="AB47" s="27"/>
      <c r="AC47" s="27" t="s">
        <v>505</v>
      </c>
      <c r="AD47" s="27" t="s">
        <v>41</v>
      </c>
      <c r="AE47" s="173">
        <f t="shared" si="14"/>
        <v>0</v>
      </c>
      <c r="AF47" s="173">
        <f t="shared" si="14"/>
        <v>0</v>
      </c>
      <c r="AG47" s="173">
        <f t="shared" si="14"/>
        <v>0</v>
      </c>
      <c r="AH47" s="173">
        <f t="shared" si="14"/>
        <v>0</v>
      </c>
      <c r="AI47" s="173">
        <f t="shared" si="14"/>
        <v>0</v>
      </c>
      <c r="AJ47" s="173">
        <f t="shared" si="14"/>
        <v>0</v>
      </c>
      <c r="AK47" s="173">
        <f t="shared" si="14"/>
        <v>0</v>
      </c>
      <c r="AL47" s="173">
        <f t="shared" si="14"/>
        <v>0</v>
      </c>
      <c r="AM47" s="173">
        <f t="shared" si="14"/>
        <v>0</v>
      </c>
      <c r="AN47" s="173">
        <f t="shared" si="14"/>
        <v>0</v>
      </c>
      <c r="AO47" s="173">
        <f t="shared" si="14"/>
        <v>0</v>
      </c>
      <c r="AP47" s="173">
        <f t="shared" si="14"/>
        <v>0</v>
      </c>
      <c r="AQ47" s="173">
        <f t="shared" si="14"/>
        <v>0</v>
      </c>
      <c r="AR47" s="173">
        <f t="shared" si="11"/>
        <v>0</v>
      </c>
      <c r="AS47" s="618">
        <f t="shared" si="12"/>
        <v>0</v>
      </c>
      <c r="AT47" s="618">
        <f t="shared" si="15"/>
        <v>0</v>
      </c>
      <c r="AU47" s="618">
        <f t="shared" si="16"/>
        <v>0</v>
      </c>
      <c r="AV47" s="156">
        <f t="shared" si="13"/>
        <v>0</v>
      </c>
    </row>
    <row r="48" spans="2:48" x14ac:dyDescent="0.35">
      <c r="B48" s="584">
        <v>2014</v>
      </c>
      <c r="C48" s="592" t="s">
        <v>60</v>
      </c>
      <c r="D48" s="40" t="s">
        <v>504</v>
      </c>
      <c r="E48" s="40" t="s">
        <v>136</v>
      </c>
      <c r="F48" s="597" t="s">
        <v>507</v>
      </c>
      <c r="G48" s="173">
        <f>109</f>
        <v>109</v>
      </c>
      <c r="H48" s="575">
        <v>16000</v>
      </c>
      <c r="I48" s="585">
        <v>15.5</v>
      </c>
      <c r="J48" s="44">
        <f>IF(Tabla1[[#This Row],[Number of vehicle]]="",0,(Tabla1[[#This Row],[Number of vehicle]]*Tabla1[[#This Row],[km travelled]])/Tabla1[[#This Row],[Fuel economy (km/L)]])</f>
        <v>112516.12903225806</v>
      </c>
      <c r="K48" s="44">
        <f>Tabla1[[#This Row],[Consumption (L)]]/$F$454</f>
        <v>81.297781092672011</v>
      </c>
      <c r="L48" s="44">
        <f>Tabla1[[#This Row],[Consumption (ton)]]/1000</f>
        <v>8.1297781092672008E-2</v>
      </c>
      <c r="N48" s="111" t="s">
        <v>505</v>
      </c>
      <c r="O48" s="152">
        <v>5434</v>
      </c>
      <c r="P48" s="152">
        <v>7.8240853566772426</v>
      </c>
      <c r="Q48" s="152">
        <v>5423</v>
      </c>
      <c r="R48" s="152">
        <v>8.4208842822397436</v>
      </c>
      <c r="S48" s="152">
        <v>5421</v>
      </c>
      <c r="T48" s="152">
        <v>9.4582864032514706</v>
      </c>
      <c r="U48" s="152">
        <v>16278</v>
      </c>
      <c r="V48" s="152">
        <v>25.703256042168455</v>
      </c>
      <c r="W48" s="152"/>
      <c r="X48" s="152"/>
      <c r="AB48" s="27" t="s">
        <v>533</v>
      </c>
      <c r="AC48" s="27"/>
      <c r="AD48" s="27" t="s">
        <v>41</v>
      </c>
      <c r="AE48" s="173">
        <f t="shared" si="14"/>
        <v>320</v>
      </c>
      <c r="AF48" s="173">
        <f t="shared" si="14"/>
        <v>345</v>
      </c>
      <c r="AG48" s="173">
        <f t="shared" si="14"/>
        <v>373</v>
      </c>
      <c r="AH48" s="173">
        <f t="shared" si="14"/>
        <v>403</v>
      </c>
      <c r="AI48" s="173">
        <f t="shared" si="14"/>
        <v>436</v>
      </c>
      <c r="AJ48" s="173">
        <f t="shared" si="14"/>
        <v>471</v>
      </c>
      <c r="AK48" s="173">
        <f t="shared" si="14"/>
        <v>509</v>
      </c>
      <c r="AL48" s="173">
        <f t="shared" si="14"/>
        <v>537</v>
      </c>
      <c r="AM48" s="173">
        <f t="shared" si="14"/>
        <v>567</v>
      </c>
      <c r="AN48" s="173">
        <f t="shared" si="14"/>
        <v>588</v>
      </c>
      <c r="AO48" s="173">
        <f t="shared" si="14"/>
        <v>613</v>
      </c>
      <c r="AP48" s="173">
        <f t="shared" si="14"/>
        <v>645</v>
      </c>
      <c r="AQ48" s="173">
        <f t="shared" si="14"/>
        <v>693</v>
      </c>
      <c r="AR48" s="173">
        <f t="shared" si="11"/>
        <v>745</v>
      </c>
      <c r="AS48" s="618">
        <f t="shared" si="12"/>
        <v>913</v>
      </c>
      <c r="AT48" s="618">
        <f t="shared" si="15"/>
        <v>948</v>
      </c>
      <c r="AU48" s="618">
        <f t="shared" si="16"/>
        <v>999</v>
      </c>
      <c r="AV48" s="156">
        <f t="shared" si="13"/>
        <v>7.9856638736919242E-2</v>
      </c>
    </row>
    <row r="49" spans="2:49" x14ac:dyDescent="0.35">
      <c r="B49" s="584">
        <v>2014</v>
      </c>
      <c r="C49" s="592" t="s">
        <v>60</v>
      </c>
      <c r="D49" s="40" t="s">
        <v>504</v>
      </c>
      <c r="E49" s="40" t="s">
        <v>136</v>
      </c>
      <c r="F49" s="571" t="s">
        <v>519</v>
      </c>
      <c r="G49" s="173">
        <f>38+50</f>
        <v>88</v>
      </c>
      <c r="H49" s="575">
        <v>16000</v>
      </c>
      <c r="I49" s="585">
        <v>15.5</v>
      </c>
      <c r="J49" s="44">
        <f>IF(Tabla1[[#This Row],[Number of vehicle]]="",0,(Tabla1[[#This Row],[Number of vehicle]]*Tabla1[[#This Row],[km travelled]])/Tabla1[[#This Row],[Fuel economy (km/L)]])</f>
        <v>90838.709677419349</v>
      </c>
      <c r="K49" s="44">
        <f>Tabla1[[#This Row],[Consumption (L)]]/$F$454</f>
        <v>65.634905836285654</v>
      </c>
      <c r="L49" s="44">
        <f>Tabla1[[#This Row],[Consumption (ton)]]/1000</f>
        <v>6.5634905836285659E-2</v>
      </c>
      <c r="N49" s="112" t="s">
        <v>41</v>
      </c>
      <c r="O49" s="152">
        <v>1804</v>
      </c>
      <c r="P49" s="152">
        <v>3.6686414498676445</v>
      </c>
      <c r="Q49" s="152">
        <v>1785</v>
      </c>
      <c r="R49" s="152">
        <v>3.6339250228596054</v>
      </c>
      <c r="S49" s="152">
        <v>1785</v>
      </c>
      <c r="T49" s="152">
        <v>3.6339250228596054</v>
      </c>
      <c r="U49" s="152">
        <v>5374</v>
      </c>
      <c r="V49" s="152">
        <v>10.936491495586855</v>
      </c>
      <c r="W49" s="152"/>
      <c r="X49" s="152"/>
      <c r="AB49" s="27" t="s">
        <v>275</v>
      </c>
      <c r="AC49" s="27"/>
      <c r="AD49" s="27" t="s">
        <v>41</v>
      </c>
      <c r="AE49" s="173">
        <f t="shared" si="14"/>
        <v>60</v>
      </c>
      <c r="AF49" s="173">
        <f t="shared" si="14"/>
        <v>65</v>
      </c>
      <c r="AG49" s="173">
        <f t="shared" si="14"/>
        <v>70</v>
      </c>
      <c r="AH49" s="173">
        <f t="shared" si="14"/>
        <v>75</v>
      </c>
      <c r="AI49" s="173">
        <f t="shared" si="14"/>
        <v>81</v>
      </c>
      <c r="AJ49" s="173">
        <f t="shared" si="14"/>
        <v>88</v>
      </c>
      <c r="AK49" s="173">
        <f t="shared" si="14"/>
        <v>95</v>
      </c>
      <c r="AL49" s="173">
        <f t="shared" si="14"/>
        <v>100</v>
      </c>
      <c r="AM49" s="173">
        <f t="shared" si="14"/>
        <v>106</v>
      </c>
      <c r="AN49" s="173">
        <f t="shared" si="14"/>
        <v>110</v>
      </c>
      <c r="AO49" s="173">
        <f t="shared" si="14"/>
        <v>114</v>
      </c>
      <c r="AP49" s="173">
        <f t="shared" si="14"/>
        <v>121</v>
      </c>
      <c r="AQ49" s="173">
        <f t="shared" si="14"/>
        <v>129</v>
      </c>
      <c r="AR49" s="173">
        <f t="shared" si="11"/>
        <v>139</v>
      </c>
      <c r="AS49" s="618">
        <f t="shared" si="12"/>
        <v>172</v>
      </c>
      <c r="AT49" s="618">
        <f t="shared" si="15"/>
        <v>177</v>
      </c>
      <c r="AU49" s="618">
        <f t="shared" si="16"/>
        <v>185</v>
      </c>
      <c r="AV49" s="156">
        <f t="shared" si="13"/>
        <v>1.4917435663647199E-2</v>
      </c>
    </row>
    <row r="50" spans="2:49" x14ac:dyDescent="0.35">
      <c r="B50" s="584">
        <v>2014</v>
      </c>
      <c r="C50" s="592" t="s">
        <v>60</v>
      </c>
      <c r="D50" s="40" t="s">
        <v>504</v>
      </c>
      <c r="E50" s="40" t="s">
        <v>136</v>
      </c>
      <c r="F50" s="597" t="s">
        <v>507</v>
      </c>
      <c r="G50" s="173">
        <v>35</v>
      </c>
      <c r="H50" s="575">
        <v>16000</v>
      </c>
      <c r="I50" s="585">
        <v>15.5</v>
      </c>
      <c r="J50" s="44">
        <f>IF(Tabla1[[#This Row],[Number of vehicle]]="",0,(Tabla1[[#This Row],[Number of vehicle]]*Tabla1[[#This Row],[km travelled]])/Tabla1[[#This Row],[Fuel economy (km/L)]])</f>
        <v>36129.032258064515</v>
      </c>
      <c r="K50" s="44">
        <f>Tabla1[[#This Row],[Consumption (L)]]/$F$454</f>
        <v>26.104792093977252</v>
      </c>
      <c r="L50" s="44">
        <f>Tabla1[[#This Row],[Consumption (ton)]]/1000</f>
        <v>2.6104792093977251E-2</v>
      </c>
      <c r="N50" s="112" t="s">
        <v>136</v>
      </c>
      <c r="O50" s="152">
        <v>3630</v>
      </c>
      <c r="P50" s="152">
        <v>4.1554439068095981</v>
      </c>
      <c r="Q50" s="152">
        <v>3638</v>
      </c>
      <c r="R50" s="152">
        <v>4.7869592593801373</v>
      </c>
      <c r="S50" s="152">
        <v>3636</v>
      </c>
      <c r="T50" s="152">
        <v>5.8243613803918644</v>
      </c>
      <c r="U50" s="152">
        <v>10904</v>
      </c>
      <c r="V50" s="152">
        <v>14.766764546581598</v>
      </c>
      <c r="W50" s="152"/>
      <c r="X50" s="152"/>
      <c r="AD50" s="622" t="s">
        <v>219</v>
      </c>
      <c r="AE50" s="173">
        <f t="shared" ref="AE50:AI50" si="17">ROUND(AF50*(1-AVERAGE($AL$51:$AU$51)),0)</f>
        <v>4003</v>
      </c>
      <c r="AF50" s="173">
        <f t="shared" si="17"/>
        <v>4325</v>
      </c>
      <c r="AG50" s="173">
        <f t="shared" si="17"/>
        <v>4673</v>
      </c>
      <c r="AH50" s="173">
        <f t="shared" si="17"/>
        <v>5049</v>
      </c>
      <c r="AI50" s="173">
        <f t="shared" si="17"/>
        <v>5455</v>
      </c>
      <c r="AJ50" s="173">
        <f>ROUND(AK50*(1-AVERAGE($AL$51:$AU$51)),0)</f>
        <v>5894</v>
      </c>
      <c r="AK50" s="618">
        <v>6368</v>
      </c>
      <c r="AL50" s="618">
        <v>6725</v>
      </c>
      <c r="AM50" s="618">
        <v>7099</v>
      </c>
      <c r="AN50" s="618">
        <v>7359</v>
      </c>
      <c r="AO50" s="618">
        <v>7670</v>
      </c>
      <c r="AP50" s="618">
        <v>8083</v>
      </c>
      <c r="AQ50" s="618">
        <v>8677</v>
      </c>
      <c r="AR50" s="618">
        <v>9332</v>
      </c>
      <c r="AS50" s="618">
        <f t="shared" ref="AS50:AT50" si="18">SUM(AS29:AS49)</f>
        <v>10979</v>
      </c>
      <c r="AT50" s="618">
        <f t="shared" si="18"/>
        <v>11937</v>
      </c>
      <c r="AU50" s="618">
        <f>SUM(AU29:AU49)</f>
        <v>12975</v>
      </c>
      <c r="AV50" s="151"/>
      <c r="AW50" s="619" t="s">
        <v>539</v>
      </c>
    </row>
    <row r="51" spans="2:49" x14ac:dyDescent="0.35">
      <c r="B51" s="584">
        <v>2014</v>
      </c>
      <c r="C51" s="592" t="s">
        <v>60</v>
      </c>
      <c r="D51" s="40" t="s">
        <v>504</v>
      </c>
      <c r="E51" s="40" t="s">
        <v>136</v>
      </c>
      <c r="F51" s="571" t="s">
        <v>519</v>
      </c>
      <c r="G51" s="173">
        <f>1+8</f>
        <v>9</v>
      </c>
      <c r="H51" s="575">
        <v>16000</v>
      </c>
      <c r="I51" s="585">
        <v>15.5</v>
      </c>
      <c r="J51" s="44">
        <f>IF(Tabla1[[#This Row],[Number of vehicle]]="",0,(Tabla1[[#This Row],[Number of vehicle]]*Tabla1[[#This Row],[km travelled]])/Tabla1[[#This Row],[Fuel economy (km/L)]])</f>
        <v>9290.322580645161</v>
      </c>
      <c r="K51" s="44">
        <f>Tabla1[[#This Row],[Consumption (L)]]/$F$454</f>
        <v>6.712660824165579</v>
      </c>
      <c r="L51" s="44">
        <f>Tabla1[[#This Row],[Consumption (ton)]]/1000</f>
        <v>6.7126608241655792E-3</v>
      </c>
      <c r="N51" s="220" t="s">
        <v>513</v>
      </c>
      <c r="O51" s="152">
        <v>476022</v>
      </c>
      <c r="P51" s="152">
        <v>291.80539516242408</v>
      </c>
      <c r="Q51" s="152">
        <v>498067</v>
      </c>
      <c r="R51" s="152">
        <v>317.03811335300719</v>
      </c>
      <c r="S51" s="152">
        <v>520625</v>
      </c>
      <c r="T51" s="152">
        <v>339.33242234954292</v>
      </c>
      <c r="U51" s="152">
        <v>1494714</v>
      </c>
      <c r="V51" s="152">
        <v>948.17593086497413</v>
      </c>
      <c r="AK51" s="620"/>
      <c r="AL51" s="621">
        <f t="shared" ref="AL51:AT51" si="19">(AL50-AK50)/AK50</f>
        <v>5.6061557788944727E-2</v>
      </c>
      <c r="AM51" s="621">
        <f t="shared" si="19"/>
        <v>5.561338289962825E-2</v>
      </c>
      <c r="AN51" s="621">
        <f t="shared" si="19"/>
        <v>3.662487674320327E-2</v>
      </c>
      <c r="AO51" s="621">
        <f t="shared" si="19"/>
        <v>4.2261176790324775E-2</v>
      </c>
      <c r="AP51" s="621">
        <f t="shared" si="19"/>
        <v>5.3846153846153849E-2</v>
      </c>
      <c r="AQ51" s="621">
        <f t="shared" si="19"/>
        <v>7.3487566497587531E-2</v>
      </c>
      <c r="AR51" s="621">
        <f t="shared" si="19"/>
        <v>7.5486919442203523E-2</v>
      </c>
      <c r="AS51" s="621">
        <f t="shared" si="19"/>
        <v>0.17648949849978568</v>
      </c>
      <c r="AT51" s="621">
        <f t="shared" si="19"/>
        <v>8.7257491574824667E-2</v>
      </c>
      <c r="AU51" s="621">
        <f>(AU50-AT50)/AT50</f>
        <v>8.6956521739130432E-2</v>
      </c>
    </row>
    <row r="52" spans="2:49" x14ac:dyDescent="0.35">
      <c r="B52" s="584">
        <v>2014</v>
      </c>
      <c r="C52" s="592" t="s">
        <v>60</v>
      </c>
      <c r="D52" s="40" t="s">
        <v>504</v>
      </c>
      <c r="E52" s="40" t="s">
        <v>136</v>
      </c>
      <c r="F52" s="597" t="s">
        <v>507</v>
      </c>
      <c r="G52" s="173">
        <v>4</v>
      </c>
      <c r="H52" s="575">
        <v>16000</v>
      </c>
      <c r="I52" s="585">
        <v>15.5</v>
      </c>
      <c r="J52" s="44">
        <f>IF(Tabla1[[#This Row],[Number of vehicle]]="",0,(Tabla1[[#This Row],[Number of vehicle]]*Tabla1[[#This Row],[km travelled]])/Tabla1[[#This Row],[Fuel economy (km/L)]])</f>
        <v>4129.0322580645161</v>
      </c>
      <c r="K52" s="44">
        <f>Tabla1[[#This Row],[Consumption (L)]]/$F$454</f>
        <v>2.9834048107402573</v>
      </c>
      <c r="L52" s="44">
        <f>Tabla1[[#This Row],[Consumption (ton)]]/1000</f>
        <v>2.9834048107402573E-3</v>
      </c>
      <c r="AB52" s="729" t="s">
        <v>219</v>
      </c>
      <c r="AC52" s="729"/>
      <c r="AD52" s="729"/>
      <c r="AE52" s="110">
        <v>2000</v>
      </c>
      <c r="AF52" s="110">
        <v>2001</v>
      </c>
      <c r="AG52" s="110">
        <v>2002</v>
      </c>
      <c r="AH52" s="110">
        <v>2003</v>
      </c>
      <c r="AI52" s="110">
        <v>2004</v>
      </c>
      <c r="AJ52" s="110">
        <v>2005</v>
      </c>
      <c r="AK52" s="110">
        <v>2006</v>
      </c>
      <c r="AL52" s="110">
        <v>2007</v>
      </c>
      <c r="AM52" s="110">
        <v>2008</v>
      </c>
      <c r="AN52" s="110">
        <v>2009</v>
      </c>
      <c r="AO52" s="110">
        <v>2010</v>
      </c>
      <c r="AP52" s="110">
        <v>2011</v>
      </c>
      <c r="AQ52" s="110">
        <v>2012</v>
      </c>
      <c r="AR52" s="110">
        <v>2013</v>
      </c>
      <c r="AS52" s="110">
        <v>2014</v>
      </c>
      <c r="AT52" s="110">
        <v>2015</v>
      </c>
      <c r="AU52" s="110">
        <v>2016</v>
      </c>
    </row>
    <row r="53" spans="2:49" x14ac:dyDescent="0.35">
      <c r="B53" s="584">
        <v>2014</v>
      </c>
      <c r="C53" s="592" t="s">
        <v>59</v>
      </c>
      <c r="D53" s="40" t="s">
        <v>504</v>
      </c>
      <c r="E53" s="40" t="s">
        <v>226</v>
      </c>
      <c r="F53" s="578" t="s">
        <v>507</v>
      </c>
      <c r="G53" s="577"/>
      <c r="H53" s="575">
        <v>9000</v>
      </c>
      <c r="I53" s="585">
        <v>24</v>
      </c>
      <c r="J53" s="44">
        <f>IF(Tabla1[[#This Row],[Number of vehicle]]="",0,(Tabla1[[#This Row],[Number of vehicle]]*Tabla1[[#This Row],[km travelled]])/Tabla1[[#This Row],[Fuel economy (km/L)]])</f>
        <v>0</v>
      </c>
      <c r="K53" s="44"/>
      <c r="L53" s="44">
        <f>Tabla1[[#This Row],[Consumption (ton)]]/1000</f>
        <v>0</v>
      </c>
      <c r="AB53" s="716" t="s">
        <v>531</v>
      </c>
      <c r="AC53" s="716" t="s">
        <v>507</v>
      </c>
      <c r="AD53" s="27" t="s">
        <v>136</v>
      </c>
      <c r="AE53" s="173">
        <f>AE5+AE29</f>
        <v>42039</v>
      </c>
      <c r="AF53" s="173">
        <f t="shared" ref="AF53:AU68" si="20">AF5+AF29</f>
        <v>43838</v>
      </c>
      <c r="AG53" s="173">
        <f t="shared" si="20"/>
        <v>45678</v>
      </c>
      <c r="AH53" s="173">
        <f t="shared" si="20"/>
        <v>47491</v>
      </c>
      <c r="AI53" s="173">
        <f t="shared" si="20"/>
        <v>50110</v>
      </c>
      <c r="AJ53" s="173">
        <f t="shared" si="20"/>
        <v>52500</v>
      </c>
      <c r="AK53" s="173">
        <f t="shared" si="20"/>
        <v>54900</v>
      </c>
      <c r="AL53" s="173">
        <f t="shared" si="20"/>
        <v>57428</v>
      </c>
      <c r="AM53" s="173">
        <f t="shared" si="20"/>
        <v>60395</v>
      </c>
      <c r="AN53" s="173">
        <f t="shared" si="20"/>
        <v>62992</v>
      </c>
      <c r="AO53" s="173">
        <f t="shared" si="20"/>
        <v>66015</v>
      </c>
      <c r="AP53" s="173">
        <f t="shared" si="20"/>
        <v>68905</v>
      </c>
      <c r="AQ53" s="173">
        <f t="shared" si="20"/>
        <v>72517</v>
      </c>
      <c r="AR53" s="173">
        <f t="shared" si="20"/>
        <v>76229</v>
      </c>
      <c r="AS53" s="173">
        <f t="shared" si="20"/>
        <v>71261</v>
      </c>
      <c r="AT53" s="173">
        <f t="shared" si="20"/>
        <v>82201</v>
      </c>
      <c r="AU53" s="173">
        <f t="shared" si="20"/>
        <v>98216</v>
      </c>
    </row>
    <row r="54" spans="2:49" x14ac:dyDescent="0.35">
      <c r="B54" s="584">
        <v>2014</v>
      </c>
      <c r="C54" s="592" t="s">
        <v>59</v>
      </c>
      <c r="D54" s="40" t="s">
        <v>504</v>
      </c>
      <c r="E54" s="40" t="s">
        <v>226</v>
      </c>
      <c r="F54" s="578" t="s">
        <v>505</v>
      </c>
      <c r="G54" s="577"/>
      <c r="H54" s="575">
        <v>9000</v>
      </c>
      <c r="I54" s="585">
        <v>24</v>
      </c>
      <c r="J54" s="44">
        <f>IF(Tabla1[[#This Row],[Number of vehicle]]="",0,(Tabla1[[#This Row],[Number of vehicle]]*Tabla1[[#This Row],[km travelled]])/Tabla1[[#This Row],[Fuel economy (km/L)]])</f>
        <v>0</v>
      </c>
      <c r="K54" s="44"/>
      <c r="L54" s="44">
        <f>Tabla1[[#This Row],[Consumption (ton)]]/1000</f>
        <v>0</v>
      </c>
      <c r="N54" s="723" t="s">
        <v>530</v>
      </c>
      <c r="O54" s="723"/>
      <c r="P54" s="723"/>
      <c r="Q54" s="25">
        <v>2014</v>
      </c>
      <c r="R54" s="25">
        <v>2015</v>
      </c>
      <c r="S54" s="25">
        <v>2016</v>
      </c>
      <c r="AB54" s="716"/>
      <c r="AC54" s="716"/>
      <c r="AD54" s="27" t="s">
        <v>41</v>
      </c>
      <c r="AE54" s="173">
        <f t="shared" ref="AE54:AT73" si="21">AE6+AE30</f>
        <v>3282</v>
      </c>
      <c r="AF54" s="173">
        <f t="shared" si="21"/>
        <v>3423</v>
      </c>
      <c r="AG54" s="173">
        <f t="shared" si="21"/>
        <v>3567</v>
      </c>
      <c r="AH54" s="173">
        <f t="shared" si="21"/>
        <v>3709</v>
      </c>
      <c r="AI54" s="173">
        <f t="shared" si="21"/>
        <v>3915</v>
      </c>
      <c r="AJ54" s="173">
        <f t="shared" si="21"/>
        <v>4101</v>
      </c>
      <c r="AK54" s="173">
        <f t="shared" si="21"/>
        <v>4289</v>
      </c>
      <c r="AL54" s="173">
        <f t="shared" si="21"/>
        <v>4488</v>
      </c>
      <c r="AM54" s="173">
        <f t="shared" si="21"/>
        <v>4719</v>
      </c>
      <c r="AN54" s="173">
        <f t="shared" si="21"/>
        <v>4922</v>
      </c>
      <c r="AO54" s="173">
        <f t="shared" si="21"/>
        <v>5158</v>
      </c>
      <c r="AP54" s="173">
        <f t="shared" si="21"/>
        <v>5384</v>
      </c>
      <c r="AQ54" s="173">
        <f t="shared" si="21"/>
        <v>5666</v>
      </c>
      <c r="AR54" s="173">
        <f t="shared" si="21"/>
        <v>5957</v>
      </c>
      <c r="AS54" s="173">
        <f t="shared" si="21"/>
        <v>5751</v>
      </c>
      <c r="AT54" s="173">
        <f t="shared" si="21"/>
        <v>6414</v>
      </c>
      <c r="AU54" s="173">
        <f t="shared" si="20"/>
        <v>7500</v>
      </c>
    </row>
    <row r="55" spans="2:49" x14ac:dyDescent="0.35">
      <c r="B55" s="584">
        <v>2014</v>
      </c>
      <c r="C55" s="592" t="s">
        <v>59</v>
      </c>
      <c r="D55" s="40" t="s">
        <v>504</v>
      </c>
      <c r="E55" s="40" t="s">
        <v>226</v>
      </c>
      <c r="F55" s="578" t="s">
        <v>507</v>
      </c>
      <c r="G55" s="577">
        <f>1205+423+3+31</f>
        <v>1662</v>
      </c>
      <c r="H55" s="575">
        <v>9000</v>
      </c>
      <c r="I55" s="585">
        <v>24</v>
      </c>
      <c r="J55" s="44">
        <f>IF(Tabla1[[#This Row],[Number of vehicle]]="",0,(Tabla1[[#This Row],[Number of vehicle]]*Tabla1[[#This Row],[km travelled]])/Tabla1[[#This Row],[Fuel economy (km/L)]])</f>
        <v>623250</v>
      </c>
      <c r="K55" s="44"/>
      <c r="L55" s="44">
        <f>Tabla1[[#This Row],[Consumption (ton)]]/1000</f>
        <v>0</v>
      </c>
      <c r="N55" s="27" t="s">
        <v>287</v>
      </c>
      <c r="O55" s="27" t="s">
        <v>507</v>
      </c>
      <c r="P55" s="572" t="s">
        <v>2</v>
      </c>
      <c r="Q55" s="30">
        <f>GETPIVOTDATA("Suma de Consumption (Gg)",$N$2,"Year",2014,"Type of Vehicle","Car","Fuel type","Gasoline","Technology","3 way catalyst")</f>
        <v>40.972735162105032</v>
      </c>
      <c r="R55" s="30">
        <f>GETPIVOTDATA("Suma de Consumption (Gg)",$N$2,"Year",2015,"Type of Vehicle","Car","Fuel type","Gasoline","Technology","3 way catalyst")</f>
        <v>53.988587561250029</v>
      </c>
      <c r="S55" s="30">
        <f>GETPIVOTDATA("Suma de Consumption (Gg)",$N$2,"Year",2016,"Type of Vehicle","Car","Fuel type","Gasoline","Technology","3 way catalyst")</f>
        <v>64.742256559000779</v>
      </c>
      <c r="AB55" s="716"/>
      <c r="AC55" s="716"/>
      <c r="AD55" s="27" t="s">
        <v>117</v>
      </c>
      <c r="AE55" s="173">
        <f t="shared" si="21"/>
        <v>37</v>
      </c>
      <c r="AF55" s="173">
        <f t="shared" si="20"/>
        <v>39</v>
      </c>
      <c r="AG55" s="173">
        <f t="shared" si="20"/>
        <v>41</v>
      </c>
      <c r="AH55" s="173">
        <f t="shared" si="20"/>
        <v>42</v>
      </c>
      <c r="AI55" s="173">
        <f t="shared" si="20"/>
        <v>44</v>
      </c>
      <c r="AJ55" s="173">
        <f t="shared" si="20"/>
        <v>47</v>
      </c>
      <c r="AK55" s="173">
        <f t="shared" si="20"/>
        <v>49</v>
      </c>
      <c r="AL55" s="173">
        <f t="shared" si="20"/>
        <v>51</v>
      </c>
      <c r="AM55" s="173">
        <f t="shared" si="20"/>
        <v>54</v>
      </c>
      <c r="AN55" s="173">
        <f t="shared" si="20"/>
        <v>56</v>
      </c>
      <c r="AO55" s="173">
        <f t="shared" si="20"/>
        <v>59</v>
      </c>
      <c r="AP55" s="173">
        <f t="shared" si="20"/>
        <v>61</v>
      </c>
      <c r="AQ55" s="173">
        <f t="shared" si="20"/>
        <v>64</v>
      </c>
      <c r="AR55" s="173">
        <f t="shared" si="20"/>
        <v>68</v>
      </c>
      <c r="AS55" s="173">
        <f t="shared" si="20"/>
        <v>178</v>
      </c>
      <c r="AT55" s="173">
        <f t="shared" si="20"/>
        <v>17</v>
      </c>
      <c r="AU55" s="173">
        <f t="shared" si="20"/>
        <v>20</v>
      </c>
    </row>
    <row r="56" spans="2:49" x14ac:dyDescent="0.35">
      <c r="B56" s="584">
        <v>2014</v>
      </c>
      <c r="C56" s="592" t="s">
        <v>59</v>
      </c>
      <c r="D56" s="40" t="s">
        <v>504</v>
      </c>
      <c r="E56" s="40" t="s">
        <v>226</v>
      </c>
      <c r="F56" s="578" t="s">
        <v>505</v>
      </c>
      <c r="G56" s="577"/>
      <c r="H56" s="575">
        <v>9000</v>
      </c>
      <c r="I56" s="585">
        <v>24</v>
      </c>
      <c r="J56" s="44">
        <f>IF(Tabla1[[#This Row],[Number of vehicle]]="",0,(Tabla1[[#This Row],[Number of vehicle]]*Tabla1[[#This Row],[km travelled]])/Tabla1[[#This Row],[Fuel economy (km/L)]])</f>
        <v>0</v>
      </c>
      <c r="K56" s="44"/>
      <c r="L56" s="44">
        <f>Tabla1[[#This Row],[Consumption (ton)]]/1000</f>
        <v>0</v>
      </c>
      <c r="N56" s="27"/>
      <c r="O56" s="27" t="s">
        <v>505</v>
      </c>
      <c r="P56" s="572" t="s">
        <v>2</v>
      </c>
      <c r="Q56" s="30">
        <f>GETPIVOTDATA("Suma de Consumption (Gg)",$N$2,"Year",2014,"Type of Vehicle","Car","Fuel type","Gasoline","Technology","without 3 way catalyst")</f>
        <v>55.240074420038979</v>
      </c>
      <c r="R56" s="30">
        <f>GETPIVOTDATA("Suma de Consumption (Gg)",$N$2,"Year",2015,"Type of Vehicle","Car","Fuel type","Gasoline","Technology","without 3 way catalyst")</f>
        <v>60.93621435927605</v>
      </c>
      <c r="S56" s="30">
        <f>GETPIVOTDATA("Suma de Consumption (Gg)",$N$2,"Year",2016,"Type of Vehicle","Car","Fuel type","Gasoline","Technology","without 3 way catalyst")</f>
        <v>61.512414339294978</v>
      </c>
      <c r="AB56" s="716"/>
      <c r="AC56" s="716"/>
      <c r="AD56" s="27" t="s">
        <v>226</v>
      </c>
      <c r="AE56" s="173">
        <f t="shared" si="21"/>
        <v>1335</v>
      </c>
      <c r="AF56" s="173">
        <f t="shared" si="20"/>
        <v>1392</v>
      </c>
      <c r="AG56" s="173">
        <f t="shared" si="20"/>
        <v>1452</v>
      </c>
      <c r="AH56" s="173">
        <f t="shared" si="20"/>
        <v>1509</v>
      </c>
      <c r="AI56" s="173">
        <f t="shared" si="20"/>
        <v>1592</v>
      </c>
      <c r="AJ56" s="173">
        <f t="shared" si="20"/>
        <v>1668</v>
      </c>
      <c r="AK56" s="173">
        <f t="shared" si="20"/>
        <v>1744</v>
      </c>
      <c r="AL56" s="173">
        <f t="shared" si="20"/>
        <v>1824</v>
      </c>
      <c r="AM56" s="173">
        <f t="shared" si="20"/>
        <v>1918</v>
      </c>
      <c r="AN56" s="173">
        <f t="shared" si="20"/>
        <v>2001</v>
      </c>
      <c r="AO56" s="173">
        <f t="shared" si="20"/>
        <v>2098</v>
      </c>
      <c r="AP56" s="173">
        <f t="shared" si="20"/>
        <v>2189</v>
      </c>
      <c r="AQ56" s="173">
        <f t="shared" si="20"/>
        <v>2304</v>
      </c>
      <c r="AR56" s="173">
        <f t="shared" si="20"/>
        <v>2422</v>
      </c>
      <c r="AS56" s="173">
        <f t="shared" si="20"/>
        <v>1832</v>
      </c>
      <c r="AT56" s="173">
        <f t="shared" si="20"/>
        <v>2427</v>
      </c>
      <c r="AU56" s="173">
        <f t="shared" si="20"/>
        <v>3783</v>
      </c>
    </row>
    <row r="57" spans="2:49" x14ac:dyDescent="0.35">
      <c r="B57" s="584">
        <v>2014</v>
      </c>
      <c r="C57" s="592" t="s">
        <v>59</v>
      </c>
      <c r="D57" s="40" t="s">
        <v>504</v>
      </c>
      <c r="E57" s="40" t="s">
        <v>226</v>
      </c>
      <c r="F57" s="578" t="s">
        <v>507</v>
      </c>
      <c r="G57" s="577">
        <v>141</v>
      </c>
      <c r="H57" s="575">
        <v>9000</v>
      </c>
      <c r="I57" s="585">
        <v>24</v>
      </c>
      <c r="J57" s="44">
        <f>IF(Tabla1[[#This Row],[Number of vehicle]]="",0,(Tabla1[[#This Row],[Number of vehicle]]*Tabla1[[#This Row],[km travelled]])/Tabla1[[#This Row],[Fuel economy (km/L)]])</f>
        <v>52875</v>
      </c>
      <c r="K57" s="44"/>
      <c r="L57" s="44">
        <f>Tabla1[[#This Row],[Consumption (ton)]]/1000</f>
        <v>0</v>
      </c>
      <c r="N57" s="27" t="s">
        <v>290</v>
      </c>
      <c r="O57" s="27" t="s">
        <v>507</v>
      </c>
      <c r="P57" s="572" t="s">
        <v>2</v>
      </c>
      <c r="Q57" s="30">
        <f>GETPIVOTDATA("Suma de Consumption (Gg)",$N$2,"Year",2014,"Type of Vehicle","Car","Fuel type","Diesel","Technology","3 way catalyst")</f>
        <v>4.2813373874695673</v>
      </c>
      <c r="R57" s="30">
        <f>GETPIVOTDATA("Suma de Consumption (Gg)",$N$2,"Year",2015,"Type of Vehicle","Car","Fuel type","Diesel","Technology","3 way catalyst")</f>
        <v>4.7637802223328993</v>
      </c>
      <c r="S57" s="30">
        <f>GETPIVOTDATA("Suma de Consumption (Gg)",$N$2,"Year",2016,"Type of Vehicle","Car","Fuel type","Diesel","Technology","3 way catalyst")</f>
        <v>6.6640810812356222</v>
      </c>
      <c r="AB57" s="716"/>
      <c r="AC57" s="716"/>
      <c r="AD57" s="27" t="s">
        <v>227</v>
      </c>
      <c r="AE57" s="173">
        <f t="shared" si="21"/>
        <v>5</v>
      </c>
      <c r="AF57" s="173">
        <f t="shared" si="20"/>
        <v>5</v>
      </c>
      <c r="AG57" s="173">
        <f t="shared" si="20"/>
        <v>5</v>
      </c>
      <c r="AH57" s="173">
        <f t="shared" si="20"/>
        <v>6</v>
      </c>
      <c r="AI57" s="173">
        <f t="shared" si="20"/>
        <v>6</v>
      </c>
      <c r="AJ57" s="173">
        <f t="shared" si="20"/>
        <v>6</v>
      </c>
      <c r="AK57" s="173">
        <f t="shared" si="20"/>
        <v>7</v>
      </c>
      <c r="AL57" s="173">
        <f t="shared" si="20"/>
        <v>7</v>
      </c>
      <c r="AM57" s="173">
        <f t="shared" si="20"/>
        <v>7</v>
      </c>
      <c r="AN57" s="173">
        <f t="shared" si="20"/>
        <v>8</v>
      </c>
      <c r="AO57" s="173">
        <f t="shared" si="20"/>
        <v>8</v>
      </c>
      <c r="AP57" s="173">
        <f t="shared" si="20"/>
        <v>8</v>
      </c>
      <c r="AQ57" s="173">
        <f t="shared" si="20"/>
        <v>9</v>
      </c>
      <c r="AR57" s="173">
        <f t="shared" si="20"/>
        <v>9</v>
      </c>
      <c r="AS57" s="173">
        <f t="shared" si="20"/>
        <v>9</v>
      </c>
      <c r="AT57" s="173">
        <f t="shared" si="20"/>
        <v>10</v>
      </c>
      <c r="AU57" s="173">
        <f t="shared" si="20"/>
        <v>11</v>
      </c>
    </row>
    <row r="58" spans="2:49" x14ac:dyDescent="0.35">
      <c r="B58" s="584">
        <v>2014</v>
      </c>
      <c r="C58" s="592" t="s">
        <v>59</v>
      </c>
      <c r="D58" s="40" t="s">
        <v>504</v>
      </c>
      <c r="E58" s="40" t="s">
        <v>226</v>
      </c>
      <c r="F58" s="578" t="s">
        <v>505</v>
      </c>
      <c r="G58" s="577"/>
      <c r="H58" s="575">
        <v>9000</v>
      </c>
      <c r="I58" s="585">
        <v>24</v>
      </c>
      <c r="J58" s="44">
        <f>IF(Tabla1[[#This Row],[Number of vehicle]]="",0,(Tabla1[[#This Row],[Number of vehicle]]*Tabla1[[#This Row],[km travelled]])/Tabla1[[#This Row],[Fuel economy (km/L)]])</f>
        <v>0</v>
      </c>
      <c r="K58" s="44"/>
      <c r="L58" s="44">
        <f>Tabla1[[#This Row],[Consumption (ton)]]/1000</f>
        <v>0</v>
      </c>
      <c r="N58" s="27"/>
      <c r="O58" s="27" t="s">
        <v>505</v>
      </c>
      <c r="P58" s="572" t="s">
        <v>2</v>
      </c>
      <c r="Q58" s="30">
        <f>GETPIVOTDATA("Suma de Consumption (Gg)",$N$2,"Year",2014,"Type of Vehicle","Car","Fuel type","Diesel","Technology","without 3 way catalyst")</f>
        <v>6.5105662197800251</v>
      </c>
      <c r="R58" s="30">
        <f>GETPIVOTDATA("Suma de Consumption (Gg)",$N$2,"Year",2015,"Type of Vehicle","Car","Fuel type","Diesel","Technology","without 3 way catalyst")</f>
        <v>6.4406263510182189</v>
      </c>
      <c r="S58" s="30">
        <f>GETPIVOTDATA("Suma de Consumption (Gg)",$N$2,"Year",2016,"Type of Vehicle","Car","Fuel type","Diesel","Technology","without 3 way catalyst")</f>
        <v>7.5523687836015752</v>
      </c>
      <c r="AB58" s="716"/>
      <c r="AC58" s="716" t="s">
        <v>505</v>
      </c>
      <c r="AD58" s="27" t="s">
        <v>136</v>
      </c>
      <c r="AE58" s="173">
        <f t="shared" si="21"/>
        <v>49822</v>
      </c>
      <c r="AF58" s="173">
        <f t="shared" si="20"/>
        <v>51959</v>
      </c>
      <c r="AG58" s="173">
        <f t="shared" si="20"/>
        <v>54145</v>
      </c>
      <c r="AH58" s="173">
        <f t="shared" si="20"/>
        <v>56300</v>
      </c>
      <c r="AI58" s="173">
        <f t="shared" si="20"/>
        <v>59410</v>
      </c>
      <c r="AJ58" s="173">
        <f t="shared" si="20"/>
        <v>62249</v>
      </c>
      <c r="AK58" s="173">
        <f t="shared" si="20"/>
        <v>65102</v>
      </c>
      <c r="AL58" s="173">
        <f t="shared" si="20"/>
        <v>68101</v>
      </c>
      <c r="AM58" s="173">
        <f t="shared" si="20"/>
        <v>71621</v>
      </c>
      <c r="AN58" s="173">
        <f t="shared" si="20"/>
        <v>74698</v>
      </c>
      <c r="AO58" s="173">
        <f t="shared" si="20"/>
        <v>78283</v>
      </c>
      <c r="AP58" s="173">
        <f t="shared" si="20"/>
        <v>81711</v>
      </c>
      <c r="AQ58" s="173">
        <f t="shared" si="20"/>
        <v>86001</v>
      </c>
      <c r="AR58" s="173">
        <f t="shared" si="20"/>
        <v>90409</v>
      </c>
      <c r="AS58" s="173">
        <f t="shared" si="20"/>
        <v>101548</v>
      </c>
      <c r="AT58" s="173">
        <f t="shared" si="20"/>
        <v>97481</v>
      </c>
      <c r="AU58" s="173">
        <f t="shared" si="20"/>
        <v>98088</v>
      </c>
    </row>
    <row r="59" spans="2:49" x14ac:dyDescent="0.35">
      <c r="B59" s="584">
        <v>2014</v>
      </c>
      <c r="C59" s="592" t="s">
        <v>59</v>
      </c>
      <c r="D59" s="40" t="s">
        <v>504</v>
      </c>
      <c r="E59" s="40" t="s">
        <v>226</v>
      </c>
      <c r="F59" s="578" t="s">
        <v>507</v>
      </c>
      <c r="G59" s="577">
        <v>26</v>
      </c>
      <c r="H59" s="575">
        <v>9000</v>
      </c>
      <c r="I59" s="585">
        <v>24</v>
      </c>
      <c r="J59" s="44">
        <f>IF(Tabla1[[#This Row],[Number of vehicle]]="",0,(Tabla1[[#This Row],[Number of vehicle]]*Tabla1[[#This Row],[km travelled]])/Tabla1[[#This Row],[Fuel economy (km/L)]])</f>
        <v>9750</v>
      </c>
      <c r="K59" s="44"/>
      <c r="L59" s="44">
        <f>Tabla1[[#This Row],[Consumption (ton)]]/1000</f>
        <v>0</v>
      </c>
      <c r="N59" s="27" t="s">
        <v>291</v>
      </c>
      <c r="O59" s="27" t="s">
        <v>507</v>
      </c>
      <c r="P59" s="572" t="s">
        <v>2</v>
      </c>
      <c r="Q59" s="30">
        <f>GETPIVOTDATA("Suma de Consumption (Gg)",$N$2,"Year",2014,"Type of Vehicle","Car","Fuel type","LPG","Technology","3 way catalyst")</f>
        <v>8.0799230873973074E-2</v>
      </c>
      <c r="R59" s="30">
        <f>GETPIVOTDATA("Suma de Consumption (Gg)",$N$2,"Year",2015,"Type of Vehicle","Car","Fuel type","LPG","Technology","3 way catalyst")</f>
        <v>9.8210791696409765E-3</v>
      </c>
      <c r="S59" s="30">
        <f>GETPIVOTDATA("Suma de Consumption (Gg)",$N$2,"Year",2016,"Type of Vehicle","Car","Fuel type","LPG","Technology","3 way catalyst")</f>
        <v>1.1554261758674331E-2</v>
      </c>
      <c r="AB59" s="716"/>
      <c r="AC59" s="716"/>
      <c r="AD59" s="27" t="s">
        <v>41</v>
      </c>
      <c r="AE59" s="173">
        <f t="shared" si="21"/>
        <v>5175</v>
      </c>
      <c r="AF59" s="173">
        <f t="shared" si="20"/>
        <v>5401</v>
      </c>
      <c r="AG59" s="173">
        <f t="shared" si="20"/>
        <v>5633</v>
      </c>
      <c r="AH59" s="173">
        <f t="shared" si="20"/>
        <v>5862</v>
      </c>
      <c r="AI59" s="173">
        <f t="shared" si="20"/>
        <v>6190</v>
      </c>
      <c r="AJ59" s="173">
        <f t="shared" si="20"/>
        <v>6491</v>
      </c>
      <c r="AK59" s="173">
        <f t="shared" si="20"/>
        <v>6794</v>
      </c>
      <c r="AL59" s="173">
        <f t="shared" si="20"/>
        <v>7109</v>
      </c>
      <c r="AM59" s="173">
        <f t="shared" si="20"/>
        <v>7476</v>
      </c>
      <c r="AN59" s="173">
        <f t="shared" si="20"/>
        <v>7797</v>
      </c>
      <c r="AO59" s="173">
        <f t="shared" si="20"/>
        <v>8170</v>
      </c>
      <c r="AP59" s="173">
        <f t="shared" si="20"/>
        <v>8530</v>
      </c>
      <c r="AQ59" s="173">
        <f t="shared" si="20"/>
        <v>8983</v>
      </c>
      <c r="AR59" s="173">
        <f t="shared" si="20"/>
        <v>9449</v>
      </c>
      <c r="AS59" s="173">
        <f t="shared" si="20"/>
        <v>10520</v>
      </c>
      <c r="AT59" s="173">
        <f t="shared" si="20"/>
        <v>10405</v>
      </c>
      <c r="AU59" s="173">
        <f t="shared" si="20"/>
        <v>10275</v>
      </c>
    </row>
    <row r="60" spans="2:49" x14ac:dyDescent="0.35">
      <c r="B60" s="584">
        <v>2014</v>
      </c>
      <c r="C60" s="592" t="s">
        <v>59</v>
      </c>
      <c r="D60" s="40" t="s">
        <v>504</v>
      </c>
      <c r="E60" s="40" t="s">
        <v>226</v>
      </c>
      <c r="F60" s="578" t="s">
        <v>505</v>
      </c>
      <c r="G60" s="577"/>
      <c r="H60" s="575">
        <v>9000</v>
      </c>
      <c r="I60" s="585">
        <v>24</v>
      </c>
      <c r="J60" s="44">
        <f>IF(Tabla1[[#This Row],[Number of vehicle]]="",0,(Tabla1[[#This Row],[Number of vehicle]]*Tabla1[[#This Row],[km travelled]])/Tabla1[[#This Row],[Fuel economy (km/L)]])</f>
        <v>0</v>
      </c>
      <c r="K60" s="44"/>
      <c r="L60" s="44">
        <f>Tabla1[[#This Row],[Consumption (ton)]]/1000</f>
        <v>0</v>
      </c>
      <c r="N60" s="27"/>
      <c r="O60" s="27" t="s">
        <v>505</v>
      </c>
      <c r="P60" s="572" t="s">
        <v>2</v>
      </c>
      <c r="Q60" s="30">
        <f>GETPIVOTDATA("Suma de Consumption (Gg)",$N$2,"Year",2014,"Type of Vehicle","Car","Fuel type","LPG","Technology","without 3 way catalyst")</f>
        <v>1.815660627266838E-2</v>
      </c>
      <c r="R60" s="30">
        <f>GETPIVOTDATA("Suma de Consumption (Gg)",$N$2,"Year",2015,"Type of Vehicle","Car","Fuel type","LPG","Technology","without 3 way catalyst")</f>
        <v>0.11785572285055269</v>
      </c>
      <c r="S60" s="30">
        <f>GETPIVOTDATA("Suma de Consumption (Gg)",$N$2,"Year",2016,"Type of Vehicle","Car","Fuel type","LPG","Technology","without 3 way catalyst")</f>
        <v>0.11727805308785118</v>
      </c>
      <c r="AB60" s="716"/>
      <c r="AC60" s="716"/>
      <c r="AD60" s="27" t="s">
        <v>117</v>
      </c>
      <c r="AE60" s="173">
        <f t="shared" si="21"/>
        <v>74</v>
      </c>
      <c r="AF60" s="173">
        <f t="shared" si="20"/>
        <v>77</v>
      </c>
      <c r="AG60" s="173">
        <f t="shared" si="20"/>
        <v>80</v>
      </c>
      <c r="AH60" s="173">
        <f t="shared" si="20"/>
        <v>83</v>
      </c>
      <c r="AI60" s="173">
        <f t="shared" si="20"/>
        <v>88</v>
      </c>
      <c r="AJ60" s="173">
        <f t="shared" si="20"/>
        <v>92</v>
      </c>
      <c r="AK60" s="173">
        <f t="shared" si="20"/>
        <v>96</v>
      </c>
      <c r="AL60" s="173">
        <f t="shared" si="20"/>
        <v>101</v>
      </c>
      <c r="AM60" s="173">
        <f t="shared" si="20"/>
        <v>106</v>
      </c>
      <c r="AN60" s="173">
        <f t="shared" si="20"/>
        <v>111</v>
      </c>
      <c r="AO60" s="173">
        <f t="shared" si="20"/>
        <v>116</v>
      </c>
      <c r="AP60" s="173">
        <f t="shared" si="20"/>
        <v>121</v>
      </c>
      <c r="AQ60" s="173">
        <f t="shared" si="20"/>
        <v>127</v>
      </c>
      <c r="AR60" s="173">
        <f t="shared" si="20"/>
        <v>134</v>
      </c>
      <c r="AS60" s="173">
        <f t="shared" si="20"/>
        <v>40</v>
      </c>
      <c r="AT60" s="173">
        <f t="shared" si="20"/>
        <v>204</v>
      </c>
      <c r="AU60" s="173">
        <f t="shared" si="20"/>
        <v>203</v>
      </c>
    </row>
    <row r="61" spans="2:49" x14ac:dyDescent="0.35">
      <c r="B61" s="584">
        <v>2014</v>
      </c>
      <c r="C61" s="592" t="s">
        <v>60</v>
      </c>
      <c r="D61" s="40" t="s">
        <v>504</v>
      </c>
      <c r="E61" s="40" t="s">
        <v>226</v>
      </c>
      <c r="F61" s="571" t="s">
        <v>519</v>
      </c>
      <c r="G61" s="598">
        <v>0</v>
      </c>
      <c r="H61" s="575">
        <v>12000</v>
      </c>
      <c r="I61" s="585">
        <v>24</v>
      </c>
      <c r="J61" s="44">
        <f>IF(Tabla1[[#This Row],[Number of vehicle]]="",0,(Tabla1[[#This Row],[Number of vehicle]]*Tabla1[[#This Row],[km travelled]])/Tabla1[[#This Row],[Fuel economy (km/L)]])</f>
        <v>0</v>
      </c>
      <c r="K61" s="44"/>
      <c r="L61" s="44">
        <f>Tabla1[[#This Row],[Consumption (ton)]]/1000</f>
        <v>0</v>
      </c>
      <c r="N61" s="27" t="s">
        <v>527</v>
      </c>
      <c r="O61" s="27" t="s">
        <v>507</v>
      </c>
      <c r="P61" s="572" t="s">
        <v>2</v>
      </c>
      <c r="Q61" s="30">
        <f>GETPIVOTDATA("Suma de Consumption (Gg)",$N$2,"Year",2014,"Type of Vehicle","Taxi","Fuel type","Gasoline","Technology","3 way catalyst")</f>
        <v>1.3865294235539811</v>
      </c>
      <c r="R61" s="30">
        <f>GETPIVOTDATA("Suma de Consumption (Gg)",$N$2,"Year",2015,"Type of Vehicle","Taxi","Fuel type","Gasoline","Technology","3 way catalyst")</f>
        <v>1.6052194907637733</v>
      </c>
      <c r="S61" s="30">
        <f>GETPIVOTDATA("Suma de Consumption (Gg)",$N$2,"Year",2016,"Type of Vehicle","Taxi","Fuel type","Gasoline","Technology","3 way catalyst")</f>
        <v>1.9541802496254634</v>
      </c>
      <c r="AB61" s="716"/>
      <c r="AC61" s="716"/>
      <c r="AD61" s="27" t="s">
        <v>226</v>
      </c>
      <c r="AE61" s="173">
        <f t="shared" si="21"/>
        <v>0</v>
      </c>
      <c r="AF61" s="173">
        <f t="shared" si="20"/>
        <v>0</v>
      </c>
      <c r="AG61" s="173">
        <f t="shared" si="20"/>
        <v>0</v>
      </c>
      <c r="AH61" s="173">
        <f t="shared" si="20"/>
        <v>0</v>
      </c>
      <c r="AI61" s="173">
        <f t="shared" si="20"/>
        <v>0</v>
      </c>
      <c r="AJ61" s="173">
        <f t="shared" si="20"/>
        <v>0</v>
      </c>
      <c r="AK61" s="173">
        <f t="shared" si="20"/>
        <v>0</v>
      </c>
      <c r="AL61" s="173">
        <f t="shared" si="20"/>
        <v>0</v>
      </c>
      <c r="AM61" s="173">
        <f t="shared" si="20"/>
        <v>0</v>
      </c>
      <c r="AN61" s="173">
        <f t="shared" si="20"/>
        <v>0</v>
      </c>
      <c r="AO61" s="173">
        <f t="shared" si="20"/>
        <v>0</v>
      </c>
      <c r="AP61" s="173">
        <f t="shared" si="20"/>
        <v>0</v>
      </c>
      <c r="AQ61" s="173">
        <f t="shared" si="20"/>
        <v>0</v>
      </c>
      <c r="AR61" s="173">
        <f t="shared" si="20"/>
        <v>0</v>
      </c>
      <c r="AS61" s="173">
        <f t="shared" si="20"/>
        <v>0</v>
      </c>
      <c r="AT61" s="173">
        <f t="shared" si="20"/>
        <v>0</v>
      </c>
      <c r="AU61" s="173">
        <f t="shared" si="20"/>
        <v>0</v>
      </c>
    </row>
    <row r="62" spans="2:49" x14ac:dyDescent="0.35">
      <c r="B62" s="584">
        <v>2014</v>
      </c>
      <c r="C62" s="592" t="s">
        <v>60</v>
      </c>
      <c r="D62" s="40" t="s">
        <v>504</v>
      </c>
      <c r="E62" s="40" t="s">
        <v>226</v>
      </c>
      <c r="F62" s="597" t="s">
        <v>507</v>
      </c>
      <c r="G62" s="598">
        <v>0</v>
      </c>
      <c r="H62" s="575">
        <v>12000</v>
      </c>
      <c r="I62" s="585">
        <v>24</v>
      </c>
      <c r="J62" s="44">
        <f>IF(Tabla1[[#This Row],[Number of vehicle]]="",0,(Tabla1[[#This Row],[Number of vehicle]]*Tabla1[[#This Row],[km travelled]])/Tabla1[[#This Row],[Fuel economy (km/L)]])</f>
        <v>0</v>
      </c>
      <c r="K62" s="44"/>
      <c r="L62" s="44">
        <f>Tabla1[[#This Row],[Consumption (ton)]]/1000</f>
        <v>0</v>
      </c>
      <c r="N62" s="27"/>
      <c r="O62" s="27" t="s">
        <v>505</v>
      </c>
      <c r="P62" s="572" t="s">
        <v>2</v>
      </c>
      <c r="Q62" s="30">
        <f>GETPIVOTDATA("Suma de Consumption (Gg)",$N$2,"Year",2014,"Type of Vehicle","Taxi","Fuel type","Gasoline","Technology","without 3 way catalyst")</f>
        <v>4.1554439068095981</v>
      </c>
      <c r="R62" s="30">
        <f>GETPIVOTDATA("Suma de Consumption (Gg)",$N$2,"Year",2015,"Type of Vehicle","Taxi","Fuel type","Gasoline","Technology","without 3 way catalyst")</f>
        <v>4.7869592593801373</v>
      </c>
      <c r="S62" s="30">
        <f>GETPIVOTDATA("Suma de Consumption (Gg)",$N$2,"Year",2016,"Type of Vehicle","Taxi","Fuel type","Gasoline","Technology","without 3 way catalyst")</f>
        <v>5.8243613803918644</v>
      </c>
      <c r="AB62" s="716"/>
      <c r="AC62" s="716"/>
      <c r="AD62" s="27" t="s">
        <v>227</v>
      </c>
      <c r="AE62" s="173">
        <f t="shared" si="21"/>
        <v>0</v>
      </c>
      <c r="AF62" s="173">
        <f t="shared" si="20"/>
        <v>1</v>
      </c>
      <c r="AG62" s="173">
        <f t="shared" si="20"/>
        <v>1</v>
      </c>
      <c r="AH62" s="173">
        <f t="shared" si="20"/>
        <v>1</v>
      </c>
      <c r="AI62" s="173">
        <f t="shared" si="20"/>
        <v>1</v>
      </c>
      <c r="AJ62" s="173">
        <f t="shared" si="20"/>
        <v>1</v>
      </c>
      <c r="AK62" s="173">
        <f t="shared" si="20"/>
        <v>1</v>
      </c>
      <c r="AL62" s="173">
        <f t="shared" si="20"/>
        <v>1</v>
      </c>
      <c r="AM62" s="173">
        <f t="shared" si="20"/>
        <v>1</v>
      </c>
      <c r="AN62" s="173">
        <f t="shared" si="20"/>
        <v>1</v>
      </c>
      <c r="AO62" s="173">
        <f t="shared" si="20"/>
        <v>1</v>
      </c>
      <c r="AP62" s="173">
        <f t="shared" si="20"/>
        <v>1</v>
      </c>
      <c r="AQ62" s="173">
        <f t="shared" si="20"/>
        <v>1</v>
      </c>
      <c r="AR62" s="173">
        <f t="shared" si="20"/>
        <v>1</v>
      </c>
      <c r="AS62" s="173">
        <f t="shared" si="20"/>
        <v>0</v>
      </c>
      <c r="AT62" s="173">
        <f t="shared" si="20"/>
        <v>1</v>
      </c>
      <c r="AU62" s="173">
        <f t="shared" si="20"/>
        <v>2</v>
      </c>
    </row>
    <row r="63" spans="2:49" x14ac:dyDescent="0.35">
      <c r="B63" s="584">
        <v>2014</v>
      </c>
      <c r="C63" s="592" t="s">
        <v>60</v>
      </c>
      <c r="D63" s="40" t="s">
        <v>504</v>
      </c>
      <c r="E63" s="40" t="s">
        <v>226</v>
      </c>
      <c r="F63" s="571" t="s">
        <v>519</v>
      </c>
      <c r="G63" s="598">
        <v>0</v>
      </c>
      <c r="H63" s="575">
        <v>12000</v>
      </c>
      <c r="I63" s="585">
        <v>24</v>
      </c>
      <c r="J63" s="44">
        <f>IF(Tabla1[[#This Row],[Number of vehicle]]="",0,(Tabla1[[#This Row],[Number of vehicle]]*Tabla1[[#This Row],[km travelled]])/Tabla1[[#This Row],[Fuel economy (km/L)]])</f>
        <v>0</v>
      </c>
      <c r="K63" s="44"/>
      <c r="L63" s="44">
        <f>Tabla1[[#This Row],[Consumption (ton)]]/1000</f>
        <v>0</v>
      </c>
      <c r="N63" s="27" t="s">
        <v>528</v>
      </c>
      <c r="O63" s="27" t="s">
        <v>507</v>
      </c>
      <c r="P63" s="572" t="s">
        <v>2</v>
      </c>
      <c r="Q63" s="30">
        <f>GETPIVOTDATA("Suma de Consumption (Gg)",$N$2,"Year",2014,"Type of Vehicle","Taxi","Fuel type","Diesel","Technology","3 way catalyst")</f>
        <v>0.53345413117085716</v>
      </c>
      <c r="R63" s="30">
        <f>GETPIVOTDATA("Suma de Consumption (Gg)",$N$2,"Year",2015,"Type of Vehicle","Taxi","Fuel type","Diesel","Technology","3 way catalyst")</f>
        <v>0.532565684488016</v>
      </c>
      <c r="S63" s="30">
        <f>GETPIVOTDATA("Suma de Consumption (Gg)",$N$2,"Year",2016,"Type of Vehicle","Taxi","Fuel type","Diesel","Technology","3 way catalyst")</f>
        <v>0.532565684488016</v>
      </c>
      <c r="AB63" s="722" t="s">
        <v>266</v>
      </c>
      <c r="AC63" s="722"/>
      <c r="AD63" s="27" t="s">
        <v>136</v>
      </c>
      <c r="AE63" s="173">
        <f t="shared" si="21"/>
        <v>106008</v>
      </c>
      <c r="AF63" s="173">
        <f t="shared" si="20"/>
        <v>110641</v>
      </c>
      <c r="AG63" s="173">
        <f t="shared" si="20"/>
        <v>115390</v>
      </c>
      <c r="AH63" s="173">
        <f t="shared" si="20"/>
        <v>120089</v>
      </c>
      <c r="AI63" s="173">
        <f t="shared" si="20"/>
        <v>126795</v>
      </c>
      <c r="AJ63" s="173">
        <f t="shared" si="20"/>
        <v>132956</v>
      </c>
      <c r="AK63" s="173">
        <f t="shared" si="20"/>
        <v>139162</v>
      </c>
      <c r="AL63" s="173">
        <f t="shared" si="20"/>
        <v>145612</v>
      </c>
      <c r="AM63" s="173">
        <f t="shared" si="20"/>
        <v>153152</v>
      </c>
      <c r="AN63" s="173">
        <f t="shared" si="20"/>
        <v>159708</v>
      </c>
      <c r="AO63" s="173">
        <f t="shared" si="20"/>
        <v>167346</v>
      </c>
      <c r="AP63" s="173">
        <f t="shared" si="20"/>
        <v>174720</v>
      </c>
      <c r="AQ63" s="173">
        <f t="shared" si="20"/>
        <v>183989</v>
      </c>
      <c r="AR63" s="173">
        <f t="shared" si="20"/>
        <v>193537</v>
      </c>
      <c r="AS63" s="173">
        <f t="shared" si="20"/>
        <v>203047</v>
      </c>
      <c r="AT63" s="173">
        <f t="shared" si="20"/>
        <v>218103</v>
      </c>
      <c r="AU63" s="173">
        <f t="shared" si="20"/>
        <v>218794</v>
      </c>
    </row>
    <row r="64" spans="2:49" x14ac:dyDescent="0.35">
      <c r="B64" s="584">
        <v>2014</v>
      </c>
      <c r="C64" s="592" t="s">
        <v>60</v>
      </c>
      <c r="D64" s="40" t="s">
        <v>504</v>
      </c>
      <c r="E64" s="40" t="s">
        <v>226</v>
      </c>
      <c r="F64" s="597" t="s">
        <v>507</v>
      </c>
      <c r="G64" s="598">
        <v>0</v>
      </c>
      <c r="H64" s="575">
        <v>12000</v>
      </c>
      <c r="I64" s="585">
        <v>24</v>
      </c>
      <c r="J64" s="44">
        <f>IF(Tabla1[[#This Row],[Number of vehicle]]="",0,(Tabla1[[#This Row],[Number of vehicle]]*Tabla1[[#This Row],[km travelled]])/Tabla1[[#This Row],[Fuel economy (km/L)]])</f>
        <v>0</v>
      </c>
      <c r="K64" s="44"/>
      <c r="L64" s="44">
        <f>Tabla1[[#This Row],[Consumption (ton)]]/1000</f>
        <v>0</v>
      </c>
      <c r="N64" s="27"/>
      <c r="O64" s="27" t="s">
        <v>505</v>
      </c>
      <c r="P64" s="572" t="s">
        <v>2</v>
      </c>
      <c r="Q64" s="30">
        <f>GETPIVOTDATA("Suma de Consumption (Gg)",$N$2,"Year",2014,"Type of Vehicle","Taxi","Fuel type","Diesel","Technology","without 3 way catalyst")</f>
        <v>3.6686414498676445</v>
      </c>
      <c r="R64" s="30">
        <f>GETPIVOTDATA("Suma de Consumption (Gg)",$N$2,"Year",2015,"Type of Vehicle","Taxi","Fuel type","Diesel","Technology","without 3 way catalyst")</f>
        <v>3.6339250228596054</v>
      </c>
      <c r="S64" s="30">
        <f>GETPIVOTDATA("Suma de Consumption (Gg)",$N$2,"Year",2016,"Type of Vehicle","Taxi","Fuel type","Diesel","Technology","without 3 way catalyst")</f>
        <v>3.6339250228596054</v>
      </c>
      <c r="AB64" s="716" t="s">
        <v>225</v>
      </c>
      <c r="AC64" s="716" t="s">
        <v>507</v>
      </c>
      <c r="AD64" s="27" t="s">
        <v>136</v>
      </c>
      <c r="AE64" s="173">
        <f t="shared" si="21"/>
        <v>352</v>
      </c>
      <c r="AF64" s="173">
        <f t="shared" si="20"/>
        <v>367</v>
      </c>
      <c r="AG64" s="173">
        <f t="shared" si="20"/>
        <v>383</v>
      </c>
      <c r="AH64" s="173">
        <f t="shared" si="20"/>
        <v>398</v>
      </c>
      <c r="AI64" s="173">
        <f t="shared" si="20"/>
        <v>420</v>
      </c>
      <c r="AJ64" s="173">
        <f t="shared" si="20"/>
        <v>440</v>
      </c>
      <c r="AK64" s="173">
        <f t="shared" si="20"/>
        <v>460</v>
      </c>
      <c r="AL64" s="173">
        <f t="shared" si="20"/>
        <v>481</v>
      </c>
      <c r="AM64" s="173">
        <f t="shared" si="20"/>
        <v>507</v>
      </c>
      <c r="AN64" s="173">
        <f t="shared" si="20"/>
        <v>528</v>
      </c>
      <c r="AO64" s="173">
        <f t="shared" si="20"/>
        <v>553</v>
      </c>
      <c r="AP64" s="173">
        <f t="shared" si="20"/>
        <v>577</v>
      </c>
      <c r="AQ64" s="173">
        <f t="shared" si="20"/>
        <v>608</v>
      </c>
      <c r="AR64" s="173">
        <f t="shared" si="20"/>
        <v>639</v>
      </c>
      <c r="AS64" s="173">
        <f t="shared" si="20"/>
        <v>665</v>
      </c>
      <c r="AT64" s="173">
        <f t="shared" si="20"/>
        <v>698</v>
      </c>
      <c r="AU64" s="173">
        <f t="shared" si="20"/>
        <v>744</v>
      </c>
    </row>
    <row r="65" spans="2:47" x14ac:dyDescent="0.35">
      <c r="B65" s="584">
        <v>2014</v>
      </c>
      <c r="C65" s="592" t="s">
        <v>60</v>
      </c>
      <c r="D65" s="40" t="s">
        <v>504</v>
      </c>
      <c r="E65" s="40" t="s">
        <v>226</v>
      </c>
      <c r="F65" s="571" t="s">
        <v>519</v>
      </c>
      <c r="G65" s="598">
        <v>0</v>
      </c>
      <c r="H65" s="575">
        <v>12000</v>
      </c>
      <c r="I65" s="585">
        <v>24</v>
      </c>
      <c r="J65" s="44">
        <f>IF(Tabla1[[#This Row],[Number of vehicle]]="",0,(Tabla1[[#This Row],[Number of vehicle]]*Tabla1[[#This Row],[km travelled]])/Tabla1[[#This Row],[Fuel economy (km/L)]])</f>
        <v>0</v>
      </c>
      <c r="K65" s="44"/>
      <c r="L65" s="44">
        <f>Tabla1[[#This Row],[Consumption (ton)]]/1000</f>
        <v>0</v>
      </c>
      <c r="N65" s="27" t="s">
        <v>294</v>
      </c>
      <c r="O65" s="27"/>
      <c r="P65" s="572" t="s">
        <v>2</v>
      </c>
      <c r="Q65" s="30">
        <f>GETPIVOTDATA("Suma de Consumption (Gg)",$N$2,"Year",2014,"Type of Vehicle","Motorcycle","Fuel type","Gasoline","Technology",)</f>
        <v>15.133921965317917</v>
      </c>
      <c r="R65" s="30">
        <f>GETPIVOTDATA("Suma de Consumption (Gg)",$N$2,"Year",2015,"Type of Vehicle","Motorcycle","Fuel type","Gasoline","Technology",)</f>
        <v>20.344677745664736</v>
      </c>
      <c r="S65" s="30">
        <f>GETPIVOTDATA("Suma de Consumption (Gg)",$N$2,"Year",2016,"Type of Vehicle","Motorcycle","Fuel type","Gasoline","Technology",)</f>
        <v>22.532797687861272</v>
      </c>
      <c r="AB65" s="716"/>
      <c r="AC65" s="716"/>
      <c r="AD65" s="27" t="s">
        <v>41</v>
      </c>
      <c r="AE65" s="173">
        <f t="shared" si="21"/>
        <v>6415</v>
      </c>
      <c r="AF65" s="173">
        <f t="shared" si="20"/>
        <v>6695</v>
      </c>
      <c r="AG65" s="173">
        <f t="shared" si="20"/>
        <v>6984</v>
      </c>
      <c r="AH65" s="173">
        <f t="shared" si="20"/>
        <v>7268</v>
      </c>
      <c r="AI65" s="173">
        <f t="shared" si="20"/>
        <v>7675</v>
      </c>
      <c r="AJ65" s="173">
        <f t="shared" si="20"/>
        <v>8049</v>
      </c>
      <c r="AK65" s="173">
        <f t="shared" si="20"/>
        <v>8425</v>
      </c>
      <c r="AL65" s="173">
        <f t="shared" si="20"/>
        <v>8816</v>
      </c>
      <c r="AM65" s="173">
        <f t="shared" si="20"/>
        <v>9272</v>
      </c>
      <c r="AN65" s="173">
        <f t="shared" si="20"/>
        <v>9670</v>
      </c>
      <c r="AO65" s="173">
        <f t="shared" si="20"/>
        <v>10131</v>
      </c>
      <c r="AP65" s="173">
        <f t="shared" si="20"/>
        <v>10578</v>
      </c>
      <c r="AQ65" s="173">
        <f t="shared" si="20"/>
        <v>11140</v>
      </c>
      <c r="AR65" s="173">
        <f t="shared" si="20"/>
        <v>11719</v>
      </c>
      <c r="AS65" s="173">
        <f t="shared" si="20"/>
        <v>12006</v>
      </c>
      <c r="AT65" s="173">
        <f t="shared" si="20"/>
        <v>12266</v>
      </c>
      <c r="AU65" s="173">
        <f t="shared" si="20"/>
        <v>14575</v>
      </c>
    </row>
    <row r="66" spans="2:47" x14ac:dyDescent="0.35">
      <c r="B66" s="584">
        <v>2014</v>
      </c>
      <c r="C66" s="592" t="s">
        <v>60</v>
      </c>
      <c r="D66" s="40" t="s">
        <v>504</v>
      </c>
      <c r="E66" s="40" t="s">
        <v>226</v>
      </c>
      <c r="F66" s="597" t="s">
        <v>507</v>
      </c>
      <c r="G66" s="598">
        <v>3</v>
      </c>
      <c r="H66" s="575">
        <v>12000</v>
      </c>
      <c r="I66" s="585">
        <v>24</v>
      </c>
      <c r="J66" s="44">
        <f>IF(Tabla1[[#This Row],[Number of vehicle]]="",0,(Tabla1[[#This Row],[Number of vehicle]]*Tabla1[[#This Row],[km travelled]])/Tabla1[[#This Row],[Fuel economy (km/L)]])</f>
        <v>1500</v>
      </c>
      <c r="K66" s="44"/>
      <c r="L66" s="44">
        <f>Tabla1[[#This Row],[Consumption (ton)]]/1000</f>
        <v>0</v>
      </c>
      <c r="N66" s="27" t="s">
        <v>295</v>
      </c>
      <c r="O66" s="27" t="s">
        <v>507</v>
      </c>
      <c r="P66" s="572" t="s">
        <v>2</v>
      </c>
      <c r="Q66" s="30">
        <f>GETPIVOTDATA("Suma de Consumption (Gg)",$N$2,"Year",2014,"Type of Vehicle","DPV","Fuel type","Gasoline","Technology","3 way catalyst")</f>
        <v>0.55324673338593799</v>
      </c>
      <c r="R66" s="30">
        <f>GETPIVOTDATA("Suma de Consumption (Gg)",$N$2,"Year",2015,"Type of Vehicle","DPV","Fuel type","Gasoline","Technology","3 way catalyst")</f>
        <v>0.81752383619870483</v>
      </c>
      <c r="S66" s="30">
        <f>GETPIVOTDATA("Suma de Consumption (Gg)",$N$2,"Year",2016,"Type of Vehicle","DPV","Fuel type","Gasoline","Technology","3 way catalyst")</f>
        <v>0.90086336829762481</v>
      </c>
      <c r="AB66" s="716"/>
      <c r="AC66" s="716"/>
      <c r="AD66" s="27" t="s">
        <v>117</v>
      </c>
      <c r="AE66" s="173">
        <f t="shared" si="21"/>
        <v>3</v>
      </c>
      <c r="AF66" s="173">
        <f t="shared" si="20"/>
        <v>3</v>
      </c>
      <c r="AG66" s="173">
        <f t="shared" si="20"/>
        <v>4</v>
      </c>
      <c r="AH66" s="173">
        <f t="shared" si="20"/>
        <v>4</v>
      </c>
      <c r="AI66" s="173">
        <f t="shared" si="20"/>
        <v>4</v>
      </c>
      <c r="AJ66" s="173">
        <f t="shared" si="20"/>
        <v>4</v>
      </c>
      <c r="AK66" s="173">
        <f t="shared" si="20"/>
        <v>4</v>
      </c>
      <c r="AL66" s="173">
        <f t="shared" si="20"/>
        <v>4</v>
      </c>
      <c r="AM66" s="173">
        <f t="shared" si="20"/>
        <v>4</v>
      </c>
      <c r="AN66" s="173">
        <f t="shared" si="20"/>
        <v>5</v>
      </c>
      <c r="AO66" s="173">
        <f t="shared" si="20"/>
        <v>5</v>
      </c>
      <c r="AP66" s="173">
        <f t="shared" si="20"/>
        <v>5</v>
      </c>
      <c r="AQ66" s="173">
        <f t="shared" si="20"/>
        <v>5</v>
      </c>
      <c r="AR66" s="173">
        <f t="shared" si="20"/>
        <v>5</v>
      </c>
      <c r="AS66" s="173">
        <f t="shared" si="20"/>
        <v>5</v>
      </c>
      <c r="AT66" s="173">
        <f t="shared" si="20"/>
        <v>6</v>
      </c>
      <c r="AU66" s="173">
        <f t="shared" si="20"/>
        <v>8</v>
      </c>
    </row>
    <row r="67" spans="2:47" x14ac:dyDescent="0.35">
      <c r="B67" s="584">
        <v>2014</v>
      </c>
      <c r="C67" s="592" t="s">
        <v>60</v>
      </c>
      <c r="D67" s="40" t="s">
        <v>504</v>
      </c>
      <c r="E67" s="40" t="s">
        <v>226</v>
      </c>
      <c r="F67" s="571" t="s">
        <v>519</v>
      </c>
      <c r="G67" s="598">
        <v>0</v>
      </c>
      <c r="H67" s="575">
        <v>12000</v>
      </c>
      <c r="I67" s="585">
        <v>24</v>
      </c>
      <c r="J67" s="44">
        <f>IF(Tabla1[[#This Row],[Number of vehicle]]="",0,(Tabla1[[#This Row],[Number of vehicle]]*Tabla1[[#This Row],[km travelled]])/Tabla1[[#This Row],[Fuel economy (km/L)]])</f>
        <v>0</v>
      </c>
      <c r="K67" s="44"/>
      <c r="L67" s="44">
        <f>Tabla1[[#This Row],[Consumption (ton)]]/1000</f>
        <v>0</v>
      </c>
      <c r="N67" s="27"/>
      <c r="O67" s="27" t="s">
        <v>505</v>
      </c>
      <c r="P67" s="572" t="s">
        <v>2</v>
      </c>
      <c r="Q67" s="30">
        <f>GETPIVOTDATA("Suma de Consumption (Gg)",$N$2,"Year",2014,"Type of Vehicle","DPV","Fuel type","Gasoline","Technology","without 3 way catalyst")</f>
        <v>4.0378729621673015</v>
      </c>
      <c r="R67" s="30">
        <f>GETPIVOTDATA("Suma de Consumption (Gg)",$N$2,"Year",2015,"Type of Vehicle","DPV","Fuel type","Gasoline","Technology","without 3 way catalyst")</f>
        <v>5.5208923035603545</v>
      </c>
      <c r="S67" s="30">
        <f>GETPIVOTDATA("Suma de Consumption (Gg)",$N$2,"Year",2016,"Type of Vehicle","DPV","Fuel type","Gasoline","Technology","without 3 way catalyst")</f>
        <v>5.471742575789202</v>
      </c>
      <c r="AB67" s="716"/>
      <c r="AC67" s="716" t="s">
        <v>505</v>
      </c>
      <c r="AD67" s="27" t="s">
        <v>136</v>
      </c>
      <c r="AE67" s="173">
        <f t="shared" si="21"/>
        <v>2847</v>
      </c>
      <c r="AF67" s="173">
        <f t="shared" si="20"/>
        <v>2969</v>
      </c>
      <c r="AG67" s="173">
        <f t="shared" si="20"/>
        <v>3093</v>
      </c>
      <c r="AH67" s="173">
        <f t="shared" si="20"/>
        <v>3216</v>
      </c>
      <c r="AI67" s="173">
        <f t="shared" si="20"/>
        <v>3393</v>
      </c>
      <c r="AJ67" s="173">
        <f t="shared" si="20"/>
        <v>3556</v>
      </c>
      <c r="AK67" s="173">
        <f t="shared" si="20"/>
        <v>3718</v>
      </c>
      <c r="AL67" s="173">
        <f t="shared" si="20"/>
        <v>3889</v>
      </c>
      <c r="AM67" s="173">
        <f t="shared" si="20"/>
        <v>4090</v>
      </c>
      <c r="AN67" s="173">
        <f t="shared" si="20"/>
        <v>4267</v>
      </c>
      <c r="AO67" s="173">
        <f t="shared" si="20"/>
        <v>4471</v>
      </c>
      <c r="AP67" s="173">
        <f t="shared" si="20"/>
        <v>4667</v>
      </c>
      <c r="AQ67" s="173">
        <f t="shared" si="20"/>
        <v>4911</v>
      </c>
      <c r="AR67" s="173">
        <f t="shared" si="20"/>
        <v>5163</v>
      </c>
      <c r="AS67" s="173">
        <f t="shared" si="20"/>
        <v>5850</v>
      </c>
      <c r="AT67" s="173">
        <f t="shared" si="20"/>
        <v>5670</v>
      </c>
      <c r="AU67" s="173">
        <f t="shared" si="20"/>
        <v>5427</v>
      </c>
    </row>
    <row r="68" spans="2:47" x14ac:dyDescent="0.35">
      <c r="B68" s="584">
        <v>2014</v>
      </c>
      <c r="C68" s="592" t="s">
        <v>60</v>
      </c>
      <c r="D68" s="40" t="s">
        <v>504</v>
      </c>
      <c r="E68" s="40" t="s">
        <v>226</v>
      </c>
      <c r="F68" s="597" t="s">
        <v>507</v>
      </c>
      <c r="G68" s="598">
        <v>0</v>
      </c>
      <c r="H68" s="575">
        <v>12000</v>
      </c>
      <c r="I68" s="585">
        <v>24</v>
      </c>
      <c r="J68" s="44">
        <f>IF(Tabla1[[#This Row],[Number of vehicle]]="",0,(Tabla1[[#This Row],[Number of vehicle]]*Tabla1[[#This Row],[km travelled]])/Tabla1[[#This Row],[Fuel economy (km/L)]])</f>
        <v>0</v>
      </c>
      <c r="K68" s="44"/>
      <c r="L68" s="44">
        <f>Tabla1[[#This Row],[Consumption (ton)]]/1000</f>
        <v>0</v>
      </c>
      <c r="N68" s="27" t="s">
        <v>296</v>
      </c>
      <c r="O68" s="27" t="s">
        <v>507</v>
      </c>
      <c r="P68" s="572" t="s">
        <v>2</v>
      </c>
      <c r="Q68" s="30">
        <f>GETPIVOTDATA("Suma de Consumption (Gg)",$N$2,"Year",2014,"Type of Vehicle","DPV","Fuel type","Diesel","Technology","3 way catalyst")</f>
        <v>12.421925214027503</v>
      </c>
      <c r="R68" s="30">
        <f>GETPIVOTDATA("Suma de Consumption (Gg)",$N$2,"Year",2015,"Type of Vehicle","DPV","Fuel type","Diesel","Technology","3 way catalyst")</f>
        <v>12.703810819068597</v>
      </c>
      <c r="S68" s="30">
        <f>GETPIVOTDATA("Suma de Consumption (Gg)",$N$2,"Year",2016,"Type of Vehicle","DPV","Fuel type","Diesel","Technology","3 way catalyst")</f>
        <v>15.111663175941688</v>
      </c>
      <c r="AB68" s="716"/>
      <c r="AC68" s="716"/>
      <c r="AD68" s="27" t="s">
        <v>41</v>
      </c>
      <c r="AE68" s="173">
        <f t="shared" si="21"/>
        <v>10223</v>
      </c>
      <c r="AF68" s="173">
        <f t="shared" si="20"/>
        <v>10672</v>
      </c>
      <c r="AG68" s="173">
        <f t="shared" si="20"/>
        <v>11133</v>
      </c>
      <c r="AH68" s="173">
        <f t="shared" si="20"/>
        <v>11588</v>
      </c>
      <c r="AI68" s="173">
        <f t="shared" si="20"/>
        <v>12237</v>
      </c>
      <c r="AJ68" s="173">
        <f t="shared" si="20"/>
        <v>12834</v>
      </c>
      <c r="AK68" s="173">
        <f t="shared" si="20"/>
        <v>13436</v>
      </c>
      <c r="AL68" s="173">
        <f t="shared" si="20"/>
        <v>14059</v>
      </c>
      <c r="AM68" s="173">
        <f t="shared" si="20"/>
        <v>14787</v>
      </c>
      <c r="AN68" s="173">
        <f t="shared" si="20"/>
        <v>15420</v>
      </c>
      <c r="AO68" s="173">
        <f t="shared" si="20"/>
        <v>16157</v>
      </c>
      <c r="AP68" s="173">
        <f t="shared" si="20"/>
        <v>16870</v>
      </c>
      <c r="AQ68" s="173">
        <f t="shared" si="20"/>
        <v>17767</v>
      </c>
      <c r="AR68" s="173">
        <f t="shared" si="20"/>
        <v>18692</v>
      </c>
      <c r="AS68" s="173">
        <f t="shared" si="20"/>
        <v>20725</v>
      </c>
      <c r="AT68" s="173">
        <f t="shared" si="20"/>
        <v>20526</v>
      </c>
      <c r="AU68" s="173">
        <f t="shared" si="20"/>
        <v>20547</v>
      </c>
    </row>
    <row r="69" spans="2:47" x14ac:dyDescent="0.35">
      <c r="B69" s="584">
        <v>2014</v>
      </c>
      <c r="C69" s="592" t="s">
        <v>59</v>
      </c>
      <c r="D69" s="40" t="s">
        <v>504</v>
      </c>
      <c r="E69" s="40" t="s">
        <v>117</v>
      </c>
      <c r="F69" s="578" t="s">
        <v>505</v>
      </c>
      <c r="G69" s="577">
        <v>6</v>
      </c>
      <c r="H69" s="575">
        <v>11000</v>
      </c>
      <c r="I69" s="585">
        <v>13.7</v>
      </c>
      <c r="J69" s="44">
        <f>IF(Tabla1[[#This Row],[Number of vehicle]]="",0,(Tabla1[[#This Row],[Number of vehicle]]*Tabla1[[#This Row],[km travelled]])/Tabla1[[#This Row],[Fuel economy (km/L)]])</f>
        <v>4817.5182481751826</v>
      </c>
      <c r="K69" s="44">
        <f>Tabla1[[#This Row],[Consumption (L)]]/$F$456</f>
        <v>2.7233003098785655</v>
      </c>
      <c r="L69" s="44">
        <f>Tabla1[[#This Row],[Consumption (ton)]]/1000</f>
        <v>2.7233003098785656E-3</v>
      </c>
      <c r="N69" s="27"/>
      <c r="O69" s="27" t="s">
        <v>505</v>
      </c>
      <c r="P69" s="572" t="s">
        <v>2</v>
      </c>
      <c r="Q69" s="30">
        <f>GETPIVOTDATA("Suma de Consumption (Gg)",$N$2,"Year",2014,"Type of Vehicle","DPV","Fuel type","Diesel","Technology","without 3 way catalyst")</f>
        <v>21.378544426813896</v>
      </c>
      <c r="R69" s="30">
        <f>GETPIVOTDATA("Suma de Consumption (Gg)",$N$2,"Year",2015,"Type of Vehicle","DPV","Fuel type","Diesel","Technology","without 3 way catalyst")</f>
        <v>21.17790038316036</v>
      </c>
      <c r="S69" s="30">
        <f>GETPIVOTDATA("Suma de Consumption (Gg)",$N$2,"Year",2016,"Type of Vehicle","DPV","Fuel type","Diesel","Technology","without 3 way catalyst")</f>
        <v>21.205162573688842</v>
      </c>
      <c r="AB69" s="716"/>
      <c r="AC69" s="716"/>
      <c r="AD69" s="27" t="s">
        <v>117</v>
      </c>
      <c r="AE69" s="173">
        <f t="shared" si="21"/>
        <v>7</v>
      </c>
      <c r="AF69" s="173">
        <f t="shared" ref="AF69:AU73" si="22">AF21+AF45</f>
        <v>7</v>
      </c>
      <c r="AG69" s="173">
        <f t="shared" si="22"/>
        <v>7</v>
      </c>
      <c r="AH69" s="173">
        <f t="shared" si="22"/>
        <v>7</v>
      </c>
      <c r="AI69" s="173">
        <f t="shared" si="22"/>
        <v>8</v>
      </c>
      <c r="AJ69" s="173">
        <f t="shared" si="22"/>
        <v>8</v>
      </c>
      <c r="AK69" s="173">
        <f t="shared" si="22"/>
        <v>9</v>
      </c>
      <c r="AL69" s="173">
        <f t="shared" si="22"/>
        <v>9</v>
      </c>
      <c r="AM69" s="173">
        <f t="shared" si="22"/>
        <v>10</v>
      </c>
      <c r="AN69" s="173">
        <f t="shared" si="22"/>
        <v>10</v>
      </c>
      <c r="AO69" s="173">
        <f t="shared" si="22"/>
        <v>10</v>
      </c>
      <c r="AP69" s="173">
        <f t="shared" si="22"/>
        <v>11</v>
      </c>
      <c r="AQ69" s="173">
        <f t="shared" si="22"/>
        <v>12</v>
      </c>
      <c r="AR69" s="173">
        <f t="shared" si="22"/>
        <v>13</v>
      </c>
      <c r="AS69" s="173">
        <f t="shared" si="22"/>
        <v>14</v>
      </c>
      <c r="AT69" s="173">
        <f t="shared" si="22"/>
        <v>15</v>
      </c>
      <c r="AU69" s="173">
        <f t="shared" si="22"/>
        <v>14</v>
      </c>
    </row>
    <row r="70" spans="2:47" x14ac:dyDescent="0.35">
      <c r="B70" s="584">
        <v>2014</v>
      </c>
      <c r="C70" s="592" t="s">
        <v>59</v>
      </c>
      <c r="D70" s="40" t="s">
        <v>504</v>
      </c>
      <c r="E70" s="40" t="s">
        <v>117</v>
      </c>
      <c r="F70" s="578" t="s">
        <v>507</v>
      </c>
      <c r="G70" s="577">
        <v>1</v>
      </c>
      <c r="H70" s="575">
        <v>11000</v>
      </c>
      <c r="I70" s="585">
        <v>13.7</v>
      </c>
      <c r="J70" s="44">
        <f>IF(Tabla1[[#This Row],[Number of vehicle]]="",0,(Tabla1[[#This Row],[Number of vehicle]]*Tabla1[[#This Row],[km travelled]])/Tabla1[[#This Row],[Fuel economy (km/L)]])</f>
        <v>802.91970802919707</v>
      </c>
      <c r="K70" s="44">
        <f>Tabla1[[#This Row],[Consumption (L)]]/$F$456</f>
        <v>0.45388338497976094</v>
      </c>
      <c r="L70" s="44">
        <f>Tabla1[[#This Row],[Consumption (ton)]]/1000</f>
        <v>4.5388338497976094E-4</v>
      </c>
      <c r="N70" s="27" t="s">
        <v>297</v>
      </c>
      <c r="O70" s="27" t="s">
        <v>507</v>
      </c>
      <c r="P70" s="572" t="s">
        <v>2</v>
      </c>
      <c r="Q70" s="30">
        <f>GETPIVOTDATA("Suma de Consumption (Gg)",$N$2,"Year",2014,"Type of Vehicle","DPV","Fuel type","LPG","Technology","3 way catalyst")</f>
        <v>3.7585351521823213E-3</v>
      </c>
      <c r="R70" s="30">
        <f>GETPIVOTDATA("Suma de Consumption (Gg)",$N$2,"Year",2015,"Type of Vehicle","DPV","Fuel type","LPG","Technology","3 way catalyst")</f>
        <v>4.8974851982981765E-3</v>
      </c>
      <c r="S70" s="30">
        <f>GETPIVOTDATA("Suma de Consumption (Gg)",$N$2,"Year",2016,"Type of Vehicle","DPV","Fuel type","LPG","Technology","3 way catalyst")</f>
        <v>6.756995477671E-3</v>
      </c>
      <c r="AB70" s="27" t="s">
        <v>532</v>
      </c>
      <c r="AC70" s="27" t="s">
        <v>507</v>
      </c>
      <c r="AD70" s="27" t="s">
        <v>41</v>
      </c>
      <c r="AE70" s="173">
        <f t="shared" si="21"/>
        <v>2157</v>
      </c>
      <c r="AF70" s="173">
        <f t="shared" si="22"/>
        <v>2249</v>
      </c>
      <c r="AG70" s="173">
        <f t="shared" si="22"/>
        <v>2344</v>
      </c>
      <c r="AH70" s="173">
        <f t="shared" si="22"/>
        <v>2436</v>
      </c>
      <c r="AI70" s="173">
        <f t="shared" si="22"/>
        <v>2571</v>
      </c>
      <c r="AJ70" s="173">
        <f t="shared" si="22"/>
        <v>2693</v>
      </c>
      <c r="AK70" s="173">
        <f t="shared" si="22"/>
        <v>2816</v>
      </c>
      <c r="AL70" s="173">
        <f t="shared" si="22"/>
        <v>2946</v>
      </c>
      <c r="AM70" s="173">
        <f t="shared" si="22"/>
        <v>3098</v>
      </c>
      <c r="AN70" s="173">
        <f t="shared" si="22"/>
        <v>3231</v>
      </c>
      <c r="AO70" s="173">
        <f t="shared" si="22"/>
        <v>3386</v>
      </c>
      <c r="AP70" s="173">
        <f t="shared" si="22"/>
        <v>3534</v>
      </c>
      <c r="AQ70" s="173">
        <f t="shared" si="22"/>
        <v>3719</v>
      </c>
      <c r="AR70" s="173">
        <f t="shared" si="22"/>
        <v>3910</v>
      </c>
      <c r="AS70" s="173">
        <f t="shared" si="22"/>
        <v>3163</v>
      </c>
      <c r="AT70" s="173">
        <f t="shared" si="22"/>
        <v>4120</v>
      </c>
      <c r="AU70" s="173">
        <f t="shared" si="22"/>
        <v>5670</v>
      </c>
    </row>
    <row r="71" spans="2:47" x14ac:dyDescent="0.35">
      <c r="B71" s="584">
        <v>2014</v>
      </c>
      <c r="C71" s="592" t="s">
        <v>59</v>
      </c>
      <c r="D71" s="40" t="s">
        <v>504</v>
      </c>
      <c r="E71" s="40" t="s">
        <v>117</v>
      </c>
      <c r="F71" s="578" t="s">
        <v>505</v>
      </c>
      <c r="G71" s="577">
        <v>19</v>
      </c>
      <c r="H71" s="575">
        <v>11000</v>
      </c>
      <c r="I71" s="585">
        <v>13.698630136986303</v>
      </c>
      <c r="J71" s="44">
        <f>IF(Tabla1[[#This Row],[Number of vehicle]]="",0,(Tabla1[[#This Row],[Number of vehicle]]*Tabla1[[#This Row],[km travelled]])/Tabla1[[#This Row],[Fuel economy (km/L)]])</f>
        <v>15256.999999999998</v>
      </c>
      <c r="K71" s="44">
        <f>Tabla1[[#This Row],[Consumption (L)]]/$F$456</f>
        <v>8.6246466930469179</v>
      </c>
      <c r="L71" s="44">
        <f>Tabla1[[#This Row],[Consumption (ton)]]/1000</f>
        <v>8.6246466930469182E-3</v>
      </c>
      <c r="N71" s="27"/>
      <c r="O71" s="27" t="s">
        <v>505</v>
      </c>
      <c r="P71" s="572" t="s">
        <v>2</v>
      </c>
      <c r="Q71" s="30">
        <f>GETPIVOTDATA("Suma de Consumption (Gg)",$N$2,"Year",2014,"Type of Vehicle","DPV","Fuel type","LPG","Technology","without 3 way catalyst")</f>
        <v>1.0276655078580043E-2</v>
      </c>
      <c r="R71" s="30">
        <f>GETPIVOTDATA("Suma de Consumption (Gg)",$N$2,"Year",2015,"Type of Vehicle","DPV","Fuel type","LPG","Technology","without 3 way catalyst")</f>
        <v>1.2300660498051234E-2</v>
      </c>
      <c r="S71" s="30">
        <f>GETPIVOTDATA("Suma de Consumption (Gg)",$N$2,"Year",2016,"Type of Vehicle","DPV","Fuel type","LPG","Technology","without 3 way catalyst")</f>
        <v>1.1726536699294875E-2</v>
      </c>
      <c r="AB71" s="27"/>
      <c r="AC71" s="27" t="s">
        <v>505</v>
      </c>
      <c r="AD71" s="27" t="s">
        <v>41</v>
      </c>
      <c r="AE71" s="173">
        <f t="shared" si="21"/>
        <v>8200</v>
      </c>
      <c r="AF71" s="173">
        <f t="shared" si="22"/>
        <v>8550</v>
      </c>
      <c r="AG71" s="173">
        <f t="shared" si="22"/>
        <v>8908</v>
      </c>
      <c r="AH71" s="173">
        <f t="shared" si="22"/>
        <v>9261</v>
      </c>
      <c r="AI71" s="173">
        <f t="shared" si="22"/>
        <v>9772</v>
      </c>
      <c r="AJ71" s="173">
        <f t="shared" si="22"/>
        <v>10237</v>
      </c>
      <c r="AK71" s="173">
        <f t="shared" si="22"/>
        <v>10704</v>
      </c>
      <c r="AL71" s="173">
        <f t="shared" si="22"/>
        <v>11197</v>
      </c>
      <c r="AM71" s="173">
        <f t="shared" si="22"/>
        <v>11776</v>
      </c>
      <c r="AN71" s="173">
        <f t="shared" si="22"/>
        <v>12282</v>
      </c>
      <c r="AO71" s="173">
        <f t="shared" si="22"/>
        <v>12872</v>
      </c>
      <c r="AP71" s="173">
        <f t="shared" si="22"/>
        <v>13435</v>
      </c>
      <c r="AQ71" s="173">
        <f t="shared" si="22"/>
        <v>14139</v>
      </c>
      <c r="AR71" s="173">
        <f t="shared" si="22"/>
        <v>14861</v>
      </c>
      <c r="AS71" s="173">
        <f t="shared" si="22"/>
        <v>16596</v>
      </c>
      <c r="AT71" s="173">
        <f t="shared" si="22"/>
        <v>16237</v>
      </c>
      <c r="AU71" s="173">
        <f t="shared" si="22"/>
        <v>15960</v>
      </c>
    </row>
    <row r="72" spans="2:47" x14ac:dyDescent="0.35">
      <c r="B72" s="584">
        <v>2014</v>
      </c>
      <c r="C72" s="592" t="s">
        <v>59</v>
      </c>
      <c r="D72" s="40" t="s">
        <v>504</v>
      </c>
      <c r="E72" s="40" t="s">
        <v>117</v>
      </c>
      <c r="F72" s="578" t="s">
        <v>507</v>
      </c>
      <c r="G72" s="577">
        <v>3</v>
      </c>
      <c r="H72" s="575">
        <v>11000</v>
      </c>
      <c r="I72" s="585">
        <v>13.698630136986303</v>
      </c>
      <c r="J72" s="44">
        <f>IF(Tabla1[[#This Row],[Number of vehicle]]="",0,(Tabla1[[#This Row],[Number of vehicle]]*Tabla1[[#This Row],[km travelled]])/Tabla1[[#This Row],[Fuel economy (km/L)]])</f>
        <v>2408.9999999999995</v>
      </c>
      <c r="K72" s="44">
        <f>Tabla1[[#This Row],[Consumption (L)]]/$F$456</f>
        <v>1.3617863199547764</v>
      </c>
      <c r="L72" s="44">
        <f>Tabla1[[#This Row],[Consumption (ton)]]/1000</f>
        <v>1.3617863199547765E-3</v>
      </c>
      <c r="N72" s="27" t="s">
        <v>298</v>
      </c>
      <c r="O72" s="27" t="s">
        <v>507</v>
      </c>
      <c r="P72" s="572" t="s">
        <v>2</v>
      </c>
      <c r="Q72" s="30">
        <f>GETPIVOTDATA("Suma de Consumption (Gg)",$N$2,"Year",2014,"Type of Vehicle","Light duty trucks","Fuel type","Diesel","Technology","3 way catalyst")</f>
        <v>4.0413117546848376</v>
      </c>
      <c r="R72" s="30">
        <f>GETPIVOTDATA("Suma de Consumption (Gg)",$N$2,"Year",2015,"Type of Vehicle","Light duty trucks","Fuel type","Diesel","Technology","3 way catalyst")</f>
        <v>6.1413969335604772</v>
      </c>
      <c r="S72" s="30">
        <f>GETPIVOTDATA("Suma de Consumption (Gg)",$N$2,"Year",2016,"Type of Vehicle","Light duty trucks","Fuel type","Diesel","Technology","3 way catalyst")</f>
        <v>8.4518739352640555</v>
      </c>
      <c r="AB72" s="27" t="s">
        <v>533</v>
      </c>
      <c r="AC72" s="27"/>
      <c r="AD72" s="27" t="s">
        <v>41</v>
      </c>
      <c r="AE72" s="173">
        <f t="shared" si="21"/>
        <v>8872</v>
      </c>
      <c r="AF72" s="173">
        <f t="shared" si="22"/>
        <v>9263</v>
      </c>
      <c r="AG72" s="173">
        <f t="shared" si="22"/>
        <v>9664</v>
      </c>
      <c r="AH72" s="173">
        <f t="shared" si="22"/>
        <v>10062</v>
      </c>
      <c r="AI72" s="173">
        <f t="shared" si="22"/>
        <v>10628</v>
      </c>
      <c r="AJ72" s="173">
        <f t="shared" si="22"/>
        <v>11148</v>
      </c>
      <c r="AK72" s="173">
        <f t="shared" si="22"/>
        <v>11674</v>
      </c>
      <c r="AL72" s="173">
        <f t="shared" si="22"/>
        <v>12216</v>
      </c>
      <c r="AM72" s="173">
        <f t="shared" si="22"/>
        <v>12849</v>
      </c>
      <c r="AN72" s="173">
        <f t="shared" si="22"/>
        <v>13398</v>
      </c>
      <c r="AO72" s="173">
        <f t="shared" si="22"/>
        <v>14038</v>
      </c>
      <c r="AP72" s="173">
        <f t="shared" si="22"/>
        <v>14657</v>
      </c>
      <c r="AQ72" s="173">
        <f t="shared" si="22"/>
        <v>15440</v>
      </c>
      <c r="AR72" s="173">
        <f t="shared" si="22"/>
        <v>16245</v>
      </c>
      <c r="AS72" s="173">
        <f t="shared" si="22"/>
        <v>19405</v>
      </c>
      <c r="AT72" s="173">
        <f t="shared" si="22"/>
        <v>17468</v>
      </c>
      <c r="AU72" s="173">
        <f t="shared" si="22"/>
        <v>16788</v>
      </c>
    </row>
    <row r="73" spans="2:47" x14ac:dyDescent="0.35">
      <c r="B73" s="584">
        <v>2014</v>
      </c>
      <c r="C73" s="592" t="s">
        <v>59</v>
      </c>
      <c r="D73" s="40" t="s">
        <v>504</v>
      </c>
      <c r="E73" s="40" t="s">
        <v>117</v>
      </c>
      <c r="F73" s="578" t="s">
        <v>505</v>
      </c>
      <c r="G73" s="577">
        <v>9</v>
      </c>
      <c r="H73" s="575">
        <v>11000</v>
      </c>
      <c r="I73" s="585">
        <v>13.698630136986303</v>
      </c>
      <c r="J73" s="44">
        <f>IF(Tabla1[[#This Row],[Number of vehicle]]="",0,(Tabla1[[#This Row],[Number of vehicle]]*Tabla1[[#This Row],[km travelled]])/Tabla1[[#This Row],[Fuel economy (km/L)]])</f>
        <v>7226.9999999999991</v>
      </c>
      <c r="K73" s="44">
        <f>Tabla1[[#This Row],[Consumption (L)]]/$F$456</f>
        <v>4.0853589598643296</v>
      </c>
      <c r="L73" s="44">
        <f>Tabla1[[#This Row],[Consumption (ton)]]/1000</f>
        <v>4.0853589598643294E-3</v>
      </c>
      <c r="N73" s="27"/>
      <c r="O73" s="27" t="s">
        <v>505</v>
      </c>
      <c r="P73" s="572" t="s">
        <v>2</v>
      </c>
      <c r="Q73" s="30">
        <f>GETPIVOTDATA("Suma de Consumption (Gg)",$N$2,"Year",2014,"Type of Vehicle","Light duty trucks","Fuel type","Diesel","Technology","without 3 way catalyst")</f>
        <v>21.204429301533217</v>
      </c>
      <c r="R73" s="30">
        <f>GETPIVOTDATA("Suma de Consumption (Gg)",$N$2,"Year",2015,"Type of Vehicle","Light duty trucks","Fuel type","Diesel","Technology","without 3 way catalyst")</f>
        <v>24.203364565587734</v>
      </c>
      <c r="S73" s="30">
        <f>GETPIVOTDATA("Suma de Consumption (Gg)",$N$2,"Year",2016,"Type of Vehicle","Light duty trucks","Fuel type","Diesel","Technology","without 3 way catalyst")</f>
        <v>23.790459965928452</v>
      </c>
      <c r="AB73" s="27" t="s">
        <v>275</v>
      </c>
      <c r="AC73" s="27"/>
      <c r="AD73" s="27" t="s">
        <v>41</v>
      </c>
      <c r="AE73" s="173">
        <f t="shared" si="21"/>
        <v>1840</v>
      </c>
      <c r="AF73" s="173">
        <f t="shared" si="22"/>
        <v>1921</v>
      </c>
      <c r="AG73" s="173">
        <f t="shared" si="22"/>
        <v>2004</v>
      </c>
      <c r="AH73" s="173">
        <f t="shared" si="22"/>
        <v>2085</v>
      </c>
      <c r="AI73" s="173">
        <f t="shared" si="22"/>
        <v>2202</v>
      </c>
      <c r="AJ73" s="173">
        <f t="shared" si="22"/>
        <v>2310</v>
      </c>
      <c r="AK73" s="173">
        <f t="shared" si="22"/>
        <v>2419</v>
      </c>
      <c r="AL73" s="173">
        <f t="shared" si="22"/>
        <v>2531</v>
      </c>
      <c r="AM73" s="173">
        <f t="shared" si="22"/>
        <v>2662</v>
      </c>
      <c r="AN73" s="173">
        <f t="shared" si="22"/>
        <v>2776</v>
      </c>
      <c r="AO73" s="173">
        <f t="shared" si="22"/>
        <v>2908</v>
      </c>
      <c r="AP73" s="173">
        <f t="shared" si="22"/>
        <v>3038</v>
      </c>
      <c r="AQ73" s="173">
        <f t="shared" si="22"/>
        <v>3198</v>
      </c>
      <c r="AR73" s="173">
        <f t="shared" si="22"/>
        <v>3365</v>
      </c>
      <c r="AS73" s="173">
        <f t="shared" si="22"/>
        <v>3416</v>
      </c>
      <c r="AT73" s="173">
        <f t="shared" si="22"/>
        <v>3729</v>
      </c>
      <c r="AU73" s="173">
        <f t="shared" si="22"/>
        <v>4013</v>
      </c>
    </row>
    <row r="74" spans="2:47" x14ac:dyDescent="0.35">
      <c r="B74" s="584">
        <v>2014</v>
      </c>
      <c r="C74" s="592" t="s">
        <v>59</v>
      </c>
      <c r="D74" s="40" t="s">
        <v>504</v>
      </c>
      <c r="E74" s="40" t="s">
        <v>117</v>
      </c>
      <c r="F74" s="578" t="s">
        <v>507</v>
      </c>
      <c r="G74" s="577">
        <v>173</v>
      </c>
      <c r="H74" s="575">
        <v>11000</v>
      </c>
      <c r="I74" s="585">
        <v>13.698630136986303</v>
      </c>
      <c r="J74" s="44">
        <f>IF(Tabla1[[#This Row],[Number of vehicle]]="",0,(Tabla1[[#This Row],[Number of vehicle]]*Tabla1[[#This Row],[km travelled]])/Tabla1[[#This Row],[Fuel economy (km/L)]])</f>
        <v>138918.99999999997</v>
      </c>
      <c r="K74" s="44">
        <f>Tabla1[[#This Row],[Consumption (L)]]/$F$456</f>
        <v>78.529677784058777</v>
      </c>
      <c r="L74" s="44">
        <f>Tabla1[[#This Row],[Consumption (ton)]]/1000</f>
        <v>7.8529677784058782E-2</v>
      </c>
      <c r="N74" s="36" t="s">
        <v>299</v>
      </c>
      <c r="O74" s="27"/>
      <c r="P74" s="572" t="s">
        <v>2</v>
      </c>
      <c r="Q74" s="30">
        <f>GETPIVOTDATA("Suma de Consumption (Gg)",$N$2,"Year",2014,"Type of Vehicle","Heavy duty trucks","Fuel type","Diesel","Technology",)+GETPIVOTDATA("Suma de Consumption (Gg)",$N$2,"Year",2014,"Type of Vehicle","Medium duty","Fuel type","Diesel","Technology",)</f>
        <v>64.750563884156733</v>
      </c>
      <c r="R74" s="30">
        <f>GETPIVOTDATA("Suma de Consumption (Gg)",$N$2,"Year",2015,"Type of Vehicle","Heavy duty trucks","Fuel type","Diesel","Technology",)+GETPIVOTDATA("Suma de Consumption (Gg)",$N$2,"Year",2015,"Type of Vehicle","Medium duty","Fuel type","Diesel","Technology",)</f>
        <v>57.304226575809203</v>
      </c>
      <c r="S74" s="30">
        <f>GETPIVOTDATA("Suma de Consumption (Gg)",$N$2,"Year",2016,"Type of Vehicle","Heavy duty trucks","Fuel type","Diesel","Technology",)+GETPIVOTDATA("Suma de Consumption (Gg)",$N$2,"Year",2016,"Type of Vehicle","Medium duty","Fuel type","Diesel","Technology",)</f>
        <v>50.96248211243612</v>
      </c>
      <c r="AD74" s="622" t="s">
        <v>219</v>
      </c>
      <c r="AE74" s="173">
        <f>SUM(AE53:AE73)</f>
        <v>248693</v>
      </c>
      <c r="AF74" s="173">
        <f t="shared" ref="AF74:AU74" si="23">SUM(AF53:AF73)</f>
        <v>259472</v>
      </c>
      <c r="AG74" s="173">
        <f t="shared" si="23"/>
        <v>270516</v>
      </c>
      <c r="AH74" s="173">
        <f t="shared" si="23"/>
        <v>281417</v>
      </c>
      <c r="AI74" s="173">
        <f t="shared" si="23"/>
        <v>297061</v>
      </c>
      <c r="AJ74" s="173">
        <f t="shared" si="23"/>
        <v>311390</v>
      </c>
      <c r="AK74" s="173">
        <f t="shared" si="23"/>
        <v>325809</v>
      </c>
      <c r="AL74" s="173">
        <f t="shared" si="23"/>
        <v>340870</v>
      </c>
      <c r="AM74" s="173">
        <f t="shared" si="23"/>
        <v>358504</v>
      </c>
      <c r="AN74" s="173">
        <f t="shared" si="23"/>
        <v>373881</v>
      </c>
      <c r="AO74" s="173">
        <f t="shared" si="23"/>
        <v>391785</v>
      </c>
      <c r="AP74" s="173">
        <f t="shared" si="23"/>
        <v>409002</v>
      </c>
      <c r="AQ74" s="173">
        <f t="shared" si="23"/>
        <v>430600</v>
      </c>
      <c r="AR74" s="173">
        <f t="shared" si="23"/>
        <v>452827</v>
      </c>
      <c r="AS74" s="173">
        <f t="shared" si="23"/>
        <v>476031</v>
      </c>
      <c r="AT74" s="173">
        <f t="shared" si="23"/>
        <v>497998</v>
      </c>
      <c r="AU74" s="173">
        <f t="shared" si="23"/>
        <v>520638</v>
      </c>
    </row>
    <row r="75" spans="2:47" x14ac:dyDescent="0.35">
      <c r="B75" s="584">
        <v>2014</v>
      </c>
      <c r="C75" s="592" t="s">
        <v>59</v>
      </c>
      <c r="D75" s="40" t="s">
        <v>504</v>
      </c>
      <c r="E75" s="40" t="s">
        <v>117</v>
      </c>
      <c r="F75" s="578" t="s">
        <v>505</v>
      </c>
      <c r="G75" s="577">
        <v>6</v>
      </c>
      <c r="H75" s="575">
        <v>11000</v>
      </c>
      <c r="I75" s="585">
        <v>13.7</v>
      </c>
      <c r="J75" s="44">
        <f>IF(Tabla1[[#This Row],[Number of vehicle]]="",0,(Tabla1[[#This Row],[Number of vehicle]]*Tabla1[[#This Row],[km travelled]])/Tabla1[[#This Row],[Fuel economy (km/L)]])</f>
        <v>4817.5182481751826</v>
      </c>
      <c r="K75" s="44">
        <f>Tabla1[[#This Row],[Consumption (L)]]/$F$456</f>
        <v>2.7233003098785655</v>
      </c>
      <c r="L75" s="44">
        <f>Tabla1[[#This Row],[Consumption (ton)]]/1000</f>
        <v>2.7233003098785656E-3</v>
      </c>
      <c r="N75" s="36" t="s">
        <v>300</v>
      </c>
      <c r="O75" s="27"/>
      <c r="P75" s="572" t="s">
        <v>2</v>
      </c>
      <c r="Q75" s="30">
        <f>GETPIVOTDATA("Suma de Consumption (Gg)",$N$2,"Year",2014,"Type of Vehicle","Buses","Fuel type","Diesel","Technology",)</f>
        <v>31.421805792163546</v>
      </c>
      <c r="R75" s="30">
        <f>GETPIVOTDATA("Suma de Consumption (Gg)",$N$2,"Year",2015,"Type of Vehicle","Buses","Fuel type","Diesel","Technology",)</f>
        <v>31.99156729131175</v>
      </c>
      <c r="S75" s="30">
        <f>GETPIVOTDATA("Suma de Consumption (Gg)",$N$2,"Year",2016,"Type of Vehicle","Buses","Fuel type","Diesel","Technology",)</f>
        <v>38.341908006814307</v>
      </c>
    </row>
    <row r="76" spans="2:47" x14ac:dyDescent="0.35">
      <c r="B76" s="584">
        <v>2014</v>
      </c>
      <c r="C76" s="592" t="s">
        <v>59</v>
      </c>
      <c r="D76" s="40" t="s">
        <v>504</v>
      </c>
      <c r="E76" s="40" t="s">
        <v>117</v>
      </c>
      <c r="F76" s="578" t="s">
        <v>507</v>
      </c>
      <c r="G76" s="577">
        <v>1</v>
      </c>
      <c r="H76" s="575">
        <v>11000</v>
      </c>
      <c r="I76" s="585">
        <v>13.7</v>
      </c>
      <c r="J76" s="44">
        <f>IF(Tabla1[[#This Row],[Number of vehicle]]="",0,(Tabla1[[#This Row],[Number of vehicle]]*Tabla1[[#This Row],[km travelled]])/Tabla1[[#This Row],[Fuel economy (km/L)]])</f>
        <v>802.91970802919707</v>
      </c>
      <c r="K76" s="44">
        <f>Tabla1[[#This Row],[Consumption (L)]]/$F$456</f>
        <v>0.45388338497976094</v>
      </c>
      <c r="L76" s="44">
        <f>Tabla1[[#This Row],[Consumption (ton)]]/1000</f>
        <v>4.5388338497976094E-4</v>
      </c>
      <c r="N76" s="616" t="s">
        <v>529</v>
      </c>
      <c r="O76" s="8"/>
      <c r="P76" s="8"/>
    </row>
    <row r="77" spans="2:47" s="110" customFormat="1" x14ac:dyDescent="0.35">
      <c r="B77" s="584">
        <v>2015</v>
      </c>
      <c r="C77" s="592" t="s">
        <v>59</v>
      </c>
      <c r="D77" s="40" t="s">
        <v>504</v>
      </c>
      <c r="E77" s="40" t="s">
        <v>41</v>
      </c>
      <c r="F77" s="578" t="s">
        <v>505</v>
      </c>
      <c r="G77" s="577">
        <v>52</v>
      </c>
      <c r="H77" s="575">
        <v>12000</v>
      </c>
      <c r="I77" s="585">
        <v>15.5</v>
      </c>
      <c r="J77" s="44">
        <f>IF(Tabla1[[#This Row],[Number of vehicle]]="",0,(Tabla1[[#This Row],[Number of vehicle]]*Tabla1[[#This Row],[km travelled]])/Tabla1[[#This Row],[Fuel economy (km/L)]])</f>
        <v>40258.06451612903</v>
      </c>
      <c r="K77" s="44">
        <f>Tabla1[[#This Row],[Consumption (L)]]/$F$455</f>
        <v>34.291366708798151</v>
      </c>
      <c r="L77" s="44">
        <f>Tabla1[[#This Row],[Consumption (ton)]]/1000</f>
        <v>3.4291366708798149E-2</v>
      </c>
      <c r="N77" s="8"/>
      <c r="O77" s="8"/>
      <c r="P77" s="8"/>
    </row>
    <row r="78" spans="2:47" x14ac:dyDescent="0.35">
      <c r="B78" s="584">
        <v>2015</v>
      </c>
      <c r="C78" s="592" t="s">
        <v>59</v>
      </c>
      <c r="D78" s="40" t="s">
        <v>504</v>
      </c>
      <c r="E78" s="40" t="s">
        <v>41</v>
      </c>
      <c r="F78" s="578" t="s">
        <v>507</v>
      </c>
      <c r="G78" s="577">
        <v>2</v>
      </c>
      <c r="H78" s="575">
        <v>10000</v>
      </c>
      <c r="I78" s="585">
        <v>15.5</v>
      </c>
      <c r="J78" s="44">
        <f>IF(Tabla1[[#This Row],[Number of vehicle]]="",0,(Tabla1[[#This Row],[Number of vehicle]]*Tabla1[[#This Row],[km travelled]])/Tabla1[[#This Row],[Fuel economy (km/L)]])</f>
        <v>1290.3225806451612</v>
      </c>
      <c r="K78" s="44">
        <f>Tabla1[[#This Row],[Consumption (L)]]/$F$455</f>
        <v>1.0990822663076332</v>
      </c>
      <c r="L78" s="44">
        <f>Tabla1[[#This Row],[Consumption (ton)]]/1000</f>
        <v>1.0990822663076332E-3</v>
      </c>
    </row>
    <row r="79" spans="2:47" x14ac:dyDescent="0.35">
      <c r="B79" s="584">
        <v>2015</v>
      </c>
      <c r="C79" s="592" t="s">
        <v>59</v>
      </c>
      <c r="D79" s="40" t="s">
        <v>504</v>
      </c>
      <c r="E79" s="40" t="s">
        <v>41</v>
      </c>
      <c r="F79" s="578" t="s">
        <v>505</v>
      </c>
      <c r="G79" s="577">
        <f>376+392-100</f>
        <v>668</v>
      </c>
      <c r="H79" s="575">
        <v>10000</v>
      </c>
      <c r="I79" s="585">
        <v>15.2</v>
      </c>
      <c r="J79" s="44">
        <f>IF(Tabla1[[#This Row],[Number of vehicle]]="",0,(Tabla1[[#This Row],[Number of vehicle]]*Tabla1[[#This Row],[km travelled]])/Tabla1[[#This Row],[Fuel economy (km/L)]])</f>
        <v>439473.68421052635</v>
      </c>
      <c r="K79" s="44">
        <f>Tabla1[[#This Row],[Consumption (L)]]/$F$455</f>
        <v>374.33874293911953</v>
      </c>
      <c r="L79" s="44">
        <f>Tabla1[[#This Row],[Consumption (ton)]]/1000</f>
        <v>0.37433874293911951</v>
      </c>
    </row>
    <row r="80" spans="2:47" x14ac:dyDescent="0.35">
      <c r="B80" s="584">
        <v>2015</v>
      </c>
      <c r="C80" s="592" t="s">
        <v>59</v>
      </c>
      <c r="D80" s="40" t="s">
        <v>504</v>
      </c>
      <c r="E80" s="40" t="s">
        <v>41</v>
      </c>
      <c r="F80" s="578" t="s">
        <v>507</v>
      </c>
      <c r="G80" s="577">
        <f>115+1+53+50-7</f>
        <v>212</v>
      </c>
      <c r="H80" s="575">
        <v>10000</v>
      </c>
      <c r="I80" s="585">
        <v>15.2</v>
      </c>
      <c r="J80" s="44">
        <f>IF(Tabla1[[#This Row],[Number of vehicle]]="",0,(Tabla1[[#This Row],[Number of vehicle]]*Tabla1[[#This Row],[km travelled]])/Tabla1[[#This Row],[Fuel economy (km/L)]])</f>
        <v>139473.68421052632</v>
      </c>
      <c r="K80" s="44">
        <f>Tabla1[[#This Row],[Consumption (L)]]/$F$455</f>
        <v>118.80211602259482</v>
      </c>
      <c r="L80" s="44">
        <f>Tabla1[[#This Row],[Consumption (ton)]]/1000</f>
        <v>0.11880211602259481</v>
      </c>
    </row>
    <row r="81" spans="2:25" s="110" customFormat="1" x14ac:dyDescent="0.35">
      <c r="B81" s="584">
        <v>2015</v>
      </c>
      <c r="C81" s="592" t="s">
        <v>59</v>
      </c>
      <c r="D81" s="40" t="s">
        <v>504</v>
      </c>
      <c r="E81" s="40" t="s">
        <v>41</v>
      </c>
      <c r="F81" s="581" t="s">
        <v>505</v>
      </c>
      <c r="G81" s="577">
        <f>20+2748-530</f>
        <v>2238</v>
      </c>
      <c r="H81" s="575">
        <v>10000</v>
      </c>
      <c r="I81" s="576">
        <v>12.7</v>
      </c>
      <c r="J81" s="44">
        <f>IF(Tabla1[[#This Row],[Number of vehicle]]="",0,(Tabla1[[#This Row],[Number of vehicle]]*Tabla1[[#This Row],[km travelled]])/Tabla1[[#This Row],[Fuel economy (km/L)]])</f>
        <v>1762204.7244094489</v>
      </c>
      <c r="K81" s="44">
        <f>Tabla1[[#This Row],[Consumption (L)]]/$F$455</f>
        <v>1501.0261707065154</v>
      </c>
      <c r="L81" s="44">
        <f>Tabla1[[#This Row],[Consumption (ton)]]/1000</f>
        <v>1.5010261707065153</v>
      </c>
    </row>
    <row r="82" spans="2:25" s="110" customFormat="1" x14ac:dyDescent="0.35">
      <c r="B82" s="584">
        <v>2015</v>
      </c>
      <c r="C82" s="592" t="s">
        <v>59</v>
      </c>
      <c r="D82" s="40" t="s">
        <v>504</v>
      </c>
      <c r="E82" s="40" t="s">
        <v>41</v>
      </c>
      <c r="F82" s="581" t="s">
        <v>507</v>
      </c>
      <c r="G82" s="577">
        <f>6+1051-129</f>
        <v>928</v>
      </c>
      <c r="H82" s="575">
        <v>10000</v>
      </c>
      <c r="I82" s="576">
        <v>12.7</v>
      </c>
      <c r="J82" s="44">
        <f>IF(Tabla1[[#This Row],[Number of vehicle]]="",0,(Tabla1[[#This Row],[Number of vehicle]]*Tabla1[[#This Row],[km travelled]])/Tabla1[[#This Row],[Fuel economy (km/L)]])</f>
        <v>730708.66141732293</v>
      </c>
      <c r="K82" s="44">
        <f>Tabla1[[#This Row],[Consumption (L)]]/$F$455</f>
        <v>622.40942199090534</v>
      </c>
      <c r="L82" s="44">
        <f>Tabla1[[#This Row],[Consumption (ton)]]/1000</f>
        <v>0.62240942199090532</v>
      </c>
    </row>
    <row r="83" spans="2:25" s="110" customFormat="1" x14ac:dyDescent="0.35">
      <c r="B83" s="584">
        <v>2015</v>
      </c>
      <c r="C83" s="592" t="s">
        <v>59</v>
      </c>
      <c r="D83" s="40" t="s">
        <v>504</v>
      </c>
      <c r="E83" s="40" t="s">
        <v>41</v>
      </c>
      <c r="F83" s="581" t="s">
        <v>505</v>
      </c>
      <c r="G83" s="577">
        <f>3283+3133-1155</f>
        <v>5261</v>
      </c>
      <c r="H83" s="575">
        <v>10000</v>
      </c>
      <c r="I83" s="576">
        <v>10.6</v>
      </c>
      <c r="J83" s="44">
        <f>IF(Tabla1[[#This Row],[Number of vehicle]]="",0,(Tabla1[[#This Row],[Number of vehicle]]*Tabla1[[#This Row],[km travelled]])/Tabla1[[#This Row],[Fuel economy (km/L)]])</f>
        <v>4963207.5471698111</v>
      </c>
      <c r="K83" s="44">
        <f>Tabla1[[#This Row],[Consumption (L)]]/$F$455</f>
        <v>4227.6043843013722</v>
      </c>
      <c r="L83" s="44">
        <f>Tabla1[[#This Row],[Consumption (ton)]]/1000</f>
        <v>4.2276043843013724</v>
      </c>
      <c r="N83" s="591" t="s">
        <v>518</v>
      </c>
      <c r="O83" s="110" t="s">
        <v>59</v>
      </c>
      <c r="T83" s="591" t="s">
        <v>518</v>
      </c>
      <c r="U83" s="110" t="s">
        <v>60</v>
      </c>
    </row>
    <row r="84" spans="2:25" x14ac:dyDescent="0.35">
      <c r="B84" s="584">
        <v>2015</v>
      </c>
      <c r="C84" s="592" t="s">
        <v>59</v>
      </c>
      <c r="D84" s="40" t="s">
        <v>504</v>
      </c>
      <c r="E84" s="40" t="s">
        <v>41</v>
      </c>
      <c r="F84" s="578" t="s">
        <v>507</v>
      </c>
      <c r="G84" s="577">
        <f>4085+1107-130-82</f>
        <v>4980</v>
      </c>
      <c r="H84" s="575">
        <v>10000</v>
      </c>
      <c r="I84" s="585">
        <v>10.6</v>
      </c>
      <c r="J84" s="44">
        <f>IF(Tabla1[[#This Row],[Number of vehicle]]="",0,(Tabla1[[#This Row],[Number of vehicle]]*Tabla1[[#This Row],[km travelled]])/Tabla1[[#This Row],[Fuel economy (km/L)]])</f>
        <v>4698113.2075471701</v>
      </c>
      <c r="K84" s="44">
        <f>Tabla1[[#This Row],[Consumption (L)]]/$F$455</f>
        <v>4001.8000064285948</v>
      </c>
      <c r="L84" s="44">
        <f>Tabla1[[#This Row],[Consumption (ton)]]/1000</f>
        <v>4.0018000064285948</v>
      </c>
    </row>
    <row r="85" spans="2:25" x14ac:dyDescent="0.35">
      <c r="B85" s="584">
        <v>2015</v>
      </c>
      <c r="C85" s="592" t="s">
        <v>60</v>
      </c>
      <c r="D85" s="40" t="s">
        <v>504</v>
      </c>
      <c r="E85" s="40" t="s">
        <v>41</v>
      </c>
      <c r="F85" s="571" t="s">
        <v>519</v>
      </c>
      <c r="G85" s="173">
        <v>11</v>
      </c>
      <c r="H85" s="575">
        <v>13500</v>
      </c>
      <c r="I85" s="585">
        <v>15.2</v>
      </c>
      <c r="J85" s="44">
        <f>IF(Tabla1[[#This Row],[Number of vehicle]]="",0,(Tabla1[[#This Row],[Number of vehicle]]*Tabla1[[#This Row],[km travelled]])/Tabla1[[#This Row],[Fuel economy (km/L)]])</f>
        <v>9769.7368421052633</v>
      </c>
      <c r="K85" s="44">
        <f>Tabla1[[#This Row],[Consumption (L)]]/$F$455</f>
        <v>8.3217519949789303</v>
      </c>
      <c r="L85" s="44">
        <f>Tabla1[[#This Row],[Consumption (ton)]]/1000</f>
        <v>8.3217519949789296E-3</v>
      </c>
      <c r="N85" s="591" t="s">
        <v>516</v>
      </c>
      <c r="O85" s="591" t="s">
        <v>512</v>
      </c>
      <c r="T85" s="591" t="s">
        <v>516</v>
      </c>
      <c r="U85" s="591" t="s">
        <v>512</v>
      </c>
      <c r="V85"/>
      <c r="W85"/>
      <c r="X85"/>
    </row>
    <row r="86" spans="2:25" x14ac:dyDescent="0.35">
      <c r="B86" s="584">
        <v>2015</v>
      </c>
      <c r="C86" s="592" t="s">
        <v>60</v>
      </c>
      <c r="D86" s="40" t="s">
        <v>504</v>
      </c>
      <c r="E86" s="40" t="s">
        <v>41</v>
      </c>
      <c r="F86" s="597" t="s">
        <v>507</v>
      </c>
      <c r="G86" s="173">
        <v>3</v>
      </c>
      <c r="H86" s="575">
        <v>13500</v>
      </c>
      <c r="I86" s="585">
        <v>15.2</v>
      </c>
      <c r="J86" s="44">
        <f>IF(Tabla1[[#This Row],[Number of vehicle]]="",0,(Tabla1[[#This Row],[Number of vehicle]]*Tabla1[[#This Row],[km travelled]])/Tabla1[[#This Row],[Fuel economy (km/L)]])</f>
        <v>2664.4736842105262</v>
      </c>
      <c r="K86" s="44">
        <f>Tabla1[[#This Row],[Consumption (L)]]/$F$455</f>
        <v>2.2695687259033441</v>
      </c>
      <c r="L86" s="44">
        <f>Tabla1[[#This Row],[Consumption (ton)]]/1000</f>
        <v>2.269568725903344E-3</v>
      </c>
      <c r="N86" s="591" t="s">
        <v>514</v>
      </c>
      <c r="O86" s="110">
        <v>2014</v>
      </c>
      <c r="P86" s="110">
        <v>2015</v>
      </c>
      <c r="Q86" s="110">
        <v>2016</v>
      </c>
      <c r="R86" s="110" t="s">
        <v>513</v>
      </c>
      <c r="T86" s="591" t="s">
        <v>514</v>
      </c>
      <c r="U86" s="110">
        <v>2014</v>
      </c>
      <c r="V86" s="110">
        <v>2015</v>
      </c>
      <c r="W86" s="110">
        <v>2016</v>
      </c>
      <c r="X86" s="110" t="s">
        <v>513</v>
      </c>
      <c r="Y86" s="591"/>
    </row>
    <row r="87" spans="2:25" x14ac:dyDescent="0.35">
      <c r="B87" s="584">
        <v>2015</v>
      </c>
      <c r="C87" s="592" t="s">
        <v>60</v>
      </c>
      <c r="D87" s="40" t="s">
        <v>504</v>
      </c>
      <c r="E87" s="40" t="s">
        <v>41</v>
      </c>
      <c r="F87" s="571" t="s">
        <v>519</v>
      </c>
      <c r="G87" s="173">
        <v>12</v>
      </c>
      <c r="H87" s="575">
        <v>13500</v>
      </c>
      <c r="I87" s="585">
        <v>15.2</v>
      </c>
      <c r="J87" s="44">
        <f>IF(Tabla1[[#This Row],[Number of vehicle]]="",0,(Tabla1[[#This Row],[Number of vehicle]]*Tabla1[[#This Row],[km travelled]])/Tabla1[[#This Row],[Fuel economy (km/L)]])</f>
        <v>10657.894736842105</v>
      </c>
      <c r="K87" s="44">
        <f>Tabla1[[#This Row],[Consumption (L)]]/$F$455</f>
        <v>9.0782749036133765</v>
      </c>
      <c r="L87" s="44">
        <f>Tabla1[[#This Row],[Consumption (ton)]]/1000</f>
        <v>9.0782749036133759E-3</v>
      </c>
      <c r="N87" s="220" t="s">
        <v>275</v>
      </c>
      <c r="O87" s="152">
        <v>3244</v>
      </c>
      <c r="P87" s="152">
        <v>3552</v>
      </c>
      <c r="Q87" s="152">
        <v>3828</v>
      </c>
      <c r="R87" s="152">
        <v>10624</v>
      </c>
      <c r="T87" s="220" t="s">
        <v>275</v>
      </c>
      <c r="U87" s="152">
        <v>172</v>
      </c>
      <c r="V87" s="152">
        <v>177</v>
      </c>
      <c r="W87" s="152">
        <v>185</v>
      </c>
      <c r="X87" s="152">
        <v>534</v>
      </c>
    </row>
    <row r="88" spans="2:25" x14ac:dyDescent="0.35">
      <c r="B88" s="584">
        <v>2015</v>
      </c>
      <c r="C88" s="592" t="s">
        <v>60</v>
      </c>
      <c r="D88" s="40" t="s">
        <v>504</v>
      </c>
      <c r="E88" s="40" t="s">
        <v>41</v>
      </c>
      <c r="F88" s="597" t="s">
        <v>507</v>
      </c>
      <c r="G88" s="173">
        <v>3</v>
      </c>
      <c r="H88" s="575">
        <v>13500</v>
      </c>
      <c r="I88" s="585">
        <v>15.2</v>
      </c>
      <c r="J88" s="44">
        <f>IF(Tabla1[[#This Row],[Number of vehicle]]="",0,(Tabla1[[#This Row],[Number of vehicle]]*Tabla1[[#This Row],[km travelled]])/Tabla1[[#This Row],[Fuel economy (km/L)]])</f>
        <v>2664.4736842105262</v>
      </c>
      <c r="K88" s="44">
        <f>Tabla1[[#This Row],[Consumption (L)]]/$F$455</f>
        <v>2.2695687259033441</v>
      </c>
      <c r="L88" s="44">
        <f>Tabla1[[#This Row],[Consumption (ton)]]/1000</f>
        <v>2.269568725903344E-3</v>
      </c>
      <c r="N88" s="111" t="s">
        <v>515</v>
      </c>
      <c r="O88" s="152">
        <v>3244</v>
      </c>
      <c r="P88" s="152">
        <v>3552</v>
      </c>
      <c r="Q88" s="152">
        <v>3828</v>
      </c>
      <c r="R88" s="152">
        <v>10624</v>
      </c>
      <c r="T88" s="111" t="s">
        <v>515</v>
      </c>
      <c r="U88" s="152">
        <v>172</v>
      </c>
      <c r="V88" s="152">
        <v>177</v>
      </c>
      <c r="W88" s="152">
        <v>185</v>
      </c>
      <c r="X88" s="152">
        <v>534</v>
      </c>
    </row>
    <row r="89" spans="2:25" x14ac:dyDescent="0.35">
      <c r="B89" s="584">
        <v>2015</v>
      </c>
      <c r="C89" s="592" t="s">
        <v>60</v>
      </c>
      <c r="D89" s="40" t="s">
        <v>504</v>
      </c>
      <c r="E89" s="40" t="s">
        <v>41</v>
      </c>
      <c r="F89" s="571" t="s">
        <v>519</v>
      </c>
      <c r="G89" s="173">
        <v>68</v>
      </c>
      <c r="H89" s="575">
        <v>13500</v>
      </c>
      <c r="I89" s="585">
        <v>15.2</v>
      </c>
      <c r="J89" s="44">
        <f>IF(Tabla1[[#This Row],[Number of vehicle]]="",0,(Tabla1[[#This Row],[Number of vehicle]]*Tabla1[[#This Row],[km travelled]])/Tabla1[[#This Row],[Fuel economy (km/L)]])</f>
        <v>60394.736842105267</v>
      </c>
      <c r="K89" s="44">
        <f>Tabla1[[#This Row],[Consumption (L)]]/$F$455</f>
        <v>51.443557787142474</v>
      </c>
      <c r="L89" s="44">
        <f>Tabla1[[#This Row],[Consumption (ton)]]/1000</f>
        <v>5.1443557787142477E-2</v>
      </c>
      <c r="N89" s="112" t="s">
        <v>41</v>
      </c>
      <c r="O89" s="152">
        <v>3244</v>
      </c>
      <c r="P89" s="152">
        <v>3552</v>
      </c>
      <c r="Q89" s="152">
        <v>3828</v>
      </c>
      <c r="R89" s="152">
        <v>10624</v>
      </c>
      <c r="T89" s="112" t="s">
        <v>41</v>
      </c>
      <c r="U89" s="152">
        <v>172</v>
      </c>
      <c r="V89" s="152">
        <v>177</v>
      </c>
      <c r="W89" s="152">
        <v>185</v>
      </c>
      <c r="X89" s="152">
        <v>534</v>
      </c>
    </row>
    <row r="90" spans="2:25" x14ac:dyDescent="0.35">
      <c r="B90" s="584">
        <v>2015</v>
      </c>
      <c r="C90" s="592" t="s">
        <v>60</v>
      </c>
      <c r="D90" s="40" t="s">
        <v>504</v>
      </c>
      <c r="E90" s="40" t="s">
        <v>41</v>
      </c>
      <c r="F90" s="597" t="s">
        <v>507</v>
      </c>
      <c r="G90" s="173"/>
      <c r="H90" s="575">
        <v>13500</v>
      </c>
      <c r="I90" s="585">
        <v>15.2</v>
      </c>
      <c r="J90" s="44">
        <f>IF(Tabla1[[#This Row],[Number of vehicle]]="",0,(Tabla1[[#This Row],[Number of vehicle]]*Tabla1[[#This Row],[km travelled]])/Tabla1[[#This Row],[Fuel economy (km/L)]])</f>
        <v>0</v>
      </c>
      <c r="K90" s="44">
        <f>Tabla1[[#This Row],[Consumption (L)]]/$F$455</f>
        <v>0</v>
      </c>
      <c r="L90" s="44">
        <f>Tabla1[[#This Row],[Consumption (ton)]]/1000</f>
        <v>0</v>
      </c>
      <c r="N90" s="220" t="s">
        <v>504</v>
      </c>
      <c r="O90" s="152">
        <v>183050</v>
      </c>
      <c r="P90" s="152">
        <v>191006</v>
      </c>
      <c r="Q90" s="152">
        <v>209776</v>
      </c>
      <c r="R90" s="152">
        <v>583832</v>
      </c>
      <c r="T90" s="220" t="s">
        <v>504</v>
      </c>
      <c r="U90" s="152">
        <v>1169</v>
      </c>
      <c r="V90" s="152">
        <v>1236</v>
      </c>
      <c r="W90" s="152">
        <v>1404</v>
      </c>
      <c r="X90" s="152">
        <v>3809</v>
      </c>
    </row>
    <row r="91" spans="2:25" x14ac:dyDescent="0.35">
      <c r="B91" s="584">
        <v>2015</v>
      </c>
      <c r="C91" s="592" t="s">
        <v>60</v>
      </c>
      <c r="D91" s="40" t="s">
        <v>504</v>
      </c>
      <c r="E91" s="40" t="s">
        <v>41</v>
      </c>
      <c r="F91" s="571" t="s">
        <v>519</v>
      </c>
      <c r="G91" s="173">
        <f>310</f>
        <v>310</v>
      </c>
      <c r="H91" s="575">
        <v>13500</v>
      </c>
      <c r="I91" s="585">
        <v>15.2</v>
      </c>
      <c r="J91" s="44">
        <f>IF(Tabla1[[#This Row],[Number of vehicle]]="",0,(Tabla1[[#This Row],[Number of vehicle]]*Tabla1[[#This Row],[km travelled]])/Tabla1[[#This Row],[Fuel economy (km/L)]])</f>
        <v>275328.94736842107</v>
      </c>
      <c r="K91" s="44">
        <f>Tabla1[[#This Row],[Consumption (L)]]/$F$455</f>
        <v>234.52210167667894</v>
      </c>
      <c r="L91" s="44">
        <f>Tabla1[[#This Row],[Consumption (ton)]]/1000</f>
        <v>0.23452210167667895</v>
      </c>
      <c r="N91" s="111" t="s">
        <v>507</v>
      </c>
      <c r="O91" s="152">
        <v>77304</v>
      </c>
      <c r="P91" s="152">
        <v>89417</v>
      </c>
      <c r="Q91" s="152">
        <v>107709</v>
      </c>
      <c r="R91" s="152">
        <v>274430</v>
      </c>
      <c r="T91" s="111" t="s">
        <v>507</v>
      </c>
      <c r="U91" s="152">
        <v>241</v>
      </c>
      <c r="V91" s="152">
        <v>158</v>
      </c>
      <c r="W91" s="152">
        <v>326</v>
      </c>
      <c r="X91" s="152">
        <v>725</v>
      </c>
    </row>
    <row r="92" spans="2:25" x14ac:dyDescent="0.35">
      <c r="B92" s="584">
        <v>2015</v>
      </c>
      <c r="C92" s="592" t="s">
        <v>60</v>
      </c>
      <c r="D92" s="40" t="s">
        <v>504</v>
      </c>
      <c r="E92" s="40" t="s">
        <v>41</v>
      </c>
      <c r="F92" s="597" t="s">
        <v>507</v>
      </c>
      <c r="G92" s="173">
        <v>20</v>
      </c>
      <c r="H92" s="575">
        <v>13500</v>
      </c>
      <c r="I92" s="585">
        <v>15.2</v>
      </c>
      <c r="J92" s="44">
        <f>IF(Tabla1[[#This Row],[Number of vehicle]]="",0,(Tabla1[[#This Row],[Number of vehicle]]*Tabla1[[#This Row],[km travelled]])/Tabla1[[#This Row],[Fuel economy (km/L)]])</f>
        <v>17763.157894736843</v>
      </c>
      <c r="K92" s="44">
        <f>Tabla1[[#This Row],[Consumption (L)]]/$F$455</f>
        <v>15.130458172688964</v>
      </c>
      <c r="L92" s="44">
        <f>Tabla1[[#This Row],[Consumption (ton)]]/1000</f>
        <v>1.5130458172688965E-2</v>
      </c>
      <c r="N92" s="112" t="s">
        <v>41</v>
      </c>
      <c r="O92" s="152">
        <v>5416</v>
      </c>
      <c r="P92" s="152">
        <v>6122</v>
      </c>
      <c r="Q92" s="152">
        <v>7190</v>
      </c>
      <c r="R92" s="152">
        <v>18728</v>
      </c>
      <c r="T92" s="112" t="s">
        <v>41</v>
      </c>
      <c r="U92" s="152">
        <v>69</v>
      </c>
      <c r="V92" s="152">
        <v>26</v>
      </c>
      <c r="W92" s="152">
        <v>44</v>
      </c>
      <c r="X92" s="152">
        <v>139</v>
      </c>
    </row>
    <row r="93" spans="2:25" x14ac:dyDescent="0.35">
      <c r="B93" s="584">
        <v>2015</v>
      </c>
      <c r="C93" s="592" t="s">
        <v>59</v>
      </c>
      <c r="D93" s="40" t="s">
        <v>504</v>
      </c>
      <c r="E93" s="40" t="s">
        <v>136</v>
      </c>
      <c r="F93" s="578" t="s">
        <v>505</v>
      </c>
      <c r="G93" s="577">
        <f>765+11033</f>
        <v>11798</v>
      </c>
      <c r="H93" s="575">
        <v>11500</v>
      </c>
      <c r="I93" s="585">
        <v>15.5</v>
      </c>
      <c r="J93" s="44">
        <f>IF(Tabla1[[#This Row],[Number of vehicle]]="",0,(Tabla1[[#This Row],[Number of vehicle]]*Tabla1[[#This Row],[km travelled]])/Tabla1[[#This Row],[Fuel economy (km/L)]])</f>
        <v>8753354.8387096766</v>
      </c>
      <c r="K93" s="44">
        <f>Tabla1[[#This Row],[Consumption (L)]]/$F$454</f>
        <v>6324.6783516688411</v>
      </c>
      <c r="L93" s="44">
        <f>Tabla1[[#This Row],[Consumption (ton)]]/1000</f>
        <v>6.3246783516688412</v>
      </c>
      <c r="N93" s="112" t="s">
        <v>136</v>
      </c>
      <c r="O93" s="152">
        <v>69881</v>
      </c>
      <c r="P93" s="152">
        <v>80854</v>
      </c>
      <c r="Q93" s="152">
        <v>96722</v>
      </c>
      <c r="R93" s="152">
        <v>247457</v>
      </c>
      <c r="T93" s="112" t="s">
        <v>136</v>
      </c>
      <c r="U93" s="152">
        <v>169</v>
      </c>
      <c r="V93" s="152">
        <v>129</v>
      </c>
      <c r="W93" s="152">
        <v>276</v>
      </c>
      <c r="X93" s="152">
        <v>574</v>
      </c>
    </row>
    <row r="94" spans="2:25" x14ac:dyDescent="0.35">
      <c r="B94" s="584">
        <v>2015</v>
      </c>
      <c r="C94" s="592" t="s">
        <v>59</v>
      </c>
      <c r="D94" s="40" t="s">
        <v>504</v>
      </c>
      <c r="E94" s="40" t="s">
        <v>136</v>
      </c>
      <c r="F94" s="578" t="s">
        <v>507</v>
      </c>
      <c r="G94" s="577">
        <f>7+2793+6026</f>
        <v>8826</v>
      </c>
      <c r="H94" s="575">
        <v>11500</v>
      </c>
      <c r="I94" s="585">
        <v>15.5</v>
      </c>
      <c r="J94" s="44">
        <f>IF(Tabla1[[#This Row],[Number of vehicle]]="",0,(Tabla1[[#This Row],[Number of vehicle]]*Tabla1[[#This Row],[km travelled]])/Tabla1[[#This Row],[Fuel economy (km/L)]])</f>
        <v>6548322.5806451617</v>
      </c>
      <c r="K94" s="44">
        <f>Tabla1[[#This Row],[Consumption (L)]]/$F$454</f>
        <v>4731.4469513332097</v>
      </c>
      <c r="L94" s="44">
        <f>Tabla1[[#This Row],[Consumption (ton)]]/1000</f>
        <v>4.7314469513332096</v>
      </c>
      <c r="N94" s="112" t="s">
        <v>226</v>
      </c>
      <c r="O94" s="152">
        <v>1829</v>
      </c>
      <c r="P94" s="152">
        <v>2424</v>
      </c>
      <c r="Q94" s="152">
        <v>3777</v>
      </c>
      <c r="R94" s="152">
        <v>8030</v>
      </c>
      <c r="T94" s="112" t="s">
        <v>226</v>
      </c>
      <c r="U94" s="152">
        <v>3</v>
      </c>
      <c r="V94" s="152">
        <v>3</v>
      </c>
      <c r="W94" s="152">
        <v>6</v>
      </c>
      <c r="X94" s="152">
        <v>12</v>
      </c>
    </row>
    <row r="95" spans="2:25" x14ac:dyDescent="0.35">
      <c r="B95" s="584">
        <v>2015</v>
      </c>
      <c r="C95" s="592" t="s">
        <v>59</v>
      </c>
      <c r="D95" s="40" t="s">
        <v>504</v>
      </c>
      <c r="E95" s="40" t="s">
        <v>136</v>
      </c>
      <c r="F95" s="578" t="s">
        <v>505</v>
      </c>
      <c r="G95" s="577">
        <f>9+48524+19468-2370-3000</f>
        <v>62631</v>
      </c>
      <c r="H95" s="575">
        <v>11500</v>
      </c>
      <c r="I95" s="585">
        <v>13.5</v>
      </c>
      <c r="J95" s="44">
        <f>IF(Tabla1[[#This Row],[Number of vehicle]]="",0,(Tabla1[[#This Row],[Number of vehicle]]*Tabla1[[#This Row],[km travelled]])/Tabla1[[#This Row],[Fuel economy (km/L)]])</f>
        <v>53352333.333333336</v>
      </c>
      <c r="K95" s="44">
        <f>Tabla1[[#This Row],[Consumption (L)]]/$F$454</f>
        <v>38549.373795761079</v>
      </c>
      <c r="L95" s="44">
        <f>Tabla1[[#This Row],[Consumption (ton)]]/1000</f>
        <v>38.549373795761078</v>
      </c>
      <c r="N95" s="112" t="s">
        <v>117</v>
      </c>
      <c r="O95" s="152">
        <v>178</v>
      </c>
      <c r="P95" s="152">
        <v>17</v>
      </c>
      <c r="Q95" s="152">
        <v>20</v>
      </c>
      <c r="R95" s="152">
        <v>215</v>
      </c>
      <c r="T95" s="111" t="s">
        <v>505</v>
      </c>
      <c r="U95" s="152">
        <v>928</v>
      </c>
      <c r="V95" s="152">
        <v>1078</v>
      </c>
      <c r="W95" s="152">
        <v>1078</v>
      </c>
      <c r="X95" s="152">
        <v>3084</v>
      </c>
    </row>
    <row r="96" spans="2:25" x14ac:dyDescent="0.35">
      <c r="B96" s="584">
        <v>2015</v>
      </c>
      <c r="C96" s="592" t="s">
        <v>59</v>
      </c>
      <c r="D96" s="40" t="s">
        <v>504</v>
      </c>
      <c r="E96" s="40" t="s">
        <v>136</v>
      </c>
      <c r="F96" s="578" t="s">
        <v>507</v>
      </c>
      <c r="G96" s="577">
        <f>1+32409+11686+7550-790-918</f>
        <v>49938</v>
      </c>
      <c r="H96" s="575">
        <v>11500</v>
      </c>
      <c r="I96" s="585">
        <v>13.5</v>
      </c>
      <c r="J96" s="44">
        <f>IF(Tabla1[[#This Row],[Number of vehicle]]="",0,(Tabla1[[#This Row],[Number of vehicle]]*Tabla1[[#This Row],[km travelled]])/Tabla1[[#This Row],[Fuel economy (km/L)]])</f>
        <v>42539777.777777776</v>
      </c>
      <c r="K96" s="44">
        <f>Tabla1[[#This Row],[Consumption (L)]]/$F$454</f>
        <v>30736.83365446371</v>
      </c>
      <c r="L96" s="44">
        <f>Tabla1[[#This Row],[Consumption (ton)]]/1000</f>
        <v>30.736833654463709</v>
      </c>
      <c r="N96" s="111" t="s">
        <v>505</v>
      </c>
      <c r="O96" s="152">
        <v>105746</v>
      </c>
      <c r="P96" s="152">
        <v>101589</v>
      </c>
      <c r="Q96" s="152">
        <v>102067</v>
      </c>
      <c r="R96" s="152">
        <v>309402</v>
      </c>
      <c r="T96" s="112" t="s">
        <v>41</v>
      </c>
      <c r="U96" s="152">
        <v>403</v>
      </c>
      <c r="V96" s="152">
        <v>401</v>
      </c>
      <c r="W96" s="152">
        <v>401</v>
      </c>
      <c r="X96" s="152">
        <v>1205</v>
      </c>
    </row>
    <row r="97" spans="2:24" x14ac:dyDescent="0.35">
      <c r="B97" s="584">
        <v>2015</v>
      </c>
      <c r="C97" s="592" t="s">
        <v>59</v>
      </c>
      <c r="D97" s="40" t="s">
        <v>504</v>
      </c>
      <c r="E97" s="40" t="s">
        <v>136</v>
      </c>
      <c r="F97" s="578" t="s">
        <v>505</v>
      </c>
      <c r="G97" s="577">
        <f>31+18252-1087</f>
        <v>17196</v>
      </c>
      <c r="H97" s="575">
        <v>11500</v>
      </c>
      <c r="I97" s="585">
        <v>10.3</v>
      </c>
      <c r="J97" s="44">
        <f>IF(Tabla1[[#This Row],[Number of vehicle]]="",0,(Tabla1[[#This Row],[Number of vehicle]]*Tabla1[[#This Row],[km travelled]])/Tabla1[[#This Row],[Fuel economy (km/L)]])</f>
        <v>19199417.475728154</v>
      </c>
      <c r="K97" s="44">
        <f>Tabla1[[#This Row],[Consumption (L)]]/$F$454</f>
        <v>13872.411470901845</v>
      </c>
      <c r="L97" s="44">
        <f>Tabla1[[#This Row],[Consumption (ton)]]/1000</f>
        <v>13.872411470901845</v>
      </c>
      <c r="N97" s="112" t="s">
        <v>41</v>
      </c>
      <c r="O97" s="152">
        <v>8313</v>
      </c>
      <c r="P97" s="152">
        <v>8219</v>
      </c>
      <c r="Q97" s="152">
        <v>8089</v>
      </c>
      <c r="R97" s="152">
        <v>24621</v>
      </c>
      <c r="T97" s="112" t="s">
        <v>136</v>
      </c>
      <c r="U97" s="152">
        <v>525</v>
      </c>
      <c r="V97" s="152">
        <v>677</v>
      </c>
      <c r="W97" s="152">
        <v>677</v>
      </c>
      <c r="X97" s="152">
        <v>1879</v>
      </c>
    </row>
    <row r="98" spans="2:24" x14ac:dyDescent="0.35">
      <c r="B98" s="584">
        <v>2015</v>
      </c>
      <c r="C98" s="592" t="s">
        <v>59</v>
      </c>
      <c r="D98" s="40" t="s">
        <v>504</v>
      </c>
      <c r="E98" s="40" t="s">
        <v>136</v>
      </c>
      <c r="F98" s="578" t="s">
        <v>507</v>
      </c>
      <c r="G98" s="577">
        <f>1+19362+2904-365-1918</f>
        <v>19984</v>
      </c>
      <c r="H98" s="575">
        <v>11500</v>
      </c>
      <c r="I98" s="585">
        <v>10.3</v>
      </c>
      <c r="J98" s="44">
        <f>IF(Tabla1[[#This Row],[Number of vehicle]]="",0,(Tabla1[[#This Row],[Number of vehicle]]*Tabla1[[#This Row],[km travelled]])/Tabla1[[#This Row],[Fuel economy (km/L)]])</f>
        <v>22312233.009708736</v>
      </c>
      <c r="K98" s="44">
        <f>Tabla1[[#This Row],[Consumption (L)]]/$F$454</f>
        <v>16121.555642853133</v>
      </c>
      <c r="L98" s="44">
        <f>Tabla1[[#This Row],[Consumption (ton)]]/1000</f>
        <v>16.121555642853131</v>
      </c>
      <c r="N98" s="112" t="s">
        <v>136</v>
      </c>
      <c r="O98" s="152">
        <v>97393</v>
      </c>
      <c r="P98" s="152">
        <v>93166</v>
      </c>
      <c r="Q98" s="152">
        <v>93775</v>
      </c>
      <c r="R98" s="152">
        <v>284334</v>
      </c>
      <c r="T98" s="112" t="s">
        <v>226</v>
      </c>
      <c r="U98" s="152">
        <v>0</v>
      </c>
      <c r="V98" s="152">
        <v>0</v>
      </c>
      <c r="W98" s="152">
        <v>0</v>
      </c>
      <c r="X98" s="152">
        <v>0</v>
      </c>
    </row>
    <row r="99" spans="2:24" x14ac:dyDescent="0.35">
      <c r="B99" s="584">
        <v>2015</v>
      </c>
      <c r="C99" s="592" t="s">
        <v>59</v>
      </c>
      <c r="D99" s="40" t="s">
        <v>504</v>
      </c>
      <c r="E99" s="40" t="s">
        <v>136</v>
      </c>
      <c r="F99" s="578" t="s">
        <v>505</v>
      </c>
      <c r="G99" s="577">
        <f>103+1619-181</f>
        <v>1541</v>
      </c>
      <c r="H99" s="575">
        <v>11500</v>
      </c>
      <c r="I99" s="585">
        <v>7.6</v>
      </c>
      <c r="J99" s="44">
        <f>IF(Tabla1[[#This Row],[Number of vehicle]]="",0,(Tabla1[[#This Row],[Number of vehicle]]*Tabla1[[#This Row],[km travelled]])/Tabla1[[#This Row],[Fuel economy (km/L)]])</f>
        <v>2331776.3157894737</v>
      </c>
      <c r="K99" s="44">
        <f>Tabla1[[#This Row],[Consumption (L)]]/$F$454</f>
        <v>1684.8094767264984</v>
      </c>
      <c r="L99" s="44">
        <f>Tabla1[[#This Row],[Consumption (ton)]]/1000</f>
        <v>1.6848094767264983</v>
      </c>
      <c r="N99" s="112" t="s">
        <v>226</v>
      </c>
      <c r="O99" s="152"/>
      <c r="P99" s="152"/>
      <c r="Q99" s="152"/>
      <c r="R99" s="152"/>
      <c r="T99" s="220" t="s">
        <v>273</v>
      </c>
      <c r="U99" s="152">
        <v>1289</v>
      </c>
      <c r="V99" s="152">
        <v>1528</v>
      </c>
      <c r="W99" s="152">
        <v>1693</v>
      </c>
      <c r="X99" s="152">
        <v>4510</v>
      </c>
    </row>
    <row r="100" spans="2:24" x14ac:dyDescent="0.35">
      <c r="B100" s="584">
        <v>2015</v>
      </c>
      <c r="C100" s="592" t="s">
        <v>59</v>
      </c>
      <c r="D100" s="40" t="s">
        <v>504</v>
      </c>
      <c r="E100" s="40" t="s">
        <v>136</v>
      </c>
      <c r="F100" s="578" t="s">
        <v>507</v>
      </c>
      <c r="G100" s="577">
        <f>103+115+1951-63</f>
        <v>2106</v>
      </c>
      <c r="H100" s="575">
        <v>11500</v>
      </c>
      <c r="I100" s="585">
        <v>7.6</v>
      </c>
      <c r="J100" s="44">
        <f>IF(Tabla1[[#This Row],[Number of vehicle]]="",0,(Tabla1[[#This Row],[Number of vehicle]]*Tabla1[[#This Row],[km travelled]])/Tabla1[[#This Row],[Fuel economy (km/L)]])</f>
        <v>3186710.5263157897</v>
      </c>
      <c r="K100" s="44">
        <f>Tabla1[[#This Row],[Consumption (L)]]/$F$454</f>
        <v>2302.5365074536053</v>
      </c>
      <c r="L100" s="44">
        <f>Tabla1[[#This Row],[Consumption (ton)]]/1000</f>
        <v>2.3025365074536053</v>
      </c>
      <c r="N100" s="112" t="s">
        <v>117</v>
      </c>
      <c r="O100" s="152">
        <v>40</v>
      </c>
      <c r="P100" s="152">
        <v>204</v>
      </c>
      <c r="Q100" s="152">
        <v>203</v>
      </c>
      <c r="R100" s="152">
        <v>447</v>
      </c>
      <c r="T100" s="111" t="s">
        <v>507</v>
      </c>
      <c r="U100" s="152">
        <v>346</v>
      </c>
      <c r="V100" s="152">
        <v>593</v>
      </c>
      <c r="W100" s="152">
        <v>700</v>
      </c>
      <c r="X100" s="152">
        <v>1639</v>
      </c>
    </row>
    <row r="101" spans="2:24" x14ac:dyDescent="0.35">
      <c r="B101" s="584">
        <v>2015</v>
      </c>
      <c r="C101" s="592" t="s">
        <v>60</v>
      </c>
      <c r="D101" s="40" t="s">
        <v>504</v>
      </c>
      <c r="E101" s="40" t="s">
        <v>136</v>
      </c>
      <c r="F101" s="571" t="s">
        <v>519</v>
      </c>
      <c r="G101" s="173">
        <f>104</f>
        <v>104</v>
      </c>
      <c r="H101" s="575">
        <v>16000</v>
      </c>
      <c r="I101" s="585">
        <v>15.5</v>
      </c>
      <c r="J101" s="44">
        <f>IF(Tabla1[[#This Row],[Number of vehicle]]="",0,(Tabla1[[#This Row],[Number of vehicle]]*Tabla1[[#This Row],[km travelled]])/Tabla1[[#This Row],[Fuel economy (km/L)]])</f>
        <v>107354.83870967742</v>
      </c>
      <c r="K101" s="44">
        <f>Tabla1[[#This Row],[Consumption (L)]]/$F$454</f>
        <v>77.568525079246697</v>
      </c>
      <c r="L101" s="44">
        <f>Tabla1[[#This Row],[Consumption (ton)]]/1000</f>
        <v>7.7568525079246692E-2</v>
      </c>
      <c r="N101" s="220" t="s">
        <v>273</v>
      </c>
      <c r="O101" s="152">
        <v>37976</v>
      </c>
      <c r="P101" s="152">
        <v>37653</v>
      </c>
      <c r="Q101" s="152">
        <v>39622</v>
      </c>
      <c r="R101" s="152">
        <v>115251</v>
      </c>
      <c r="T101" s="112" t="s">
        <v>41</v>
      </c>
      <c r="U101" s="152">
        <v>340</v>
      </c>
      <c r="V101" s="152">
        <v>585</v>
      </c>
      <c r="W101" s="152">
        <v>685</v>
      </c>
      <c r="X101" s="152">
        <v>1610</v>
      </c>
    </row>
    <row r="102" spans="2:24" x14ac:dyDescent="0.35">
      <c r="B102" s="584">
        <v>2015</v>
      </c>
      <c r="C102" s="592" t="s">
        <v>60</v>
      </c>
      <c r="D102" s="40" t="s">
        <v>504</v>
      </c>
      <c r="E102" s="40" t="s">
        <v>136</v>
      </c>
      <c r="F102" s="597" t="s">
        <v>507</v>
      </c>
      <c r="G102" s="173">
        <f>18+6</f>
        <v>24</v>
      </c>
      <c r="H102" s="575">
        <v>16000</v>
      </c>
      <c r="I102" s="585">
        <v>15.5</v>
      </c>
      <c r="J102" s="44">
        <f>IF(Tabla1[[#This Row],[Number of vehicle]]="",0,(Tabla1[[#This Row],[Number of vehicle]]*Tabla1[[#This Row],[km travelled]])/Tabla1[[#This Row],[Fuel economy (km/L)]])</f>
        <v>24774.193548387098</v>
      </c>
      <c r="K102" s="44">
        <f>Tabla1[[#This Row],[Consumption (L)]]/$F$454</f>
        <v>17.900428864441544</v>
      </c>
      <c r="L102" s="44">
        <f>Tabla1[[#This Row],[Consumption (ton)]]/1000</f>
        <v>1.7900428864441546E-2</v>
      </c>
      <c r="N102" s="111" t="s">
        <v>507</v>
      </c>
      <c r="O102" s="152">
        <v>12330</v>
      </c>
      <c r="P102" s="152">
        <v>12377</v>
      </c>
      <c r="Q102" s="152">
        <v>14627</v>
      </c>
      <c r="R102" s="152">
        <v>39334</v>
      </c>
      <c r="T102" s="112" t="s">
        <v>136</v>
      </c>
      <c r="U102" s="152">
        <v>6</v>
      </c>
      <c r="V102" s="152">
        <v>6</v>
      </c>
      <c r="W102" s="152">
        <v>12</v>
      </c>
      <c r="X102" s="152">
        <v>24</v>
      </c>
    </row>
    <row r="103" spans="2:24" x14ac:dyDescent="0.35">
      <c r="B103" s="584">
        <v>2015</v>
      </c>
      <c r="C103" s="592" t="s">
        <v>60</v>
      </c>
      <c r="D103" s="40" t="s">
        <v>504</v>
      </c>
      <c r="E103" s="40" t="s">
        <v>136</v>
      </c>
      <c r="F103" s="571" t="s">
        <v>519</v>
      </c>
      <c r="G103" s="173">
        <v>439</v>
      </c>
      <c r="H103" s="575">
        <v>16000</v>
      </c>
      <c r="I103" s="585">
        <v>15.5</v>
      </c>
      <c r="J103" s="44">
        <f>IF(Tabla1[[#This Row],[Number of vehicle]]="",0,(Tabla1[[#This Row],[Number of vehicle]]*Tabla1[[#This Row],[km travelled]])/Tabla1[[#This Row],[Fuel economy (km/L)]])</f>
        <v>453161.29032258067</v>
      </c>
      <c r="K103" s="44">
        <f>Tabla1[[#This Row],[Consumption (L)]]/$F$454</f>
        <v>327.42867797874328</v>
      </c>
      <c r="L103" s="44">
        <f>Tabla1[[#This Row],[Consumption (ton)]]/1000</f>
        <v>0.32742867797874325</v>
      </c>
      <c r="N103" s="112" t="s">
        <v>41</v>
      </c>
      <c r="O103" s="152">
        <v>11666</v>
      </c>
      <c r="P103" s="152">
        <v>11681</v>
      </c>
      <c r="Q103" s="152">
        <v>13890</v>
      </c>
      <c r="R103" s="152">
        <v>37237</v>
      </c>
      <c r="T103" s="112" t="s">
        <v>117</v>
      </c>
      <c r="U103" s="152"/>
      <c r="V103" s="152">
        <v>2</v>
      </c>
      <c r="W103" s="152">
        <v>3</v>
      </c>
      <c r="X103" s="152">
        <v>5</v>
      </c>
    </row>
    <row r="104" spans="2:24" x14ac:dyDescent="0.35">
      <c r="B104" s="584">
        <v>2015</v>
      </c>
      <c r="C104" s="592" t="s">
        <v>60</v>
      </c>
      <c r="D104" s="40" t="s">
        <v>504</v>
      </c>
      <c r="E104" s="40" t="s">
        <v>136</v>
      </c>
      <c r="F104" s="597" t="s">
        <v>507</v>
      </c>
      <c r="G104" s="173">
        <f>61+9</f>
        <v>70</v>
      </c>
      <c r="H104" s="575">
        <v>16000</v>
      </c>
      <c r="I104" s="585">
        <v>15.5</v>
      </c>
      <c r="J104" s="44">
        <f>IF(Tabla1[[#This Row],[Number of vehicle]]="",0,(Tabla1[[#This Row],[Number of vehicle]]*Tabla1[[#This Row],[km travelled]])/Tabla1[[#This Row],[Fuel economy (km/L)]])</f>
        <v>72258.06451612903</v>
      </c>
      <c r="K104" s="44">
        <f>Tabla1[[#This Row],[Consumption (L)]]/$F$454</f>
        <v>52.209584187954505</v>
      </c>
      <c r="L104" s="44">
        <f>Tabla1[[#This Row],[Consumption (ton)]]/1000</f>
        <v>5.2209584187954503E-2</v>
      </c>
      <c r="N104" s="112" t="s">
        <v>136</v>
      </c>
      <c r="O104" s="152">
        <v>659</v>
      </c>
      <c r="P104" s="152">
        <v>692</v>
      </c>
      <c r="Q104" s="152">
        <v>732</v>
      </c>
      <c r="R104" s="152">
        <v>2083</v>
      </c>
      <c r="T104" s="111" t="s">
        <v>505</v>
      </c>
      <c r="U104" s="152">
        <v>943</v>
      </c>
      <c r="V104" s="152">
        <v>935</v>
      </c>
      <c r="W104" s="152">
        <v>993</v>
      </c>
      <c r="X104" s="152">
        <v>2871</v>
      </c>
    </row>
    <row r="105" spans="2:24" x14ac:dyDescent="0.35">
      <c r="B105" s="584">
        <v>2015</v>
      </c>
      <c r="C105" s="592" t="s">
        <v>60</v>
      </c>
      <c r="D105" s="40" t="s">
        <v>504</v>
      </c>
      <c r="E105" s="40" t="s">
        <v>136</v>
      </c>
      <c r="F105" s="571" t="s">
        <v>519</v>
      </c>
      <c r="G105" s="173">
        <v>121</v>
      </c>
      <c r="H105" s="575">
        <v>16000</v>
      </c>
      <c r="I105" s="585">
        <v>15.5</v>
      </c>
      <c r="J105" s="44">
        <f>IF(Tabla1[[#This Row],[Number of vehicle]]="",0,(Tabla1[[#This Row],[Number of vehicle]]*Tabla1[[#This Row],[km travelled]])/Tabla1[[#This Row],[Fuel economy (km/L)]])</f>
        <v>124903.22580645161</v>
      </c>
      <c r="K105" s="44">
        <f>Tabla1[[#This Row],[Consumption (L)]]/$F$454</f>
        <v>90.247995524892772</v>
      </c>
      <c r="L105" s="44">
        <f>Tabla1[[#This Row],[Consumption (ton)]]/1000</f>
        <v>9.0247995524892766E-2</v>
      </c>
      <c r="N105" s="112" t="s">
        <v>117</v>
      </c>
      <c r="O105" s="152">
        <v>5</v>
      </c>
      <c r="P105" s="152">
        <v>4</v>
      </c>
      <c r="Q105" s="152">
        <v>5</v>
      </c>
      <c r="R105" s="152">
        <v>14</v>
      </c>
      <c r="T105" s="112" t="s">
        <v>41</v>
      </c>
      <c r="U105" s="152">
        <v>924</v>
      </c>
      <c r="V105" s="152">
        <v>916</v>
      </c>
      <c r="W105" s="152">
        <v>974</v>
      </c>
      <c r="X105" s="152">
        <v>2814</v>
      </c>
    </row>
    <row r="106" spans="2:24" x14ac:dyDescent="0.35">
      <c r="B106" s="584">
        <v>2015</v>
      </c>
      <c r="C106" s="592" t="s">
        <v>60</v>
      </c>
      <c r="D106" s="40" t="s">
        <v>504</v>
      </c>
      <c r="E106" s="40" t="s">
        <v>136</v>
      </c>
      <c r="F106" s="597" t="s">
        <v>507</v>
      </c>
      <c r="G106" s="173">
        <f>30+2</f>
        <v>32</v>
      </c>
      <c r="H106" s="575">
        <v>16000</v>
      </c>
      <c r="I106" s="585">
        <v>15.5</v>
      </c>
      <c r="J106" s="44">
        <f>IF(Tabla1[[#This Row],[Number of vehicle]]="",0,(Tabla1[[#This Row],[Number of vehicle]]*Tabla1[[#This Row],[km travelled]])/Tabla1[[#This Row],[Fuel economy (km/L)]])</f>
        <v>33032.258064516129</v>
      </c>
      <c r="K106" s="44">
        <f>Tabla1[[#This Row],[Consumption (L)]]/$F$454</f>
        <v>23.867238485922059</v>
      </c>
      <c r="L106" s="44">
        <f>Tabla1[[#This Row],[Consumption (ton)]]/1000</f>
        <v>2.3867238485922058E-2</v>
      </c>
      <c r="N106" s="111" t="s">
        <v>505</v>
      </c>
      <c r="O106" s="152">
        <v>25646</v>
      </c>
      <c r="P106" s="152">
        <v>25276</v>
      </c>
      <c r="Q106" s="152">
        <v>24995</v>
      </c>
      <c r="R106" s="152">
        <v>75917</v>
      </c>
      <c r="T106" s="112" t="s">
        <v>136</v>
      </c>
      <c r="U106" s="152">
        <v>14</v>
      </c>
      <c r="V106" s="152">
        <v>14</v>
      </c>
      <c r="W106" s="152">
        <v>14</v>
      </c>
      <c r="X106" s="152">
        <v>42</v>
      </c>
    </row>
    <row r="107" spans="2:24" x14ac:dyDescent="0.35">
      <c r="B107" s="584">
        <v>2015</v>
      </c>
      <c r="C107" s="592" t="s">
        <v>60</v>
      </c>
      <c r="D107" s="40" t="s">
        <v>504</v>
      </c>
      <c r="E107" s="40" t="s">
        <v>136</v>
      </c>
      <c r="F107" s="571" t="s">
        <v>519</v>
      </c>
      <c r="G107" s="173">
        <v>13</v>
      </c>
      <c r="H107" s="575">
        <v>16000</v>
      </c>
      <c r="I107" s="585">
        <v>15.5</v>
      </c>
      <c r="J107" s="44">
        <f>IF(Tabla1[[#This Row],[Number of vehicle]]="",0,(Tabla1[[#This Row],[Number of vehicle]]*Tabla1[[#This Row],[km travelled]])/Tabla1[[#This Row],[Fuel economy (km/L)]])</f>
        <v>13419.354838709678</v>
      </c>
      <c r="K107" s="44">
        <f>Tabla1[[#This Row],[Consumption (L)]]/$F$454</f>
        <v>9.6960656349058372</v>
      </c>
      <c r="L107" s="44">
        <f>Tabla1[[#This Row],[Consumption (ton)]]/1000</f>
        <v>9.6960656349058365E-3</v>
      </c>
      <c r="N107" s="112" t="s">
        <v>41</v>
      </c>
      <c r="O107" s="152">
        <v>19801</v>
      </c>
      <c r="P107" s="152">
        <v>19610</v>
      </c>
      <c r="Q107" s="152">
        <v>19573</v>
      </c>
      <c r="R107" s="152">
        <v>58984</v>
      </c>
      <c r="T107" s="112" t="s">
        <v>117</v>
      </c>
      <c r="U107" s="152">
        <v>5</v>
      </c>
      <c r="V107" s="152">
        <v>5</v>
      </c>
      <c r="W107" s="152">
        <v>5</v>
      </c>
      <c r="X107" s="152">
        <v>15</v>
      </c>
    </row>
    <row r="108" spans="2:24" x14ac:dyDescent="0.35">
      <c r="B108" s="584">
        <v>2015</v>
      </c>
      <c r="C108" s="592" t="s">
        <v>60</v>
      </c>
      <c r="D108" s="40" t="s">
        <v>504</v>
      </c>
      <c r="E108" s="40" t="s">
        <v>136</v>
      </c>
      <c r="F108" s="597" t="s">
        <v>507</v>
      </c>
      <c r="G108" s="173">
        <f>3</f>
        <v>3</v>
      </c>
      <c r="H108" s="575">
        <v>16000</v>
      </c>
      <c r="I108" s="585">
        <v>15.5</v>
      </c>
      <c r="J108" s="44">
        <f>IF(Tabla1[[#This Row],[Number of vehicle]]="",0,(Tabla1[[#This Row],[Number of vehicle]]*Tabla1[[#This Row],[km travelled]])/Tabla1[[#This Row],[Fuel economy (km/L)]])</f>
        <v>3096.7741935483873</v>
      </c>
      <c r="K108" s="44">
        <f>Tabla1[[#This Row],[Consumption (L)]]/$F$454</f>
        <v>2.237553608055193</v>
      </c>
      <c r="L108" s="44">
        <f>Tabla1[[#This Row],[Consumption (ton)]]/1000</f>
        <v>2.2375536080551932E-3</v>
      </c>
      <c r="N108" s="112" t="s">
        <v>136</v>
      </c>
      <c r="O108" s="152">
        <v>5836</v>
      </c>
      <c r="P108" s="152">
        <v>5656</v>
      </c>
      <c r="Q108" s="152">
        <v>5413</v>
      </c>
      <c r="R108" s="152">
        <v>16905</v>
      </c>
      <c r="T108" s="220" t="s">
        <v>510</v>
      </c>
      <c r="U108" s="152">
        <v>66</v>
      </c>
      <c r="V108" s="152">
        <v>71</v>
      </c>
      <c r="W108" s="152">
        <v>77</v>
      </c>
      <c r="X108" s="152">
        <v>214</v>
      </c>
    </row>
    <row r="109" spans="2:24" x14ac:dyDescent="0.35">
      <c r="B109" s="584">
        <v>2015</v>
      </c>
      <c r="C109" s="592" t="s">
        <v>59</v>
      </c>
      <c r="D109" s="40" t="s">
        <v>504</v>
      </c>
      <c r="E109" s="40" t="s">
        <v>226</v>
      </c>
      <c r="F109" s="578" t="s">
        <v>507</v>
      </c>
      <c r="G109" s="577"/>
      <c r="H109" s="575">
        <v>9000</v>
      </c>
      <c r="I109" s="585">
        <v>24</v>
      </c>
      <c r="J109" s="44">
        <f>IF(Tabla1[[#This Row],[Number of vehicle]]="",0,(Tabla1[[#This Row],[Number of vehicle]]*Tabla1[[#This Row],[km travelled]])/Tabla1[[#This Row],[Fuel economy (km/L)]])</f>
        <v>0</v>
      </c>
      <c r="K109" s="44"/>
      <c r="L109" s="44">
        <f>Tabla1[[#This Row],[Consumption (ton)]]/1000</f>
        <v>0</v>
      </c>
      <c r="N109" s="112" t="s">
        <v>117</v>
      </c>
      <c r="O109" s="152">
        <v>9</v>
      </c>
      <c r="P109" s="152">
        <v>10</v>
      </c>
      <c r="Q109" s="152">
        <v>9</v>
      </c>
      <c r="R109" s="152">
        <v>28</v>
      </c>
      <c r="T109" s="111" t="s">
        <v>515</v>
      </c>
      <c r="U109" s="152">
        <v>66</v>
      </c>
      <c r="V109" s="152">
        <v>71</v>
      </c>
      <c r="W109" s="152">
        <v>77</v>
      </c>
      <c r="X109" s="152">
        <v>214</v>
      </c>
    </row>
    <row r="110" spans="2:24" x14ac:dyDescent="0.35">
      <c r="B110" s="584">
        <v>2015</v>
      </c>
      <c r="C110" s="592" t="s">
        <v>59</v>
      </c>
      <c r="D110" s="40" t="s">
        <v>504</v>
      </c>
      <c r="E110" s="40" t="s">
        <v>226</v>
      </c>
      <c r="F110" s="578" t="s">
        <v>505</v>
      </c>
      <c r="G110" s="577"/>
      <c r="H110" s="575">
        <v>9000</v>
      </c>
      <c r="I110" s="585">
        <v>24</v>
      </c>
      <c r="J110" s="44">
        <f>IF(Tabla1[[#This Row],[Number of vehicle]]="",0,(Tabla1[[#This Row],[Number of vehicle]]*Tabla1[[#This Row],[km travelled]])/Tabla1[[#This Row],[Fuel economy (km/L)]])</f>
        <v>0</v>
      </c>
      <c r="K110" s="44"/>
      <c r="L110" s="44">
        <f>Tabla1[[#This Row],[Consumption (ton)]]/1000</f>
        <v>0</v>
      </c>
      <c r="N110" s="220" t="s">
        <v>510</v>
      </c>
      <c r="O110" s="152">
        <v>9721</v>
      </c>
      <c r="P110" s="152">
        <v>7749</v>
      </c>
      <c r="Q110" s="152">
        <v>6537</v>
      </c>
      <c r="R110" s="152">
        <v>24007</v>
      </c>
      <c r="T110" s="112" t="s">
        <v>41</v>
      </c>
      <c r="U110" s="152">
        <v>66</v>
      </c>
      <c r="V110" s="152">
        <v>71</v>
      </c>
      <c r="W110" s="152">
        <v>77</v>
      </c>
      <c r="X110" s="152">
        <v>214</v>
      </c>
    </row>
    <row r="111" spans="2:24" x14ac:dyDescent="0.35">
      <c r="B111" s="584">
        <v>2015</v>
      </c>
      <c r="C111" s="592" t="s">
        <v>59</v>
      </c>
      <c r="D111" s="40" t="s">
        <v>504</v>
      </c>
      <c r="E111" s="40" t="s">
        <v>226</v>
      </c>
      <c r="F111" s="578" t="s">
        <v>507</v>
      </c>
      <c r="G111" s="577">
        <f>1+1203+1+423+31</f>
        <v>1659</v>
      </c>
      <c r="H111" s="575">
        <v>9000</v>
      </c>
      <c r="I111" s="585">
        <v>24</v>
      </c>
      <c r="J111" s="44">
        <f>IF(Tabla1[[#This Row],[Number of vehicle]]="",0,(Tabla1[[#This Row],[Number of vehicle]]*Tabla1[[#This Row],[km travelled]])/Tabla1[[#This Row],[Fuel economy (km/L)]])</f>
        <v>622125</v>
      </c>
      <c r="K111" s="44"/>
      <c r="L111" s="44">
        <f>Tabla1[[#This Row],[Consumption (ton)]]/1000</f>
        <v>0</v>
      </c>
      <c r="N111" s="111" t="s">
        <v>515</v>
      </c>
      <c r="O111" s="152">
        <v>9721</v>
      </c>
      <c r="P111" s="152">
        <v>7749</v>
      </c>
      <c r="Q111" s="152">
        <v>6537</v>
      </c>
      <c r="R111" s="152">
        <v>24007</v>
      </c>
      <c r="T111" s="220" t="s">
        <v>509</v>
      </c>
      <c r="U111" s="152">
        <v>0</v>
      </c>
      <c r="V111" s="152">
        <v>0</v>
      </c>
      <c r="W111" s="152">
        <v>0</v>
      </c>
      <c r="X111" s="152">
        <v>0</v>
      </c>
    </row>
    <row r="112" spans="2:24" x14ac:dyDescent="0.35">
      <c r="B112" s="584">
        <v>2015</v>
      </c>
      <c r="C112" s="592" t="s">
        <v>59</v>
      </c>
      <c r="D112" s="40" t="s">
        <v>504</v>
      </c>
      <c r="E112" s="40" t="s">
        <v>226</v>
      </c>
      <c r="F112" s="578" t="s">
        <v>505</v>
      </c>
      <c r="G112" s="577"/>
      <c r="H112" s="575">
        <v>9000</v>
      </c>
      <c r="I112" s="585">
        <v>24</v>
      </c>
      <c r="J112" s="44">
        <f>IF(Tabla1[[#This Row],[Number of vehicle]]="",0,(Tabla1[[#This Row],[Number of vehicle]]*Tabla1[[#This Row],[km travelled]])/Tabla1[[#This Row],[Fuel economy (km/L)]])</f>
        <v>0</v>
      </c>
      <c r="K112" s="44"/>
      <c r="L112" s="44">
        <f>Tabla1[[#This Row],[Consumption (ton)]]/1000</f>
        <v>0</v>
      </c>
      <c r="N112" s="112" t="s">
        <v>41</v>
      </c>
      <c r="O112" s="152">
        <v>9721</v>
      </c>
      <c r="P112" s="152">
        <v>7749</v>
      </c>
      <c r="Q112" s="152">
        <v>6537</v>
      </c>
      <c r="R112" s="152">
        <v>24007</v>
      </c>
      <c r="T112" s="111" t="s">
        <v>505</v>
      </c>
      <c r="U112" s="152">
        <v>0</v>
      </c>
      <c r="V112" s="152">
        <v>0</v>
      </c>
      <c r="W112" s="152">
        <v>0</v>
      </c>
      <c r="X112" s="152">
        <v>0</v>
      </c>
    </row>
    <row r="113" spans="2:24" x14ac:dyDescent="0.35">
      <c r="B113" s="584">
        <v>2015</v>
      </c>
      <c r="C113" s="592" t="s">
        <v>59</v>
      </c>
      <c r="D113" s="40" t="s">
        <v>504</v>
      </c>
      <c r="E113" s="40" t="s">
        <v>226</v>
      </c>
      <c r="F113" s="578" t="s">
        <v>507</v>
      </c>
      <c r="G113" s="577">
        <f>141+588+3</f>
        <v>732</v>
      </c>
      <c r="H113" s="575">
        <v>9000</v>
      </c>
      <c r="I113" s="585">
        <v>24</v>
      </c>
      <c r="J113" s="44">
        <f>IF(Tabla1[[#This Row],[Number of vehicle]]="",0,(Tabla1[[#This Row],[Number of vehicle]]*Tabla1[[#This Row],[km travelled]])/Tabla1[[#This Row],[Fuel economy (km/L)]])</f>
        <v>274500</v>
      </c>
      <c r="K113" s="44"/>
      <c r="L113" s="44">
        <f>Tabla1[[#This Row],[Consumption (ton)]]/1000</f>
        <v>0</v>
      </c>
      <c r="N113" s="220" t="s">
        <v>509</v>
      </c>
      <c r="O113" s="152">
        <v>19759</v>
      </c>
      <c r="P113" s="152">
        <v>20357</v>
      </c>
      <c r="Q113" s="152">
        <v>21630</v>
      </c>
      <c r="R113" s="152">
        <v>61746</v>
      </c>
      <c r="T113" s="112" t="s">
        <v>41</v>
      </c>
      <c r="U113" s="152">
        <v>0</v>
      </c>
      <c r="V113" s="152">
        <v>0</v>
      </c>
      <c r="W113" s="152">
        <v>0</v>
      </c>
      <c r="X113" s="152">
        <v>0</v>
      </c>
    </row>
    <row r="114" spans="2:24" x14ac:dyDescent="0.35">
      <c r="B114" s="584">
        <v>2015</v>
      </c>
      <c r="C114" s="592" t="s">
        <v>59</v>
      </c>
      <c r="D114" s="40" t="s">
        <v>504</v>
      </c>
      <c r="E114" s="40" t="s">
        <v>226</v>
      </c>
      <c r="F114" s="578" t="s">
        <v>505</v>
      </c>
      <c r="G114" s="577"/>
      <c r="H114" s="575">
        <v>9000</v>
      </c>
      <c r="I114" s="585">
        <v>24</v>
      </c>
      <c r="J114" s="44">
        <f>IF(Tabla1[[#This Row],[Number of vehicle]]="",0,(Tabla1[[#This Row],[Number of vehicle]]*Tabla1[[#This Row],[km travelled]])/Tabla1[[#This Row],[Fuel economy (km/L)]])</f>
        <v>0</v>
      </c>
      <c r="K114" s="44"/>
      <c r="L114" s="44">
        <f>Tabla1[[#This Row],[Consumption (ton)]]/1000</f>
        <v>0</v>
      </c>
      <c r="N114" s="111" t="s">
        <v>507</v>
      </c>
      <c r="O114" s="152">
        <v>3163</v>
      </c>
      <c r="P114" s="152">
        <v>4120</v>
      </c>
      <c r="Q114" s="152">
        <v>5670</v>
      </c>
      <c r="R114" s="152">
        <v>12953</v>
      </c>
      <c r="T114" s="111" t="s">
        <v>515</v>
      </c>
      <c r="U114" s="152"/>
      <c r="V114" s="152"/>
      <c r="W114" s="152"/>
      <c r="X114" s="152"/>
    </row>
    <row r="115" spans="2:24" x14ac:dyDescent="0.35">
      <c r="B115" s="584">
        <v>2015</v>
      </c>
      <c r="C115" s="592" t="s">
        <v>59</v>
      </c>
      <c r="D115" s="40" t="s">
        <v>504</v>
      </c>
      <c r="E115" s="40" t="s">
        <v>226</v>
      </c>
      <c r="F115" s="578" t="s">
        <v>507</v>
      </c>
      <c r="G115" s="577">
        <f>26+7</f>
        <v>33</v>
      </c>
      <c r="H115" s="575">
        <v>9000</v>
      </c>
      <c r="I115" s="585">
        <v>24</v>
      </c>
      <c r="J115" s="44">
        <f>IF(Tabla1[[#This Row],[Number of vehicle]]="",0,(Tabla1[[#This Row],[Number of vehicle]]*Tabla1[[#This Row],[km travelled]])/Tabla1[[#This Row],[Fuel economy (km/L)]])</f>
        <v>12375</v>
      </c>
      <c r="K115" s="44"/>
      <c r="L115" s="44">
        <f>Tabla1[[#This Row],[Consumption (ton)]]/1000</f>
        <v>0</v>
      </c>
      <c r="N115" s="112" t="s">
        <v>41</v>
      </c>
      <c r="O115" s="152">
        <v>3163</v>
      </c>
      <c r="P115" s="152">
        <v>4120</v>
      </c>
      <c r="Q115" s="152">
        <v>5670</v>
      </c>
      <c r="R115" s="152">
        <v>12953</v>
      </c>
      <c r="T115" s="112" t="s">
        <v>41</v>
      </c>
      <c r="U115" s="152"/>
      <c r="V115" s="152"/>
      <c r="W115" s="152"/>
      <c r="X115" s="152"/>
    </row>
    <row r="116" spans="2:24" x14ac:dyDescent="0.35">
      <c r="B116" s="584">
        <v>2015</v>
      </c>
      <c r="C116" s="592" t="s">
        <v>59</v>
      </c>
      <c r="D116" s="40" t="s">
        <v>504</v>
      </c>
      <c r="E116" s="40" t="s">
        <v>226</v>
      </c>
      <c r="F116" s="578" t="s">
        <v>505</v>
      </c>
      <c r="G116" s="577"/>
      <c r="H116" s="575">
        <v>9000</v>
      </c>
      <c r="I116" s="585">
        <v>24</v>
      </c>
      <c r="J116" s="44">
        <f>IF(Tabla1[[#This Row],[Number of vehicle]]="",0,(Tabla1[[#This Row],[Number of vehicle]]*Tabla1[[#This Row],[km travelled]])/Tabla1[[#This Row],[Fuel economy (km/L)]])</f>
        <v>0</v>
      </c>
      <c r="K116" s="44"/>
      <c r="L116" s="44">
        <f>Tabla1[[#This Row],[Consumption (ton)]]/1000</f>
        <v>0</v>
      </c>
      <c r="N116" s="111" t="s">
        <v>505</v>
      </c>
      <c r="O116" s="152">
        <v>16596</v>
      </c>
      <c r="P116" s="152">
        <v>16237</v>
      </c>
      <c r="Q116" s="152">
        <v>15960</v>
      </c>
      <c r="R116" s="152">
        <v>48793</v>
      </c>
      <c r="T116" s="220" t="s">
        <v>511</v>
      </c>
      <c r="U116" s="152">
        <v>847</v>
      </c>
      <c r="V116" s="152">
        <v>877</v>
      </c>
      <c r="W116" s="152">
        <v>922</v>
      </c>
      <c r="X116" s="152">
        <v>2646</v>
      </c>
    </row>
    <row r="117" spans="2:24" x14ac:dyDescent="0.35">
      <c r="B117" s="584">
        <v>2015</v>
      </c>
      <c r="C117" s="592" t="s">
        <v>60</v>
      </c>
      <c r="D117" s="40" t="s">
        <v>504</v>
      </c>
      <c r="E117" s="40" t="s">
        <v>226</v>
      </c>
      <c r="F117" s="571" t="s">
        <v>519</v>
      </c>
      <c r="G117" s="598">
        <v>0</v>
      </c>
      <c r="H117" s="575">
        <v>12000</v>
      </c>
      <c r="I117" s="585">
        <v>24</v>
      </c>
      <c r="J117" s="44">
        <f>IF(Tabla1[[#This Row],[Number of vehicle]]="",0,(Tabla1[[#This Row],[Number of vehicle]]*Tabla1[[#This Row],[km travelled]])/Tabla1[[#This Row],[Fuel economy (km/L)]])</f>
        <v>0</v>
      </c>
      <c r="K117" s="44"/>
      <c r="L117" s="44">
        <f>Tabla1[[#This Row],[Consumption (ton)]]/1000</f>
        <v>0</v>
      </c>
      <c r="N117" s="112" t="s">
        <v>41</v>
      </c>
      <c r="O117" s="152">
        <v>16596</v>
      </c>
      <c r="P117" s="152">
        <v>16237</v>
      </c>
      <c r="Q117" s="152">
        <v>15960</v>
      </c>
      <c r="R117" s="152">
        <v>48793</v>
      </c>
      <c r="T117" s="111" t="s">
        <v>515</v>
      </c>
      <c r="U117" s="152">
        <v>847</v>
      </c>
      <c r="V117" s="152">
        <v>877</v>
      </c>
      <c r="W117" s="152">
        <v>922</v>
      </c>
      <c r="X117" s="152">
        <v>2646</v>
      </c>
    </row>
    <row r="118" spans="2:24" x14ac:dyDescent="0.35">
      <c r="B118" s="584">
        <v>2015</v>
      </c>
      <c r="C118" s="592" t="s">
        <v>60</v>
      </c>
      <c r="D118" s="40" t="s">
        <v>504</v>
      </c>
      <c r="E118" s="40" t="s">
        <v>226</v>
      </c>
      <c r="F118" s="597" t="s">
        <v>507</v>
      </c>
      <c r="G118" s="598">
        <v>0</v>
      </c>
      <c r="H118" s="575">
        <v>12000</v>
      </c>
      <c r="I118" s="585">
        <v>24</v>
      </c>
      <c r="J118" s="44">
        <f>IF(Tabla1[[#This Row],[Number of vehicle]]="",0,(Tabla1[[#This Row],[Number of vehicle]]*Tabla1[[#This Row],[km travelled]])/Tabla1[[#This Row],[Fuel economy (km/L)]])</f>
        <v>0</v>
      </c>
      <c r="K118" s="44"/>
      <c r="L118" s="44">
        <f>Tabla1[[#This Row],[Consumption (ton)]]/1000</f>
        <v>0</v>
      </c>
      <c r="N118" s="220" t="s">
        <v>511</v>
      </c>
      <c r="O118" s="152">
        <v>8771</v>
      </c>
      <c r="P118" s="152">
        <v>8851</v>
      </c>
      <c r="Q118" s="152">
        <v>9252</v>
      </c>
      <c r="R118" s="152">
        <v>26874</v>
      </c>
      <c r="T118" s="112" t="s">
        <v>41</v>
      </c>
      <c r="U118" s="152">
        <v>847</v>
      </c>
      <c r="V118" s="152">
        <v>877</v>
      </c>
      <c r="W118" s="152">
        <v>922</v>
      </c>
      <c r="X118" s="152">
        <v>2646</v>
      </c>
    </row>
    <row r="119" spans="2:24" x14ac:dyDescent="0.35">
      <c r="B119" s="584">
        <v>2015</v>
      </c>
      <c r="C119" s="592" t="s">
        <v>60</v>
      </c>
      <c r="D119" s="40" t="s">
        <v>504</v>
      </c>
      <c r="E119" s="40" t="s">
        <v>226</v>
      </c>
      <c r="F119" s="571" t="s">
        <v>519</v>
      </c>
      <c r="G119" s="598">
        <v>0</v>
      </c>
      <c r="H119" s="575">
        <v>12000</v>
      </c>
      <c r="I119" s="585">
        <v>24</v>
      </c>
      <c r="J119" s="44">
        <f>IF(Tabla1[[#This Row],[Number of vehicle]]="",0,(Tabla1[[#This Row],[Number of vehicle]]*Tabla1[[#This Row],[km travelled]])/Tabla1[[#This Row],[Fuel economy (km/L)]])</f>
        <v>0</v>
      </c>
      <c r="K119" s="44"/>
      <c r="L119" s="44">
        <f>Tabla1[[#This Row],[Consumption (ton)]]/1000</f>
        <v>0</v>
      </c>
      <c r="N119" s="111" t="s">
        <v>515</v>
      </c>
      <c r="O119" s="152">
        <v>8771</v>
      </c>
      <c r="P119" s="152">
        <v>8851</v>
      </c>
      <c r="Q119" s="152">
        <v>9252</v>
      </c>
      <c r="R119" s="152">
        <v>26874</v>
      </c>
      <c r="T119" s="220" t="s">
        <v>266</v>
      </c>
      <c r="U119" s="152">
        <v>7436</v>
      </c>
      <c r="V119" s="152">
        <v>8048</v>
      </c>
      <c r="W119" s="152">
        <v>8694</v>
      </c>
      <c r="X119" s="152">
        <v>24178</v>
      </c>
    </row>
    <row r="120" spans="2:24" x14ac:dyDescent="0.35">
      <c r="B120" s="584">
        <v>2015</v>
      </c>
      <c r="C120" s="592" t="s">
        <v>60</v>
      </c>
      <c r="D120" s="40" t="s">
        <v>504</v>
      </c>
      <c r="E120" s="40" t="s">
        <v>226</v>
      </c>
      <c r="F120" s="597" t="s">
        <v>507</v>
      </c>
      <c r="G120" s="598">
        <v>0</v>
      </c>
      <c r="H120" s="575">
        <v>12000</v>
      </c>
      <c r="I120" s="585">
        <v>24</v>
      </c>
      <c r="J120" s="44">
        <f>IF(Tabla1[[#This Row],[Number of vehicle]]="",0,(Tabla1[[#This Row],[Number of vehicle]]*Tabla1[[#This Row],[km travelled]])/Tabla1[[#This Row],[Fuel economy (km/L)]])</f>
        <v>0</v>
      </c>
      <c r="K120" s="44"/>
      <c r="L120" s="44">
        <f>Tabla1[[#This Row],[Consumption (ton)]]/1000</f>
        <v>0</v>
      </c>
      <c r="N120" s="112" t="s">
        <v>41</v>
      </c>
      <c r="O120" s="152">
        <v>8771</v>
      </c>
      <c r="P120" s="152">
        <v>8851</v>
      </c>
      <c r="Q120" s="152">
        <v>9252</v>
      </c>
      <c r="R120" s="152">
        <v>26874</v>
      </c>
      <c r="T120" s="111" t="s">
        <v>515</v>
      </c>
      <c r="U120" s="152">
        <v>7436</v>
      </c>
      <c r="V120" s="152">
        <v>8048</v>
      </c>
      <c r="W120" s="152">
        <v>8694</v>
      </c>
      <c r="X120" s="152">
        <v>24178</v>
      </c>
    </row>
    <row r="121" spans="2:24" x14ac:dyDescent="0.35">
      <c r="B121" s="584">
        <v>2015</v>
      </c>
      <c r="C121" s="592" t="s">
        <v>60</v>
      </c>
      <c r="D121" s="40" t="s">
        <v>504</v>
      </c>
      <c r="E121" s="40" t="s">
        <v>226</v>
      </c>
      <c r="F121" s="571" t="s">
        <v>519</v>
      </c>
      <c r="G121" s="598">
        <v>0</v>
      </c>
      <c r="H121" s="575">
        <v>12000</v>
      </c>
      <c r="I121" s="585">
        <v>24</v>
      </c>
      <c r="J121" s="44">
        <f>IF(Tabla1[[#This Row],[Number of vehicle]]="",0,(Tabla1[[#This Row],[Number of vehicle]]*Tabla1[[#This Row],[km travelled]])/Tabla1[[#This Row],[Fuel economy (km/L)]])</f>
        <v>0</v>
      </c>
      <c r="K121" s="44"/>
      <c r="L121" s="44">
        <f>Tabla1[[#This Row],[Consumption (ton)]]/1000</f>
        <v>0</v>
      </c>
      <c r="N121" s="220" t="s">
        <v>266</v>
      </c>
      <c r="O121" s="152">
        <v>195611</v>
      </c>
      <c r="P121" s="152">
        <v>210055</v>
      </c>
      <c r="Q121" s="152">
        <v>210100</v>
      </c>
      <c r="R121" s="152">
        <v>615766</v>
      </c>
      <c r="T121" s="112" t="s">
        <v>136</v>
      </c>
      <c r="U121" s="152">
        <v>7436</v>
      </c>
      <c r="V121" s="152">
        <v>8048</v>
      </c>
      <c r="W121" s="152">
        <v>8694</v>
      </c>
      <c r="X121" s="152">
        <v>24178</v>
      </c>
    </row>
    <row r="122" spans="2:24" x14ac:dyDescent="0.35">
      <c r="B122" s="584">
        <v>2015</v>
      </c>
      <c r="C122" s="592" t="s">
        <v>60</v>
      </c>
      <c r="D122" s="40" t="s">
        <v>504</v>
      </c>
      <c r="E122" s="40" t="s">
        <v>226</v>
      </c>
      <c r="F122" s="597" t="s">
        <v>507</v>
      </c>
      <c r="G122" s="598">
        <v>3</v>
      </c>
      <c r="H122" s="575">
        <v>12000</v>
      </c>
      <c r="I122" s="585">
        <v>24</v>
      </c>
      <c r="J122" s="44">
        <f>IF(Tabla1[[#This Row],[Number of vehicle]]="",0,(Tabla1[[#This Row],[Number of vehicle]]*Tabla1[[#This Row],[km travelled]])/Tabla1[[#This Row],[Fuel economy (km/L)]])</f>
        <v>1500</v>
      </c>
      <c r="K122" s="44"/>
      <c r="L122" s="44">
        <f>Tabla1[[#This Row],[Consumption (ton)]]/1000</f>
        <v>0</v>
      </c>
      <c r="N122" s="111" t="s">
        <v>515</v>
      </c>
      <c r="O122" s="152">
        <v>195611</v>
      </c>
      <c r="P122" s="152">
        <v>210055</v>
      </c>
      <c r="Q122" s="152">
        <v>210100</v>
      </c>
      <c r="R122" s="152">
        <v>615766</v>
      </c>
      <c r="T122" s="220" t="s">
        <v>513</v>
      </c>
      <c r="U122" s="152">
        <v>10979</v>
      </c>
      <c r="V122" s="152">
        <v>11937</v>
      </c>
      <c r="W122" s="152">
        <v>12975</v>
      </c>
      <c r="X122" s="152">
        <v>35891</v>
      </c>
    </row>
    <row r="123" spans="2:24" x14ac:dyDescent="0.35">
      <c r="B123" s="584">
        <v>2015</v>
      </c>
      <c r="C123" s="592" t="s">
        <v>60</v>
      </c>
      <c r="D123" s="40" t="s">
        <v>504</v>
      </c>
      <c r="E123" s="40" t="s">
        <v>226</v>
      </c>
      <c r="F123" s="571" t="s">
        <v>519</v>
      </c>
      <c r="G123" s="598">
        <v>0</v>
      </c>
      <c r="H123" s="575">
        <v>12000</v>
      </c>
      <c r="I123" s="585">
        <v>24</v>
      </c>
      <c r="J123" s="44">
        <f>IF(Tabla1[[#This Row],[Number of vehicle]]="",0,(Tabla1[[#This Row],[Number of vehicle]]*Tabla1[[#This Row],[km travelled]])/Tabla1[[#This Row],[Fuel economy (km/L)]])</f>
        <v>0</v>
      </c>
      <c r="K123" s="44"/>
      <c r="L123" s="44">
        <f>Tabla1[[#This Row],[Consumption (ton)]]/1000</f>
        <v>0</v>
      </c>
      <c r="N123" s="112" t="s">
        <v>136</v>
      </c>
      <c r="O123" s="152">
        <v>195611</v>
      </c>
      <c r="P123" s="152">
        <v>210055</v>
      </c>
      <c r="Q123" s="152">
        <v>210100</v>
      </c>
      <c r="R123" s="152">
        <v>615766</v>
      </c>
      <c r="T123"/>
      <c r="U123"/>
      <c r="V123"/>
      <c r="W123"/>
      <c r="X123"/>
    </row>
    <row r="124" spans="2:24" x14ac:dyDescent="0.35">
      <c r="B124" s="584">
        <v>2015</v>
      </c>
      <c r="C124" s="592" t="s">
        <v>60</v>
      </c>
      <c r="D124" s="40" t="s">
        <v>504</v>
      </c>
      <c r="E124" s="40" t="s">
        <v>226</v>
      </c>
      <c r="F124" s="597" t="s">
        <v>507</v>
      </c>
      <c r="G124" s="598">
        <v>0</v>
      </c>
      <c r="H124" s="575">
        <v>12000</v>
      </c>
      <c r="I124" s="585">
        <v>24</v>
      </c>
      <c r="J124" s="44">
        <f>IF(Tabla1[[#This Row],[Number of vehicle]]="",0,(Tabla1[[#This Row],[Number of vehicle]]*Tabla1[[#This Row],[km travelled]])/Tabla1[[#This Row],[Fuel economy (km/L)]])</f>
        <v>0</v>
      </c>
      <c r="K124" s="44"/>
      <c r="L124" s="44">
        <f>Tabla1[[#This Row],[Consumption (ton)]]/1000</f>
        <v>0</v>
      </c>
      <c r="N124" s="220" t="s">
        <v>508</v>
      </c>
      <c r="O124" s="152">
        <v>6911</v>
      </c>
      <c r="P124" s="152">
        <v>6907</v>
      </c>
      <c r="Q124" s="152">
        <v>6905</v>
      </c>
      <c r="R124" s="152">
        <v>20723</v>
      </c>
      <c r="T124"/>
      <c r="U124"/>
      <c r="V124"/>
      <c r="W124"/>
      <c r="X124"/>
    </row>
    <row r="125" spans="2:24" x14ac:dyDescent="0.35">
      <c r="B125" s="584">
        <v>2015</v>
      </c>
      <c r="C125" s="592" t="s">
        <v>59</v>
      </c>
      <c r="D125" s="40" t="s">
        <v>504</v>
      </c>
      <c r="E125" s="40" t="s">
        <v>117</v>
      </c>
      <c r="F125" s="578" t="s">
        <v>505</v>
      </c>
      <c r="G125" s="577">
        <v>6</v>
      </c>
      <c r="H125" s="575">
        <v>14000</v>
      </c>
      <c r="I125" s="585">
        <v>13.7</v>
      </c>
      <c r="J125" s="44">
        <f>IF(Tabla1[[#This Row],[Number of vehicle]]="",0,(Tabla1[[#This Row],[Number of vehicle]]*Tabla1[[#This Row],[km travelled]])/Tabla1[[#This Row],[Fuel economy (km/L)]])</f>
        <v>6131.3868613138693</v>
      </c>
      <c r="K125" s="44">
        <f>Tabla1[[#This Row],[Consumption (L)]]/$F$456</f>
        <v>3.466018576209084</v>
      </c>
      <c r="L125" s="44">
        <f>Tabla1[[#This Row],[Consumption (ton)]]/1000</f>
        <v>3.4660185762090839E-3</v>
      </c>
      <c r="N125" s="111" t="s">
        <v>507</v>
      </c>
      <c r="O125" s="152">
        <v>1477</v>
      </c>
      <c r="P125" s="152">
        <v>1484</v>
      </c>
      <c r="Q125" s="152">
        <v>1484</v>
      </c>
      <c r="R125" s="152">
        <v>4445</v>
      </c>
      <c r="T125"/>
      <c r="U125"/>
      <c r="V125"/>
      <c r="W125"/>
      <c r="X125"/>
    </row>
    <row r="126" spans="2:24" x14ac:dyDescent="0.35">
      <c r="B126" s="584">
        <v>2015</v>
      </c>
      <c r="C126" s="592" t="s">
        <v>59</v>
      </c>
      <c r="D126" s="40" t="s">
        <v>504</v>
      </c>
      <c r="E126" s="40" t="s">
        <v>117</v>
      </c>
      <c r="F126" s="578" t="s">
        <v>507</v>
      </c>
      <c r="G126" s="577">
        <v>1</v>
      </c>
      <c r="H126" s="575">
        <v>14000</v>
      </c>
      <c r="I126" s="585">
        <v>13.7</v>
      </c>
      <c r="J126" s="44">
        <f>IF(Tabla1[[#This Row],[Number of vehicle]]="",0,(Tabla1[[#This Row],[Number of vehicle]]*Tabla1[[#This Row],[km travelled]])/Tabla1[[#This Row],[Fuel economy (km/L)]])</f>
        <v>1021.8978102189782</v>
      </c>
      <c r="K126" s="44">
        <f>Tabla1[[#This Row],[Consumption (L)]]/$F$456</f>
        <v>0.57766976270151393</v>
      </c>
      <c r="L126" s="44">
        <f>Tabla1[[#This Row],[Consumption (ton)]]/1000</f>
        <v>5.7766976270151398E-4</v>
      </c>
      <c r="N126" s="112" t="s">
        <v>41</v>
      </c>
      <c r="O126" s="152">
        <v>266</v>
      </c>
      <c r="P126" s="152">
        <v>266</v>
      </c>
      <c r="Q126" s="152">
        <v>266</v>
      </c>
      <c r="R126" s="152">
        <v>798</v>
      </c>
      <c r="T126"/>
      <c r="U126"/>
      <c r="V126"/>
      <c r="W126"/>
      <c r="X126"/>
    </row>
    <row r="127" spans="2:24" x14ac:dyDescent="0.35">
      <c r="B127" s="584">
        <v>2015</v>
      </c>
      <c r="C127" s="592" t="s">
        <v>59</v>
      </c>
      <c r="D127" s="40" t="s">
        <v>504</v>
      </c>
      <c r="E127" s="40" t="s">
        <v>117</v>
      </c>
      <c r="F127" s="578" t="s">
        <v>505</v>
      </c>
      <c r="G127" s="577">
        <v>19</v>
      </c>
      <c r="H127" s="575">
        <v>14000</v>
      </c>
      <c r="I127" s="585">
        <v>13.698630136986303</v>
      </c>
      <c r="J127" s="44">
        <f>IF(Tabla1[[#This Row],[Number of vehicle]]="",0,(Tabla1[[#This Row],[Number of vehicle]]*Tabla1[[#This Row],[km travelled]])/Tabla1[[#This Row],[Fuel economy (km/L)]])</f>
        <v>19417.999999999996</v>
      </c>
      <c r="K127" s="44">
        <f>Tabla1[[#This Row],[Consumption (L)]]/$F$456</f>
        <v>10.976823063877895</v>
      </c>
      <c r="L127" s="44">
        <f>Tabla1[[#This Row],[Consumption (ton)]]/1000</f>
        <v>1.0976823063877894E-2</v>
      </c>
      <c r="N127" s="112" t="s">
        <v>136</v>
      </c>
      <c r="O127" s="152">
        <v>1211</v>
      </c>
      <c r="P127" s="152">
        <v>1218</v>
      </c>
      <c r="Q127" s="152">
        <v>1218</v>
      </c>
      <c r="R127" s="152">
        <v>3647</v>
      </c>
      <c r="T127"/>
      <c r="U127"/>
      <c r="V127"/>
      <c r="W127"/>
      <c r="X127"/>
    </row>
    <row r="128" spans="2:24" x14ac:dyDescent="0.35">
      <c r="B128" s="584">
        <v>2015</v>
      </c>
      <c r="C128" s="592" t="s">
        <v>59</v>
      </c>
      <c r="D128" s="40" t="s">
        <v>504</v>
      </c>
      <c r="E128" s="40" t="s">
        <v>117</v>
      </c>
      <c r="F128" s="578" t="s">
        <v>507</v>
      </c>
      <c r="G128" s="577">
        <v>3</v>
      </c>
      <c r="H128" s="575">
        <v>14000</v>
      </c>
      <c r="I128" s="585">
        <v>13.698630136986303</v>
      </c>
      <c r="J128" s="44">
        <f>IF(Tabla1[[#This Row],[Number of vehicle]]="",0,(Tabla1[[#This Row],[Number of vehicle]]*Tabla1[[#This Row],[km travelled]])/Tabla1[[#This Row],[Fuel economy (km/L)]])</f>
        <v>3065.9999999999995</v>
      </c>
      <c r="K128" s="44">
        <f>Tabla1[[#This Row],[Consumption (L)]]/$F$456</f>
        <v>1.7331825890333519</v>
      </c>
      <c r="L128" s="44">
        <f>Tabla1[[#This Row],[Consumption (ton)]]/1000</f>
        <v>1.7331825890333518E-3</v>
      </c>
      <c r="N128" s="111" t="s">
        <v>505</v>
      </c>
      <c r="O128" s="152">
        <v>5434</v>
      </c>
      <c r="P128" s="152">
        <v>5423</v>
      </c>
      <c r="Q128" s="152">
        <v>5421</v>
      </c>
      <c r="R128" s="152">
        <v>16278</v>
      </c>
      <c r="T128"/>
      <c r="U128"/>
      <c r="V128"/>
      <c r="W128"/>
      <c r="X128"/>
    </row>
    <row r="129" spans="2:24" x14ac:dyDescent="0.35">
      <c r="B129" s="584">
        <v>2015</v>
      </c>
      <c r="C129" s="592" t="s">
        <v>59</v>
      </c>
      <c r="D129" s="40" t="s">
        <v>504</v>
      </c>
      <c r="E129" s="40" t="s">
        <v>117</v>
      </c>
      <c r="F129" s="578" t="s">
        <v>505</v>
      </c>
      <c r="G129" s="577">
        <v>173</v>
      </c>
      <c r="H129" s="575">
        <v>14000</v>
      </c>
      <c r="I129" s="585">
        <v>13.698630136986303</v>
      </c>
      <c r="J129" s="44">
        <f>IF(Tabla1[[#This Row],[Number of vehicle]]="",0,(Tabla1[[#This Row],[Number of vehicle]]*Tabla1[[#This Row],[km travelled]])/Tabla1[[#This Row],[Fuel economy (km/L)]])</f>
        <v>176805.99999999997</v>
      </c>
      <c r="K129" s="44">
        <f>Tabla1[[#This Row],[Consumption (L)]]/$F$456</f>
        <v>99.946862634256632</v>
      </c>
      <c r="L129" s="44">
        <f>Tabla1[[#This Row],[Consumption (ton)]]/1000</f>
        <v>9.9946862634256631E-2</v>
      </c>
      <c r="N129" s="112" t="s">
        <v>41</v>
      </c>
      <c r="O129" s="152">
        <v>1804</v>
      </c>
      <c r="P129" s="152">
        <v>1785</v>
      </c>
      <c r="Q129" s="152">
        <v>1785</v>
      </c>
      <c r="R129" s="152">
        <v>5374</v>
      </c>
      <c r="T129"/>
      <c r="U129"/>
      <c r="V129"/>
      <c r="W129"/>
      <c r="X129"/>
    </row>
    <row r="130" spans="2:24" x14ac:dyDescent="0.35">
      <c r="B130" s="584">
        <v>2015</v>
      </c>
      <c r="C130" s="592" t="s">
        <v>59</v>
      </c>
      <c r="D130" s="40" t="s">
        <v>504</v>
      </c>
      <c r="E130" s="40" t="s">
        <v>117</v>
      </c>
      <c r="F130" s="578" t="s">
        <v>507</v>
      </c>
      <c r="G130" s="577">
        <v>9</v>
      </c>
      <c r="H130" s="575">
        <v>14000</v>
      </c>
      <c r="I130" s="585">
        <v>13.698630136986303</v>
      </c>
      <c r="J130" s="44">
        <f>IF(Tabla1[[#This Row],[Number of vehicle]]="",0,(Tabla1[[#This Row],[Number of vehicle]]*Tabla1[[#This Row],[km travelled]])/Tabla1[[#This Row],[Fuel economy (km/L)]])</f>
        <v>9197.9999999999982</v>
      </c>
      <c r="K130" s="44">
        <f>Tabla1[[#This Row],[Consumption (L)]]/$F$456</f>
        <v>5.1995477671000554</v>
      </c>
      <c r="L130" s="44">
        <f>Tabla1[[#This Row],[Consumption (ton)]]/1000</f>
        <v>5.199547767100055E-3</v>
      </c>
      <c r="N130" s="112" t="s">
        <v>136</v>
      </c>
      <c r="O130" s="152">
        <v>3630</v>
      </c>
      <c r="P130" s="152">
        <v>3638</v>
      </c>
      <c r="Q130" s="152">
        <v>3636</v>
      </c>
      <c r="R130" s="152">
        <v>10904</v>
      </c>
      <c r="T130"/>
      <c r="U130"/>
      <c r="V130"/>
      <c r="W130"/>
      <c r="X130"/>
    </row>
    <row r="131" spans="2:24" x14ac:dyDescent="0.35">
      <c r="B131" s="584">
        <v>2015</v>
      </c>
      <c r="C131" s="592" t="s">
        <v>59</v>
      </c>
      <c r="D131" s="40" t="s">
        <v>504</v>
      </c>
      <c r="E131" s="40" t="s">
        <v>117</v>
      </c>
      <c r="F131" s="578" t="s">
        <v>505</v>
      </c>
      <c r="G131" s="577">
        <f>5+1</f>
        <v>6</v>
      </c>
      <c r="H131" s="575">
        <v>14000</v>
      </c>
      <c r="I131" s="585">
        <v>13.7</v>
      </c>
      <c r="J131" s="44">
        <f>IF(Tabla1[[#This Row],[Number of vehicle]]="",0,(Tabla1[[#This Row],[Number of vehicle]]*Tabla1[[#This Row],[km travelled]])/Tabla1[[#This Row],[Fuel economy (km/L)]])</f>
        <v>6131.3868613138693</v>
      </c>
      <c r="K131" s="44">
        <f>Tabla1[[#This Row],[Consumption (L)]]/$F$456</f>
        <v>3.466018576209084</v>
      </c>
      <c r="L131" s="44">
        <f>Tabla1[[#This Row],[Consumption (ton)]]/1000</f>
        <v>3.4660185762090839E-3</v>
      </c>
      <c r="N131" s="220" t="s">
        <v>513</v>
      </c>
      <c r="O131" s="152">
        <v>465043</v>
      </c>
      <c r="P131" s="152">
        <v>486130</v>
      </c>
      <c r="Q131" s="152">
        <v>507650</v>
      </c>
      <c r="R131" s="152">
        <v>1458823</v>
      </c>
      <c r="T131"/>
      <c r="U131"/>
      <c r="V131"/>
      <c r="W131"/>
      <c r="X131"/>
    </row>
    <row r="132" spans="2:24" x14ac:dyDescent="0.35">
      <c r="B132" s="584">
        <v>2015</v>
      </c>
      <c r="C132" s="592" t="s">
        <v>59</v>
      </c>
      <c r="D132" s="40" t="s">
        <v>504</v>
      </c>
      <c r="E132" s="40" t="s">
        <v>117</v>
      </c>
      <c r="F132" s="578" t="s">
        <v>507</v>
      </c>
      <c r="G132" s="577">
        <v>4</v>
      </c>
      <c r="H132" s="575">
        <v>14000</v>
      </c>
      <c r="I132" s="585">
        <v>13.7</v>
      </c>
      <c r="J132" s="44">
        <f>IF(Tabla1[[#This Row],[Number of vehicle]]="",0,(Tabla1[[#This Row],[Number of vehicle]]*Tabla1[[#This Row],[km travelled]])/Tabla1[[#This Row],[Fuel economy (km/L)]])</f>
        <v>4087.5912408759127</v>
      </c>
      <c r="K132" s="44">
        <f>Tabla1[[#This Row],[Consumption (L)]]/$F$456</f>
        <v>2.3106790508060557</v>
      </c>
      <c r="L132" s="44">
        <f>Tabla1[[#This Row],[Consumption (ton)]]/1000</f>
        <v>2.3106790508060559E-3</v>
      </c>
      <c r="T132"/>
      <c r="U132"/>
      <c r="V132"/>
      <c r="W132"/>
      <c r="X132"/>
    </row>
    <row r="133" spans="2:24" x14ac:dyDescent="0.35">
      <c r="B133" s="584">
        <v>2016</v>
      </c>
      <c r="C133" s="592" t="s">
        <v>59</v>
      </c>
      <c r="D133" s="40" t="s">
        <v>504</v>
      </c>
      <c r="E133" s="40" t="s">
        <v>41</v>
      </c>
      <c r="F133" s="578" t="s">
        <v>505</v>
      </c>
      <c r="G133" s="577">
        <v>32</v>
      </c>
      <c r="H133" s="575">
        <v>12000</v>
      </c>
      <c r="I133" s="585">
        <v>15.5</v>
      </c>
      <c r="J133" s="44">
        <f>IF(Tabla1[[#This Row],[Number of vehicle]]="",0,(Tabla1[[#This Row],[Number of vehicle]]*Tabla1[[#This Row],[km travelled]])/Tabla1[[#This Row],[Fuel economy (km/L)]])</f>
        <v>24774.193548387098</v>
      </c>
      <c r="K133" s="44">
        <f>Tabla1[[#This Row],[Consumption (L)]]/$F$455</f>
        <v>21.102379513106559</v>
      </c>
      <c r="L133" s="44">
        <f>Tabla1[[#This Row],[Consumption (ton)]]/1000</f>
        <v>2.1102379513106558E-2</v>
      </c>
      <c r="T133"/>
      <c r="U133"/>
      <c r="V133"/>
      <c r="W133"/>
      <c r="X133"/>
    </row>
    <row r="134" spans="2:24" x14ac:dyDescent="0.35">
      <c r="B134" s="584">
        <v>2016</v>
      </c>
      <c r="C134" s="592" t="s">
        <v>59</v>
      </c>
      <c r="D134" s="40" t="s">
        <v>504</v>
      </c>
      <c r="E134" s="40" t="s">
        <v>41</v>
      </c>
      <c r="F134" s="578" t="s">
        <v>507</v>
      </c>
      <c r="G134" s="577">
        <v>2</v>
      </c>
      <c r="H134" s="575">
        <v>12000</v>
      </c>
      <c r="I134" s="585">
        <v>15.5</v>
      </c>
      <c r="J134" s="44">
        <f>IF(Tabla1[[#This Row],[Number of vehicle]]="",0,(Tabla1[[#This Row],[Number of vehicle]]*Tabla1[[#This Row],[km travelled]])/Tabla1[[#This Row],[Fuel economy (km/L)]])</f>
        <v>1548.3870967741937</v>
      </c>
      <c r="K134" s="44">
        <f>Tabla1[[#This Row],[Consumption (L)]]/$F$455</f>
        <v>1.3188987195691599</v>
      </c>
      <c r="L134" s="44">
        <f>Tabla1[[#This Row],[Consumption (ton)]]/1000</f>
        <v>1.3188987195691599E-3</v>
      </c>
    </row>
    <row r="135" spans="2:24" x14ac:dyDescent="0.35">
      <c r="B135" s="584">
        <v>2016</v>
      </c>
      <c r="C135" s="592" t="s">
        <v>59</v>
      </c>
      <c r="D135" s="40" t="s">
        <v>504</v>
      </c>
      <c r="E135" s="40" t="s">
        <v>41</v>
      </c>
      <c r="F135" s="578" t="s">
        <v>505</v>
      </c>
      <c r="G135" s="577">
        <f>752-100</f>
        <v>652</v>
      </c>
      <c r="H135" s="575">
        <v>12000</v>
      </c>
      <c r="I135" s="585">
        <v>15.2</v>
      </c>
      <c r="J135" s="44">
        <f>IF(Tabla1[[#This Row],[Number of vehicle]]="",0,(Tabla1[[#This Row],[Number of vehicle]]*Tabla1[[#This Row],[km travelled]])/Tabla1[[#This Row],[Fuel economy (km/L)]])</f>
        <v>514736.8421052632</v>
      </c>
      <c r="K135" s="44">
        <f>Tabla1[[#This Row],[Consumption (L)]]/$F$455</f>
        <v>438.44705460414241</v>
      </c>
      <c r="L135" s="44">
        <f>Tabla1[[#This Row],[Consumption (ton)]]/1000</f>
        <v>0.43844705460414241</v>
      </c>
      <c r="N135" s="727" t="s">
        <v>535</v>
      </c>
      <c r="O135" s="727"/>
      <c r="P135" s="728"/>
      <c r="Q135" s="27">
        <v>2014</v>
      </c>
      <c r="R135" s="27">
        <v>2015</v>
      </c>
      <c r="S135" s="27">
        <v>2016</v>
      </c>
      <c r="T135" s="574" t="s">
        <v>378</v>
      </c>
    </row>
    <row r="136" spans="2:24" x14ac:dyDescent="0.35">
      <c r="B136" s="584">
        <v>2016</v>
      </c>
      <c r="C136" s="592" t="s">
        <v>59</v>
      </c>
      <c r="D136" s="40" t="s">
        <v>504</v>
      </c>
      <c r="E136" s="40" t="s">
        <v>41</v>
      </c>
      <c r="F136" s="578" t="s">
        <v>507</v>
      </c>
      <c r="G136" s="577">
        <f>331-7</f>
        <v>324</v>
      </c>
      <c r="H136" s="575">
        <v>12000</v>
      </c>
      <c r="I136" s="585">
        <v>15.2</v>
      </c>
      <c r="J136" s="44">
        <f>IF(Tabla1[[#This Row],[Number of vehicle]]="",0,(Tabla1[[#This Row],[Number of vehicle]]*Tabla1[[#This Row],[km travelled]])/Tabla1[[#This Row],[Fuel economy (km/L)]])</f>
        <v>255789.47368421053</v>
      </c>
      <c r="K136" s="44">
        <f>Tabla1[[#This Row],[Consumption (L)]]/$F$455</f>
        <v>217.87859768672106</v>
      </c>
      <c r="L136" s="44">
        <f>Tabla1[[#This Row],[Consumption (ton)]]/1000</f>
        <v>0.21787859768672108</v>
      </c>
      <c r="N136" s="716" t="s">
        <v>531</v>
      </c>
      <c r="O136" s="716" t="s">
        <v>507</v>
      </c>
      <c r="P136" s="27" t="s">
        <v>136</v>
      </c>
      <c r="Q136" s="173">
        <f>GETPIVOTDATA("Number of vehicle",$N$85,"Year",2014,"Type of Vehicle","Car","Fuel type","Gasoline","Technology","3 way catalyst")+GETPIVOTDATA("Number of vehicle",$N$85,"Year",2014,"Type of Vehicle","Taxi","Fuel type","Gasoline","Technology","3 way catalyst")</f>
        <v>71092</v>
      </c>
      <c r="R136" s="173">
        <f>GETPIVOTDATA("Number of vehicle",$N$85,"Year",2015,"Type of Vehicle","Car","Fuel type","Gasoline","Technology","3 way catalyst")+GETPIVOTDATA("Number of vehicle",$N$85,"Year",2015,"Type of Vehicle","Taxi","Fuel type","Gasoline","Technology","3 way catalyst")</f>
        <v>82072</v>
      </c>
      <c r="S136" s="173">
        <f>GETPIVOTDATA("Number of vehicle",$N$85,"Year",2016,"Type of Vehicle","Car","Fuel type","Gasoline","Technology","3 way catalyst")+GETPIVOTDATA("Number of vehicle",$N$85,"Year",2016,"Type of Vehicle","Taxi","Fuel type","Gasoline","Technology","3 way catalyst")</f>
        <v>97940</v>
      </c>
      <c r="T136" s="617">
        <f>AVERAGE((Q136/$Q$157),(R136/$R$157),(S136/$S$157))</f>
        <v>0.17154780645095594</v>
      </c>
    </row>
    <row r="137" spans="2:24" x14ac:dyDescent="0.35">
      <c r="B137" s="584">
        <v>2016</v>
      </c>
      <c r="C137" s="592" t="s">
        <v>59</v>
      </c>
      <c r="D137" s="40" t="s">
        <v>504</v>
      </c>
      <c r="E137" s="40" t="s">
        <v>41</v>
      </c>
      <c r="F137" s="578" t="s">
        <v>505</v>
      </c>
      <c r="G137" s="577">
        <f>2732-530</f>
        <v>2202</v>
      </c>
      <c r="H137" s="575">
        <v>12000</v>
      </c>
      <c r="I137" s="585">
        <v>12.7</v>
      </c>
      <c r="J137" s="44">
        <f>IF(Tabla1[[#This Row],[Number of vehicle]]="",0,(Tabla1[[#This Row],[Number of vehicle]]*Tabla1[[#This Row],[km travelled]])/Tabla1[[#This Row],[Fuel economy (km/L)]])</f>
        <v>2080629.9212598426</v>
      </c>
      <c r="K137" s="44">
        <f>Tabla1[[#This Row],[Consumption (L)]]/$F$455</f>
        <v>1772.2571731344485</v>
      </c>
      <c r="L137" s="44">
        <f>Tabla1[[#This Row],[Consumption (ton)]]/1000</f>
        <v>1.7722571731344485</v>
      </c>
      <c r="N137" s="716"/>
      <c r="O137" s="716"/>
      <c r="P137" s="27" t="s">
        <v>41</v>
      </c>
      <c r="Q137" s="173">
        <f>GETPIVOTDATA("Number of vehicle",$N$85,"Year",2014,"Type of Vehicle","Car","Fuel type","Diesel","Technology","3 way catalyst")+GETPIVOTDATA("Number of vehicle",$N$85,"Year",2014,"Type of Vehicle","Taxi","Fuel type","Diesel","Technology","3 way catalyst")</f>
        <v>5682</v>
      </c>
      <c r="R137" s="173">
        <f>GETPIVOTDATA("Number of vehicle",$N$85,"Year",2015,"Type of Vehicle","Car","Fuel type","Diesel","Technology","3 way catalyst")+GETPIVOTDATA("Number of vehicle",$N$85,"Year",2015,"Type of Vehicle","Taxi","Fuel type","Diesel","Technology","3 way catalyst")</f>
        <v>6388</v>
      </c>
      <c r="S137" s="173">
        <f>GETPIVOTDATA("Number of vehicle",$N$85,"Year",2016,"Type of Vehicle","Car","Fuel type","Diesel","Technology","3 way catalyst")+GETPIVOTDATA("Number of vehicle",$N$85,"Year",2016,"Type of Vehicle","Taxi","Fuel type","Diesel","Technology","3 way catalyst")</f>
        <v>7456</v>
      </c>
      <c r="T137" s="617">
        <f t="shared" ref="T137:T156" si="24">AVERAGE((Q137/$Q$157),(R137/$R$157),(S137/$S$157))</f>
        <v>1.334909344354967E-2</v>
      </c>
    </row>
    <row r="138" spans="2:24" x14ac:dyDescent="0.35">
      <c r="B138" s="584">
        <v>2016</v>
      </c>
      <c r="C138" s="592" t="s">
        <v>59</v>
      </c>
      <c r="D138" s="40" t="s">
        <v>504</v>
      </c>
      <c r="E138" s="40" t="s">
        <v>41</v>
      </c>
      <c r="F138" s="578" t="s">
        <v>507</v>
      </c>
      <c r="G138" s="577">
        <f>1429-129</f>
        <v>1300</v>
      </c>
      <c r="H138" s="575">
        <v>12000</v>
      </c>
      <c r="I138" s="585">
        <v>12.7</v>
      </c>
      <c r="J138" s="44">
        <f>IF(Tabla1[[#This Row],[Number of vehicle]]="",0,(Tabla1[[#This Row],[Number of vehicle]]*Tabla1[[#This Row],[km travelled]])/Tabla1[[#This Row],[Fuel economy (km/L)]])</f>
        <v>1228346.4566929135</v>
      </c>
      <c r="K138" s="44">
        <f>Tabla1[[#This Row],[Consumption (L)]]/$F$455</f>
        <v>1046.2917007605738</v>
      </c>
      <c r="L138" s="44">
        <f>Tabla1[[#This Row],[Consumption (ton)]]/1000</f>
        <v>1.0462917007605739</v>
      </c>
      <c r="N138" s="716"/>
      <c r="O138" s="716"/>
      <c r="P138" s="27" t="s">
        <v>117</v>
      </c>
      <c r="Q138" s="173">
        <f>GETPIVOTDATA("Number of vehicle",$N$85,"Year",2014,"Type of Vehicle","Car","Fuel type","LPG","Technology","3 way catalyst")</f>
        <v>178</v>
      </c>
      <c r="R138" s="173">
        <f>GETPIVOTDATA("Number of vehicle",$N$85,"Year",2015,"Type of Vehicle","Car","Fuel type","LPG","Technology","3 way catalyst")</f>
        <v>17</v>
      </c>
      <c r="S138" s="173">
        <f>GETPIVOTDATA("Number of vehicle",$N$85,"Year",2016,"Type of Vehicle","Car","Fuel type","LPG","Technology","3 way catalyst")</f>
        <v>20</v>
      </c>
      <c r="T138" s="617">
        <f t="shared" si="24"/>
        <v>1.523747146926626E-4</v>
      </c>
    </row>
    <row r="139" spans="2:24" x14ac:dyDescent="0.35">
      <c r="B139" s="584">
        <v>2016</v>
      </c>
      <c r="C139" s="592" t="s">
        <v>59</v>
      </c>
      <c r="D139" s="40" t="s">
        <v>504</v>
      </c>
      <c r="E139" s="40" t="s">
        <v>41</v>
      </c>
      <c r="F139" s="578" t="s">
        <v>505</v>
      </c>
      <c r="G139" s="577">
        <f>6358-1155</f>
        <v>5203</v>
      </c>
      <c r="H139" s="575">
        <v>12000</v>
      </c>
      <c r="I139" s="585">
        <v>10.6</v>
      </c>
      <c r="J139" s="44">
        <f>IF(Tabla1[[#This Row],[Number of vehicle]]="",0,(Tabla1[[#This Row],[Number of vehicle]]*Tabla1[[#This Row],[km travelled]])/Tabla1[[#This Row],[Fuel economy (km/L)]])</f>
        <v>5890188.6792452829</v>
      </c>
      <c r="K139" s="44">
        <f>Tabla1[[#This Row],[Consumption (L)]]/$F$455</f>
        <v>5017.1964899874638</v>
      </c>
      <c r="L139" s="44">
        <f>Tabla1[[#This Row],[Consumption (ton)]]/1000</f>
        <v>5.0171964899874641</v>
      </c>
      <c r="N139" s="716"/>
      <c r="O139" s="716"/>
      <c r="P139" s="27" t="s">
        <v>226</v>
      </c>
      <c r="Q139" s="173">
        <f>GETPIVOTDATA("Number of vehicle",$N$85,"Year",2014,"Type of Vehicle","Car","Fuel type","Hybrid","Technology","3 way catalyst")</f>
        <v>1829</v>
      </c>
      <c r="R139" s="173">
        <f>GETPIVOTDATA("Number of vehicle",$N$85,"Year",2015,"Type of Vehicle","Car","Fuel type","Hybrid","Technology","3 way catalyst")</f>
        <v>2424</v>
      </c>
      <c r="S139" s="173">
        <f>GETPIVOTDATA("Number of vehicle",$N$85,"Year",2016,"Type of Vehicle","Car","Fuel type","Hybrid","Technology","3 way catalyst")</f>
        <v>3777</v>
      </c>
      <c r="T139" s="617">
        <f t="shared" si="24"/>
        <v>5.4532989489967029E-3</v>
      </c>
    </row>
    <row r="140" spans="2:24" x14ac:dyDescent="0.35">
      <c r="B140" s="584">
        <v>2016</v>
      </c>
      <c r="C140" s="592" t="s">
        <v>59</v>
      </c>
      <c r="D140" s="40" t="s">
        <v>504</v>
      </c>
      <c r="E140" s="40" t="s">
        <v>41</v>
      </c>
      <c r="F140" s="578" t="s">
        <v>507</v>
      </c>
      <c r="G140" s="577">
        <f>5192+502-130</f>
        <v>5564</v>
      </c>
      <c r="H140" s="575">
        <v>12000</v>
      </c>
      <c r="I140" s="585">
        <v>10.6</v>
      </c>
      <c r="J140" s="44">
        <f>IF(Tabla1[[#This Row],[Number of vehicle]]="",0,(Tabla1[[#This Row],[Number of vehicle]]*Tabla1[[#This Row],[km travelled]])/Tabla1[[#This Row],[Fuel economy (km/L)]])</f>
        <v>6298867.9245283017</v>
      </c>
      <c r="K140" s="44">
        <f>Tabla1[[#This Row],[Consumption (L)]]/$F$455</f>
        <v>5365.3048760888432</v>
      </c>
      <c r="L140" s="44">
        <f>Tabla1[[#This Row],[Consumption (ton)]]/1000</f>
        <v>5.3653048760888433</v>
      </c>
      <c r="N140" s="716"/>
      <c r="O140" s="716"/>
      <c r="P140" s="27" t="s">
        <v>227</v>
      </c>
      <c r="Q140" s="173">
        <v>9</v>
      </c>
      <c r="R140" s="173">
        <v>10</v>
      </c>
      <c r="S140" s="173">
        <v>11</v>
      </c>
      <c r="T140" s="617">
        <f t="shared" si="24"/>
        <v>2.0531380482178581E-5</v>
      </c>
    </row>
    <row r="141" spans="2:24" x14ac:dyDescent="0.35">
      <c r="B141" s="584">
        <v>2016</v>
      </c>
      <c r="C141" s="592" t="s">
        <v>60</v>
      </c>
      <c r="D141" s="40" t="s">
        <v>504</v>
      </c>
      <c r="E141" s="40" t="s">
        <v>41</v>
      </c>
      <c r="F141" s="571" t="s">
        <v>519</v>
      </c>
      <c r="G141" s="173">
        <v>11</v>
      </c>
      <c r="H141" s="575">
        <v>13500</v>
      </c>
      <c r="I141" s="585">
        <v>15.2</v>
      </c>
      <c r="J141" s="44">
        <f>IF(Tabla1[[#This Row],[Number of vehicle]]="",0,(Tabla1[[#This Row],[Number of vehicle]]*Tabla1[[#This Row],[km travelled]])/Tabla1[[#This Row],[Fuel economy (km/L)]])</f>
        <v>9769.7368421052633</v>
      </c>
      <c r="K141" s="44">
        <f>Tabla1[[#This Row],[Consumption (L)]]/$F$455</f>
        <v>8.3217519949789303</v>
      </c>
      <c r="L141" s="44">
        <f>Tabla1[[#This Row],[Consumption (ton)]]/1000</f>
        <v>8.3217519949789296E-3</v>
      </c>
      <c r="N141" s="716"/>
      <c r="O141" s="716" t="s">
        <v>505</v>
      </c>
      <c r="P141" s="27" t="s">
        <v>136</v>
      </c>
      <c r="Q141" s="173">
        <f>GETPIVOTDATA("Number of vehicle",$N$85,"Year",2014,"Type of Vehicle","Car","Fuel type","Gasoline","Technology","without 3 way catalyst")+GETPIVOTDATA("Number of vehicle",$N$85,"Year",2014,"Type of Vehicle","Taxi","Fuel type","Gasoline","Technology","without 3 way catalyst")</f>
        <v>101023</v>
      </c>
      <c r="R141" s="173">
        <f>GETPIVOTDATA("Number of vehicle",$N$85,"Year",2015,"Type of Vehicle","Car","Fuel type","Gasoline","Technology","without 3 way catalyst")+GETPIVOTDATA("Number of vehicle",$N$85,"Year",2015,"Type of Vehicle","Taxi","Fuel type","Gasoline","Technology","without 3 way catalyst")</f>
        <v>96804</v>
      </c>
      <c r="S141" s="173">
        <f>GETPIVOTDATA("Number of vehicle",$N$85,"Year",2016,"Type of Vehicle","Car","Fuel type","Gasoline","Technology","without 3 way catalyst")+GETPIVOTDATA("Number of vehicle",$N$85,"Year",2016,"Type of Vehicle","Taxi","Fuel type","Gasoline","Technology","without 3 way catalyst")</f>
        <v>97411</v>
      </c>
      <c r="T141" s="617">
        <f t="shared" si="24"/>
        <v>0.20275696237370708</v>
      </c>
    </row>
    <row r="142" spans="2:24" x14ac:dyDescent="0.35">
      <c r="B142" s="584">
        <v>2016</v>
      </c>
      <c r="C142" s="592" t="s">
        <v>60</v>
      </c>
      <c r="D142" s="40" t="s">
        <v>504</v>
      </c>
      <c r="E142" s="40" t="s">
        <v>41</v>
      </c>
      <c r="F142" s="597" t="s">
        <v>507</v>
      </c>
      <c r="G142" s="173">
        <v>0</v>
      </c>
      <c r="H142" s="575">
        <v>13500</v>
      </c>
      <c r="I142" s="585">
        <v>15.2</v>
      </c>
      <c r="J142" s="44">
        <f>IF(Tabla1[[#This Row],[Number of vehicle]]="",0,(Tabla1[[#This Row],[Number of vehicle]]*Tabla1[[#This Row],[km travelled]])/Tabla1[[#This Row],[Fuel economy (km/L)]])</f>
        <v>0</v>
      </c>
      <c r="K142" s="44">
        <f>Tabla1[[#This Row],[Consumption (L)]]/$F$455</f>
        <v>0</v>
      </c>
      <c r="L142" s="44">
        <f>Tabla1[[#This Row],[Consumption (ton)]]/1000</f>
        <v>0</v>
      </c>
      <c r="N142" s="716"/>
      <c r="O142" s="716"/>
      <c r="P142" s="27" t="s">
        <v>41</v>
      </c>
      <c r="Q142" s="173">
        <f>GETPIVOTDATA("Number of vehicle",$N$85,"Year",2014,"Type of Vehicle","Car","Fuel type","Diesel","Technology","without 3 way catalyst")+GETPIVOTDATA("Number of vehicle",$N$85,"Year",2014,"Type of Vehicle","Taxi","Fuel type","Diesel","Technology","without 3 way catalyst")</f>
        <v>10117</v>
      </c>
      <c r="R142" s="173">
        <f>GETPIVOTDATA("Number of vehicle",$N$85,"Year",2015,"Type of Vehicle","Car","Fuel type","Diesel","Technology","without 3 way catalyst")+GETPIVOTDATA("Number of vehicle",$N$85,"Year",2015,"Type of Vehicle","Taxi","Fuel type","Diesel","Technology","without 3 way catalyst")</f>
        <v>10004</v>
      </c>
      <c r="S142" s="173">
        <f>GETPIVOTDATA("Number of vehicle",$N$85,"Year",2016,"Type of Vehicle","Car","Fuel type","Diesel","Technology","without 3 way catalyst")+GETPIVOTDATA("Number of vehicle",$N$85,"Year",2016,"Type of Vehicle","Taxi","Fuel type","Diesel","Technology","without 3 way catalyst")</f>
        <v>9874</v>
      </c>
      <c r="T142" s="617">
        <f t="shared" si="24"/>
        <v>2.0595415326340072E-2</v>
      </c>
    </row>
    <row r="143" spans="2:24" x14ac:dyDescent="0.35">
      <c r="B143" s="584">
        <v>2016</v>
      </c>
      <c r="C143" s="592" t="s">
        <v>60</v>
      </c>
      <c r="D143" s="40" t="s">
        <v>504</v>
      </c>
      <c r="E143" s="40" t="s">
        <v>41</v>
      </c>
      <c r="F143" s="571" t="s">
        <v>519</v>
      </c>
      <c r="G143" s="173">
        <v>12</v>
      </c>
      <c r="H143" s="575">
        <v>13500</v>
      </c>
      <c r="I143" s="585">
        <v>15.2</v>
      </c>
      <c r="J143" s="44">
        <f>IF(Tabla1[[#This Row],[Number of vehicle]]="",0,(Tabla1[[#This Row],[Number of vehicle]]*Tabla1[[#This Row],[km travelled]])/Tabla1[[#This Row],[Fuel economy (km/L)]])</f>
        <v>10657.894736842105</v>
      </c>
      <c r="K143" s="44">
        <f>Tabla1[[#This Row],[Consumption (L)]]/$F$455</f>
        <v>9.0782749036133765</v>
      </c>
      <c r="L143" s="44">
        <f>Tabla1[[#This Row],[Consumption (ton)]]/1000</f>
        <v>9.0782749036133759E-3</v>
      </c>
      <c r="N143" s="716"/>
      <c r="O143" s="716"/>
      <c r="P143" s="27" t="s">
        <v>117</v>
      </c>
      <c r="Q143" s="173">
        <f>GETPIVOTDATA("Number of vehicle",$N$85,"Year",2014,"Type of Vehicle","Car","Fuel type","LPG","Technology","without 3 way catalyst")</f>
        <v>40</v>
      </c>
      <c r="R143" s="173">
        <f>GETPIVOTDATA("Number of vehicle",$N$85,"Year",2015,"Type of Vehicle","Car","Fuel type","LPG","Technology","without 3 way catalyst")</f>
        <v>204</v>
      </c>
      <c r="S143" s="173">
        <f>GETPIVOTDATA("Number of vehicle",$N$85,"Year",2016,"Type of Vehicle","Car","Fuel type","LPG","Technology","without 3 way catalyst")</f>
        <v>203</v>
      </c>
      <c r="T143" s="617">
        <f t="shared" si="24"/>
        <v>3.0186128771993761E-4</v>
      </c>
    </row>
    <row r="144" spans="2:24" x14ac:dyDescent="0.35">
      <c r="B144" s="584">
        <v>2016</v>
      </c>
      <c r="C144" s="592" t="s">
        <v>60</v>
      </c>
      <c r="D144" s="40" t="s">
        <v>504</v>
      </c>
      <c r="E144" s="40" t="s">
        <v>41</v>
      </c>
      <c r="F144" s="597" t="s">
        <v>507</v>
      </c>
      <c r="G144" s="173">
        <v>6</v>
      </c>
      <c r="H144" s="575">
        <v>13500</v>
      </c>
      <c r="I144" s="585">
        <v>15.2</v>
      </c>
      <c r="J144" s="44">
        <f>IF(Tabla1[[#This Row],[Number of vehicle]]="",0,(Tabla1[[#This Row],[Number of vehicle]]*Tabla1[[#This Row],[km travelled]])/Tabla1[[#This Row],[Fuel economy (km/L)]])</f>
        <v>5328.9473684210525</v>
      </c>
      <c r="K144" s="44">
        <f>Tabla1[[#This Row],[Consumption (L)]]/$F$455</f>
        <v>4.5391374518066883</v>
      </c>
      <c r="L144" s="44">
        <f>Tabla1[[#This Row],[Consumption (ton)]]/1000</f>
        <v>4.5391374518066879E-3</v>
      </c>
      <c r="N144" s="716"/>
      <c r="O144" s="716"/>
      <c r="P144" s="27" t="s">
        <v>226</v>
      </c>
      <c r="Q144" s="173">
        <f>GETPIVOTDATA("Suma de Number of vehicle",$N$2,"Year",2014,"Type of Vehicle","Car","Fuel type","Hybrid","Technology","without 3 way catalyst")</f>
        <v>0</v>
      </c>
      <c r="R144" s="173">
        <f>GETPIVOTDATA("Suma de Number of vehicle",$N$2,"Year",2015,"Type of Vehicle","Car","Fuel type","Hybrid","Technology","without 3 way catalyst")</f>
        <v>0</v>
      </c>
      <c r="S144" s="173">
        <f>GETPIVOTDATA("Suma de Number of vehicle",$N$2,"Year",2016,"Type of Vehicle","Car","Fuel type","Hybrid","Technology","without 3 way catalyst")</f>
        <v>0</v>
      </c>
      <c r="T144" s="617">
        <f t="shared" si="24"/>
        <v>0</v>
      </c>
    </row>
    <row r="145" spans="2:20" x14ac:dyDescent="0.35">
      <c r="B145" s="584">
        <v>2016</v>
      </c>
      <c r="C145" s="592" t="s">
        <v>60</v>
      </c>
      <c r="D145" s="40" t="s">
        <v>504</v>
      </c>
      <c r="E145" s="40" t="s">
        <v>41</v>
      </c>
      <c r="F145" s="571" t="s">
        <v>519</v>
      </c>
      <c r="G145" s="173">
        <v>68</v>
      </c>
      <c r="H145" s="575">
        <v>13500</v>
      </c>
      <c r="I145" s="585">
        <v>15.2</v>
      </c>
      <c r="J145" s="44">
        <f>IF(Tabla1[[#This Row],[Number of vehicle]]="",0,(Tabla1[[#This Row],[Number of vehicle]]*Tabla1[[#This Row],[km travelled]])/Tabla1[[#This Row],[Fuel economy (km/L)]])</f>
        <v>60394.736842105267</v>
      </c>
      <c r="K145" s="44">
        <f>Tabla1[[#This Row],[Consumption (L)]]/$F$455</f>
        <v>51.443557787142474</v>
      </c>
      <c r="L145" s="44">
        <f>Tabla1[[#This Row],[Consumption (ton)]]/1000</f>
        <v>5.1443557787142477E-2</v>
      </c>
      <c r="N145" s="716"/>
      <c r="O145" s="716"/>
      <c r="P145" s="27" t="s">
        <v>227</v>
      </c>
      <c r="Q145" s="173">
        <v>0</v>
      </c>
      <c r="R145" s="173">
        <v>1</v>
      </c>
      <c r="S145" s="173">
        <v>2</v>
      </c>
      <c r="T145" s="617">
        <f t="shared" si="24"/>
        <v>1.9989921013457659E-6</v>
      </c>
    </row>
    <row r="146" spans="2:20" x14ac:dyDescent="0.35">
      <c r="B146" s="584">
        <v>2016</v>
      </c>
      <c r="C146" s="592" t="s">
        <v>60</v>
      </c>
      <c r="D146" s="40" t="s">
        <v>504</v>
      </c>
      <c r="E146" s="40" t="s">
        <v>41</v>
      </c>
      <c r="F146" s="597" t="s">
        <v>507</v>
      </c>
      <c r="G146" s="173">
        <v>4</v>
      </c>
      <c r="H146" s="575">
        <v>13500</v>
      </c>
      <c r="I146" s="585">
        <v>15.2</v>
      </c>
      <c r="J146" s="44">
        <f>IF(Tabla1[[#This Row],[Number of vehicle]]="",0,(Tabla1[[#This Row],[Number of vehicle]]*Tabla1[[#This Row],[km travelled]])/Tabla1[[#This Row],[Fuel economy (km/L)]])</f>
        <v>3552.6315789473688</v>
      </c>
      <c r="K146" s="44">
        <f>Tabla1[[#This Row],[Consumption (L)]]/$F$455</f>
        <v>3.0260916345377926</v>
      </c>
      <c r="L146" s="44">
        <f>Tabla1[[#This Row],[Consumption (ton)]]/1000</f>
        <v>3.0260916345377928E-3</v>
      </c>
      <c r="N146" s="722" t="s">
        <v>266</v>
      </c>
      <c r="O146" s="722"/>
      <c r="P146" s="27" t="s">
        <v>136</v>
      </c>
      <c r="Q146" s="173">
        <f>GETPIVOTDATA("Number of vehicle",$N$85,"Year",2014,"Type of Vehicle","Motorcycle","Fuel type","Gasoline","Technology",)</f>
        <v>195611</v>
      </c>
      <c r="R146" s="173">
        <f>GETPIVOTDATA("Number of vehicle",$N$85,"Year",2015,"Type of Vehicle","Motorcycle","Fuel type","Gasoline","Technology",)</f>
        <v>210055</v>
      </c>
      <c r="S146" s="173">
        <f>GETPIVOTDATA("Number of vehicle",$N$85,"Year",2016,"Type of Vehicle","Motorcycle","Fuel type","Gasoline","Technology",)</f>
        <v>210100</v>
      </c>
      <c r="T146" s="617">
        <f t="shared" si="24"/>
        <v>0.42221223208456382</v>
      </c>
    </row>
    <row r="147" spans="2:20" x14ac:dyDescent="0.35">
      <c r="B147" s="584">
        <v>2016</v>
      </c>
      <c r="C147" s="592" t="s">
        <v>60</v>
      </c>
      <c r="D147" s="40" t="s">
        <v>504</v>
      </c>
      <c r="E147" s="40" t="s">
        <v>41</v>
      </c>
      <c r="F147" s="571" t="s">
        <v>519</v>
      </c>
      <c r="G147" s="173">
        <v>310</v>
      </c>
      <c r="H147" s="575">
        <v>13500</v>
      </c>
      <c r="I147" s="585">
        <v>15.2</v>
      </c>
      <c r="J147" s="44">
        <f>IF(Tabla1[[#This Row],[Number of vehicle]]="",0,(Tabla1[[#This Row],[Number of vehicle]]*Tabla1[[#This Row],[km travelled]])/Tabla1[[#This Row],[Fuel economy (km/L)]])</f>
        <v>275328.94736842107</v>
      </c>
      <c r="K147" s="44">
        <f>Tabla1[[#This Row],[Consumption (L)]]/$F$455</f>
        <v>234.52210167667894</v>
      </c>
      <c r="L147" s="44">
        <f>Tabla1[[#This Row],[Consumption (ton)]]/1000</f>
        <v>0.23452210167667895</v>
      </c>
      <c r="N147" s="716" t="s">
        <v>225</v>
      </c>
      <c r="O147" s="716" t="s">
        <v>507</v>
      </c>
      <c r="P147" s="27" t="s">
        <v>136</v>
      </c>
      <c r="Q147" s="173">
        <f>GETPIVOTDATA("Number of vehicle",$N$85,"Year",2014,"Type of Vehicle","DPV","Fuel type","Gasoline","Technology","3 way catalyst")</f>
        <v>659</v>
      </c>
      <c r="R147" s="173">
        <f>GETPIVOTDATA("Number of vehicle",$N$85,"Year",2015,"Type of Vehicle","DPV","Fuel type","Gasoline","Technology","3 way catalyst")</f>
        <v>692</v>
      </c>
      <c r="S147" s="173">
        <f>GETPIVOTDATA("Number of vehicle",$N$85,"Year",2016,"Type of Vehicle","DPV","Fuel type","Gasoline","Technology","3 way catalyst")</f>
        <v>732</v>
      </c>
      <c r="T147" s="617">
        <f t="shared" si="24"/>
        <v>1.4275456245977688E-3</v>
      </c>
    </row>
    <row r="148" spans="2:20" x14ac:dyDescent="0.35">
      <c r="B148" s="584">
        <v>2016</v>
      </c>
      <c r="C148" s="592" t="s">
        <v>60</v>
      </c>
      <c r="D148" s="40" t="s">
        <v>504</v>
      </c>
      <c r="E148" s="40" t="s">
        <v>41</v>
      </c>
      <c r="F148" s="597" t="s">
        <v>507</v>
      </c>
      <c r="G148" s="173">
        <v>34</v>
      </c>
      <c r="H148" s="575">
        <v>13500</v>
      </c>
      <c r="I148" s="585">
        <v>15.2</v>
      </c>
      <c r="J148" s="44">
        <f>IF(Tabla1[[#This Row],[Number of vehicle]]="",0,(Tabla1[[#This Row],[Number of vehicle]]*Tabla1[[#This Row],[km travelled]])/Tabla1[[#This Row],[Fuel economy (km/L)]])</f>
        <v>30197.368421052633</v>
      </c>
      <c r="K148" s="44">
        <f>Tabla1[[#This Row],[Consumption (L)]]/$F$455</f>
        <v>25.721778893571237</v>
      </c>
      <c r="L148" s="44">
        <f>Tabla1[[#This Row],[Consumption (ton)]]/1000</f>
        <v>2.5721778893571239E-2</v>
      </c>
      <c r="N148" s="716"/>
      <c r="O148" s="716"/>
      <c r="P148" s="27" t="s">
        <v>41</v>
      </c>
      <c r="Q148" s="173">
        <f>GETPIVOTDATA("Number of vehicle",$N$85,"Year",2014,"Type of Vehicle","DPV","Fuel type","Diesel","Technology","3 way catalyst")</f>
        <v>11666</v>
      </c>
      <c r="R148" s="173">
        <f>GETPIVOTDATA("Number of vehicle",$N$85,"Year",2015,"Type of Vehicle","DPV","Fuel type","Diesel","Technology","3 way catalyst")</f>
        <v>11681</v>
      </c>
      <c r="S148" s="173">
        <f>GETPIVOTDATA("Number of vehicle",$N$85,"Year",2016,"Type of Vehicle","DPV","Fuel type","Diesel","Technology","3 way catalyst")</f>
        <v>13890</v>
      </c>
      <c r="T148" s="617">
        <f t="shared" si="24"/>
        <v>2.5492666743342218E-2</v>
      </c>
    </row>
    <row r="149" spans="2:20" x14ac:dyDescent="0.35">
      <c r="B149" s="584">
        <v>2016</v>
      </c>
      <c r="C149" s="592" t="s">
        <v>59</v>
      </c>
      <c r="D149" s="40" t="s">
        <v>504</v>
      </c>
      <c r="E149" s="40" t="s">
        <v>136</v>
      </c>
      <c r="F149" s="578" t="s">
        <v>505</v>
      </c>
      <c r="G149" s="577">
        <v>11650</v>
      </c>
      <c r="H149" s="575">
        <v>12000</v>
      </c>
      <c r="I149" s="585">
        <v>15.5</v>
      </c>
      <c r="J149" s="44">
        <f>IF(Tabla1[[#This Row],[Number of vehicle]]="",0,(Tabla1[[#This Row],[Number of vehicle]]*Tabla1[[#This Row],[km travelled]])/Tabla1[[#This Row],[Fuel economy (km/L)]])</f>
        <v>9019354.8387096766</v>
      </c>
      <c r="K149" s="44">
        <f>Tabla1[[#This Row],[Consumption (L)]]/$F$454</f>
        <v>6516.8748834607486</v>
      </c>
      <c r="L149" s="44">
        <f>Tabla1[[#This Row],[Consumption (ton)]]/1000</f>
        <v>6.5168748834607486</v>
      </c>
      <c r="N149" s="716"/>
      <c r="O149" s="716"/>
      <c r="P149" s="27" t="s">
        <v>117</v>
      </c>
      <c r="Q149" s="173">
        <f>GETPIVOTDATA("Number of vehicle",$N$85,"Year",2014,"Type of Vehicle","DPV","Fuel type","LPG","Technology","3 way catalyst")</f>
        <v>5</v>
      </c>
      <c r="R149" s="173">
        <f>GETPIVOTDATA("Number of vehicle",$N$85,"Year",2015,"Type of Vehicle","DPV","Fuel type","LPG","Technology","3 way catalyst")</f>
        <v>4</v>
      </c>
      <c r="S149" s="173">
        <f>GETPIVOTDATA("Number of vehicle",$N$85,"Year",2016,"Type of Vehicle","DPV","Fuel type","LPG","Technology","3 way catalyst")</f>
        <v>5</v>
      </c>
      <c r="T149" s="617">
        <f t="shared" si="24"/>
        <v>9.6099863423360647E-6</v>
      </c>
    </row>
    <row r="150" spans="2:20" x14ac:dyDescent="0.35">
      <c r="B150" s="584">
        <v>2016</v>
      </c>
      <c r="C150" s="592" t="s">
        <v>59</v>
      </c>
      <c r="D150" s="40" t="s">
        <v>504</v>
      </c>
      <c r="E150" s="40" t="s">
        <v>136</v>
      </c>
      <c r="F150" s="578" t="s">
        <v>507</v>
      </c>
      <c r="G150" s="577">
        <f>8826+1061</f>
        <v>9887</v>
      </c>
      <c r="H150" s="575">
        <v>11500</v>
      </c>
      <c r="I150" s="585">
        <v>15.5</v>
      </c>
      <c r="J150" s="44">
        <f>IF(Tabla1[[#This Row],[Number of vehicle]]="",0,(Tabla1[[#This Row],[Number of vehicle]]*Tabla1[[#This Row],[km travelled]])/Tabla1[[#This Row],[Fuel economy (km/L)]])</f>
        <v>7335516.1290322579</v>
      </c>
      <c r="K150" s="44">
        <f>Tabla1[[#This Row],[Consumption (L)]]/$F$454</f>
        <v>5300.2284169308223</v>
      </c>
      <c r="L150" s="44">
        <f>Tabla1[[#This Row],[Consumption (ton)]]/1000</f>
        <v>5.300228416930822</v>
      </c>
      <c r="N150" s="716"/>
      <c r="O150" s="716" t="s">
        <v>505</v>
      </c>
      <c r="P150" s="27" t="s">
        <v>136</v>
      </c>
      <c r="Q150" s="173">
        <f>GETPIVOTDATA("Number of vehicle",$N$85,"Year",2014,"Type of Vehicle","DPV","Fuel type","Gasoline","Technology","without 3 way catalyst")</f>
        <v>5836</v>
      </c>
      <c r="R150" s="173">
        <f>GETPIVOTDATA("Number of vehicle",$N$85,"Year",2015,"Type of Vehicle","DPV","Fuel type","Gasoline","Technology","without 3 way catalyst")</f>
        <v>5656</v>
      </c>
      <c r="S150" s="173">
        <f>GETPIVOTDATA("Number of vehicle",$N$85,"Year",2016,"Type of Vehicle","DPV","Fuel type","Gasoline","Technology","without 3 way catalyst")</f>
        <v>5413</v>
      </c>
      <c r="T150" s="617">
        <f t="shared" si="24"/>
        <v>1.161603968528417E-2</v>
      </c>
    </row>
    <row r="151" spans="2:20" x14ac:dyDescent="0.35">
      <c r="B151" s="584">
        <v>2016</v>
      </c>
      <c r="C151" s="592" t="s">
        <v>59</v>
      </c>
      <c r="D151" s="40" t="s">
        <v>504</v>
      </c>
      <c r="E151" s="40" t="s">
        <v>136</v>
      </c>
      <c r="F151" s="578" t="s">
        <v>505</v>
      </c>
      <c r="G151" s="577">
        <f>66127-2369</f>
        <v>63758</v>
      </c>
      <c r="H151" s="575">
        <v>11500</v>
      </c>
      <c r="I151" s="585">
        <v>13.5</v>
      </c>
      <c r="J151" s="44">
        <f>IF(Tabla1[[#This Row],[Number of vehicle]]="",0,(Tabla1[[#This Row],[Number of vehicle]]*Tabla1[[#This Row],[km travelled]])/Tabla1[[#This Row],[Fuel economy (km/L)]])</f>
        <v>54312370.370370373</v>
      </c>
      <c r="K151" s="44">
        <f>Tabla1[[#This Row],[Consumption (L)]]/$F$454</f>
        <v>39243.042175123104</v>
      </c>
      <c r="L151" s="44">
        <f>Tabla1[[#This Row],[Consumption (ton)]]/1000</f>
        <v>39.243042175123101</v>
      </c>
      <c r="N151" s="716"/>
      <c r="O151" s="716"/>
      <c r="P151" s="27" t="s">
        <v>41</v>
      </c>
      <c r="Q151" s="173">
        <f>GETPIVOTDATA("Number of vehicle",$N$85,"Year",2014,"Type of Vehicle","DPV","Fuel type","Diesel","Technology","without 3 way catalyst")</f>
        <v>19801</v>
      </c>
      <c r="R151" s="173">
        <f>GETPIVOTDATA("Number of vehicle",$N$85,"Year",2015,"Type of Vehicle","DPV","Fuel type","Diesel","Technology","without 3 way catalyst")</f>
        <v>19610</v>
      </c>
      <c r="S151" s="173">
        <f>GETPIVOTDATA("Number of vehicle",$N$85,"Year",2016,"Type of Vehicle","DPV","Fuel type","Diesel","Technology","without 3 way catalyst")</f>
        <v>19573</v>
      </c>
      <c r="T151" s="617">
        <f t="shared" si="24"/>
        <v>4.0492623049056452E-2</v>
      </c>
    </row>
    <row r="152" spans="2:20" x14ac:dyDescent="0.35">
      <c r="B152" s="584">
        <v>2016</v>
      </c>
      <c r="C152" s="592" t="s">
        <v>59</v>
      </c>
      <c r="D152" s="40" t="s">
        <v>504</v>
      </c>
      <c r="E152" s="40" t="s">
        <v>136</v>
      </c>
      <c r="F152" s="578" t="s">
        <v>507</v>
      </c>
      <c r="G152" s="577">
        <f>60670-790</f>
        <v>59880</v>
      </c>
      <c r="H152" s="575">
        <v>11500</v>
      </c>
      <c r="I152" s="585">
        <v>13.5</v>
      </c>
      <c r="J152" s="44">
        <f>IF(Tabla1[[#This Row],[Number of vehicle]]="",0,(Tabla1[[#This Row],[Number of vehicle]]*Tabla1[[#This Row],[km travelled]])/Tabla1[[#This Row],[Fuel economy (km/L)]])</f>
        <v>51008888.888888888</v>
      </c>
      <c r="K152" s="44">
        <f>Tabla1[[#This Row],[Consumption (L)]]/$F$454</f>
        <v>36856.133590237638</v>
      </c>
      <c r="L152" s="44">
        <f>Tabla1[[#This Row],[Consumption (ton)]]/1000</f>
        <v>36.85613359023764</v>
      </c>
      <c r="N152" s="716"/>
      <c r="O152" s="716"/>
      <c r="P152" s="27" t="s">
        <v>117</v>
      </c>
      <c r="Q152" s="173">
        <f>GETPIVOTDATA("Number of vehicle",$N$85,"Year",2014,"Type of Vehicle","DPV","Fuel type","LPG","Technology","without 3 way catalyst")</f>
        <v>9</v>
      </c>
      <c r="R152" s="173">
        <f>GETPIVOTDATA("Number of vehicle",$N$85,"Year",2015,"Type of Vehicle","DPV","Fuel type","LPG","Technology","without 3 way catalyst")</f>
        <v>10</v>
      </c>
      <c r="S152" s="173">
        <f>GETPIVOTDATA("Number of vehicle",$N$85,"Year",2016,"Type of Vehicle","DPV","Fuel type","LPG","Technology","without 3 way catalyst")</f>
        <v>9</v>
      </c>
      <c r="T152" s="617">
        <f t="shared" si="24"/>
        <v>1.9218173361181643E-5</v>
      </c>
    </row>
    <row r="153" spans="2:20" x14ac:dyDescent="0.35">
      <c r="B153" s="584">
        <v>2016</v>
      </c>
      <c r="C153" s="592" t="s">
        <v>59</v>
      </c>
      <c r="D153" s="40" t="s">
        <v>504</v>
      </c>
      <c r="E153" s="40" t="s">
        <v>136</v>
      </c>
      <c r="F153" s="578" t="s">
        <v>505</v>
      </c>
      <c r="G153" s="577">
        <f>17951-1086</f>
        <v>16865</v>
      </c>
      <c r="H153" s="575">
        <v>11500</v>
      </c>
      <c r="I153" s="585">
        <v>10.3</v>
      </c>
      <c r="J153" s="44">
        <f>IF(Tabla1[[#This Row],[Number of vehicle]]="",0,(Tabla1[[#This Row],[Number of vehicle]]*Tabla1[[#This Row],[km travelled]])/Tabla1[[#This Row],[Fuel economy (km/L)]])</f>
        <v>18829854.368932039</v>
      </c>
      <c r="K153" s="44">
        <f>Tabla1[[#This Row],[Consumption (L)]]/$F$454</f>
        <v>13605.386104719681</v>
      </c>
      <c r="L153" s="44">
        <f>Tabla1[[#This Row],[Consumption (ton)]]/1000</f>
        <v>13.605386104719681</v>
      </c>
      <c r="N153" s="27" t="s">
        <v>532</v>
      </c>
      <c r="O153" s="27" t="s">
        <v>507</v>
      </c>
      <c r="P153" s="27" t="s">
        <v>41</v>
      </c>
      <c r="Q153" s="173">
        <f>GETPIVOTDATA("Number of vehicle",$N$85,"Year",2014,"Type of Vehicle","Light duty trucks","Fuel type","Diesel","Technology","3 way catalyst")</f>
        <v>3163</v>
      </c>
      <c r="R153" s="173">
        <f>GETPIVOTDATA("Number of vehicle",$N$85,"Year",2015,"Type of Vehicle","Light duty trucks","Fuel type","Diesel","Technology","3 way catalyst")</f>
        <v>4120</v>
      </c>
      <c r="S153" s="173">
        <f>GETPIVOTDATA("Number of vehicle",$N$85,"Year",2016,"Type of Vehicle","Light duty trucks","Fuel type","Diesel","Technology","3 way catalyst")</f>
        <v>5670</v>
      </c>
      <c r="T153" s="617">
        <f t="shared" si="24"/>
        <v>8.8155062910939535E-3</v>
      </c>
    </row>
    <row r="154" spans="2:20" x14ac:dyDescent="0.35">
      <c r="B154" s="584">
        <v>2016</v>
      </c>
      <c r="C154" s="592" t="s">
        <v>59</v>
      </c>
      <c r="D154" s="40" t="s">
        <v>504</v>
      </c>
      <c r="E154" s="40" t="s">
        <v>136</v>
      </c>
      <c r="F154" s="578" t="s">
        <v>507</v>
      </c>
      <c r="G154" s="577">
        <f>25105-365</f>
        <v>24740</v>
      </c>
      <c r="H154" s="575">
        <v>11500</v>
      </c>
      <c r="I154" s="585">
        <v>10.3</v>
      </c>
      <c r="J154" s="44">
        <f>IF(Tabla1[[#This Row],[Number of vehicle]]="",0,(Tabla1[[#This Row],[Number of vehicle]]*Tabla1[[#This Row],[km travelled]])/Tabla1[[#This Row],[Fuel economy (km/L)]])</f>
        <v>27622330.097087376</v>
      </c>
      <c r="K154" s="44">
        <f>Tabla1[[#This Row],[Consumption (L)]]/$F$454</f>
        <v>19958.33099500533</v>
      </c>
      <c r="L154" s="44">
        <f>Tabla1[[#This Row],[Consumption (ton)]]/1000</f>
        <v>19.95833099500533</v>
      </c>
      <c r="N154" s="27"/>
      <c r="O154" s="27" t="s">
        <v>505</v>
      </c>
      <c r="P154" s="27" t="s">
        <v>41</v>
      </c>
      <c r="Q154" s="173">
        <f>GETPIVOTDATA("Number of vehicle",$N$85,"Year",2014,"Type of Vehicle","Light duty trucks","Fuel type","Diesel","Technology","without 3 way catalyst")</f>
        <v>16596</v>
      </c>
      <c r="R154" s="173">
        <f>GETPIVOTDATA("Number of vehicle",$N$85,"Year",2015,"Type of Vehicle","Light duty trucks","Fuel type","Diesel","Technology","without 3 way catalyst")</f>
        <v>16237</v>
      </c>
      <c r="S154" s="173">
        <f>GETPIVOTDATA("Number of vehicle",$N$85,"Year",2016,"Type of Vehicle","Light duty trucks","Fuel type","Diesel","Technology","without 3 way catalyst")</f>
        <v>15960</v>
      </c>
      <c r="T154" s="617">
        <f t="shared" si="24"/>
        <v>3.3509927501833452E-2</v>
      </c>
    </row>
    <row r="155" spans="2:20" x14ac:dyDescent="0.35">
      <c r="B155" s="584">
        <v>2016</v>
      </c>
      <c r="C155" s="592" t="s">
        <v>59</v>
      </c>
      <c r="D155" s="40" t="s">
        <v>504</v>
      </c>
      <c r="E155" s="40" t="s">
        <v>136</v>
      </c>
      <c r="F155" s="578" t="s">
        <v>505</v>
      </c>
      <c r="G155" s="577">
        <f>1683-181</f>
        <v>1502</v>
      </c>
      <c r="H155" s="575">
        <v>11500</v>
      </c>
      <c r="I155" s="585">
        <v>7.6</v>
      </c>
      <c r="J155" s="44">
        <f>IF(Tabla1[[#This Row],[Number of vehicle]]="",0,(Tabla1[[#This Row],[Number of vehicle]]*Tabla1[[#This Row],[km travelled]])/Tabla1[[#This Row],[Fuel economy (km/L)]])</f>
        <v>2272763.1578947371</v>
      </c>
      <c r="K155" s="44">
        <f>Tabla1[[#This Row],[Consumption (L)]]/$F$454</f>
        <v>1642.1699117736539</v>
      </c>
      <c r="L155" s="44">
        <f>Tabla1[[#This Row],[Consumption (ton)]]/1000</f>
        <v>1.6421699117736539</v>
      </c>
      <c r="N155" s="27" t="s">
        <v>533</v>
      </c>
      <c r="O155" s="27"/>
      <c r="P155" s="27" t="s">
        <v>41</v>
      </c>
      <c r="Q155" s="173">
        <f>GETPIVOTDATA("Number of vehicle",$N$85,"Year",2014,"Type of Vehicle","Heavy duty trucks","Fuel type","Diesel","Technology",)+GETPIVOTDATA("Number of vehicle",$N$85,"Year",2014,"Type of Vehicle","Medium duty","Fuel type","Diesel","Technology",)</f>
        <v>18492</v>
      </c>
      <c r="R155" s="173">
        <f>GETPIVOTDATA("Number of vehicle",$N$85,"Year",2015,"Type of Vehicle","Heavy duty trucks","Fuel type","Diesel","Technology",)+GETPIVOTDATA("Number of vehicle",$N$85,"Year",2014,"Type of Vehicle","Medium duty","Fuel type","Diesel","Technology",)</f>
        <v>16520</v>
      </c>
      <c r="S155" s="173">
        <f>GETPIVOTDATA("Number of vehicle",$N$85,"Year",2016,"Type of Vehicle","Heavy duty trucks","Fuel type","Diesel","Technology",)+GETPIVOTDATA("Number of vehicle",$N$85,"Year",2016,"Type of Vehicle","Medium duty","Fuel type","Diesel","Technology",)</f>
        <v>15789</v>
      </c>
      <c r="T155" s="617">
        <f t="shared" si="24"/>
        <v>3.4950713254542569E-2</v>
      </c>
    </row>
    <row r="156" spans="2:20" x14ac:dyDescent="0.35">
      <c r="B156" s="584">
        <v>2016</v>
      </c>
      <c r="C156" s="592" t="s">
        <v>59</v>
      </c>
      <c r="D156" s="40" t="s">
        <v>504</v>
      </c>
      <c r="E156" s="40" t="s">
        <v>136</v>
      </c>
      <c r="F156" s="578" t="s">
        <v>507</v>
      </c>
      <c r="G156" s="577">
        <f>110+2168-63</f>
        <v>2215</v>
      </c>
      <c r="H156" s="575">
        <v>11500</v>
      </c>
      <c r="I156" s="585">
        <v>7.6</v>
      </c>
      <c r="J156" s="44">
        <f>IF(Tabla1[[#This Row],[Number of vehicle]]="",0,(Tabla1[[#This Row],[Number of vehicle]]*Tabla1[[#This Row],[km travelled]])/Tabla1[[#This Row],[Fuel economy (km/L)]])</f>
        <v>3351644.7368421056</v>
      </c>
      <c r="K156" s="44">
        <f>Tabla1[[#This Row],[Consumption (L)]]/$F$454</f>
        <v>2421.7086248859146</v>
      </c>
      <c r="L156" s="44">
        <f>Tabla1[[#This Row],[Consumption (ton)]]/1000</f>
        <v>2.4217086248859148</v>
      </c>
      <c r="N156" s="27" t="s">
        <v>275</v>
      </c>
      <c r="O156" s="27"/>
      <c r="P156" s="27" t="s">
        <v>41</v>
      </c>
      <c r="Q156" s="173">
        <f>GETPIVOTDATA("Number of vehicle",$N$85,"Year",2014,"Type of Vehicle","Buses","Fuel type","Diesel","Technology",)</f>
        <v>3244</v>
      </c>
      <c r="R156" s="173">
        <f>GETPIVOTDATA("Number of vehicle",$N$85,"Year",2015,"Type of Vehicle","Buses","Fuel type","Diesel","Technology",)</f>
        <v>3552</v>
      </c>
      <c r="S156" s="173">
        <f>GETPIVOTDATA("Number of vehicle",$N$85,"Year",2016,"Type of Vehicle","Buses","Fuel type","Diesel","Technology",)</f>
        <v>3828</v>
      </c>
      <c r="T156" s="617">
        <f t="shared" si="24"/>
        <v>7.2745746874365051E-3</v>
      </c>
    </row>
    <row r="157" spans="2:20" x14ac:dyDescent="0.35">
      <c r="B157" s="584">
        <v>2016</v>
      </c>
      <c r="C157" s="592" t="s">
        <v>60</v>
      </c>
      <c r="D157" s="40" t="s">
        <v>504</v>
      </c>
      <c r="E157" s="40" t="s">
        <v>136</v>
      </c>
      <c r="F157" s="571" t="s">
        <v>519</v>
      </c>
      <c r="G157" s="173">
        <v>104</v>
      </c>
      <c r="H157" s="575">
        <v>16000</v>
      </c>
      <c r="I157" s="585">
        <v>15.5</v>
      </c>
      <c r="J157" s="44">
        <f>IF(Tabla1[[#This Row],[Number of vehicle]]="",0,(Tabla1[[#This Row],[Number of vehicle]]*Tabla1[[#This Row],[km travelled]])/Tabla1[[#This Row],[Fuel economy (km/L)]])</f>
        <v>107354.83870967742</v>
      </c>
      <c r="K157" s="44">
        <f>Tabla1[[#This Row],[Consumption (L)]]/$F$454</f>
        <v>77.568525079246697</v>
      </c>
      <c r="L157" s="44">
        <f>Tabla1[[#This Row],[Consumption (ton)]]/1000</f>
        <v>7.7568525079246692E-2</v>
      </c>
      <c r="N157" s="724" t="s">
        <v>534</v>
      </c>
      <c r="O157" s="725"/>
      <c r="P157" s="726"/>
      <c r="Q157" s="173">
        <f>SUM(Q136:Q156)</f>
        <v>465052</v>
      </c>
      <c r="R157" s="173">
        <f t="shared" ref="R157:S157" si="25">SUM(R136:R156)</f>
        <v>486061</v>
      </c>
      <c r="S157" s="173">
        <f t="shared" si="25"/>
        <v>507663</v>
      </c>
    </row>
    <row r="158" spans="2:20" x14ac:dyDescent="0.35">
      <c r="B158" s="584">
        <v>2016</v>
      </c>
      <c r="C158" s="592" t="s">
        <v>60</v>
      </c>
      <c r="D158" s="40" t="s">
        <v>504</v>
      </c>
      <c r="E158" s="40" t="s">
        <v>136</v>
      </c>
      <c r="F158" s="597" t="s">
        <v>507</v>
      </c>
      <c r="G158" s="173">
        <f>40+6</f>
        <v>46</v>
      </c>
      <c r="H158" s="575">
        <v>16000</v>
      </c>
      <c r="I158" s="585">
        <v>15.5</v>
      </c>
      <c r="J158" s="44">
        <f>IF(Tabla1[[#This Row],[Number of vehicle]]="",0,(Tabla1[[#This Row],[Number of vehicle]]*Tabla1[[#This Row],[km travelled]])/Tabla1[[#This Row],[Fuel economy (km/L)]])</f>
        <v>47483.870967741932</v>
      </c>
      <c r="K158" s="44">
        <f>Tabla1[[#This Row],[Consumption (L)]]/$F$454</f>
        <v>34.309155323512954</v>
      </c>
      <c r="L158" s="44">
        <f>Tabla1[[#This Row],[Consumption (ton)]]/1000</f>
        <v>3.4309155323512953E-2</v>
      </c>
    </row>
    <row r="159" spans="2:20" x14ac:dyDescent="0.35">
      <c r="B159" s="584">
        <v>2016</v>
      </c>
      <c r="C159" s="592" t="s">
        <v>60</v>
      </c>
      <c r="D159" s="40" t="s">
        <v>504</v>
      </c>
      <c r="E159" s="40" t="s">
        <v>136</v>
      </c>
      <c r="F159" s="571" t="s">
        <v>519</v>
      </c>
      <c r="G159" s="173">
        <v>439</v>
      </c>
      <c r="H159" s="575">
        <v>16000</v>
      </c>
      <c r="I159" s="585">
        <v>15.5</v>
      </c>
      <c r="J159" s="44">
        <f>IF(Tabla1[[#This Row],[Number of vehicle]]="",0,(Tabla1[[#This Row],[Number of vehicle]]*Tabla1[[#This Row],[km travelled]])/Tabla1[[#This Row],[Fuel economy (km/L)]])</f>
        <v>453161.29032258067</v>
      </c>
      <c r="K159" s="44">
        <f>Tabla1[[#This Row],[Consumption (L)]]/$F$454</f>
        <v>327.42867797874328</v>
      </c>
      <c r="L159" s="44">
        <f>Tabla1[[#This Row],[Consumption (ton)]]/1000</f>
        <v>0.32742867797874325</v>
      </c>
      <c r="N159" s="727" t="s">
        <v>536</v>
      </c>
      <c r="O159" s="727"/>
      <c r="P159" s="728"/>
      <c r="Q159" s="27">
        <v>2014</v>
      </c>
      <c r="R159" s="27">
        <v>2015</v>
      </c>
      <c r="S159" s="27">
        <v>2016</v>
      </c>
      <c r="T159" s="574" t="s">
        <v>378</v>
      </c>
    </row>
    <row r="160" spans="2:20" x14ac:dyDescent="0.35">
      <c r="B160" s="584">
        <v>2016</v>
      </c>
      <c r="C160" s="592" t="s">
        <v>60</v>
      </c>
      <c r="D160" s="40" t="s">
        <v>504</v>
      </c>
      <c r="E160" s="40" t="s">
        <v>136</v>
      </c>
      <c r="F160" s="597" t="s">
        <v>507</v>
      </c>
      <c r="G160" s="173">
        <f>145+9</f>
        <v>154</v>
      </c>
      <c r="H160" s="575">
        <v>16000</v>
      </c>
      <c r="I160" s="585">
        <v>15.5</v>
      </c>
      <c r="J160" s="44">
        <f>IF(Tabla1[[#This Row],[Number of vehicle]]="",0,(Tabla1[[#This Row],[Number of vehicle]]*Tabla1[[#This Row],[km travelled]])/Tabla1[[#This Row],[Fuel economy (km/L)]])</f>
        <v>158967.74193548388</v>
      </c>
      <c r="K160" s="44">
        <f>Tabla1[[#This Row],[Consumption (L)]]/$F$454</f>
        <v>114.86108521349992</v>
      </c>
      <c r="L160" s="44">
        <f>Tabla1[[#This Row],[Consumption (ton)]]/1000</f>
        <v>0.11486108521349991</v>
      </c>
      <c r="N160" s="716" t="s">
        <v>531</v>
      </c>
      <c r="O160" s="716" t="s">
        <v>507</v>
      </c>
      <c r="P160" s="27" t="s">
        <v>136</v>
      </c>
      <c r="Q160" s="173">
        <f>GETPIVOTDATA("Number of vehicle",$T$85,"Year",2014,"Type of Vehicle","Car","Fuel type","Gasoline","Technology","3 way catalyst")</f>
        <v>169</v>
      </c>
      <c r="R160" s="173">
        <f>GETPIVOTDATA("Number of vehicle",$T$85,"Year",2015,"Type of Vehicle","Car","Fuel type","Gasoline","Technology","3 way catalyst")</f>
        <v>129</v>
      </c>
      <c r="S160" s="173">
        <f>GETPIVOTDATA("Number of vehicle",$T$85,"Year",2016,"Type of Vehicle","Car","Fuel type","Gasoline","Technology","3 way catalyst")</f>
        <v>276</v>
      </c>
      <c r="T160" s="617">
        <f>AVERAGE((Q160/$Q$181),(R160/$R$181),(S160/$S$181))</f>
        <v>1.582381156840483E-2</v>
      </c>
    </row>
    <row r="161" spans="2:51" x14ac:dyDescent="0.35">
      <c r="B161" s="584">
        <v>2016</v>
      </c>
      <c r="C161" s="592" t="s">
        <v>60</v>
      </c>
      <c r="D161" s="40" t="s">
        <v>504</v>
      </c>
      <c r="E161" s="40" t="s">
        <v>136</v>
      </c>
      <c r="F161" s="571" t="s">
        <v>519</v>
      </c>
      <c r="G161" s="173">
        <v>121</v>
      </c>
      <c r="H161" s="575">
        <v>16000</v>
      </c>
      <c r="I161" s="585">
        <v>15.5</v>
      </c>
      <c r="J161" s="44">
        <f>IF(Tabla1[[#This Row],[Number of vehicle]]="",0,(Tabla1[[#This Row],[Number of vehicle]]*Tabla1[[#This Row],[km travelled]])/Tabla1[[#This Row],[Fuel economy (km/L)]])</f>
        <v>124903.22580645161</v>
      </c>
      <c r="K161" s="44">
        <f>Tabla1[[#This Row],[Consumption (L)]]/$F$454</f>
        <v>90.247995524892772</v>
      </c>
      <c r="L161" s="44">
        <f>Tabla1[[#This Row],[Consumption (ton)]]/1000</f>
        <v>9.0247995524892766E-2</v>
      </c>
      <c r="N161" s="716"/>
      <c r="O161" s="716"/>
      <c r="P161" s="27" t="s">
        <v>41</v>
      </c>
      <c r="Q161" s="173">
        <f>GETPIVOTDATA("Number of vehicle",$T$85,"Year",2014,"Type of Vehicle","Car","Fuel type","Diesel","Technology","3 way catalyst")</f>
        <v>69</v>
      </c>
      <c r="R161" s="173">
        <f>GETPIVOTDATA("Number of vehicle",$T$85,"Year",2015,"Type of Vehicle","Car","Fuel type","Diesel","Technology","3 way catalyst")</f>
        <v>26</v>
      </c>
      <c r="S161" s="173">
        <f>GETPIVOTDATA("Number of vehicle",$T$85,"Year",2016,"Type of Vehicle","Car","Fuel type","Diesel","Technology","3 way catalyst")</f>
        <v>44</v>
      </c>
      <c r="T161" s="617">
        <f t="shared" ref="T161:T180" si="26">AVERAGE((Q161/$Q$181),(R161/$R$181),(S161/$S$181))</f>
        <v>3.9513212956539309E-3</v>
      </c>
    </row>
    <row r="162" spans="2:51" x14ac:dyDescent="0.35">
      <c r="B162" s="584">
        <v>2016</v>
      </c>
      <c r="C162" s="592" t="s">
        <v>60</v>
      </c>
      <c r="D162" s="40" t="s">
        <v>504</v>
      </c>
      <c r="E162" s="40" t="s">
        <v>136</v>
      </c>
      <c r="F162" s="597" t="s">
        <v>507</v>
      </c>
      <c r="G162" s="173">
        <f>67+2</f>
        <v>69</v>
      </c>
      <c r="H162" s="575">
        <v>16000</v>
      </c>
      <c r="I162" s="585">
        <v>15.5</v>
      </c>
      <c r="J162" s="44">
        <f>IF(Tabla1[[#This Row],[Number of vehicle]]="",0,(Tabla1[[#This Row],[Number of vehicle]]*Tabla1[[#This Row],[km travelled]])/Tabla1[[#This Row],[Fuel economy (km/L)]])</f>
        <v>71225.806451612909</v>
      </c>
      <c r="K162" s="44">
        <f>Tabla1[[#This Row],[Consumption (L)]]/$F$454</f>
        <v>51.463732985269445</v>
      </c>
      <c r="L162" s="44">
        <f>Tabla1[[#This Row],[Consumption (ton)]]/1000</f>
        <v>5.1463732985269448E-2</v>
      </c>
      <c r="N162" s="716"/>
      <c r="O162" s="716"/>
      <c r="P162" s="27" t="s">
        <v>117</v>
      </c>
      <c r="Q162" s="173"/>
      <c r="R162" s="173"/>
      <c r="S162" s="173"/>
      <c r="T162" s="617">
        <f t="shared" si="26"/>
        <v>0</v>
      </c>
    </row>
    <row r="163" spans="2:51" x14ac:dyDescent="0.35">
      <c r="B163" s="584">
        <v>2016</v>
      </c>
      <c r="C163" s="592" t="s">
        <v>60</v>
      </c>
      <c r="D163" s="40" t="s">
        <v>504</v>
      </c>
      <c r="E163" s="40" t="s">
        <v>136</v>
      </c>
      <c r="F163" s="571" t="s">
        <v>519</v>
      </c>
      <c r="G163" s="173">
        <v>13</v>
      </c>
      <c r="H163" s="575">
        <v>16000</v>
      </c>
      <c r="I163" s="585">
        <v>15.5</v>
      </c>
      <c r="J163" s="44">
        <f>IF(Tabla1[[#This Row],[Number of vehicle]]="",0,(Tabla1[[#This Row],[Number of vehicle]]*Tabla1[[#This Row],[km travelled]])/Tabla1[[#This Row],[Fuel economy (km/L)]])</f>
        <v>13419.354838709678</v>
      </c>
      <c r="K163" s="44">
        <f>Tabla1[[#This Row],[Consumption (L)]]/$F$454</f>
        <v>9.6960656349058372</v>
      </c>
      <c r="L163" s="44">
        <f>Tabla1[[#This Row],[Consumption (ton)]]/1000</f>
        <v>9.6960656349058365E-3</v>
      </c>
      <c r="N163" s="716"/>
      <c r="O163" s="716"/>
      <c r="P163" s="27" t="s">
        <v>226</v>
      </c>
      <c r="Q163" s="173">
        <f>GETPIVOTDATA("Number of vehicle",$T$85,"Year",2014,"Type of Vehicle","Car","Fuel type","Hybrid","Technology","3 way catalyst")</f>
        <v>3</v>
      </c>
      <c r="R163" s="173">
        <f>GETPIVOTDATA("Number of vehicle",$T$85,"Year",2015,"Type of Vehicle","Car","Fuel type","Hybrid","Technology","3 way catalyst")</f>
        <v>3</v>
      </c>
      <c r="S163" s="173">
        <f>GETPIVOTDATA("Number of vehicle",$T$85,"Year",2016,"Type of Vehicle","Car","Fuel type","Hybrid","Technology","3 way catalyst")</f>
        <v>6</v>
      </c>
      <c r="T163" s="617">
        <f t="shared" si="26"/>
        <v>3.2899870081049042E-4</v>
      </c>
    </row>
    <row r="164" spans="2:51" s="110" customFormat="1" x14ac:dyDescent="0.35">
      <c r="B164" s="584">
        <v>2016</v>
      </c>
      <c r="C164" s="592" t="s">
        <v>60</v>
      </c>
      <c r="D164" s="40" t="s">
        <v>504</v>
      </c>
      <c r="E164" s="40" t="s">
        <v>136</v>
      </c>
      <c r="F164" s="597" t="s">
        <v>507</v>
      </c>
      <c r="G164" s="173">
        <v>7</v>
      </c>
      <c r="H164" s="575">
        <v>16000</v>
      </c>
      <c r="I164" s="585">
        <v>15.5</v>
      </c>
      <c r="J164" s="44">
        <f>IF(Tabla1[[#This Row],[Number of vehicle]]="",0,(Tabla1[[#This Row],[Number of vehicle]]*Tabla1[[#This Row],[km travelled]])/Tabla1[[#This Row],[Fuel economy (km/L)]])</f>
        <v>7225.8064516129034</v>
      </c>
      <c r="K164" s="44">
        <f>Tabla1[[#This Row],[Consumption (L)]]/$F$454</f>
        <v>5.2209584187954503</v>
      </c>
      <c r="L164" s="44">
        <f>Tabla1[[#This Row],[Consumption (ton)]]/1000</f>
        <v>5.2209584187954501E-3</v>
      </c>
      <c r="N164" s="716"/>
      <c r="O164" s="716"/>
      <c r="P164" s="27" t="s">
        <v>227</v>
      </c>
      <c r="Q164" s="173"/>
      <c r="R164" s="173"/>
      <c r="S164" s="173"/>
      <c r="T164" s="617">
        <f t="shared" si="26"/>
        <v>0</v>
      </c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</row>
    <row r="165" spans="2:51" x14ac:dyDescent="0.35">
      <c r="B165" s="584">
        <v>2016</v>
      </c>
      <c r="C165" s="592" t="s">
        <v>59</v>
      </c>
      <c r="D165" s="40" t="s">
        <v>504</v>
      </c>
      <c r="E165" s="40" t="s">
        <v>226</v>
      </c>
      <c r="F165" s="578" t="s">
        <v>507</v>
      </c>
      <c r="G165" s="577"/>
      <c r="H165" s="575">
        <v>9000</v>
      </c>
      <c r="I165" s="585">
        <v>24</v>
      </c>
      <c r="J165" s="44">
        <f>IF(Tabla1[[#This Row],[Number of vehicle]]="",0,(Tabla1[[#This Row],[Number of vehicle]]*Tabla1[[#This Row],[km travelled]])/Tabla1[[#This Row],[Fuel economy (km/L)]])</f>
        <v>0</v>
      </c>
      <c r="K165" s="44"/>
      <c r="L165" s="44">
        <f>Tabla1[[#This Row],[Consumption (ton)]]/1000</f>
        <v>0</v>
      </c>
      <c r="N165" s="716"/>
      <c r="O165" s="716" t="s">
        <v>505</v>
      </c>
      <c r="P165" s="27" t="s">
        <v>136</v>
      </c>
      <c r="Q165" s="173">
        <f>GETPIVOTDATA("Number of vehicle",$T$85,"Year",2014,"Type of Vehicle","Car","Fuel type","Gasoline","Technology","without 3 way catalyst")</f>
        <v>525</v>
      </c>
      <c r="R165" s="173">
        <f>GETPIVOTDATA("Number of vehicle",$T$85,"Year",2015,"Type of Vehicle","Car","Fuel type","Gasoline","Technology","without 3 way catalyst")</f>
        <v>677</v>
      </c>
      <c r="S165" s="173">
        <f>GETPIVOTDATA("Number of vehicle",$T$85,"Year",2016,"Type of Vehicle","Car","Fuel type","Gasoline","Technology","without 3 way catalyst")</f>
        <v>677</v>
      </c>
      <c r="T165" s="617">
        <f t="shared" si="26"/>
        <v>5.2236748012531982E-2</v>
      </c>
      <c r="U165"/>
      <c r="V165"/>
      <c r="W165"/>
      <c r="X165"/>
    </row>
    <row r="166" spans="2:51" x14ac:dyDescent="0.35">
      <c r="B166" s="584">
        <v>2016</v>
      </c>
      <c r="C166" s="592" t="s">
        <v>59</v>
      </c>
      <c r="D166" s="40" t="s">
        <v>504</v>
      </c>
      <c r="E166" s="40" t="s">
        <v>226</v>
      </c>
      <c r="F166" s="578" t="s">
        <v>505</v>
      </c>
      <c r="G166" s="577"/>
      <c r="H166" s="575">
        <v>9000</v>
      </c>
      <c r="I166" s="585">
        <v>24</v>
      </c>
      <c r="J166" s="44">
        <f>IF(Tabla1[[#This Row],[Number of vehicle]]="",0,(Tabla1[[#This Row],[Number of vehicle]]*Tabla1[[#This Row],[km travelled]])/Tabla1[[#This Row],[Fuel economy (km/L)]])</f>
        <v>0</v>
      </c>
      <c r="K166" s="44"/>
      <c r="L166" s="44">
        <f>Tabla1[[#This Row],[Consumption (ton)]]/1000</f>
        <v>0</v>
      </c>
      <c r="N166" s="716"/>
      <c r="O166" s="716"/>
      <c r="P166" s="27" t="s">
        <v>41</v>
      </c>
      <c r="Q166" s="173">
        <f>GETPIVOTDATA("Number of vehicle",$T$85,"Year",2014,"Type of Vehicle","Car","Fuel type","Diesel","Technology","without 3 way catalyst")</f>
        <v>403</v>
      </c>
      <c r="R166" s="173">
        <f>GETPIVOTDATA("Number of vehicle",$T$85,"Year",2015,"Type of Vehicle","Car","Fuel type","Diesel","Technology","without 3 way catalyst")</f>
        <v>401</v>
      </c>
      <c r="S166" s="173">
        <f>GETPIVOTDATA("Number of vehicle",$T$85,"Year",2016,"Type of Vehicle","Car","Fuel type","Diesel","Technology","without 3 way catalyst")</f>
        <v>401</v>
      </c>
      <c r="T166" s="617">
        <f t="shared" si="26"/>
        <v>3.3735019103198864E-2</v>
      </c>
      <c r="U166"/>
      <c r="V166"/>
      <c r="W166"/>
      <c r="X166"/>
    </row>
    <row r="167" spans="2:51" x14ac:dyDescent="0.35">
      <c r="B167" s="584">
        <v>2016</v>
      </c>
      <c r="C167" s="592" t="s">
        <v>59</v>
      </c>
      <c r="D167" s="40" t="s">
        <v>504</v>
      </c>
      <c r="E167" s="40" t="s">
        <v>226</v>
      </c>
      <c r="F167" s="578" t="s">
        <v>507</v>
      </c>
      <c r="G167" s="577">
        <f>3+31+2896</f>
        <v>2930</v>
      </c>
      <c r="H167" s="575">
        <v>9000</v>
      </c>
      <c r="I167" s="585">
        <v>24</v>
      </c>
      <c r="J167" s="44">
        <f>IF(Tabla1[[#This Row],[Number of vehicle]]="",0,(Tabla1[[#This Row],[Number of vehicle]]*Tabla1[[#This Row],[km travelled]])/Tabla1[[#This Row],[Fuel economy (km/L)]])</f>
        <v>1098750</v>
      </c>
      <c r="K167" s="44"/>
      <c r="L167" s="44">
        <f>Tabla1[[#This Row],[Consumption (ton)]]/1000</f>
        <v>0</v>
      </c>
      <c r="N167" s="716"/>
      <c r="O167" s="716"/>
      <c r="P167" s="27" t="s">
        <v>117</v>
      </c>
      <c r="Q167" s="173"/>
      <c r="R167" s="173"/>
      <c r="S167" s="173"/>
      <c r="T167" s="617">
        <f t="shared" si="26"/>
        <v>0</v>
      </c>
      <c r="U167"/>
      <c r="V167"/>
      <c r="W167"/>
      <c r="X167"/>
    </row>
    <row r="168" spans="2:51" s="110" customFormat="1" x14ac:dyDescent="0.35">
      <c r="B168" s="584">
        <v>2016</v>
      </c>
      <c r="C168" s="592" t="s">
        <v>59</v>
      </c>
      <c r="D168" s="40" t="s">
        <v>504</v>
      </c>
      <c r="E168" s="40" t="s">
        <v>226</v>
      </c>
      <c r="F168" s="581" t="s">
        <v>505</v>
      </c>
      <c r="G168" s="577"/>
      <c r="H168" s="575">
        <v>9000</v>
      </c>
      <c r="I168" s="576">
        <v>24</v>
      </c>
      <c r="J168" s="44">
        <f>IF(Tabla1[[#This Row],[Number of vehicle]]="",0,(Tabla1[[#This Row],[Number of vehicle]]*Tabla1[[#This Row],[km travelled]])/Tabla1[[#This Row],[Fuel economy (km/L)]])</f>
        <v>0</v>
      </c>
      <c r="K168" s="44"/>
      <c r="L168" s="44">
        <f>Tabla1[[#This Row],[Consumption (ton)]]/1000</f>
        <v>0</v>
      </c>
      <c r="N168" s="716"/>
      <c r="O168" s="716"/>
      <c r="P168" s="27" t="s">
        <v>226</v>
      </c>
      <c r="Q168" s="173">
        <f>GETPIVOTDATA("Number of vehicle",$T$85,"Year",2014,"Type of Vehicle","Car","Fuel type","Hybrid","Technology","without 3 way catalyst")</f>
        <v>0</v>
      </c>
      <c r="R168" s="173">
        <f>GETPIVOTDATA("Number of vehicle",$T$85,"Year",2015,"Type of Vehicle","Car","Fuel type","Hybrid","Technology","without 3 way catalyst")</f>
        <v>0</v>
      </c>
      <c r="S168" s="173">
        <f>GETPIVOTDATA("Number of vehicle",$T$85,"Year",2016,"Type of Vehicle","Car","Fuel type","Hybrid","Technology","without 3 way catalyst")</f>
        <v>0</v>
      </c>
      <c r="T168" s="617">
        <f t="shared" si="26"/>
        <v>0</v>
      </c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</row>
    <row r="169" spans="2:51" s="110" customFormat="1" x14ac:dyDescent="0.35">
      <c r="B169" s="584">
        <v>2016</v>
      </c>
      <c r="C169" s="592" t="s">
        <v>59</v>
      </c>
      <c r="D169" s="40" t="s">
        <v>504</v>
      </c>
      <c r="E169" s="40" t="s">
        <v>226</v>
      </c>
      <c r="F169" s="581" t="s">
        <v>507</v>
      </c>
      <c r="G169" s="577">
        <f>218+595</f>
        <v>813</v>
      </c>
      <c r="H169" s="575">
        <v>9000</v>
      </c>
      <c r="I169" s="576">
        <v>24</v>
      </c>
      <c r="J169" s="44">
        <f>IF(Tabla1[[#This Row],[Number of vehicle]]="",0,(Tabla1[[#This Row],[Number of vehicle]]*Tabla1[[#This Row],[km travelled]])/Tabla1[[#This Row],[Fuel economy (km/L)]])</f>
        <v>304875</v>
      </c>
      <c r="K169" s="44"/>
      <c r="L169" s="44">
        <f>Tabla1[[#This Row],[Consumption (ton)]]/1000</f>
        <v>0</v>
      </c>
      <c r="N169" s="716"/>
      <c r="O169" s="716"/>
      <c r="P169" s="27" t="s">
        <v>227</v>
      </c>
      <c r="Q169" s="173"/>
      <c r="R169" s="173"/>
      <c r="S169" s="173"/>
      <c r="T169" s="617">
        <f t="shared" si="26"/>
        <v>0</v>
      </c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</row>
    <row r="170" spans="2:51" s="110" customFormat="1" x14ac:dyDescent="0.35">
      <c r="B170" s="584">
        <v>2016</v>
      </c>
      <c r="C170" s="592" t="s">
        <v>59</v>
      </c>
      <c r="D170" s="40" t="s">
        <v>504</v>
      </c>
      <c r="E170" s="40" t="s">
        <v>226</v>
      </c>
      <c r="F170" s="581" t="s">
        <v>505</v>
      </c>
      <c r="G170" s="577"/>
      <c r="H170" s="575">
        <v>9000</v>
      </c>
      <c r="I170" s="576">
        <v>24</v>
      </c>
      <c r="J170" s="44">
        <f>IF(Tabla1[[#This Row],[Number of vehicle]]="",0,(Tabla1[[#This Row],[Number of vehicle]]*Tabla1[[#This Row],[km travelled]])/Tabla1[[#This Row],[Fuel economy (km/L)]])</f>
        <v>0</v>
      </c>
      <c r="K170" s="44"/>
      <c r="L170" s="44">
        <f>Tabla1[[#This Row],[Consumption (ton)]]/1000</f>
        <v>0</v>
      </c>
      <c r="N170" s="722" t="s">
        <v>266</v>
      </c>
      <c r="O170" s="722"/>
      <c r="P170" s="27" t="s">
        <v>136</v>
      </c>
      <c r="Q170" s="173">
        <f>GETPIVOTDATA("Number of vehicle",$T$85,"Year",2014,"Type of Vehicle","Motorcycle","Fuel type","Gasoline","Technology",)</f>
        <v>7436</v>
      </c>
      <c r="R170" s="173">
        <f>GETPIVOTDATA("Number of vehicle",$T$85,"Year",2015,"Type of Vehicle","Motorcycle","Fuel type","Gasoline","Technology",)</f>
        <v>8048</v>
      </c>
      <c r="S170" s="173">
        <f>GETPIVOTDATA("Number of vehicle",$T$85,"Year",2016,"Type of Vehicle","Motorcycle","Fuel type","Gasoline","Technology",)</f>
        <v>8694</v>
      </c>
      <c r="T170" s="617">
        <f t="shared" si="26"/>
        <v>0.67385235562677381</v>
      </c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</row>
    <row r="171" spans="2:51" x14ac:dyDescent="0.35">
      <c r="B171" s="584">
        <v>2016</v>
      </c>
      <c r="C171" s="592" t="s">
        <v>59</v>
      </c>
      <c r="D171" s="40" t="s">
        <v>504</v>
      </c>
      <c r="E171" s="40" t="s">
        <v>226</v>
      </c>
      <c r="F171" s="578" t="s">
        <v>507</v>
      </c>
      <c r="G171" s="577">
        <f>8+26</f>
        <v>34</v>
      </c>
      <c r="H171" s="575">
        <v>9000</v>
      </c>
      <c r="I171" s="585">
        <v>24</v>
      </c>
      <c r="J171" s="44">
        <f>IF(Tabla1[[#This Row],[Number of vehicle]]="",0,(Tabla1[[#This Row],[Number of vehicle]]*Tabla1[[#This Row],[km travelled]])/Tabla1[[#This Row],[Fuel economy (km/L)]])</f>
        <v>12750</v>
      </c>
      <c r="K171" s="44"/>
      <c r="L171" s="44">
        <f>Tabla1[[#This Row],[Consumption (ton)]]/1000</f>
        <v>0</v>
      </c>
      <c r="N171" s="716" t="s">
        <v>225</v>
      </c>
      <c r="O171" s="716" t="s">
        <v>507</v>
      </c>
      <c r="P171" s="27" t="s">
        <v>136</v>
      </c>
      <c r="Q171" s="173">
        <f>GETPIVOTDATA("Number of vehicle",$T$85,"Year",2014,"Type of Vehicle","DPV","Fuel type","Gasoline","Technology","3 way catalyst")</f>
        <v>6</v>
      </c>
      <c r="R171" s="173">
        <f>GETPIVOTDATA("Number of vehicle",$T$85,"Year",2015,"Type of Vehicle","DPV","Fuel type","Gasoline","Technology","3 way catalyst")</f>
        <v>6</v>
      </c>
      <c r="S171" s="173">
        <f>GETPIVOTDATA("Number of vehicle",$T$85,"Year",2016,"Type of Vehicle","DPV","Fuel type","Gasoline","Technology","3 way catalyst")</f>
        <v>12</v>
      </c>
      <c r="T171" s="617">
        <f t="shared" si="26"/>
        <v>6.5799740162098084E-4</v>
      </c>
      <c r="U171"/>
      <c r="V171"/>
      <c r="W171"/>
      <c r="X171"/>
    </row>
    <row r="172" spans="2:51" x14ac:dyDescent="0.35">
      <c r="B172" s="584">
        <v>2016</v>
      </c>
      <c r="C172" s="592" t="s">
        <v>59</v>
      </c>
      <c r="D172" s="40" t="s">
        <v>504</v>
      </c>
      <c r="E172" s="40" t="s">
        <v>226</v>
      </c>
      <c r="F172" s="578" t="s">
        <v>505</v>
      </c>
      <c r="G172" s="577"/>
      <c r="H172" s="575">
        <v>9000</v>
      </c>
      <c r="I172" s="585">
        <v>24</v>
      </c>
      <c r="J172" s="44">
        <f>IF(Tabla1[[#This Row],[Number of vehicle]]="",0,(Tabla1[[#This Row],[Number of vehicle]]*Tabla1[[#This Row],[km travelled]])/Tabla1[[#This Row],[Fuel economy (km/L)]])</f>
        <v>0</v>
      </c>
      <c r="K172" s="44"/>
      <c r="L172" s="44">
        <f>Tabla1[[#This Row],[Consumption (ton)]]/1000</f>
        <v>0</v>
      </c>
      <c r="N172" s="716"/>
      <c r="O172" s="716"/>
      <c r="P172" s="27" t="s">
        <v>41</v>
      </c>
      <c r="Q172" s="173">
        <f>GETPIVOTDATA("Number of vehicle",$T$85,"Year",2014,"Type of Vehicle","DPV","Fuel type","Diesel","Technology","3 way catalyst")</f>
        <v>340</v>
      </c>
      <c r="R172" s="173">
        <f>GETPIVOTDATA("Number of vehicle",$T$85,"Year",2015,"Type of Vehicle","DPV","Fuel type","Diesel","Technology","3 way catalyst")</f>
        <v>585</v>
      </c>
      <c r="S172" s="173">
        <f>GETPIVOTDATA("Number of vehicle",$T$85,"Year",2016,"Type of Vehicle","DPV","Fuel type","Diesel","Technology","3 way catalyst")</f>
        <v>685</v>
      </c>
      <c r="T172" s="617">
        <f t="shared" si="26"/>
        <v>4.4256444867092244E-2</v>
      </c>
      <c r="U172"/>
      <c r="V172"/>
      <c r="W172"/>
      <c r="X172"/>
    </row>
    <row r="173" spans="2:51" x14ac:dyDescent="0.35">
      <c r="B173" s="584">
        <v>2016</v>
      </c>
      <c r="C173" s="592" t="s">
        <v>60</v>
      </c>
      <c r="D173" s="40" t="s">
        <v>504</v>
      </c>
      <c r="E173" s="40" t="s">
        <v>226</v>
      </c>
      <c r="F173" s="571" t="s">
        <v>519</v>
      </c>
      <c r="G173" s="598">
        <v>0</v>
      </c>
      <c r="H173" s="575">
        <v>12000</v>
      </c>
      <c r="I173" s="585">
        <v>24</v>
      </c>
      <c r="J173" s="44">
        <f>IF(Tabla1[[#This Row],[Number of vehicle]]="",0,(Tabla1[[#This Row],[Number of vehicle]]*Tabla1[[#This Row],[km travelled]])/Tabla1[[#This Row],[Fuel economy (km/L)]])</f>
        <v>0</v>
      </c>
      <c r="K173" s="44"/>
      <c r="L173" s="44">
        <f>Tabla1[[#This Row],[Consumption (ton)]]/1000</f>
        <v>0</v>
      </c>
      <c r="N173" s="716"/>
      <c r="O173" s="716"/>
      <c r="P173" s="27" t="s">
        <v>117</v>
      </c>
      <c r="Q173" s="173">
        <f>GETPIVOTDATA("Number of vehicle",$T$85,"Year",2014,"Type of Vehicle","DPV","Fuel type","LPG","Technology","3 way catalyst")</f>
        <v>0</v>
      </c>
      <c r="R173" s="173">
        <f>GETPIVOTDATA("Number of vehicle",$T$85,"Year",2015,"Type of Vehicle","DPV","Fuel type","LPG","Technology","3 way catalyst")</f>
        <v>2</v>
      </c>
      <c r="S173" s="173">
        <f>GETPIVOTDATA("Number of vehicle",$T$85,"Year",2016,"Type of Vehicle","DPV","Fuel type","LPG","Technology","3 way catalyst")</f>
        <v>3</v>
      </c>
      <c r="T173" s="617">
        <f t="shared" si="26"/>
        <v>1.3292005249783585E-4</v>
      </c>
      <c r="U173"/>
      <c r="V173"/>
      <c r="W173"/>
      <c r="X173"/>
    </row>
    <row r="174" spans="2:51" x14ac:dyDescent="0.35">
      <c r="B174" s="584">
        <v>2016</v>
      </c>
      <c r="C174" s="592" t="s">
        <v>60</v>
      </c>
      <c r="D174" s="40" t="s">
        <v>504</v>
      </c>
      <c r="E174" s="40" t="s">
        <v>226</v>
      </c>
      <c r="F174" s="597" t="s">
        <v>507</v>
      </c>
      <c r="G174" s="598">
        <v>0</v>
      </c>
      <c r="H174" s="575">
        <v>12000</v>
      </c>
      <c r="I174" s="585">
        <v>24</v>
      </c>
      <c r="J174" s="44">
        <f>IF(Tabla1[[#This Row],[Number of vehicle]]="",0,(Tabla1[[#This Row],[Number of vehicle]]*Tabla1[[#This Row],[km travelled]])/Tabla1[[#This Row],[Fuel economy (km/L)]])</f>
        <v>0</v>
      </c>
      <c r="K174" s="44"/>
      <c r="L174" s="44">
        <f>Tabla1[[#This Row],[Consumption (ton)]]/1000</f>
        <v>0</v>
      </c>
      <c r="N174" s="716"/>
      <c r="O174" s="716" t="s">
        <v>505</v>
      </c>
      <c r="P174" s="27" t="s">
        <v>136</v>
      </c>
      <c r="Q174" s="173">
        <f>GETPIVOTDATA("Number of vehicle",$T$85,"Year",2014,"Type of Vehicle","DPV","Fuel type","Gasoline","Technology","without 3 way catalyst")</f>
        <v>14</v>
      </c>
      <c r="R174" s="173">
        <f>GETPIVOTDATA("Number of vehicle",$T$85,"Year",2015,"Type of Vehicle","DPV","Fuel type","Gasoline","Technology","without 3 way catalyst")</f>
        <v>14</v>
      </c>
      <c r="S174" s="173">
        <f>GETPIVOTDATA("Number of vehicle",$T$85,"Year",2016,"Type of Vehicle","DPV","Fuel type","Gasoline","Technology","without 3 way catalyst")</f>
        <v>14</v>
      </c>
      <c r="T174" s="617">
        <f t="shared" si="26"/>
        <v>1.1756612460430468E-3</v>
      </c>
      <c r="U174"/>
      <c r="V174"/>
      <c r="W174"/>
      <c r="X174"/>
    </row>
    <row r="175" spans="2:51" x14ac:dyDescent="0.35">
      <c r="B175" s="584">
        <v>2016</v>
      </c>
      <c r="C175" s="592" t="s">
        <v>60</v>
      </c>
      <c r="D175" s="40" t="s">
        <v>504</v>
      </c>
      <c r="E175" s="40" t="s">
        <v>226</v>
      </c>
      <c r="F175" s="571" t="s">
        <v>519</v>
      </c>
      <c r="G175" s="598">
        <v>0</v>
      </c>
      <c r="H175" s="575">
        <v>12000</v>
      </c>
      <c r="I175" s="585">
        <v>24</v>
      </c>
      <c r="J175" s="44">
        <f>IF(Tabla1[[#This Row],[Number of vehicle]]="",0,(Tabla1[[#This Row],[Number of vehicle]]*Tabla1[[#This Row],[km travelled]])/Tabla1[[#This Row],[Fuel economy (km/L)]])</f>
        <v>0</v>
      </c>
      <c r="K175" s="44"/>
      <c r="L175" s="44">
        <f>Tabla1[[#This Row],[Consumption (ton)]]/1000</f>
        <v>0</v>
      </c>
      <c r="N175" s="716"/>
      <c r="O175" s="716"/>
      <c r="P175" s="27" t="s">
        <v>41</v>
      </c>
      <c r="Q175" s="173">
        <f>GETPIVOTDATA("Number of vehicle",$T$85,"Year",2014,"Type of Vehicle","DPV","Fuel type","Diesel","Technology","without 3 way catalyst")</f>
        <v>924</v>
      </c>
      <c r="R175" s="173">
        <f>GETPIVOTDATA("Number of vehicle",$T$85,"Year",2015,"Type of Vehicle","DPV","Fuel type","Diesel","Technology","without 3 way catalyst")</f>
        <v>916</v>
      </c>
      <c r="S175" s="173">
        <f>GETPIVOTDATA("Number of vehicle",$T$85,"Year",2016,"Type of Vehicle","DPV","Fuel type","Diesel","Technology","without 3 way catalyst")</f>
        <v>974</v>
      </c>
      <c r="T175" s="617">
        <f t="shared" si="26"/>
        <v>7.8654768708361619E-2</v>
      </c>
      <c r="U175"/>
      <c r="V175"/>
      <c r="W175"/>
      <c r="X175"/>
    </row>
    <row r="176" spans="2:51" x14ac:dyDescent="0.35">
      <c r="B176" s="584">
        <v>2016</v>
      </c>
      <c r="C176" s="592" t="s">
        <v>60</v>
      </c>
      <c r="D176" s="40" t="s">
        <v>504</v>
      </c>
      <c r="E176" s="40" t="s">
        <v>226</v>
      </c>
      <c r="F176" s="597" t="s">
        <v>507</v>
      </c>
      <c r="G176" s="598">
        <v>6</v>
      </c>
      <c r="H176" s="575">
        <v>12000</v>
      </c>
      <c r="I176" s="585">
        <v>24</v>
      </c>
      <c r="J176" s="44">
        <f>IF(Tabla1[[#This Row],[Number of vehicle]]="",0,(Tabla1[[#This Row],[Number of vehicle]]*Tabla1[[#This Row],[km travelled]])/Tabla1[[#This Row],[Fuel economy (km/L)]])</f>
        <v>3000</v>
      </c>
      <c r="K176" s="44"/>
      <c r="L176" s="44">
        <f>Tabla1[[#This Row],[Consumption (ton)]]/1000</f>
        <v>0</v>
      </c>
      <c r="N176" s="716"/>
      <c r="O176" s="716"/>
      <c r="P176" s="27" t="s">
        <v>117</v>
      </c>
      <c r="Q176" s="173">
        <f>GETPIVOTDATA("Number of vehicle",$T$85,"Year",2014,"Type of Vehicle","DPV","Fuel type","LPG","Technology","without 3 way catalyst")</f>
        <v>5</v>
      </c>
      <c r="R176" s="173">
        <f>GETPIVOTDATA("Number of vehicle",$T$85,"Year",2015,"Type of Vehicle","DPV","Fuel type","LPG","Technology","without 3 way catalyst")</f>
        <v>5</v>
      </c>
      <c r="S176" s="173">
        <f>GETPIVOTDATA("Number of vehicle",$T$85,"Year",2016,"Type of Vehicle","DPV","Fuel type","LPG","Technology","without 3 way catalyst")</f>
        <v>5</v>
      </c>
      <c r="T176" s="617">
        <f t="shared" si="26"/>
        <v>4.1987901644394528E-4</v>
      </c>
      <c r="U176"/>
      <c r="V176"/>
      <c r="W176"/>
      <c r="X176"/>
    </row>
    <row r="177" spans="2:24" x14ac:dyDescent="0.35">
      <c r="B177" s="584">
        <v>2016</v>
      </c>
      <c r="C177" s="592" t="s">
        <v>60</v>
      </c>
      <c r="D177" s="40" t="s">
        <v>504</v>
      </c>
      <c r="E177" s="40" t="s">
        <v>226</v>
      </c>
      <c r="F177" s="571" t="s">
        <v>519</v>
      </c>
      <c r="G177" s="598">
        <v>0</v>
      </c>
      <c r="H177" s="575">
        <v>12000</v>
      </c>
      <c r="I177" s="585">
        <v>24</v>
      </c>
      <c r="J177" s="44">
        <f>IF(Tabla1[[#This Row],[Number of vehicle]]="",0,(Tabla1[[#This Row],[Number of vehicle]]*Tabla1[[#This Row],[km travelled]])/Tabla1[[#This Row],[Fuel economy (km/L)]])</f>
        <v>0</v>
      </c>
      <c r="K177" s="44"/>
      <c r="L177" s="44">
        <f>Tabla1[[#This Row],[Consumption (ton)]]/1000</f>
        <v>0</v>
      </c>
      <c r="N177" s="27" t="s">
        <v>532</v>
      </c>
      <c r="O177" s="27" t="s">
        <v>507</v>
      </c>
      <c r="P177" s="27" t="s">
        <v>41</v>
      </c>
      <c r="Q177" s="173">
        <f>GETPIVOTDATA("Number of vehicle",$T$85,"Year",2014,"Type of Vehicle","Light duty trucks","Fuel type","Diesel","Technology","without 3 way catalyst")</f>
        <v>0</v>
      </c>
      <c r="R177" s="173">
        <f>GETPIVOTDATA("Number of vehicle",$T$85,"Year",2015,"Type of Vehicle","Light duty trucks","Fuel type","Diesel","Technology","without 3 way catalyst")</f>
        <v>0</v>
      </c>
      <c r="S177" s="173">
        <f>GETPIVOTDATA("Number of vehicle",$T$85,"Year",2016,"Type of Vehicle","Light duty trucks","Fuel type","Diesel","Technology","without 3 way catalyst")</f>
        <v>0</v>
      </c>
      <c r="T177" s="617">
        <f t="shared" si="26"/>
        <v>0</v>
      </c>
      <c r="U177"/>
      <c r="V177"/>
      <c r="W177"/>
      <c r="X177"/>
    </row>
    <row r="178" spans="2:24" x14ac:dyDescent="0.35">
      <c r="B178" s="584">
        <v>2016</v>
      </c>
      <c r="C178" s="592" t="s">
        <v>60</v>
      </c>
      <c r="D178" s="40" t="s">
        <v>504</v>
      </c>
      <c r="E178" s="40" t="s">
        <v>226</v>
      </c>
      <c r="F178" s="597" t="s">
        <v>507</v>
      </c>
      <c r="G178" s="598">
        <v>0</v>
      </c>
      <c r="H178" s="575">
        <v>12000</v>
      </c>
      <c r="I178" s="585">
        <v>24</v>
      </c>
      <c r="J178" s="44">
        <f>IF(Tabla1[[#This Row],[Number of vehicle]]="",0,(Tabla1[[#This Row],[Number of vehicle]]*Tabla1[[#This Row],[km travelled]])/Tabla1[[#This Row],[Fuel economy (km/L)]])</f>
        <v>0</v>
      </c>
      <c r="K178" s="44"/>
      <c r="L178" s="44">
        <f>Tabla1[[#This Row],[Consumption (ton)]]/1000</f>
        <v>0</v>
      </c>
      <c r="N178" s="27"/>
      <c r="O178" s="27" t="s">
        <v>505</v>
      </c>
      <c r="P178" s="27" t="s">
        <v>41</v>
      </c>
      <c r="Q178" s="173">
        <f>GETPIVOTDATA("Number of vehicle",$T$85,"Year",2014,"Type of Vehicle","Light duty trucks","Fuel type","Diesel","Technology",)</f>
        <v>0</v>
      </c>
      <c r="R178" s="173">
        <f>GETPIVOTDATA("Number of vehicle",$T$85,"Year",2015,"Type of Vehicle","Light duty trucks","Fuel type","Diesel","Technology",)</f>
        <v>0</v>
      </c>
      <c r="S178" s="173">
        <f>GETPIVOTDATA("Number of vehicle",$T$85,"Year",2016,"Type of Vehicle","Light duty trucks","Fuel type","Diesel","Technology",)</f>
        <v>0</v>
      </c>
      <c r="T178" s="617">
        <f t="shared" si="26"/>
        <v>0</v>
      </c>
      <c r="U178"/>
      <c r="V178"/>
      <c r="W178"/>
      <c r="X178"/>
    </row>
    <row r="179" spans="2:24" x14ac:dyDescent="0.35">
      <c r="B179" s="584">
        <v>2016</v>
      </c>
      <c r="C179" s="592" t="s">
        <v>60</v>
      </c>
      <c r="D179" s="40" t="s">
        <v>504</v>
      </c>
      <c r="E179" s="40" t="s">
        <v>226</v>
      </c>
      <c r="F179" s="571" t="s">
        <v>519</v>
      </c>
      <c r="G179" s="598">
        <v>0</v>
      </c>
      <c r="H179" s="575">
        <v>12000</v>
      </c>
      <c r="I179" s="585">
        <v>24</v>
      </c>
      <c r="J179" s="44">
        <f>IF(Tabla1[[#This Row],[Number of vehicle]]="",0,(Tabla1[[#This Row],[Number of vehicle]]*Tabla1[[#This Row],[km travelled]])/Tabla1[[#This Row],[Fuel economy (km/L)]])</f>
        <v>0</v>
      </c>
      <c r="K179" s="44"/>
      <c r="L179" s="44">
        <f>Tabla1[[#This Row],[Consumption (ton)]]/1000</f>
        <v>0</v>
      </c>
      <c r="N179" s="27" t="s">
        <v>533</v>
      </c>
      <c r="O179" s="27"/>
      <c r="P179" s="27" t="s">
        <v>41</v>
      </c>
      <c r="Q179" s="173">
        <f>GETPIVOTDATA("Number of vehicle",$T$85,"Year",2014,"Type of Vehicle","Heavy duty trucks","Fuel type","Diesel","Technology",)+GETPIVOTDATA("Number of vehicle",$T$85,"Year",2014,"Type of Vehicle","Medium duty","Fuel type","Diesel","Technology",)</f>
        <v>913</v>
      </c>
      <c r="R179" s="173">
        <f>GETPIVOTDATA("Number of vehicle",$T$85,"Year",2015,"Type of Vehicle","Heavy duty trucks","Fuel type","Diesel","Technology",)+GETPIVOTDATA("Number of vehicle",$T$85,"Year",2015,"Type of Vehicle","Medium duty","Fuel type","Diesel","Technology",)</f>
        <v>948</v>
      </c>
      <c r="S179" s="173">
        <f>GETPIVOTDATA("Number of vehicle",$T$85,"Year",2016,"Type of Vehicle","Heavy duty trucks","Fuel type","Diesel","Technology",)+GETPIVOTDATA("Number of vehicle",$T$85,"Year",2016,"Type of Vehicle","Medium duty","Fuel type","Diesel","Technology",)</f>
        <v>999</v>
      </c>
      <c r="T179" s="617">
        <f t="shared" si="26"/>
        <v>7.9856638736919242E-2</v>
      </c>
      <c r="U179"/>
      <c r="V179"/>
      <c r="W179"/>
      <c r="X179"/>
    </row>
    <row r="180" spans="2:24" x14ac:dyDescent="0.35">
      <c r="B180" s="584">
        <v>2016</v>
      </c>
      <c r="C180" s="592" t="s">
        <v>60</v>
      </c>
      <c r="D180" s="40" t="s">
        <v>504</v>
      </c>
      <c r="E180" s="40" t="s">
        <v>226</v>
      </c>
      <c r="F180" s="597" t="s">
        <v>507</v>
      </c>
      <c r="G180" s="598">
        <v>0</v>
      </c>
      <c r="H180" s="575">
        <v>12000</v>
      </c>
      <c r="I180" s="585">
        <v>24</v>
      </c>
      <c r="J180" s="44">
        <f>IF(Tabla1[[#This Row],[Number of vehicle]]="",0,(Tabla1[[#This Row],[Number of vehicle]]*Tabla1[[#This Row],[km travelled]])/Tabla1[[#This Row],[Fuel economy (km/L)]])</f>
        <v>0</v>
      </c>
      <c r="K180" s="44"/>
      <c r="L180" s="44">
        <f>Tabla1[[#This Row],[Consumption (ton)]]/1000</f>
        <v>0</v>
      </c>
      <c r="N180" s="27" t="s">
        <v>275</v>
      </c>
      <c r="O180" s="27"/>
      <c r="P180" s="27" t="s">
        <v>41</v>
      </c>
      <c r="Q180" s="173">
        <f>GETPIVOTDATA("Number of vehicle",$T$85,"Year",2014,"Type of Vehicle","Buses","Fuel type","Diesel","Technology",)</f>
        <v>172</v>
      </c>
      <c r="R180" s="173">
        <f>GETPIVOTDATA("Number of vehicle",$T$85,"Year",2015,"Type of Vehicle","Buses","Fuel type","Diesel","Technology",)</f>
        <v>177</v>
      </c>
      <c r="S180" s="173">
        <f>GETPIVOTDATA("Number of vehicle",$T$85,"Year",2016,"Type of Vehicle","Buses","Fuel type","Diesel","Technology",)</f>
        <v>185</v>
      </c>
      <c r="T180" s="617">
        <f t="shared" si="26"/>
        <v>1.4917435663647199E-2</v>
      </c>
      <c r="U180"/>
      <c r="V180"/>
      <c r="W180"/>
      <c r="X180"/>
    </row>
    <row r="181" spans="2:24" x14ac:dyDescent="0.35">
      <c r="B181" s="584">
        <v>2016</v>
      </c>
      <c r="C181" s="592" t="s">
        <v>59</v>
      </c>
      <c r="D181" s="40" t="s">
        <v>504</v>
      </c>
      <c r="E181" s="40" t="s">
        <v>117</v>
      </c>
      <c r="F181" s="578" t="s">
        <v>505</v>
      </c>
      <c r="G181" s="577">
        <v>5</v>
      </c>
      <c r="H181" s="575">
        <v>14000</v>
      </c>
      <c r="I181" s="585">
        <v>13.7</v>
      </c>
      <c r="J181" s="44">
        <f>IF(Tabla1[[#This Row],[Number of vehicle]]="",0,(Tabla1[[#This Row],[Number of vehicle]]*Tabla1[[#This Row],[km travelled]])/Tabla1[[#This Row],[Fuel economy (km/L)]])</f>
        <v>5109.4890510948908</v>
      </c>
      <c r="K181" s="44">
        <f>Tabla1[[#This Row],[Consumption (L)]]/$F$456</f>
        <v>2.8883488135075699</v>
      </c>
      <c r="L181" s="44">
        <f>Tabla1[[#This Row],[Consumption (ton)]]/1000</f>
        <v>2.8883488135075697E-3</v>
      </c>
      <c r="N181" s="724" t="s">
        <v>534</v>
      </c>
      <c r="O181" s="725"/>
      <c r="P181" s="726"/>
      <c r="Q181" s="173">
        <f>SUM(Q160:Q180)</f>
        <v>10979</v>
      </c>
      <c r="R181" s="173">
        <f t="shared" ref="R181" si="27">SUM(R160:R180)</f>
        <v>11937</v>
      </c>
      <c r="S181" s="173">
        <f t="shared" ref="S181" si="28">SUM(S160:S180)</f>
        <v>12975</v>
      </c>
      <c r="T181"/>
      <c r="U181"/>
      <c r="V181"/>
      <c r="W181"/>
      <c r="X181"/>
    </row>
    <row r="182" spans="2:24" x14ac:dyDescent="0.35">
      <c r="B182" s="584">
        <v>2016</v>
      </c>
      <c r="C182" s="592" t="s">
        <v>59</v>
      </c>
      <c r="D182" s="40" t="s">
        <v>504</v>
      </c>
      <c r="E182" s="40" t="s">
        <v>117</v>
      </c>
      <c r="F182" s="578" t="s">
        <v>507</v>
      </c>
      <c r="G182" s="577">
        <v>1</v>
      </c>
      <c r="H182" s="575">
        <v>14000</v>
      </c>
      <c r="I182" s="585">
        <v>13.7</v>
      </c>
      <c r="J182" s="44">
        <f>IF(Tabla1[[#This Row],[Number of vehicle]]="",0,(Tabla1[[#This Row],[Number of vehicle]]*Tabla1[[#This Row],[km travelled]])/Tabla1[[#This Row],[Fuel economy (km/L)]])</f>
        <v>1021.8978102189782</v>
      </c>
      <c r="K182" s="44">
        <f>Tabla1[[#This Row],[Consumption (L)]]/$F$456</f>
        <v>0.57766976270151393</v>
      </c>
      <c r="L182" s="44">
        <f>Tabla1[[#This Row],[Consumption (ton)]]/1000</f>
        <v>5.7766976270151398E-4</v>
      </c>
      <c r="S182"/>
      <c r="T182"/>
      <c r="U182"/>
      <c r="V182"/>
      <c r="W182"/>
      <c r="X182"/>
    </row>
    <row r="183" spans="2:24" x14ac:dyDescent="0.35">
      <c r="B183" s="584">
        <v>2016</v>
      </c>
      <c r="C183" s="592" t="s">
        <v>59</v>
      </c>
      <c r="D183" s="40" t="s">
        <v>504</v>
      </c>
      <c r="E183" s="40" t="s">
        <v>117</v>
      </c>
      <c r="F183" s="578" t="s">
        <v>505</v>
      </c>
      <c r="G183" s="577">
        <v>19</v>
      </c>
      <c r="H183" s="575">
        <v>14000</v>
      </c>
      <c r="I183" s="585">
        <v>13.698630136986303</v>
      </c>
      <c r="J183" s="44">
        <f>IF(Tabla1[[#This Row],[Number of vehicle]]="",0,(Tabla1[[#This Row],[Number of vehicle]]*Tabla1[[#This Row],[km travelled]])/Tabla1[[#This Row],[Fuel economy (km/L)]])</f>
        <v>19417.999999999996</v>
      </c>
      <c r="K183" s="44">
        <f>Tabla1[[#This Row],[Consumption (L)]]/$F$456</f>
        <v>10.976823063877895</v>
      </c>
      <c r="L183" s="44">
        <f>Tabla1[[#This Row],[Consumption (ton)]]/1000</f>
        <v>1.0976823063877894E-2</v>
      </c>
      <c r="N183" s="727" t="s">
        <v>537</v>
      </c>
      <c r="O183" s="727"/>
      <c r="P183" s="728"/>
      <c r="Q183" s="27">
        <v>2014</v>
      </c>
      <c r="R183" s="27">
        <v>2015</v>
      </c>
      <c r="S183" s="27">
        <v>2016</v>
      </c>
      <c r="T183" s="574" t="s">
        <v>378</v>
      </c>
      <c r="U183"/>
      <c r="V183"/>
      <c r="W183"/>
      <c r="X183"/>
    </row>
    <row r="184" spans="2:24" x14ac:dyDescent="0.35">
      <c r="B184" s="584">
        <v>2016</v>
      </c>
      <c r="C184" s="592" t="s">
        <v>59</v>
      </c>
      <c r="D184" s="40" t="s">
        <v>504</v>
      </c>
      <c r="E184" s="40" t="s">
        <v>117</v>
      </c>
      <c r="F184" s="578" t="s">
        <v>507</v>
      </c>
      <c r="G184" s="577">
        <v>4</v>
      </c>
      <c r="H184" s="575">
        <v>14000</v>
      </c>
      <c r="I184" s="585">
        <v>13.698630136986303</v>
      </c>
      <c r="J184" s="44">
        <f>IF(Tabla1[[#This Row],[Number of vehicle]]="",0,(Tabla1[[#This Row],[Number of vehicle]]*Tabla1[[#This Row],[km travelled]])/Tabla1[[#This Row],[Fuel economy (km/L)]])</f>
        <v>4087.9999999999995</v>
      </c>
      <c r="K184" s="44">
        <f>Tabla1[[#This Row],[Consumption (L)]]/$F$456</f>
        <v>2.3109101187111358</v>
      </c>
      <c r="L184" s="44">
        <f>Tabla1[[#This Row],[Consumption (ton)]]/1000</f>
        <v>2.3109101187111358E-3</v>
      </c>
      <c r="N184" s="716" t="s">
        <v>531</v>
      </c>
      <c r="O184" s="716" t="s">
        <v>507</v>
      </c>
      <c r="P184" s="27" t="s">
        <v>136</v>
      </c>
      <c r="Q184" s="173">
        <f>Q136+Q160</f>
        <v>71261</v>
      </c>
      <c r="R184" s="173">
        <f t="shared" ref="R184:S184" si="29">R136+R160</f>
        <v>82201</v>
      </c>
      <c r="S184" s="173">
        <f t="shared" si="29"/>
        <v>98216</v>
      </c>
      <c r="T184" s="617">
        <f>AVERAGE((Q184/$Q$205),(R184/$R$205),(S184/$S$205))</f>
        <v>0.16780220514490274</v>
      </c>
      <c r="U184"/>
      <c r="V184"/>
      <c r="W184"/>
      <c r="X184"/>
    </row>
    <row r="185" spans="2:24" x14ac:dyDescent="0.35">
      <c r="B185" s="584">
        <v>2016</v>
      </c>
      <c r="C185" s="592" t="s">
        <v>59</v>
      </c>
      <c r="D185" s="40" t="s">
        <v>504</v>
      </c>
      <c r="E185" s="40" t="s">
        <v>117</v>
      </c>
      <c r="F185" s="578" t="s">
        <v>505</v>
      </c>
      <c r="G185" s="577">
        <v>173</v>
      </c>
      <c r="H185" s="575">
        <v>14000</v>
      </c>
      <c r="I185" s="585">
        <v>13.698630136986303</v>
      </c>
      <c r="J185" s="44">
        <f>IF(Tabla1[[#This Row],[Number of vehicle]]="",0,(Tabla1[[#This Row],[Number of vehicle]]*Tabla1[[#This Row],[km travelled]])/Tabla1[[#This Row],[Fuel economy (km/L)]])</f>
        <v>176805.99999999997</v>
      </c>
      <c r="K185" s="44">
        <f>Tabla1[[#This Row],[Consumption (L)]]/$F$456</f>
        <v>99.946862634256632</v>
      </c>
      <c r="L185" s="44">
        <f>Tabla1[[#This Row],[Consumption (ton)]]/1000</f>
        <v>9.9946862634256631E-2</v>
      </c>
      <c r="N185" s="716"/>
      <c r="O185" s="716"/>
      <c r="P185" s="27" t="s">
        <v>41</v>
      </c>
      <c r="Q185" s="173">
        <f t="shared" ref="Q185:S204" si="30">Q137+Q161</f>
        <v>5751</v>
      </c>
      <c r="R185" s="173">
        <f t="shared" si="30"/>
        <v>6414</v>
      </c>
      <c r="S185" s="173">
        <f t="shared" si="30"/>
        <v>7500</v>
      </c>
      <c r="T185" s="617">
        <f t="shared" ref="T185:T204" si="31">AVERAGE((Q185/$Q$205),(R185/$R$205),(S185/$S$205))</f>
        <v>1.3122039458482761E-2</v>
      </c>
      <c r="U185"/>
      <c r="V185"/>
      <c r="W185"/>
      <c r="X185"/>
    </row>
    <row r="186" spans="2:24" x14ac:dyDescent="0.35">
      <c r="B186" s="584">
        <v>2016</v>
      </c>
      <c r="C186" s="592" t="s">
        <v>59</v>
      </c>
      <c r="D186" s="40" t="s">
        <v>504</v>
      </c>
      <c r="E186" s="40" t="s">
        <v>117</v>
      </c>
      <c r="F186" s="578" t="s">
        <v>507</v>
      </c>
      <c r="G186" s="577">
        <v>11</v>
      </c>
      <c r="H186" s="575">
        <v>14000</v>
      </c>
      <c r="I186" s="585">
        <v>13.698630136986303</v>
      </c>
      <c r="J186" s="44">
        <f>IF(Tabla1[[#This Row],[Number of vehicle]]="",0,(Tabla1[[#This Row],[Number of vehicle]]*Tabla1[[#This Row],[km travelled]])/Tabla1[[#This Row],[Fuel economy (km/L)]])</f>
        <v>11241.999999999998</v>
      </c>
      <c r="K186" s="44">
        <f>Tabla1[[#This Row],[Consumption (L)]]/$F$456</f>
        <v>6.3550028264556238</v>
      </c>
      <c r="L186" s="44">
        <f>Tabla1[[#This Row],[Consumption (ton)]]/1000</f>
        <v>6.3550028264556238E-3</v>
      </c>
      <c r="N186" s="716"/>
      <c r="O186" s="716"/>
      <c r="P186" s="27" t="s">
        <v>117</v>
      </c>
      <c r="Q186" s="173">
        <f t="shared" si="30"/>
        <v>178</v>
      </c>
      <c r="R186" s="173">
        <f t="shared" si="30"/>
        <v>17</v>
      </c>
      <c r="S186" s="173">
        <f t="shared" si="30"/>
        <v>20</v>
      </c>
      <c r="T186" s="617">
        <f t="shared" si="31"/>
        <v>1.4882543925924681E-4</v>
      </c>
      <c r="U186"/>
      <c r="V186"/>
      <c r="W186"/>
      <c r="X186"/>
    </row>
    <row r="187" spans="2:24" x14ac:dyDescent="0.35">
      <c r="B187" s="584">
        <v>2016</v>
      </c>
      <c r="C187" s="592" t="s">
        <v>59</v>
      </c>
      <c r="D187" s="40" t="s">
        <v>504</v>
      </c>
      <c r="E187" s="40" t="s">
        <v>117</v>
      </c>
      <c r="F187" s="578" t="s">
        <v>505</v>
      </c>
      <c r="G187" s="577">
        <v>6</v>
      </c>
      <c r="H187" s="575">
        <v>14000</v>
      </c>
      <c r="I187" s="585">
        <v>13.7</v>
      </c>
      <c r="J187" s="44">
        <f>IF(Tabla1[[#This Row],[Number of vehicle]]="",0,(Tabla1[[#This Row],[Number of vehicle]]*Tabla1[[#This Row],[km travelled]])/Tabla1[[#This Row],[Fuel economy (km/L)]])</f>
        <v>6131.3868613138693</v>
      </c>
      <c r="K187" s="44">
        <f>Tabla1[[#This Row],[Consumption (L)]]/$F$456</f>
        <v>3.466018576209084</v>
      </c>
      <c r="L187" s="44">
        <f>Tabla1[[#This Row],[Consumption (ton)]]/1000</f>
        <v>3.4660185762090839E-3</v>
      </c>
      <c r="N187" s="716"/>
      <c r="O187" s="716"/>
      <c r="P187" s="27" t="s">
        <v>226</v>
      </c>
      <c r="Q187" s="173">
        <f t="shared" si="30"/>
        <v>1832</v>
      </c>
      <c r="R187" s="173">
        <f t="shared" si="30"/>
        <v>2427</v>
      </c>
      <c r="S187" s="173">
        <f t="shared" si="30"/>
        <v>3783</v>
      </c>
      <c r="T187" s="617">
        <f t="shared" si="31"/>
        <v>5.329362493237213E-3</v>
      </c>
      <c r="U187"/>
      <c r="V187"/>
      <c r="W187"/>
      <c r="X187"/>
    </row>
    <row r="188" spans="2:24" x14ac:dyDescent="0.35">
      <c r="B188" s="584">
        <v>2016</v>
      </c>
      <c r="C188" s="592" t="s">
        <v>59</v>
      </c>
      <c r="D188" s="40" t="s">
        <v>504</v>
      </c>
      <c r="E188" s="40" t="s">
        <v>117</v>
      </c>
      <c r="F188" s="578" t="s">
        <v>507</v>
      </c>
      <c r="G188" s="577">
        <v>4</v>
      </c>
      <c r="H188" s="575">
        <v>14000</v>
      </c>
      <c r="I188" s="585">
        <v>13.7</v>
      </c>
      <c r="J188" s="44">
        <f>IF(Tabla1[[#This Row],[Number of vehicle]]="",0,(Tabla1[[#This Row],[Number of vehicle]]*Tabla1[[#This Row],[km travelled]])/Tabla1[[#This Row],[Fuel economy (km/L)]])</f>
        <v>4087.5912408759127</v>
      </c>
      <c r="K188" s="44">
        <f>Tabla1[[#This Row],[Consumption (L)]]/$F$456</f>
        <v>2.3106790508060557</v>
      </c>
      <c r="L188" s="44">
        <f>Tabla1[[#This Row],[Consumption (ton)]]/1000</f>
        <v>2.3106790508060559E-3</v>
      </c>
      <c r="N188" s="716"/>
      <c r="O188" s="716"/>
      <c r="P188" s="27" t="s">
        <v>227</v>
      </c>
      <c r="Q188" s="173">
        <f t="shared" si="30"/>
        <v>9</v>
      </c>
      <c r="R188" s="173">
        <f t="shared" si="30"/>
        <v>10</v>
      </c>
      <c r="S188" s="173">
        <f t="shared" si="30"/>
        <v>11</v>
      </c>
      <c r="T188" s="617">
        <f t="shared" si="31"/>
        <v>2.0038219158789905E-5</v>
      </c>
      <c r="U188"/>
      <c r="V188"/>
      <c r="W188"/>
      <c r="X188"/>
    </row>
    <row r="189" spans="2:24" x14ac:dyDescent="0.35">
      <c r="B189" s="584">
        <v>2014</v>
      </c>
      <c r="C189" s="592" t="s">
        <v>59</v>
      </c>
      <c r="D189" s="40" t="s">
        <v>273</v>
      </c>
      <c r="E189" s="40" t="s">
        <v>41</v>
      </c>
      <c r="F189" s="578" t="s">
        <v>505</v>
      </c>
      <c r="G189" s="577">
        <f>4</f>
        <v>4</v>
      </c>
      <c r="H189" s="575">
        <v>13000</v>
      </c>
      <c r="I189" s="585">
        <v>15.5</v>
      </c>
      <c r="J189" s="44">
        <f>IF(Tabla1[[#This Row],[Number of vehicle]]="",0,(Tabla1[[#This Row],[Number of vehicle]]*Tabla1[[#This Row],[km travelled]])/Tabla1[[#This Row],[Fuel economy (km/L)]])</f>
        <v>3354.8387096774195</v>
      </c>
      <c r="K189" s="44">
        <f>Tabla1[[#This Row],[Consumption (L)]]/$F$455</f>
        <v>2.8576138923998462</v>
      </c>
      <c r="L189" s="44">
        <f>Tabla1[[#This Row],[Consumption (ton)]]/1000</f>
        <v>2.857613892399846E-3</v>
      </c>
      <c r="N189" s="716"/>
      <c r="O189" s="716" t="s">
        <v>505</v>
      </c>
      <c r="P189" s="27" t="s">
        <v>136</v>
      </c>
      <c r="Q189" s="173">
        <f t="shared" si="30"/>
        <v>101548</v>
      </c>
      <c r="R189" s="173">
        <f t="shared" si="30"/>
        <v>97481</v>
      </c>
      <c r="S189" s="173">
        <f t="shared" si="30"/>
        <v>98088</v>
      </c>
      <c r="T189" s="617">
        <f t="shared" si="31"/>
        <v>0.19915587501949272</v>
      </c>
      <c r="U189"/>
      <c r="V189"/>
      <c r="W189"/>
      <c r="X189"/>
    </row>
    <row r="190" spans="2:24" x14ac:dyDescent="0.35">
      <c r="B190" s="584">
        <v>2014</v>
      </c>
      <c r="C190" s="592" t="s">
        <v>59</v>
      </c>
      <c r="D190" s="40" t="s">
        <v>273</v>
      </c>
      <c r="E190" s="40" t="s">
        <v>41</v>
      </c>
      <c r="F190" s="578" t="s">
        <v>507</v>
      </c>
      <c r="G190" s="577">
        <v>0</v>
      </c>
      <c r="H190" s="575">
        <v>13000</v>
      </c>
      <c r="I190" s="585">
        <v>15.5</v>
      </c>
      <c r="J190" s="44">
        <f>IF(Tabla1[[#This Row],[Number of vehicle]]="",0,(Tabla1[[#This Row],[Number of vehicle]]*Tabla1[[#This Row],[km travelled]])/Tabla1[[#This Row],[Fuel economy (km/L)]])</f>
        <v>0</v>
      </c>
      <c r="K190" s="44">
        <f>Tabla1[[#This Row],[Consumption (L)]]/$F$455</f>
        <v>0</v>
      </c>
      <c r="L190" s="44">
        <f>Tabla1[[#This Row],[Consumption (ton)]]/1000</f>
        <v>0</v>
      </c>
      <c r="N190" s="716"/>
      <c r="O190" s="716"/>
      <c r="P190" s="27" t="s">
        <v>41</v>
      </c>
      <c r="Q190" s="173">
        <f t="shared" si="30"/>
        <v>10520</v>
      </c>
      <c r="R190" s="173">
        <f t="shared" si="30"/>
        <v>10405</v>
      </c>
      <c r="S190" s="173">
        <f t="shared" si="30"/>
        <v>10275</v>
      </c>
      <c r="T190" s="617">
        <f t="shared" si="31"/>
        <v>2.0909486953963486E-2</v>
      </c>
      <c r="U190"/>
      <c r="V190"/>
      <c r="W190"/>
      <c r="X190"/>
    </row>
    <row r="191" spans="2:24" x14ac:dyDescent="0.35">
      <c r="B191" s="584">
        <v>2014</v>
      </c>
      <c r="C191" s="592" t="s">
        <v>59</v>
      </c>
      <c r="D191" s="40" t="s">
        <v>273</v>
      </c>
      <c r="E191" s="40" t="s">
        <v>41</v>
      </c>
      <c r="F191" s="578" t="s">
        <v>505</v>
      </c>
      <c r="G191" s="577">
        <f>98</f>
        <v>98</v>
      </c>
      <c r="H191" s="575">
        <v>13000</v>
      </c>
      <c r="I191" s="585">
        <v>15.2</v>
      </c>
      <c r="J191" s="44">
        <f>IF(Tabla1[[#This Row],[Number of vehicle]]="",0,(Tabla1[[#This Row],[Number of vehicle]]*Tabla1[[#This Row],[km travelled]])/Tabla1[[#This Row],[Fuel economy (km/L)]])</f>
        <v>83815.789473684214</v>
      </c>
      <c r="K191" s="44">
        <f>Tabla1[[#This Row],[Consumption (L)]]/$F$455</f>
        <v>71.393347081502739</v>
      </c>
      <c r="L191" s="44">
        <f>Tabla1[[#This Row],[Consumption (ton)]]/1000</f>
        <v>7.1393347081502745E-2</v>
      </c>
      <c r="N191" s="716"/>
      <c r="O191" s="716"/>
      <c r="P191" s="27" t="s">
        <v>117</v>
      </c>
      <c r="Q191" s="173">
        <f t="shared" si="30"/>
        <v>40</v>
      </c>
      <c r="R191" s="173">
        <f t="shared" si="30"/>
        <v>204</v>
      </c>
      <c r="S191" s="173">
        <f t="shared" si="30"/>
        <v>203</v>
      </c>
      <c r="T191" s="617">
        <f t="shared" si="31"/>
        <v>2.9452485693844029E-4</v>
      </c>
      <c r="U191"/>
      <c r="V191"/>
      <c r="W191"/>
      <c r="X191"/>
    </row>
    <row r="192" spans="2:24" x14ac:dyDescent="0.35">
      <c r="B192" s="584">
        <v>2014</v>
      </c>
      <c r="C192" s="592" t="s">
        <v>59</v>
      </c>
      <c r="D192" s="40" t="s">
        <v>273</v>
      </c>
      <c r="E192" s="40" t="s">
        <v>41</v>
      </c>
      <c r="F192" s="578" t="s">
        <v>507</v>
      </c>
      <c r="G192" s="577">
        <f>4</f>
        <v>4</v>
      </c>
      <c r="H192" s="575">
        <v>13000</v>
      </c>
      <c r="I192" s="585">
        <v>15.2</v>
      </c>
      <c r="J192" s="44">
        <f>IF(Tabla1[[#This Row],[Number of vehicle]]="",0,(Tabla1[[#This Row],[Number of vehicle]]*Tabla1[[#This Row],[km travelled]])/Tabla1[[#This Row],[Fuel economy (km/L)]])</f>
        <v>3421.0526315789475</v>
      </c>
      <c r="K192" s="44">
        <f>Tabla1[[#This Row],[Consumption (L)]]/$F$455</f>
        <v>2.9140141665919486</v>
      </c>
      <c r="L192" s="44">
        <f>Tabla1[[#This Row],[Consumption (ton)]]/1000</f>
        <v>2.9140141665919485E-3</v>
      </c>
      <c r="N192" s="716"/>
      <c r="O192" s="716"/>
      <c r="P192" s="27" t="s">
        <v>226</v>
      </c>
      <c r="Q192" s="173">
        <f t="shared" si="30"/>
        <v>0</v>
      </c>
      <c r="R192" s="173">
        <f t="shared" si="30"/>
        <v>0</v>
      </c>
      <c r="S192" s="173">
        <f t="shared" si="30"/>
        <v>0</v>
      </c>
      <c r="T192" s="617">
        <f t="shared" si="31"/>
        <v>0</v>
      </c>
      <c r="U192"/>
      <c r="V192"/>
      <c r="W192"/>
      <c r="X192"/>
    </row>
    <row r="193" spans="2:24" x14ac:dyDescent="0.35">
      <c r="B193" s="584">
        <v>2014</v>
      </c>
      <c r="C193" s="592" t="s">
        <v>59</v>
      </c>
      <c r="D193" s="40" t="s">
        <v>273</v>
      </c>
      <c r="E193" s="40" t="s">
        <v>41</v>
      </c>
      <c r="F193" s="578" t="s">
        <v>505</v>
      </c>
      <c r="G193" s="577">
        <f>948+27</f>
        <v>975</v>
      </c>
      <c r="H193" s="575">
        <v>13000</v>
      </c>
      <c r="I193" s="585">
        <v>12.7</v>
      </c>
      <c r="J193" s="44">
        <f>IF(Tabla1[[#This Row],[Number of vehicle]]="",0,(Tabla1[[#This Row],[Number of vehicle]]*Tabla1[[#This Row],[km travelled]])/Tabla1[[#This Row],[Fuel economy (km/L)]])</f>
        <v>998031.49606299214</v>
      </c>
      <c r="K193" s="44">
        <f>Tabla1[[#This Row],[Consumption (L)]]/$F$455</f>
        <v>850.1120068679661</v>
      </c>
      <c r="L193" s="44">
        <f>Tabla1[[#This Row],[Consumption (ton)]]/1000</f>
        <v>0.85011200686796606</v>
      </c>
      <c r="N193" s="716"/>
      <c r="O193" s="716"/>
      <c r="P193" s="27" t="s">
        <v>227</v>
      </c>
      <c r="Q193" s="173">
        <f t="shared" si="30"/>
        <v>0</v>
      </c>
      <c r="R193" s="173">
        <f t="shared" si="30"/>
        <v>1</v>
      </c>
      <c r="S193" s="173">
        <f t="shared" si="30"/>
        <v>2</v>
      </c>
      <c r="T193" s="617">
        <f t="shared" si="31"/>
        <v>1.9498269622834495E-6</v>
      </c>
      <c r="U193"/>
      <c r="V193"/>
      <c r="W193"/>
      <c r="X193"/>
    </row>
    <row r="194" spans="2:24" x14ac:dyDescent="0.35">
      <c r="B194" s="584">
        <v>2014</v>
      </c>
      <c r="C194" s="592" t="s">
        <v>59</v>
      </c>
      <c r="D194" s="40" t="s">
        <v>273</v>
      </c>
      <c r="E194" s="40" t="s">
        <v>41</v>
      </c>
      <c r="F194" s="578" t="s">
        <v>507</v>
      </c>
      <c r="G194" s="577">
        <f>75+101</f>
        <v>176</v>
      </c>
      <c r="H194" s="575">
        <v>13000</v>
      </c>
      <c r="I194" s="585">
        <v>12.7</v>
      </c>
      <c r="J194" s="44">
        <f>IF(Tabla1[[#This Row],[Number of vehicle]]="",0,(Tabla1[[#This Row],[Number of vehicle]]*Tabla1[[#This Row],[km travelled]])/Tabla1[[#This Row],[Fuel economy (km/L)]])</f>
        <v>180157.48031496065</v>
      </c>
      <c r="K194" s="44">
        <f>Tabla1[[#This Row],[Consumption (L)]]/$F$455</f>
        <v>153.45611611155081</v>
      </c>
      <c r="L194" s="44">
        <f>Tabla1[[#This Row],[Consumption (ton)]]/1000</f>
        <v>0.1534561161115508</v>
      </c>
      <c r="N194" s="722" t="s">
        <v>266</v>
      </c>
      <c r="O194" s="722"/>
      <c r="P194" s="27" t="s">
        <v>136</v>
      </c>
      <c r="Q194" s="173">
        <f t="shared" si="30"/>
        <v>203047</v>
      </c>
      <c r="R194" s="173">
        <f t="shared" si="30"/>
        <v>218103</v>
      </c>
      <c r="S194" s="173">
        <f t="shared" si="30"/>
        <v>218794</v>
      </c>
      <c r="T194" s="617">
        <f t="shared" si="31"/>
        <v>0.42824774218545647</v>
      </c>
      <c r="U194"/>
      <c r="V194"/>
      <c r="W194"/>
      <c r="X194"/>
    </row>
    <row r="195" spans="2:24" x14ac:dyDescent="0.35">
      <c r="B195" s="584">
        <v>2014</v>
      </c>
      <c r="C195" s="592" t="s">
        <v>59</v>
      </c>
      <c r="D195" s="40" t="s">
        <v>273</v>
      </c>
      <c r="E195" s="40" t="s">
        <v>41</v>
      </c>
      <c r="F195" s="578" t="s">
        <v>505</v>
      </c>
      <c r="G195" s="577">
        <f>14032+4692</f>
        <v>18724</v>
      </c>
      <c r="H195" s="575">
        <v>13000</v>
      </c>
      <c r="I195" s="585">
        <v>10.6</v>
      </c>
      <c r="J195" s="44">
        <f>IF(Tabla1[[#This Row],[Number of vehicle]]="",0,(Tabla1[[#This Row],[Number of vehicle]]*Tabla1[[#This Row],[km travelled]])/Tabla1[[#This Row],[Fuel economy (km/L)]])</f>
        <v>22963396.226415094</v>
      </c>
      <c r="K195" s="44">
        <f>Tabla1[[#This Row],[Consumption (L)]]/$F$455</f>
        <v>19559.962714152549</v>
      </c>
      <c r="L195" s="44">
        <f>Tabla1[[#This Row],[Consumption (ton)]]/1000</f>
        <v>19.559962714152547</v>
      </c>
      <c r="N195" s="716" t="s">
        <v>225</v>
      </c>
      <c r="O195" s="716" t="s">
        <v>507</v>
      </c>
      <c r="P195" s="27" t="s">
        <v>136</v>
      </c>
      <c r="Q195" s="173">
        <f t="shared" si="30"/>
        <v>665</v>
      </c>
      <c r="R195" s="173">
        <f t="shared" si="30"/>
        <v>698</v>
      </c>
      <c r="S195" s="173">
        <f t="shared" si="30"/>
        <v>744</v>
      </c>
      <c r="T195" s="617">
        <f t="shared" si="31"/>
        <v>1.4091986124451529E-3</v>
      </c>
      <c r="U195"/>
      <c r="V195"/>
      <c r="W195"/>
      <c r="X195"/>
    </row>
    <row r="196" spans="2:24" x14ac:dyDescent="0.35">
      <c r="B196" s="584">
        <v>2014</v>
      </c>
      <c r="C196" s="592" t="s">
        <v>59</v>
      </c>
      <c r="D196" s="40" t="s">
        <v>273</v>
      </c>
      <c r="E196" s="40" t="s">
        <v>41</v>
      </c>
      <c r="F196" s="578" t="s">
        <v>507</v>
      </c>
      <c r="G196" s="577">
        <f>9722+1764</f>
        <v>11486</v>
      </c>
      <c r="H196" s="575">
        <v>13000</v>
      </c>
      <c r="I196" s="585">
        <v>10.6</v>
      </c>
      <c r="J196" s="44">
        <f>IF(Tabla1[[#This Row],[Number of vehicle]]="",0,(Tabla1[[#This Row],[Number of vehicle]]*Tabla1[[#This Row],[km travelled]])/Tabla1[[#This Row],[Fuel economy (km/L)]])</f>
        <v>14086603.773584906</v>
      </c>
      <c r="K196" s="44">
        <f>Tabla1[[#This Row],[Consumption (L)]]/$F$455</f>
        <v>11998.810710038251</v>
      </c>
      <c r="L196" s="44">
        <f>Tabla1[[#This Row],[Consumption (ton)]]/1000</f>
        <v>11.998810710038251</v>
      </c>
      <c r="N196" s="716"/>
      <c r="O196" s="716"/>
      <c r="P196" s="27" t="s">
        <v>41</v>
      </c>
      <c r="Q196" s="173">
        <f t="shared" si="30"/>
        <v>12006</v>
      </c>
      <c r="R196" s="173">
        <f t="shared" si="30"/>
        <v>12266</v>
      </c>
      <c r="S196" s="173">
        <f t="shared" si="30"/>
        <v>14575</v>
      </c>
      <c r="T196" s="617">
        <f t="shared" si="31"/>
        <v>2.5948722197306252E-2</v>
      </c>
      <c r="U196"/>
      <c r="V196"/>
      <c r="W196"/>
      <c r="X196"/>
    </row>
    <row r="197" spans="2:24" x14ac:dyDescent="0.35">
      <c r="B197" s="584">
        <v>2014</v>
      </c>
      <c r="C197" s="592" t="s">
        <v>60</v>
      </c>
      <c r="D197" s="40" t="s">
        <v>273</v>
      </c>
      <c r="E197" s="40" t="s">
        <v>41</v>
      </c>
      <c r="F197" s="599" t="s">
        <v>505</v>
      </c>
      <c r="G197" s="600"/>
      <c r="H197" s="575">
        <v>14000</v>
      </c>
      <c r="I197" s="605">
        <v>15.5</v>
      </c>
      <c r="J197" s="44">
        <f>IF(Tabla1[[#This Row],[Number of vehicle]]="",0,(Tabla1[[#This Row],[Number of vehicle]]*Tabla1[[#This Row],[km travelled]])/Tabla1[[#This Row],[Fuel economy (km/L)]])</f>
        <v>0</v>
      </c>
      <c r="K197" s="44">
        <f>Tabla1[[#This Row],[Consumption (L)]]/$F$455</f>
        <v>0</v>
      </c>
      <c r="L197" s="44">
        <f>Tabla1[[#This Row],[Consumption (ton)]]/1000</f>
        <v>0</v>
      </c>
      <c r="N197" s="716"/>
      <c r="O197" s="716"/>
      <c r="P197" s="27" t="s">
        <v>117</v>
      </c>
      <c r="Q197" s="173">
        <f t="shared" si="30"/>
        <v>5</v>
      </c>
      <c r="R197" s="173">
        <f t="shared" si="30"/>
        <v>6</v>
      </c>
      <c r="S197" s="173">
        <f t="shared" si="30"/>
        <v>8</v>
      </c>
      <c r="T197" s="617">
        <f t="shared" si="31"/>
        <v>1.2639173853773344E-5</v>
      </c>
      <c r="U197"/>
      <c r="V197"/>
      <c r="W197"/>
      <c r="X197"/>
    </row>
    <row r="198" spans="2:24" x14ac:dyDescent="0.35">
      <c r="B198" s="584">
        <v>2014</v>
      </c>
      <c r="C198" s="592" t="s">
        <v>60</v>
      </c>
      <c r="D198" s="40" t="s">
        <v>273</v>
      </c>
      <c r="E198" s="40" t="s">
        <v>41</v>
      </c>
      <c r="F198" s="597" t="s">
        <v>507</v>
      </c>
      <c r="G198" s="600"/>
      <c r="H198" s="575">
        <v>14000</v>
      </c>
      <c r="I198" s="605">
        <v>15.5</v>
      </c>
      <c r="J198" s="44">
        <f>IF(Tabla1[[#This Row],[Number of vehicle]]="",0,(Tabla1[[#This Row],[Number of vehicle]]*Tabla1[[#This Row],[km travelled]])/Tabla1[[#This Row],[Fuel economy (km/L)]])</f>
        <v>0</v>
      </c>
      <c r="K198" s="44">
        <f>Tabla1[[#This Row],[Consumption (L)]]/$F$455</f>
        <v>0</v>
      </c>
      <c r="L198" s="44">
        <f>Tabla1[[#This Row],[Consumption (ton)]]/1000</f>
        <v>0</v>
      </c>
      <c r="N198" s="716"/>
      <c r="O198" s="716" t="s">
        <v>505</v>
      </c>
      <c r="P198" s="27" t="s">
        <v>136</v>
      </c>
      <c r="Q198" s="173">
        <f t="shared" si="30"/>
        <v>5850</v>
      </c>
      <c r="R198" s="173">
        <f t="shared" si="30"/>
        <v>5670</v>
      </c>
      <c r="S198" s="173">
        <f t="shared" si="30"/>
        <v>5427</v>
      </c>
      <c r="T198" s="617">
        <f t="shared" si="31"/>
        <v>1.136615094723204E-2</v>
      </c>
      <c r="U198"/>
      <c r="V198"/>
      <c r="W198"/>
      <c r="X198"/>
    </row>
    <row r="199" spans="2:24" x14ac:dyDescent="0.35">
      <c r="B199" s="584">
        <v>2014</v>
      </c>
      <c r="C199" s="592" t="s">
        <v>60</v>
      </c>
      <c r="D199" s="40" t="s">
        <v>273</v>
      </c>
      <c r="E199" s="40" t="s">
        <v>41</v>
      </c>
      <c r="F199" s="599" t="s">
        <v>505</v>
      </c>
      <c r="G199" s="600"/>
      <c r="H199" s="575">
        <v>14000</v>
      </c>
      <c r="I199" s="605">
        <v>15.2</v>
      </c>
      <c r="J199" s="44">
        <f>IF(Tabla1[[#This Row],[Number of vehicle]]="",0,(Tabla1[[#This Row],[Number of vehicle]]*Tabla1[[#This Row],[km travelled]])/Tabla1[[#This Row],[Fuel economy (km/L)]])</f>
        <v>0</v>
      </c>
      <c r="K199" s="44">
        <f>Tabla1[[#This Row],[Consumption (L)]]/$F$455</f>
        <v>0</v>
      </c>
      <c r="L199" s="44">
        <f>Tabla1[[#This Row],[Consumption (ton)]]/1000</f>
        <v>0</v>
      </c>
      <c r="N199" s="716"/>
      <c r="O199" s="716"/>
      <c r="P199" s="27" t="s">
        <v>41</v>
      </c>
      <c r="Q199" s="173">
        <f t="shared" si="30"/>
        <v>20725</v>
      </c>
      <c r="R199" s="173">
        <f t="shared" si="30"/>
        <v>20526</v>
      </c>
      <c r="S199" s="173">
        <f t="shared" si="30"/>
        <v>20547</v>
      </c>
      <c r="T199" s="617">
        <f t="shared" si="31"/>
        <v>4.140638484579328E-2</v>
      </c>
      <c r="U199"/>
      <c r="V199"/>
      <c r="W199"/>
      <c r="X199"/>
    </row>
    <row r="200" spans="2:24" x14ac:dyDescent="0.35">
      <c r="B200" s="584">
        <v>2014</v>
      </c>
      <c r="C200" s="592" t="s">
        <v>60</v>
      </c>
      <c r="D200" s="40" t="s">
        <v>273</v>
      </c>
      <c r="E200" s="40" t="s">
        <v>41</v>
      </c>
      <c r="F200" s="597" t="s">
        <v>507</v>
      </c>
      <c r="G200" s="600">
        <v>340</v>
      </c>
      <c r="H200" s="575">
        <v>14000</v>
      </c>
      <c r="I200" s="605">
        <v>15.2</v>
      </c>
      <c r="J200" s="44">
        <f>IF(Tabla1[[#This Row],[Number of vehicle]]="",0,(Tabla1[[#This Row],[Number of vehicle]]*Tabla1[[#This Row],[km travelled]])/Tabla1[[#This Row],[Fuel economy (km/L)]])</f>
        <v>313157.89473684214</v>
      </c>
      <c r="K200" s="44">
        <f>Tabla1[[#This Row],[Consumption (L)]]/$F$455</f>
        <v>266.74437371110912</v>
      </c>
      <c r="L200" s="44">
        <f>Tabla1[[#This Row],[Consumption (ton)]]/1000</f>
        <v>0.2667443737111091</v>
      </c>
      <c r="N200" s="716"/>
      <c r="O200" s="716"/>
      <c r="P200" s="27" t="s">
        <v>117</v>
      </c>
      <c r="Q200" s="173">
        <f t="shared" si="30"/>
        <v>14</v>
      </c>
      <c r="R200" s="173">
        <f t="shared" si="30"/>
        <v>15</v>
      </c>
      <c r="S200" s="173">
        <f t="shared" si="30"/>
        <v>14</v>
      </c>
      <c r="T200" s="617">
        <f t="shared" si="31"/>
        <v>2.8806845703320875E-5</v>
      </c>
      <c r="U200"/>
      <c r="V200"/>
      <c r="W200"/>
      <c r="X200"/>
    </row>
    <row r="201" spans="2:24" x14ac:dyDescent="0.35">
      <c r="B201" s="584">
        <v>2014</v>
      </c>
      <c r="C201" s="592" t="s">
        <v>60</v>
      </c>
      <c r="D201" s="40" t="s">
        <v>273</v>
      </c>
      <c r="E201" s="40" t="s">
        <v>41</v>
      </c>
      <c r="F201" s="599" t="s">
        <v>505</v>
      </c>
      <c r="G201" s="600">
        <f>1026-245</f>
        <v>781</v>
      </c>
      <c r="H201" s="575">
        <v>14000</v>
      </c>
      <c r="I201" s="605">
        <v>12.7</v>
      </c>
      <c r="J201" s="44">
        <f>IF(Tabla1[[#This Row],[Number of vehicle]]="",0,(Tabla1[[#This Row],[Number of vehicle]]*Tabla1[[#This Row],[km travelled]])/Tabla1[[#This Row],[Fuel economy (km/L)]])</f>
        <v>860944.88188976387</v>
      </c>
      <c r="K201" s="44">
        <f>Tabla1[[#This Row],[Consumption (L)]]/$F$455</f>
        <v>733.34317026385338</v>
      </c>
      <c r="L201" s="44">
        <f>Tabla1[[#This Row],[Consumption (ton)]]/1000</f>
        <v>0.73334317026385343</v>
      </c>
      <c r="N201" s="27" t="s">
        <v>532</v>
      </c>
      <c r="O201" s="27" t="s">
        <v>507</v>
      </c>
      <c r="P201" s="27" t="s">
        <v>41</v>
      </c>
      <c r="Q201" s="173">
        <f t="shared" si="30"/>
        <v>3163</v>
      </c>
      <c r="R201" s="173">
        <f t="shared" si="30"/>
        <v>4120</v>
      </c>
      <c r="S201" s="173">
        <f t="shared" si="30"/>
        <v>5670</v>
      </c>
      <c r="T201" s="617">
        <f t="shared" si="31"/>
        <v>8.6027117378819126E-3</v>
      </c>
      <c r="U201"/>
      <c r="V201"/>
      <c r="W201"/>
      <c r="X201"/>
    </row>
    <row r="202" spans="2:24" x14ac:dyDescent="0.35">
      <c r="B202" s="584">
        <v>2014</v>
      </c>
      <c r="C202" s="592" t="s">
        <v>60</v>
      </c>
      <c r="D202" s="40" t="s">
        <v>273</v>
      </c>
      <c r="E202" s="40" t="s">
        <v>41</v>
      </c>
      <c r="F202" s="597" t="s">
        <v>507</v>
      </c>
      <c r="G202" s="600"/>
      <c r="H202" s="575">
        <v>14000</v>
      </c>
      <c r="I202" s="605">
        <v>12.7</v>
      </c>
      <c r="J202" s="44">
        <f>IF(Tabla1[[#This Row],[Number of vehicle]]="",0,(Tabla1[[#This Row],[Number of vehicle]]*Tabla1[[#This Row],[km travelled]])/Tabla1[[#This Row],[Fuel economy (km/L)]])</f>
        <v>0</v>
      </c>
      <c r="K202" s="44">
        <f>Tabla1[[#This Row],[Consumption (L)]]/$F$455</f>
        <v>0</v>
      </c>
      <c r="L202" s="44">
        <f>Tabla1[[#This Row],[Consumption (ton)]]/1000</f>
        <v>0</v>
      </c>
      <c r="N202" s="27"/>
      <c r="O202" s="27" t="s">
        <v>505</v>
      </c>
      <c r="P202" s="27" t="s">
        <v>41</v>
      </c>
      <c r="Q202" s="173">
        <f t="shared" si="30"/>
        <v>16596</v>
      </c>
      <c r="R202" s="173">
        <f t="shared" si="30"/>
        <v>16237</v>
      </c>
      <c r="S202" s="173">
        <f t="shared" si="30"/>
        <v>15960</v>
      </c>
      <c r="T202" s="617">
        <f t="shared" si="31"/>
        <v>3.2707507020381686E-2</v>
      </c>
      <c r="U202"/>
      <c r="V202"/>
      <c r="W202"/>
      <c r="X202"/>
    </row>
    <row r="203" spans="2:24" x14ac:dyDescent="0.35">
      <c r="B203" s="584">
        <v>2014</v>
      </c>
      <c r="C203" s="592" t="s">
        <v>60</v>
      </c>
      <c r="D203" s="40" t="s">
        <v>273</v>
      </c>
      <c r="E203" s="40" t="s">
        <v>41</v>
      </c>
      <c r="F203" s="599" t="s">
        <v>505</v>
      </c>
      <c r="G203" s="600">
        <v>143</v>
      </c>
      <c r="H203" s="575">
        <v>14000</v>
      </c>
      <c r="I203" s="605">
        <v>10.6</v>
      </c>
      <c r="J203" s="44">
        <f>IF(Tabla1[[#This Row],[Number of vehicle]]="",0,(Tabla1[[#This Row],[Number of vehicle]]*Tabla1[[#This Row],[km travelled]])/Tabla1[[#This Row],[Fuel economy (km/L)]])</f>
        <v>188867.9245283019</v>
      </c>
      <c r="K203" s="44">
        <f>Tabla1[[#This Row],[Consumption (L)]]/$F$455</f>
        <v>160.87557455562342</v>
      </c>
      <c r="L203" s="44">
        <f>Tabla1[[#This Row],[Consumption (ton)]]/1000</f>
        <v>0.16087557455562343</v>
      </c>
      <c r="N203" s="27" t="s">
        <v>533</v>
      </c>
      <c r="O203" s="27"/>
      <c r="P203" s="27" t="s">
        <v>41</v>
      </c>
      <c r="Q203" s="173">
        <f t="shared" si="30"/>
        <v>19405</v>
      </c>
      <c r="R203" s="173">
        <f t="shared" si="30"/>
        <v>17468</v>
      </c>
      <c r="S203" s="173">
        <f t="shared" si="30"/>
        <v>16788</v>
      </c>
      <c r="T203" s="617">
        <f t="shared" si="31"/>
        <v>3.6028550396455833E-2</v>
      </c>
      <c r="U203"/>
      <c r="V203"/>
      <c r="W203"/>
      <c r="X203"/>
    </row>
    <row r="204" spans="2:24" x14ac:dyDescent="0.35">
      <c r="B204" s="584">
        <v>2014</v>
      </c>
      <c r="C204" s="592" t="s">
        <v>60</v>
      </c>
      <c r="D204" s="40" t="s">
        <v>273</v>
      </c>
      <c r="E204" s="40" t="s">
        <v>41</v>
      </c>
      <c r="F204" s="597" t="s">
        <v>507</v>
      </c>
      <c r="G204" s="600"/>
      <c r="H204" s="575">
        <v>14000</v>
      </c>
      <c r="I204" s="605">
        <v>10.6</v>
      </c>
      <c r="J204" s="44">
        <f>IF(Tabla1[[#This Row],[Number of vehicle]]="",0,(Tabla1[[#This Row],[Number of vehicle]]*Tabla1[[#This Row],[km travelled]])/Tabla1[[#This Row],[Fuel economy (km/L)]])</f>
        <v>0</v>
      </c>
      <c r="K204" s="44">
        <f>Tabla1[[#This Row],[Consumption (L)]]/$F$455</f>
        <v>0</v>
      </c>
      <c r="L204" s="44">
        <f>Tabla1[[#This Row],[Consumption (ton)]]/1000</f>
        <v>0</v>
      </c>
      <c r="N204" s="27" t="s">
        <v>275</v>
      </c>
      <c r="O204" s="27"/>
      <c r="P204" s="27" t="s">
        <v>41</v>
      </c>
      <c r="Q204" s="173">
        <f t="shared" si="30"/>
        <v>3416</v>
      </c>
      <c r="R204" s="173">
        <f t="shared" si="30"/>
        <v>3729</v>
      </c>
      <c r="S204" s="173">
        <f t="shared" si="30"/>
        <v>4013</v>
      </c>
      <c r="T204" s="617">
        <f t="shared" si="31"/>
        <v>7.4572786250925683E-3</v>
      </c>
      <c r="U204"/>
      <c r="V204"/>
      <c r="W204"/>
      <c r="X204"/>
    </row>
    <row r="205" spans="2:24" x14ac:dyDescent="0.35">
      <c r="B205" s="584">
        <v>2014</v>
      </c>
      <c r="C205" s="592" t="s">
        <v>59</v>
      </c>
      <c r="D205" s="40" t="s">
        <v>273</v>
      </c>
      <c r="E205" s="40" t="s">
        <v>136</v>
      </c>
      <c r="F205" s="578" t="s">
        <v>505</v>
      </c>
      <c r="G205" s="577">
        <v>167</v>
      </c>
      <c r="H205" s="575">
        <v>11000</v>
      </c>
      <c r="I205" s="585">
        <v>15.5</v>
      </c>
      <c r="J205" s="44">
        <f>IF(Tabla1[[#This Row],[Number of vehicle]]="",0,(Tabla1[[#This Row],[Number of vehicle]]*Tabla1[[#This Row],[km travelled]])/Tabla1[[#This Row],[Fuel economy (km/L)]])</f>
        <v>118516.12903225806</v>
      </c>
      <c r="K205" s="44">
        <f>Tabla1[[#This Row],[Consumption (L)]]/$F$454</f>
        <v>85.633041208278939</v>
      </c>
      <c r="L205" s="44">
        <f>Tabla1[[#This Row],[Consumption (ton)]]/1000</f>
        <v>8.5633041208278943E-2</v>
      </c>
      <c r="N205" s="724" t="s">
        <v>534</v>
      </c>
      <c r="O205" s="725"/>
      <c r="P205" s="726"/>
      <c r="Q205" s="173">
        <f>SUM(Q184:Q204)</f>
        <v>476031</v>
      </c>
      <c r="R205" s="173">
        <f t="shared" ref="R205" si="32">SUM(R184:R204)</f>
        <v>497998</v>
      </c>
      <c r="S205" s="173">
        <f t="shared" ref="S205" si="33">SUM(S184:S204)</f>
        <v>520638</v>
      </c>
      <c r="T205"/>
      <c r="U205"/>
      <c r="V205"/>
      <c r="W205"/>
      <c r="X205"/>
    </row>
    <row r="206" spans="2:24" x14ac:dyDescent="0.35">
      <c r="B206" s="584">
        <v>2014</v>
      </c>
      <c r="C206" s="592" t="s">
        <v>59</v>
      </c>
      <c r="D206" s="40" t="s">
        <v>273</v>
      </c>
      <c r="E206" s="40" t="s">
        <v>136</v>
      </c>
      <c r="F206" s="578" t="s">
        <v>507</v>
      </c>
      <c r="G206" s="577">
        <v>2</v>
      </c>
      <c r="H206" s="575">
        <v>11000</v>
      </c>
      <c r="I206" s="585">
        <v>15.5</v>
      </c>
      <c r="J206" s="44">
        <f>IF(Tabla1[[#This Row],[Number of vehicle]]="",0,(Tabla1[[#This Row],[Number of vehicle]]*Tabla1[[#This Row],[km travelled]])/Tabla1[[#This Row],[Fuel economy (km/L)]])</f>
        <v>1419.3548387096773</v>
      </c>
      <c r="K206" s="44">
        <f>Tabla1[[#This Row],[Consumption (L)]]/$F$454</f>
        <v>1.0255454036919633</v>
      </c>
      <c r="L206" s="44">
        <f>Tabla1[[#This Row],[Consumption (ton)]]/1000</f>
        <v>1.0255454036919634E-3</v>
      </c>
      <c r="S206"/>
      <c r="T206"/>
      <c r="U206"/>
      <c r="V206"/>
      <c r="W206"/>
      <c r="X206"/>
    </row>
    <row r="207" spans="2:24" x14ac:dyDescent="0.35">
      <c r="B207" s="584">
        <v>2014</v>
      </c>
      <c r="C207" s="592" t="s">
        <v>59</v>
      </c>
      <c r="D207" s="40" t="s">
        <v>273</v>
      </c>
      <c r="E207" s="40" t="s">
        <v>136</v>
      </c>
      <c r="F207" s="578" t="s">
        <v>505</v>
      </c>
      <c r="G207" s="577">
        <f>7+4152+1</f>
        <v>4160</v>
      </c>
      <c r="H207" s="575">
        <v>11000</v>
      </c>
      <c r="I207" s="585">
        <v>12.8</v>
      </c>
      <c r="J207" s="44">
        <f>IF(Tabla1[[#This Row],[Number of vehicle]]="",0,(Tabla1[[#This Row],[Number of vehicle]]*Tabla1[[#This Row],[km travelled]])/Tabla1[[#This Row],[Fuel economy (km/L)]])</f>
        <v>3575000</v>
      </c>
      <c r="K207" s="44">
        <f>Tabla1[[#This Row],[Consumption (L)]]/$F$454</f>
        <v>2583.092485549133</v>
      </c>
      <c r="L207" s="44">
        <f>Tabla1[[#This Row],[Consumption (ton)]]/1000</f>
        <v>2.5830924855491331</v>
      </c>
      <c r="S207"/>
      <c r="T207"/>
      <c r="U207"/>
      <c r="V207"/>
      <c r="W207"/>
      <c r="X207"/>
    </row>
    <row r="208" spans="2:24" x14ac:dyDescent="0.35">
      <c r="B208" s="584">
        <v>2014</v>
      </c>
      <c r="C208" s="592" t="s">
        <v>59</v>
      </c>
      <c r="D208" s="40" t="s">
        <v>273</v>
      </c>
      <c r="E208" s="40" t="s">
        <v>136</v>
      </c>
      <c r="F208" s="578" t="s">
        <v>507</v>
      </c>
      <c r="G208" s="577">
        <f>201+1</f>
        <v>202</v>
      </c>
      <c r="H208" s="575">
        <v>11000</v>
      </c>
      <c r="I208" s="585">
        <v>12.8</v>
      </c>
      <c r="J208" s="44">
        <f>IF(Tabla1[[#This Row],[Number of vehicle]]="",0,(Tabla1[[#This Row],[Number of vehicle]]*Tabla1[[#This Row],[km travelled]])/Tabla1[[#This Row],[Fuel economy (km/L)]])</f>
        <v>173593.75</v>
      </c>
      <c r="K208" s="44">
        <f>Tabla1[[#This Row],[Consumption (L)]]/$F$454</f>
        <v>125.42901011560694</v>
      </c>
      <c r="L208" s="44">
        <f>Tabla1[[#This Row],[Consumption (ton)]]/1000</f>
        <v>0.12542901011560695</v>
      </c>
      <c r="S208"/>
      <c r="T208"/>
      <c r="U208"/>
      <c r="V208"/>
      <c r="W208"/>
      <c r="X208"/>
    </row>
    <row r="209" spans="2:24" x14ac:dyDescent="0.35">
      <c r="B209" s="584">
        <v>2014</v>
      </c>
      <c r="C209" s="592" t="s">
        <v>59</v>
      </c>
      <c r="D209" s="40" t="s">
        <v>273</v>
      </c>
      <c r="E209" s="40" t="s">
        <v>136</v>
      </c>
      <c r="F209" s="578" t="s">
        <v>505</v>
      </c>
      <c r="G209" s="577">
        <f>788+7</f>
        <v>795</v>
      </c>
      <c r="H209" s="575">
        <v>11000</v>
      </c>
      <c r="I209" s="585">
        <v>10.4</v>
      </c>
      <c r="J209" s="44">
        <f>IF(Tabla1[[#This Row],[Number of vehicle]]="",0,(Tabla1[[#This Row],[Number of vehicle]]*Tabla1[[#This Row],[km travelled]])/Tabla1[[#This Row],[Fuel economy (km/L)]])</f>
        <v>840865.38461538462</v>
      </c>
      <c r="K209" s="44">
        <f>Tabla1[[#This Row],[Consumption (L)]]/$F$454</f>
        <v>607.56169408626056</v>
      </c>
      <c r="L209" s="44">
        <f>Tabla1[[#This Row],[Consumption (ton)]]/1000</f>
        <v>0.6075616940862606</v>
      </c>
      <c r="S209"/>
      <c r="T209"/>
      <c r="U209"/>
      <c r="V209"/>
      <c r="W209"/>
      <c r="X209"/>
    </row>
    <row r="210" spans="2:24" x14ac:dyDescent="0.35">
      <c r="B210" s="584">
        <v>2014</v>
      </c>
      <c r="C210" s="592" t="s">
        <v>59</v>
      </c>
      <c r="D210" s="40" t="s">
        <v>273</v>
      </c>
      <c r="E210" s="40" t="s">
        <v>136</v>
      </c>
      <c r="F210" s="578" t="s">
        <v>507</v>
      </c>
      <c r="G210" s="577">
        <f>182+7</f>
        <v>189</v>
      </c>
      <c r="H210" s="575">
        <v>11000</v>
      </c>
      <c r="I210" s="585">
        <v>10.4</v>
      </c>
      <c r="J210" s="44">
        <f>IF(Tabla1[[#This Row],[Number of vehicle]]="",0,(Tabla1[[#This Row],[Number of vehicle]]*Tabla1[[#This Row],[km travelled]])/Tabla1[[#This Row],[Fuel economy (km/L)]])</f>
        <v>199903.84615384616</v>
      </c>
      <c r="K210" s="44">
        <f>Tabla1[[#This Row],[Consumption (L)]]/$F$454</f>
        <v>144.43919519786573</v>
      </c>
      <c r="L210" s="44">
        <f>Tabla1[[#This Row],[Consumption (ton)]]/1000</f>
        <v>0.14443919519786572</v>
      </c>
      <c r="S210"/>
      <c r="T210"/>
      <c r="U210"/>
      <c r="V210"/>
      <c r="W210"/>
      <c r="X210"/>
    </row>
    <row r="211" spans="2:24" x14ac:dyDescent="0.35">
      <c r="B211" s="584">
        <v>2014</v>
      </c>
      <c r="C211" s="592" t="s">
        <v>59</v>
      </c>
      <c r="D211" s="40" t="s">
        <v>273</v>
      </c>
      <c r="E211" s="40" t="s">
        <v>136</v>
      </c>
      <c r="F211" s="578" t="s">
        <v>505</v>
      </c>
      <c r="G211" s="577">
        <f>572+142</f>
        <v>714</v>
      </c>
      <c r="H211" s="575">
        <v>11000</v>
      </c>
      <c r="I211" s="585">
        <v>7.6</v>
      </c>
      <c r="J211" s="44">
        <f>IF(Tabla1[[#This Row],[Number of vehicle]]="",0,(Tabla1[[#This Row],[Number of vehicle]]*Tabla1[[#This Row],[km travelled]])/Tabla1[[#This Row],[Fuel economy (km/L)]])</f>
        <v>1033421.052631579</v>
      </c>
      <c r="K211" s="44">
        <f>Tabla1[[#This Row],[Consumption (L)]]/$F$454</f>
        <v>746.69151201703687</v>
      </c>
      <c r="L211" s="44">
        <f>Tabla1[[#This Row],[Consumption (ton)]]/1000</f>
        <v>0.74669151201703687</v>
      </c>
      <c r="S211"/>
      <c r="T211"/>
      <c r="U211"/>
      <c r="V211"/>
      <c r="W211"/>
      <c r="X211"/>
    </row>
    <row r="212" spans="2:24" x14ac:dyDescent="0.35">
      <c r="B212" s="584">
        <v>2014</v>
      </c>
      <c r="C212" s="592" t="s">
        <v>59</v>
      </c>
      <c r="D212" s="40" t="s">
        <v>273</v>
      </c>
      <c r="E212" s="40" t="s">
        <v>136</v>
      </c>
      <c r="F212" s="578" t="s">
        <v>507</v>
      </c>
      <c r="G212" s="577">
        <f>182+84</f>
        <v>266</v>
      </c>
      <c r="H212" s="575">
        <v>11000</v>
      </c>
      <c r="I212" s="585">
        <v>7.6</v>
      </c>
      <c r="J212" s="44">
        <f>IF(Tabla1[[#This Row],[Number of vehicle]]="",0,(Tabla1[[#This Row],[Number of vehicle]]*Tabla1[[#This Row],[km travelled]])/Tabla1[[#This Row],[Fuel economy (km/L)]])</f>
        <v>385000</v>
      </c>
      <c r="K212" s="44">
        <f>Tabla1[[#This Row],[Consumption (L)]]/$F$454</f>
        <v>278.17919075144511</v>
      </c>
      <c r="L212" s="44">
        <f>Tabla1[[#This Row],[Consumption (ton)]]/1000</f>
        <v>0.27817919075144509</v>
      </c>
    </row>
    <row r="213" spans="2:24" x14ac:dyDescent="0.35">
      <c r="B213" s="584">
        <v>2014</v>
      </c>
      <c r="C213" s="592" t="s">
        <v>60</v>
      </c>
      <c r="D213" s="40" t="s">
        <v>273</v>
      </c>
      <c r="E213" s="40" t="s">
        <v>136</v>
      </c>
      <c r="F213" s="578" t="s">
        <v>505</v>
      </c>
      <c r="G213" s="27"/>
      <c r="H213" s="575">
        <v>12000</v>
      </c>
      <c r="I213" s="585">
        <v>15.5</v>
      </c>
      <c r="J213" s="44">
        <f>IF(Tabla1[[#This Row],[Number of vehicle]]="",0,(Tabla1[[#This Row],[Number of vehicle]]*Tabla1[[#This Row],[km travelled]])/Tabla1[[#This Row],[Fuel economy (km/L)]])</f>
        <v>0</v>
      </c>
      <c r="K213" s="44">
        <f>Tabla1[[#This Row],[Consumption (L)]]/$F$454</f>
        <v>0</v>
      </c>
      <c r="L213" s="44">
        <f>Tabla1[[#This Row],[Consumption (ton)]]/1000</f>
        <v>0</v>
      </c>
    </row>
    <row r="214" spans="2:24" x14ac:dyDescent="0.35">
      <c r="B214" s="584">
        <v>2014</v>
      </c>
      <c r="C214" s="592" t="s">
        <v>60</v>
      </c>
      <c r="D214" s="40" t="s">
        <v>273</v>
      </c>
      <c r="E214" s="40" t="s">
        <v>136</v>
      </c>
      <c r="F214" s="571" t="s">
        <v>507</v>
      </c>
      <c r="G214" s="27">
        <v>3</v>
      </c>
      <c r="H214" s="575">
        <v>12000</v>
      </c>
      <c r="I214" s="585">
        <v>15.5</v>
      </c>
      <c r="J214" s="44">
        <f>IF(Tabla1[[#This Row],[Number of vehicle]]="",0,(Tabla1[[#This Row],[Number of vehicle]]*Tabla1[[#This Row],[km travelled]])/Tabla1[[#This Row],[Fuel economy (km/L)]])</f>
        <v>2322.5806451612902</v>
      </c>
      <c r="K214" s="44">
        <f>Tabla1[[#This Row],[Consumption (L)]]/$F$454</f>
        <v>1.6781652060413947</v>
      </c>
      <c r="L214" s="44">
        <f>Tabla1[[#This Row],[Consumption (ton)]]/1000</f>
        <v>1.6781652060413948E-3</v>
      </c>
    </row>
    <row r="215" spans="2:24" x14ac:dyDescent="0.35">
      <c r="B215" s="584">
        <v>2014</v>
      </c>
      <c r="C215" s="592" t="s">
        <v>60</v>
      </c>
      <c r="D215" s="40" t="s">
        <v>273</v>
      </c>
      <c r="E215" s="40" t="s">
        <v>136</v>
      </c>
      <c r="F215" s="578" t="s">
        <v>505</v>
      </c>
      <c r="G215" s="27">
        <v>1</v>
      </c>
      <c r="H215" s="575">
        <v>12000</v>
      </c>
      <c r="I215" s="585">
        <v>12.8</v>
      </c>
      <c r="J215" s="44">
        <f>IF(Tabla1[[#This Row],[Number of vehicle]]="",0,(Tabla1[[#This Row],[Number of vehicle]]*Tabla1[[#This Row],[km travelled]])/Tabla1[[#This Row],[Fuel economy (km/L)]])</f>
        <v>937.5</v>
      </c>
      <c r="K215" s="44">
        <f>Tabla1[[#This Row],[Consumption (L)]]/$F$454</f>
        <v>0.67738439306358378</v>
      </c>
      <c r="L215" s="44">
        <f>Tabla1[[#This Row],[Consumption (ton)]]/1000</f>
        <v>6.773843930635838E-4</v>
      </c>
    </row>
    <row r="216" spans="2:24" x14ac:dyDescent="0.35">
      <c r="B216" s="584">
        <v>2014</v>
      </c>
      <c r="C216" s="592" t="s">
        <v>60</v>
      </c>
      <c r="D216" s="40" t="s">
        <v>273</v>
      </c>
      <c r="E216" s="40" t="s">
        <v>136</v>
      </c>
      <c r="F216" s="571" t="s">
        <v>507</v>
      </c>
      <c r="G216" s="27">
        <v>2</v>
      </c>
      <c r="H216" s="575">
        <v>12000</v>
      </c>
      <c r="I216" s="585">
        <v>12.8</v>
      </c>
      <c r="J216" s="44">
        <f>IF(Tabla1[[#This Row],[Number of vehicle]]="",0,(Tabla1[[#This Row],[Number of vehicle]]*Tabla1[[#This Row],[km travelled]])/Tabla1[[#This Row],[Fuel economy (km/L)]])</f>
        <v>1875</v>
      </c>
      <c r="K216" s="44">
        <f>Tabla1[[#This Row],[Consumption (L)]]/$F$454</f>
        <v>1.3547687861271676</v>
      </c>
      <c r="L216" s="44">
        <f>Tabla1[[#This Row],[Consumption (ton)]]/1000</f>
        <v>1.3547687861271676E-3</v>
      </c>
    </row>
    <row r="217" spans="2:24" x14ac:dyDescent="0.35">
      <c r="B217" s="584">
        <v>2014</v>
      </c>
      <c r="C217" s="592" t="s">
        <v>60</v>
      </c>
      <c r="D217" s="40" t="s">
        <v>273</v>
      </c>
      <c r="E217" s="40" t="s">
        <v>136</v>
      </c>
      <c r="F217" s="578" t="s">
        <v>505</v>
      </c>
      <c r="G217" s="27">
        <v>2</v>
      </c>
      <c r="H217" s="575">
        <v>12000</v>
      </c>
      <c r="I217" s="585">
        <v>10.4</v>
      </c>
      <c r="J217" s="44">
        <f>IF(Tabla1[[#This Row],[Number of vehicle]]="",0,(Tabla1[[#This Row],[Number of vehicle]]*Tabla1[[#This Row],[km travelled]])/Tabla1[[#This Row],[Fuel economy (km/L)]])</f>
        <v>2307.6923076923076</v>
      </c>
      <c r="K217" s="44">
        <f>Tabla1[[#This Row],[Consumption (L)]]/$F$454</f>
        <v>1.6674077367718985</v>
      </c>
      <c r="L217" s="44">
        <f>Tabla1[[#This Row],[Consumption (ton)]]/1000</f>
        <v>1.6674077367718984E-3</v>
      </c>
    </row>
    <row r="218" spans="2:24" x14ac:dyDescent="0.35">
      <c r="B218" s="584">
        <v>2014</v>
      </c>
      <c r="C218" s="592" t="s">
        <v>60</v>
      </c>
      <c r="D218" s="40" t="s">
        <v>273</v>
      </c>
      <c r="E218" s="40" t="s">
        <v>136</v>
      </c>
      <c r="F218" s="571" t="s">
        <v>507</v>
      </c>
      <c r="G218" s="27"/>
      <c r="H218" s="575">
        <v>12000</v>
      </c>
      <c r="I218" s="585">
        <v>10.4</v>
      </c>
      <c r="J218" s="44">
        <f>IF(Tabla1[[#This Row],[Number of vehicle]]="",0,(Tabla1[[#This Row],[Number of vehicle]]*Tabla1[[#This Row],[km travelled]])/Tabla1[[#This Row],[Fuel economy (km/L)]])</f>
        <v>0</v>
      </c>
      <c r="K218" s="44">
        <f>Tabla1[[#This Row],[Consumption (L)]]/$F$454</f>
        <v>0</v>
      </c>
      <c r="L218" s="44">
        <f>Tabla1[[#This Row],[Consumption (ton)]]/1000</f>
        <v>0</v>
      </c>
    </row>
    <row r="219" spans="2:24" x14ac:dyDescent="0.35">
      <c r="B219" s="584">
        <v>2014</v>
      </c>
      <c r="C219" s="592" t="s">
        <v>60</v>
      </c>
      <c r="D219" s="40" t="s">
        <v>273</v>
      </c>
      <c r="E219" s="40" t="s">
        <v>136</v>
      </c>
      <c r="F219" s="578" t="s">
        <v>505</v>
      </c>
      <c r="G219" s="27">
        <v>11</v>
      </c>
      <c r="H219" s="575">
        <v>12000</v>
      </c>
      <c r="I219" s="585">
        <v>7.6</v>
      </c>
      <c r="J219" s="44">
        <f>IF(Tabla1[[#This Row],[Number of vehicle]]="",0,(Tabla1[[#This Row],[Number of vehicle]]*Tabla1[[#This Row],[km travelled]])/Tabla1[[#This Row],[Fuel economy (km/L)]])</f>
        <v>17368.42105263158</v>
      </c>
      <c r="K219" s="44">
        <f>Tabla1[[#This Row],[Consumption (L)]]/$F$454</f>
        <v>12.549437176756921</v>
      </c>
      <c r="L219" s="44">
        <f>Tabla1[[#This Row],[Consumption (ton)]]/1000</f>
        <v>1.2549437176756922E-2</v>
      </c>
    </row>
    <row r="220" spans="2:24" x14ac:dyDescent="0.35">
      <c r="B220" s="584">
        <v>2014</v>
      </c>
      <c r="C220" s="592" t="s">
        <v>60</v>
      </c>
      <c r="D220" s="40" t="s">
        <v>273</v>
      </c>
      <c r="E220" s="40" t="s">
        <v>136</v>
      </c>
      <c r="F220" s="571" t="s">
        <v>507</v>
      </c>
      <c r="G220" s="27">
        <v>1</v>
      </c>
      <c r="H220" s="575">
        <v>12000</v>
      </c>
      <c r="I220" s="585">
        <v>7.6</v>
      </c>
      <c r="J220" s="44">
        <f>IF(Tabla1[[#This Row],[Number of vehicle]]="",0,(Tabla1[[#This Row],[Number of vehicle]]*Tabla1[[#This Row],[km travelled]])/Tabla1[[#This Row],[Fuel economy (km/L)]])</f>
        <v>1578.9473684210527</v>
      </c>
      <c r="K220" s="44">
        <f>Tabla1[[#This Row],[Consumption (L)]]/$F$454</f>
        <v>1.1408579251597202</v>
      </c>
      <c r="L220" s="44">
        <f>Tabla1[[#This Row],[Consumption (ton)]]/1000</f>
        <v>1.1408579251597202E-3</v>
      </c>
    </row>
    <row r="221" spans="2:24" x14ac:dyDescent="0.35">
      <c r="B221" s="584">
        <v>2014</v>
      </c>
      <c r="C221" s="592" t="s">
        <v>59</v>
      </c>
      <c r="D221" s="40" t="s">
        <v>273</v>
      </c>
      <c r="E221" s="40" t="s">
        <v>117</v>
      </c>
      <c r="F221" s="578" t="s">
        <v>505</v>
      </c>
      <c r="G221" s="577"/>
      <c r="H221" s="575">
        <v>11000</v>
      </c>
      <c r="I221" s="585">
        <v>15.5</v>
      </c>
      <c r="J221" s="44">
        <f>IF(Tabla1[[#This Row],[Number of vehicle]]="",0,(Tabla1[[#This Row],[Number of vehicle]]*Tabla1[[#This Row],[km travelled]])/Tabla1[[#This Row],[Fuel economy (km/L)]])</f>
        <v>0</v>
      </c>
      <c r="K221" s="44">
        <f>Tabla1[[#This Row],[Consumption (L)]]/$F$456</f>
        <v>0</v>
      </c>
      <c r="L221" s="44">
        <f>Tabla1[[#This Row],[Consumption (ton)]]/1000</f>
        <v>0</v>
      </c>
    </row>
    <row r="222" spans="2:24" x14ac:dyDescent="0.35">
      <c r="B222" s="584">
        <v>2014</v>
      </c>
      <c r="C222" s="592" t="s">
        <v>59</v>
      </c>
      <c r="D222" s="40" t="s">
        <v>273</v>
      </c>
      <c r="E222" s="40" t="s">
        <v>117</v>
      </c>
      <c r="F222" s="578" t="s">
        <v>507</v>
      </c>
      <c r="G222" s="577"/>
      <c r="H222" s="575">
        <v>11000</v>
      </c>
      <c r="I222" s="585">
        <v>15.5</v>
      </c>
      <c r="J222" s="44">
        <f>IF(Tabla1[[#This Row],[Number of vehicle]]="",0,(Tabla1[[#This Row],[Number of vehicle]]*Tabla1[[#This Row],[km travelled]])/Tabla1[[#This Row],[Fuel economy (km/L)]])</f>
        <v>0</v>
      </c>
      <c r="K222" s="44">
        <f>Tabla1[[#This Row],[Consumption (L)]]/$F$456</f>
        <v>0</v>
      </c>
      <c r="L222" s="44">
        <f>Tabla1[[#This Row],[Consumption (ton)]]/1000</f>
        <v>0</v>
      </c>
    </row>
    <row r="223" spans="2:24" x14ac:dyDescent="0.35">
      <c r="B223" s="584">
        <v>2014</v>
      </c>
      <c r="C223" s="592" t="s">
        <v>59</v>
      </c>
      <c r="D223" s="40" t="s">
        <v>273</v>
      </c>
      <c r="E223" s="40" t="s">
        <v>117</v>
      </c>
      <c r="F223" s="578" t="s">
        <v>505</v>
      </c>
      <c r="G223" s="577">
        <v>4</v>
      </c>
      <c r="H223" s="575">
        <v>11000</v>
      </c>
      <c r="I223" s="585">
        <v>12.8</v>
      </c>
      <c r="J223" s="44">
        <f>IF(Tabla1[[#This Row],[Number of vehicle]]="",0,(Tabla1[[#This Row],[Number of vehicle]]*Tabla1[[#This Row],[km travelled]])/Tabla1[[#This Row],[Fuel economy (km/L)]])</f>
        <v>3437.5</v>
      </c>
      <c r="K223" s="44">
        <f>Tabla1[[#This Row],[Consumption (L)]]/$F$456</f>
        <v>1.9431882419446014</v>
      </c>
      <c r="L223" s="44">
        <f>Tabla1[[#This Row],[Consumption (ton)]]/1000</f>
        <v>1.9431882419446013E-3</v>
      </c>
    </row>
    <row r="224" spans="2:24" x14ac:dyDescent="0.35">
      <c r="B224" s="584">
        <v>2014</v>
      </c>
      <c r="C224" s="592" t="s">
        <v>59</v>
      </c>
      <c r="D224" s="40" t="s">
        <v>273</v>
      </c>
      <c r="E224" s="40" t="s">
        <v>117</v>
      </c>
      <c r="F224" s="578" t="s">
        <v>507</v>
      </c>
      <c r="G224" s="577">
        <v>1</v>
      </c>
      <c r="H224" s="575">
        <v>11000</v>
      </c>
      <c r="I224" s="585">
        <v>12.8</v>
      </c>
      <c r="J224" s="44">
        <f>IF(Tabla1[[#This Row],[Number of vehicle]]="",0,(Tabla1[[#This Row],[Number of vehicle]]*Tabla1[[#This Row],[km travelled]])/Tabla1[[#This Row],[Fuel economy (km/L)]])</f>
        <v>859.375</v>
      </c>
      <c r="K224" s="44">
        <f>Tabla1[[#This Row],[Consumption (L)]]/$F$456</f>
        <v>0.48579706048615034</v>
      </c>
      <c r="L224" s="44">
        <f>Tabla1[[#This Row],[Consumption (ton)]]/1000</f>
        <v>4.8579706048615032E-4</v>
      </c>
    </row>
    <row r="225" spans="2:12" x14ac:dyDescent="0.35">
      <c r="B225" s="584">
        <v>2014</v>
      </c>
      <c r="C225" s="592" t="s">
        <v>59</v>
      </c>
      <c r="D225" s="40" t="s">
        <v>273</v>
      </c>
      <c r="E225" s="40" t="s">
        <v>117</v>
      </c>
      <c r="F225" s="578" t="s">
        <v>505</v>
      </c>
      <c r="G225" s="577">
        <v>1</v>
      </c>
      <c r="H225" s="575">
        <v>11000</v>
      </c>
      <c r="I225" s="585">
        <v>10.4</v>
      </c>
      <c r="J225" s="44">
        <f>IF(Tabla1[[#This Row],[Number of vehicle]]="",0,(Tabla1[[#This Row],[Number of vehicle]]*Tabla1[[#This Row],[km travelled]])/Tabla1[[#This Row],[Fuel economy (km/L)]])</f>
        <v>1057.6923076923076</v>
      </c>
      <c r="K225" s="44">
        <f>Tabla1[[#This Row],[Consumption (L)]]/$F$456</f>
        <v>0.59790407444449267</v>
      </c>
      <c r="L225" s="44">
        <f>Tabla1[[#This Row],[Consumption (ton)]]/1000</f>
        <v>5.9790407444449268E-4</v>
      </c>
    </row>
    <row r="226" spans="2:12" x14ac:dyDescent="0.35">
      <c r="B226" s="584">
        <v>2014</v>
      </c>
      <c r="C226" s="592" t="s">
        <v>59</v>
      </c>
      <c r="D226" s="40" t="s">
        <v>273</v>
      </c>
      <c r="E226" s="40" t="s">
        <v>117</v>
      </c>
      <c r="F226" s="578" t="s">
        <v>507</v>
      </c>
      <c r="G226" s="577"/>
      <c r="H226" s="575">
        <v>11000</v>
      </c>
      <c r="I226" s="585">
        <v>10.4</v>
      </c>
      <c r="J226" s="44">
        <f>IF(Tabla1[[#This Row],[Number of vehicle]]="",0,(Tabla1[[#This Row],[Number of vehicle]]*Tabla1[[#This Row],[km travelled]])/Tabla1[[#This Row],[Fuel economy (km/L)]])</f>
        <v>0</v>
      </c>
      <c r="K226" s="44">
        <f>Tabla1[[#This Row],[Consumption (L)]]/$F$456</f>
        <v>0</v>
      </c>
      <c r="L226" s="44">
        <f>Tabla1[[#This Row],[Consumption (ton)]]/1000</f>
        <v>0</v>
      </c>
    </row>
    <row r="227" spans="2:12" x14ac:dyDescent="0.35">
      <c r="B227" s="584">
        <v>2014</v>
      </c>
      <c r="C227" s="592" t="s">
        <v>59</v>
      </c>
      <c r="D227" s="40" t="s">
        <v>273</v>
      </c>
      <c r="E227" s="40" t="s">
        <v>117</v>
      </c>
      <c r="F227" s="578" t="s">
        <v>505</v>
      </c>
      <c r="G227" s="577">
        <v>4</v>
      </c>
      <c r="H227" s="575">
        <v>11000</v>
      </c>
      <c r="I227" s="585">
        <v>7.6</v>
      </c>
      <c r="J227" s="44">
        <f>IF(Tabla1[[#This Row],[Number of vehicle]]="",0,(Tabla1[[#This Row],[Number of vehicle]]*Tabla1[[#This Row],[km travelled]])/Tabla1[[#This Row],[Fuel economy (km/L)]])</f>
        <v>5789.4736842105267</v>
      </c>
      <c r="K227" s="44">
        <f>Tabla1[[#This Row],[Consumption (L)]]/$F$456</f>
        <v>3.272738091696171</v>
      </c>
      <c r="L227" s="44">
        <f>Tabla1[[#This Row],[Consumption (ton)]]/1000</f>
        <v>3.2727380916961709E-3</v>
      </c>
    </row>
    <row r="228" spans="2:12" x14ac:dyDescent="0.35">
      <c r="B228" s="584">
        <v>2014</v>
      </c>
      <c r="C228" s="592" t="s">
        <v>59</v>
      </c>
      <c r="D228" s="40" t="s">
        <v>273</v>
      </c>
      <c r="E228" s="40" t="s">
        <v>117</v>
      </c>
      <c r="F228" s="578" t="s">
        <v>507</v>
      </c>
      <c r="G228" s="577">
        <v>4</v>
      </c>
      <c r="H228" s="575">
        <v>11000</v>
      </c>
      <c r="I228" s="585">
        <v>7.6</v>
      </c>
      <c r="J228" s="44">
        <f>IF(Tabla1[[#This Row],[Number of vehicle]]="",0,(Tabla1[[#This Row],[Number of vehicle]]*Tabla1[[#This Row],[km travelled]])/Tabla1[[#This Row],[Fuel economy (km/L)]])</f>
        <v>5789.4736842105267</v>
      </c>
      <c r="K228" s="44">
        <f>Tabla1[[#This Row],[Consumption (L)]]/$F$456</f>
        <v>3.272738091696171</v>
      </c>
      <c r="L228" s="44">
        <f>Tabla1[[#This Row],[Consumption (ton)]]/1000</f>
        <v>3.2727380916961709E-3</v>
      </c>
    </row>
    <row r="229" spans="2:12" x14ac:dyDescent="0.35">
      <c r="B229" s="584">
        <v>2014</v>
      </c>
      <c r="C229" s="592" t="s">
        <v>60</v>
      </c>
      <c r="D229" s="40" t="s">
        <v>273</v>
      </c>
      <c r="E229" s="40" t="s">
        <v>117</v>
      </c>
      <c r="F229" s="578" t="s">
        <v>505</v>
      </c>
      <c r="G229" s="600"/>
      <c r="H229" s="27">
        <v>12000</v>
      </c>
      <c r="I229" s="585">
        <v>15.5</v>
      </c>
      <c r="J229" s="44">
        <f>IF(Tabla1[[#This Row],[Number of vehicle]]="",0,(Tabla1[[#This Row],[Number of vehicle]]*Tabla1[[#This Row],[km travelled]])/Tabla1[[#This Row],[Fuel economy (km/L)]])</f>
        <v>0</v>
      </c>
      <c r="K229" s="44">
        <f>Tabla1[[#This Row],[Consumption (L)]]/$F$456</f>
        <v>0</v>
      </c>
      <c r="L229" s="44">
        <f>Tabla1[[#This Row],[Consumption (ton)]]/1000</f>
        <v>0</v>
      </c>
    </row>
    <row r="230" spans="2:12" x14ac:dyDescent="0.35">
      <c r="B230" s="584">
        <v>2014</v>
      </c>
      <c r="C230" s="592" t="s">
        <v>60</v>
      </c>
      <c r="D230" s="40" t="s">
        <v>273</v>
      </c>
      <c r="E230" s="40" t="s">
        <v>117</v>
      </c>
      <c r="F230" s="571" t="s">
        <v>507</v>
      </c>
      <c r="G230" s="600"/>
      <c r="H230" s="27">
        <v>12000</v>
      </c>
      <c r="I230" s="585">
        <v>15.5</v>
      </c>
      <c r="J230" s="44">
        <f>IF(Tabla1[[#This Row],[Number of vehicle]]="",0,(Tabla1[[#This Row],[Number of vehicle]]*Tabla1[[#This Row],[km travelled]])/Tabla1[[#This Row],[Fuel economy (km/L)]])</f>
        <v>0</v>
      </c>
      <c r="K230" s="44">
        <f>Tabla1[[#This Row],[Consumption (L)]]/$F$456</f>
        <v>0</v>
      </c>
      <c r="L230" s="44">
        <f>Tabla1[[#This Row],[Consumption (ton)]]/1000</f>
        <v>0</v>
      </c>
    </row>
    <row r="231" spans="2:12" x14ac:dyDescent="0.35">
      <c r="B231" s="584">
        <v>2014</v>
      </c>
      <c r="C231" s="592" t="s">
        <v>60</v>
      </c>
      <c r="D231" s="40" t="s">
        <v>273</v>
      </c>
      <c r="E231" s="40" t="s">
        <v>117</v>
      </c>
      <c r="F231" s="578" t="s">
        <v>505</v>
      </c>
      <c r="G231" s="600"/>
      <c r="H231" s="27">
        <v>12000</v>
      </c>
      <c r="I231" s="585">
        <v>12.8</v>
      </c>
      <c r="J231" s="44">
        <f>IF(Tabla1[[#This Row],[Number of vehicle]]="",0,(Tabla1[[#This Row],[Number of vehicle]]*Tabla1[[#This Row],[km travelled]])/Tabla1[[#This Row],[Fuel economy (km/L)]])</f>
        <v>0</v>
      </c>
      <c r="K231" s="44">
        <f>Tabla1[[#This Row],[Consumption (L)]]/$F$456</f>
        <v>0</v>
      </c>
      <c r="L231" s="44">
        <f>Tabla1[[#This Row],[Consumption (ton)]]/1000</f>
        <v>0</v>
      </c>
    </row>
    <row r="232" spans="2:12" x14ac:dyDescent="0.35">
      <c r="B232" s="584">
        <v>2014</v>
      </c>
      <c r="C232" s="592" t="s">
        <v>60</v>
      </c>
      <c r="D232" s="40" t="s">
        <v>273</v>
      </c>
      <c r="E232" s="40" t="s">
        <v>117</v>
      </c>
      <c r="F232" s="571" t="s">
        <v>507</v>
      </c>
      <c r="G232" s="600"/>
      <c r="H232" s="27">
        <v>12000</v>
      </c>
      <c r="I232" s="585">
        <v>12.8</v>
      </c>
      <c r="J232" s="44">
        <f>IF(Tabla1[[#This Row],[Number of vehicle]]="",0,(Tabla1[[#This Row],[Number of vehicle]]*Tabla1[[#This Row],[km travelled]])/Tabla1[[#This Row],[Fuel economy (km/L)]])</f>
        <v>0</v>
      </c>
      <c r="K232" s="44">
        <f>Tabla1[[#This Row],[Consumption (L)]]/$F$456</f>
        <v>0</v>
      </c>
      <c r="L232" s="44">
        <f>Tabla1[[#This Row],[Consumption (ton)]]/1000</f>
        <v>0</v>
      </c>
    </row>
    <row r="233" spans="2:12" x14ac:dyDescent="0.35">
      <c r="B233" s="584">
        <v>2014</v>
      </c>
      <c r="C233" s="592" t="s">
        <v>60</v>
      </c>
      <c r="D233" s="40" t="s">
        <v>273</v>
      </c>
      <c r="E233" s="40" t="s">
        <v>117</v>
      </c>
      <c r="F233" s="578" t="s">
        <v>505</v>
      </c>
      <c r="G233" s="600"/>
      <c r="H233" s="27">
        <v>12000</v>
      </c>
      <c r="I233" s="585">
        <v>10.4</v>
      </c>
      <c r="J233" s="44">
        <f>IF(Tabla1[[#This Row],[Number of vehicle]]="",0,(Tabla1[[#This Row],[Number of vehicle]]*Tabla1[[#This Row],[km travelled]])/Tabla1[[#This Row],[Fuel economy (km/L)]])</f>
        <v>0</v>
      </c>
      <c r="K233" s="44">
        <f>Tabla1[[#This Row],[Consumption (L)]]/$F$456</f>
        <v>0</v>
      </c>
      <c r="L233" s="44">
        <f>Tabla1[[#This Row],[Consumption (ton)]]/1000</f>
        <v>0</v>
      </c>
    </row>
    <row r="234" spans="2:12" x14ac:dyDescent="0.35">
      <c r="B234" s="584">
        <v>2014</v>
      </c>
      <c r="C234" s="592" t="s">
        <v>60</v>
      </c>
      <c r="D234" s="40" t="s">
        <v>273</v>
      </c>
      <c r="E234" s="40" t="s">
        <v>117</v>
      </c>
      <c r="F234" s="571" t="s">
        <v>507</v>
      </c>
      <c r="G234" s="600"/>
      <c r="H234" s="27">
        <v>12000</v>
      </c>
      <c r="I234" s="585">
        <v>10.4</v>
      </c>
      <c r="J234" s="44">
        <f>IF(Tabla1[[#This Row],[Number of vehicle]]="",0,(Tabla1[[#This Row],[Number of vehicle]]*Tabla1[[#This Row],[km travelled]])/Tabla1[[#This Row],[Fuel economy (km/L)]])</f>
        <v>0</v>
      </c>
      <c r="K234" s="44">
        <f>Tabla1[[#This Row],[Consumption (L)]]/$F$456</f>
        <v>0</v>
      </c>
      <c r="L234" s="44">
        <f>Tabla1[[#This Row],[Consumption (ton)]]/1000</f>
        <v>0</v>
      </c>
    </row>
    <row r="235" spans="2:12" x14ac:dyDescent="0.35">
      <c r="B235" s="584">
        <v>2014</v>
      </c>
      <c r="C235" s="592" t="s">
        <v>60</v>
      </c>
      <c r="D235" s="40" t="s">
        <v>273</v>
      </c>
      <c r="E235" s="40" t="s">
        <v>117</v>
      </c>
      <c r="F235" s="578" t="s">
        <v>505</v>
      </c>
      <c r="G235" s="600">
        <v>5</v>
      </c>
      <c r="H235" s="27">
        <v>12000</v>
      </c>
      <c r="I235" s="585">
        <v>7.6</v>
      </c>
      <c r="J235" s="44">
        <f>IF(Tabla1[[#This Row],[Number of vehicle]]="",0,(Tabla1[[#This Row],[Number of vehicle]]*Tabla1[[#This Row],[km travelled]])/Tabla1[[#This Row],[Fuel economy (km/L)]])</f>
        <v>7894.7368421052633</v>
      </c>
      <c r="K235" s="44">
        <f>Tabla1[[#This Row],[Consumption (L)]]/$F$456</f>
        <v>4.4628246704947783</v>
      </c>
      <c r="L235" s="44">
        <f>Tabla1[[#This Row],[Consumption (ton)]]/1000</f>
        <v>4.4628246704947784E-3</v>
      </c>
    </row>
    <row r="236" spans="2:12" x14ac:dyDescent="0.35">
      <c r="B236" s="584">
        <v>2014</v>
      </c>
      <c r="C236" s="592" t="s">
        <v>60</v>
      </c>
      <c r="D236" s="40" t="s">
        <v>273</v>
      </c>
      <c r="E236" s="40" t="s">
        <v>117</v>
      </c>
      <c r="F236" s="571" t="s">
        <v>507</v>
      </c>
      <c r="G236" s="600"/>
      <c r="H236" s="27">
        <v>12000</v>
      </c>
      <c r="I236" s="585">
        <v>7.6</v>
      </c>
      <c r="J236" s="44">
        <f>IF(Tabla1[[#This Row],[Number of vehicle]]="",0,(Tabla1[[#This Row],[Number of vehicle]]*Tabla1[[#This Row],[km travelled]])/Tabla1[[#This Row],[Fuel economy (km/L)]])</f>
        <v>0</v>
      </c>
      <c r="K236" s="44">
        <f>Tabla1[[#This Row],[Consumption (L)]]/$F$456</f>
        <v>0</v>
      </c>
      <c r="L236" s="44">
        <f>Tabla1[[#This Row],[Consumption (ton)]]/1000</f>
        <v>0</v>
      </c>
    </row>
    <row r="237" spans="2:12" x14ac:dyDescent="0.35">
      <c r="B237" s="584">
        <v>2015</v>
      </c>
      <c r="C237" s="592" t="s">
        <v>59</v>
      </c>
      <c r="D237" s="40" t="s">
        <v>273</v>
      </c>
      <c r="E237" s="40" t="s">
        <v>41</v>
      </c>
      <c r="F237" s="578" t="s">
        <v>505</v>
      </c>
      <c r="G237" s="577">
        <v>4</v>
      </c>
      <c r="H237" s="575">
        <v>13000</v>
      </c>
      <c r="I237" s="585">
        <v>15.5</v>
      </c>
      <c r="J237" s="44">
        <f>IF(Tabla1[[#This Row],[Number of vehicle]]="",0,(Tabla1[[#This Row],[Number of vehicle]]*Tabla1[[#This Row],[km travelled]])/Tabla1[[#This Row],[Fuel economy (km/L)]])</f>
        <v>3354.8387096774195</v>
      </c>
      <c r="K237" s="44">
        <f>Tabla1[[#This Row],[Consumption (L)]]/$F$455</f>
        <v>2.8576138923998462</v>
      </c>
      <c r="L237" s="44">
        <f>Tabla1[[#This Row],[Consumption (ton)]]/1000</f>
        <v>2.857613892399846E-3</v>
      </c>
    </row>
    <row r="238" spans="2:12" x14ac:dyDescent="0.35">
      <c r="B238" s="584">
        <v>2015</v>
      </c>
      <c r="C238" s="592" t="s">
        <v>59</v>
      </c>
      <c r="D238" s="40" t="s">
        <v>273</v>
      </c>
      <c r="E238" s="40" t="s">
        <v>41</v>
      </c>
      <c r="F238" s="578" t="s">
        <v>507</v>
      </c>
      <c r="G238" s="577"/>
      <c r="H238" s="575">
        <v>13000</v>
      </c>
      <c r="I238" s="585">
        <v>15.5</v>
      </c>
      <c r="J238" s="44">
        <f>IF(Tabla1[[#This Row],[Number of vehicle]]="",0,(Tabla1[[#This Row],[Number of vehicle]]*Tabla1[[#This Row],[km travelled]])/Tabla1[[#This Row],[Fuel economy (km/L)]])</f>
        <v>0</v>
      </c>
      <c r="K238" s="44">
        <f>Tabla1[[#This Row],[Consumption (L)]]/$F$455</f>
        <v>0</v>
      </c>
      <c r="L238" s="44">
        <f>Tabla1[[#This Row],[Consumption (ton)]]/1000</f>
        <v>0</v>
      </c>
    </row>
    <row r="239" spans="2:12" x14ac:dyDescent="0.35">
      <c r="B239" s="584">
        <v>2015</v>
      </c>
      <c r="C239" s="592" t="s">
        <v>59</v>
      </c>
      <c r="D239" s="40" t="s">
        <v>273</v>
      </c>
      <c r="E239" s="40" t="s">
        <v>41</v>
      </c>
      <c r="F239" s="578" t="s">
        <v>505</v>
      </c>
      <c r="G239" s="577">
        <v>88</v>
      </c>
      <c r="H239" s="575">
        <v>13000</v>
      </c>
      <c r="I239" s="585">
        <v>15.2</v>
      </c>
      <c r="J239" s="44">
        <f>IF(Tabla1[[#This Row],[Number of vehicle]]="",0,(Tabla1[[#This Row],[Number of vehicle]]*Tabla1[[#This Row],[km travelled]])/Tabla1[[#This Row],[Fuel economy (km/L)]])</f>
        <v>75263.15789473684</v>
      </c>
      <c r="K239" s="44">
        <f>Tabla1[[#This Row],[Consumption (L)]]/$F$455</f>
        <v>64.108311665022867</v>
      </c>
      <c r="L239" s="44">
        <f>Tabla1[[#This Row],[Consumption (ton)]]/1000</f>
        <v>6.4108311665022871E-2</v>
      </c>
    </row>
    <row r="240" spans="2:12" x14ac:dyDescent="0.35">
      <c r="B240" s="584">
        <v>2015</v>
      </c>
      <c r="C240" s="592" t="s">
        <v>59</v>
      </c>
      <c r="D240" s="40" t="s">
        <v>273</v>
      </c>
      <c r="E240" s="40" t="s">
        <v>41</v>
      </c>
      <c r="F240" s="578" t="s">
        <v>507</v>
      </c>
      <c r="G240" s="577">
        <v>4</v>
      </c>
      <c r="H240" s="575">
        <v>13000</v>
      </c>
      <c r="I240" s="585">
        <v>15.2</v>
      </c>
      <c r="J240" s="44">
        <f>IF(Tabla1[[#This Row],[Number of vehicle]]="",0,(Tabla1[[#This Row],[Number of vehicle]]*Tabla1[[#This Row],[km travelled]])/Tabla1[[#This Row],[Fuel economy (km/L)]])</f>
        <v>3421.0526315789475</v>
      </c>
      <c r="K240" s="44">
        <f>Tabla1[[#This Row],[Consumption (L)]]/$F$455</f>
        <v>2.9140141665919486</v>
      </c>
      <c r="L240" s="44">
        <f>Tabla1[[#This Row],[Consumption (ton)]]/1000</f>
        <v>2.9140141665919485E-3</v>
      </c>
    </row>
    <row r="241" spans="2:18" x14ac:dyDescent="0.35">
      <c r="B241" s="584">
        <v>2015</v>
      </c>
      <c r="C241" s="592" t="s">
        <v>59</v>
      </c>
      <c r="D241" s="40" t="s">
        <v>273</v>
      </c>
      <c r="E241" s="40" t="s">
        <v>41</v>
      </c>
      <c r="F241" s="578" t="s">
        <v>505</v>
      </c>
      <c r="G241" s="577">
        <v>964</v>
      </c>
      <c r="H241" s="575">
        <v>13000</v>
      </c>
      <c r="I241" s="585">
        <v>12.7</v>
      </c>
      <c r="J241" s="44">
        <f>IF(Tabla1[[#This Row],[Number of vehicle]]="",0,(Tabla1[[#This Row],[Number of vehicle]]*Tabla1[[#This Row],[km travelled]])/Tabla1[[#This Row],[Fuel economy (km/L)]])</f>
        <v>986771.6535433071</v>
      </c>
      <c r="K241" s="44">
        <f>Tabla1[[#This Row],[Consumption (L)]]/$F$455</f>
        <v>840.52099961099407</v>
      </c>
      <c r="L241" s="44">
        <f>Tabla1[[#This Row],[Consumption (ton)]]/1000</f>
        <v>0.84052099961099402</v>
      </c>
    </row>
    <row r="242" spans="2:18" x14ac:dyDescent="0.35">
      <c r="B242" s="584">
        <v>2015</v>
      </c>
      <c r="C242" s="592" t="s">
        <v>59</v>
      </c>
      <c r="D242" s="40" t="s">
        <v>273</v>
      </c>
      <c r="E242" s="40" t="s">
        <v>41</v>
      </c>
      <c r="F242" s="578" t="s">
        <v>507</v>
      </c>
      <c r="G242" s="577">
        <v>176</v>
      </c>
      <c r="H242" s="575">
        <v>13000</v>
      </c>
      <c r="I242" s="585">
        <v>12.7</v>
      </c>
      <c r="J242" s="44">
        <f>IF(Tabla1[[#This Row],[Number of vehicle]]="",0,(Tabla1[[#This Row],[Number of vehicle]]*Tabla1[[#This Row],[km travelled]])/Tabla1[[#This Row],[Fuel economy (km/L)]])</f>
        <v>180157.48031496065</v>
      </c>
      <c r="K242" s="44">
        <f>Tabla1[[#This Row],[Consumption (L)]]/$F$455</f>
        <v>153.45611611155081</v>
      </c>
      <c r="L242" s="44">
        <f>Tabla1[[#This Row],[Consumption (ton)]]/1000</f>
        <v>0.1534561161115508</v>
      </c>
    </row>
    <row r="243" spans="2:18" x14ac:dyDescent="0.35">
      <c r="B243" s="584">
        <v>2015</v>
      </c>
      <c r="C243" s="592" t="s">
        <v>59</v>
      </c>
      <c r="D243" s="40" t="s">
        <v>273</v>
      </c>
      <c r="E243" s="40" t="s">
        <v>41</v>
      </c>
      <c r="F243" s="578" t="s">
        <v>505</v>
      </c>
      <c r="G243" s="577">
        <v>18554</v>
      </c>
      <c r="H243" s="575">
        <v>13000</v>
      </c>
      <c r="I243" s="585">
        <v>10.6</v>
      </c>
      <c r="J243" s="44">
        <f>IF(Tabla1[[#This Row],[Number of vehicle]]="",0,(Tabla1[[#This Row],[Number of vehicle]]*Tabla1[[#This Row],[km travelled]])/Tabla1[[#This Row],[Fuel economy (km/L)]])</f>
        <v>22754905.660377361</v>
      </c>
      <c r="K243" s="44">
        <f>Tabla1[[#This Row],[Consumption (L)]]/$F$455</f>
        <v>19382.372794188552</v>
      </c>
      <c r="L243" s="44">
        <f>Tabla1[[#This Row],[Consumption (ton)]]/1000</f>
        <v>19.382372794188552</v>
      </c>
    </row>
    <row r="244" spans="2:18" x14ac:dyDescent="0.35">
      <c r="B244" s="584">
        <v>2015</v>
      </c>
      <c r="C244" s="592" t="s">
        <v>59</v>
      </c>
      <c r="D244" s="40" t="s">
        <v>273</v>
      </c>
      <c r="E244" s="40" t="s">
        <v>41</v>
      </c>
      <c r="F244" s="578" t="s">
        <v>507</v>
      </c>
      <c r="G244" s="577">
        <v>11501</v>
      </c>
      <c r="H244" s="575">
        <v>13000</v>
      </c>
      <c r="I244" s="585">
        <v>10.6</v>
      </c>
      <c r="J244" s="44">
        <f>IF(Tabla1[[#This Row],[Number of vehicle]]="",0,(Tabla1[[#This Row],[Number of vehicle]]*Tabla1[[#This Row],[km travelled]])/Tabla1[[#This Row],[Fuel economy (km/L)]])</f>
        <v>14105000</v>
      </c>
      <c r="K244" s="44">
        <f>Tabla1[[#This Row],[Consumption (L)]]/$F$455</f>
        <v>12014.480408858602</v>
      </c>
      <c r="L244" s="44">
        <f>Tabla1[[#This Row],[Consumption (ton)]]/1000</f>
        <v>12.014480408858603</v>
      </c>
    </row>
    <row r="245" spans="2:18" x14ac:dyDescent="0.35">
      <c r="B245" s="584">
        <v>2015</v>
      </c>
      <c r="C245" s="592" t="s">
        <v>60</v>
      </c>
      <c r="D245" s="40" t="s">
        <v>273</v>
      </c>
      <c r="E245" s="40" t="s">
        <v>41</v>
      </c>
      <c r="F245" s="599" t="s">
        <v>505</v>
      </c>
      <c r="G245" s="600"/>
      <c r="H245" s="575">
        <v>14000</v>
      </c>
      <c r="I245" s="605">
        <v>15.5</v>
      </c>
      <c r="J245" s="44">
        <f>IF(Tabla1[[#This Row],[Number of vehicle]]="",0,(Tabla1[[#This Row],[Number of vehicle]]*Tabla1[[#This Row],[km travelled]])/Tabla1[[#This Row],[Fuel economy (km/L)]])</f>
        <v>0</v>
      </c>
      <c r="K245" s="44">
        <f>Tabla1[[#This Row],[Consumption (L)]]/$F$455</f>
        <v>0</v>
      </c>
      <c r="L245" s="44">
        <f>Tabla1[[#This Row],[Consumption (ton)]]/1000</f>
        <v>0</v>
      </c>
    </row>
    <row r="246" spans="2:18" x14ac:dyDescent="0.35">
      <c r="B246" s="584">
        <v>2015</v>
      </c>
      <c r="C246" s="592" t="s">
        <v>60</v>
      </c>
      <c r="D246" s="40" t="s">
        <v>273</v>
      </c>
      <c r="E246" s="40" t="s">
        <v>41</v>
      </c>
      <c r="F246" s="597" t="s">
        <v>507</v>
      </c>
      <c r="G246" s="600"/>
      <c r="H246" s="575">
        <v>14000</v>
      </c>
      <c r="I246" s="605">
        <v>15.5</v>
      </c>
      <c r="J246" s="44">
        <f>IF(Tabla1[[#This Row],[Number of vehicle]]="",0,(Tabla1[[#This Row],[Number of vehicle]]*Tabla1[[#This Row],[km travelled]])/Tabla1[[#This Row],[Fuel economy (km/L)]])</f>
        <v>0</v>
      </c>
      <c r="K246" s="44">
        <f>Tabla1[[#This Row],[Consumption (L)]]/$F$455</f>
        <v>0</v>
      </c>
      <c r="L246" s="44">
        <f>Tabla1[[#This Row],[Consumption (ton)]]/1000</f>
        <v>0</v>
      </c>
    </row>
    <row r="247" spans="2:18" x14ac:dyDescent="0.35">
      <c r="B247" s="584">
        <v>2015</v>
      </c>
      <c r="C247" s="592" t="s">
        <v>60</v>
      </c>
      <c r="D247" s="40" t="s">
        <v>273</v>
      </c>
      <c r="E247" s="40" t="s">
        <v>41</v>
      </c>
      <c r="F247" s="599" t="s">
        <v>505</v>
      </c>
      <c r="G247" s="600">
        <v>1</v>
      </c>
      <c r="H247" s="575">
        <v>14000</v>
      </c>
      <c r="I247" s="605">
        <v>15.2</v>
      </c>
      <c r="J247" s="44">
        <f>IF(Tabla1[[#This Row],[Number of vehicle]]="",0,(Tabla1[[#This Row],[Number of vehicle]]*Tabla1[[#This Row],[km travelled]])/Tabla1[[#This Row],[Fuel economy (km/L)]])</f>
        <v>921.0526315789474</v>
      </c>
      <c r="K247" s="44">
        <f>Tabla1[[#This Row],[Consumption (L)]]/$F$455</f>
        <v>0.78454227562090917</v>
      </c>
      <c r="L247" s="44">
        <f>Tabla1[[#This Row],[Consumption (ton)]]/1000</f>
        <v>7.8454227562090918E-4</v>
      </c>
    </row>
    <row r="248" spans="2:18" x14ac:dyDescent="0.35">
      <c r="B248" s="584">
        <v>2015</v>
      </c>
      <c r="C248" s="592" t="s">
        <v>60</v>
      </c>
      <c r="D248" s="40" t="s">
        <v>273</v>
      </c>
      <c r="E248" s="40" t="s">
        <v>41</v>
      </c>
      <c r="F248" s="597" t="s">
        <v>507</v>
      </c>
      <c r="G248" s="600">
        <v>366</v>
      </c>
      <c r="H248" s="575">
        <v>14000</v>
      </c>
      <c r="I248" s="605">
        <v>15.2</v>
      </c>
      <c r="J248" s="44">
        <f>IF(Tabla1[[#This Row],[Number of vehicle]]="",0,(Tabla1[[#This Row],[Number of vehicle]]*Tabla1[[#This Row],[km travelled]])/Tabla1[[#This Row],[Fuel economy (km/L)]])</f>
        <v>337105.26315789478</v>
      </c>
      <c r="K248" s="44">
        <f>Tabla1[[#This Row],[Consumption (L)]]/$F$455</f>
        <v>287.14247287725277</v>
      </c>
      <c r="L248" s="44">
        <f>Tabla1[[#This Row],[Consumption (ton)]]/1000</f>
        <v>0.28714247287725275</v>
      </c>
    </row>
    <row r="249" spans="2:18" x14ac:dyDescent="0.35">
      <c r="B249" s="584">
        <v>2015</v>
      </c>
      <c r="C249" s="592" t="s">
        <v>60</v>
      </c>
      <c r="D249" s="40" t="s">
        <v>273</v>
      </c>
      <c r="E249" s="40" t="s">
        <v>41</v>
      </c>
      <c r="F249" s="599" t="s">
        <v>505</v>
      </c>
      <c r="G249" s="600">
        <f>810-46</f>
        <v>764</v>
      </c>
      <c r="H249" s="575">
        <v>14000</v>
      </c>
      <c r="I249" s="605">
        <v>12.7</v>
      </c>
      <c r="J249" s="44">
        <f>IF(Tabla1[[#This Row],[Number of vehicle]]="",0,(Tabla1[[#This Row],[Number of vehicle]]*Tabla1[[#This Row],[km travelled]])/Tabla1[[#This Row],[Fuel economy (km/L)]])</f>
        <v>842204.72440944891</v>
      </c>
      <c r="K249" s="44">
        <f>Tabla1[[#This Row],[Consumption (L)]]/$F$455</f>
        <v>717.38051482917285</v>
      </c>
      <c r="L249" s="44">
        <f>Tabla1[[#This Row],[Consumption (ton)]]/1000</f>
        <v>0.71738051482917287</v>
      </c>
    </row>
    <row r="250" spans="2:18" x14ac:dyDescent="0.35">
      <c r="B250" s="584">
        <v>2015</v>
      </c>
      <c r="C250" s="592" t="s">
        <v>60</v>
      </c>
      <c r="D250" s="40" t="s">
        <v>273</v>
      </c>
      <c r="E250" s="40" t="s">
        <v>41</v>
      </c>
      <c r="F250" s="597" t="s">
        <v>507</v>
      </c>
      <c r="G250" s="600">
        <v>3</v>
      </c>
      <c r="H250" s="575">
        <v>14000</v>
      </c>
      <c r="I250" s="605">
        <v>12.7</v>
      </c>
      <c r="J250" s="44">
        <f>IF(Tabla1[[#This Row],[Number of vehicle]]="",0,(Tabla1[[#This Row],[Number of vehicle]]*Tabla1[[#This Row],[km travelled]])/Tabla1[[#This Row],[Fuel economy (km/L)]])</f>
        <v>3307.0866141732286</v>
      </c>
      <c r="K250" s="44">
        <f>Tabla1[[#This Row],[Consumption (L)]]/$F$455</f>
        <v>2.8169391943553905</v>
      </c>
      <c r="L250" s="44">
        <f>Tabla1[[#This Row],[Consumption (ton)]]/1000</f>
        <v>2.8169391943553904E-3</v>
      </c>
    </row>
    <row r="251" spans="2:18" x14ac:dyDescent="0.35">
      <c r="B251" s="584">
        <v>2015</v>
      </c>
      <c r="C251" s="592" t="s">
        <v>60</v>
      </c>
      <c r="D251" s="40" t="s">
        <v>273</v>
      </c>
      <c r="E251" s="40" t="s">
        <v>41</v>
      </c>
      <c r="F251" s="599" t="s">
        <v>505</v>
      </c>
      <c r="G251" s="600">
        <v>151</v>
      </c>
      <c r="H251" s="575">
        <v>14000</v>
      </c>
      <c r="I251" s="605">
        <v>10.6</v>
      </c>
      <c r="J251" s="44">
        <f>IF(Tabla1[[#This Row],[Number of vehicle]]="",0,(Tabla1[[#This Row],[Number of vehicle]]*Tabla1[[#This Row],[km travelled]])/Tabla1[[#This Row],[Fuel economy (km/L)]])</f>
        <v>199433.96226415096</v>
      </c>
      <c r="K251" s="44">
        <f>Tabla1[[#This Row],[Consumption (L)]]/$F$455</f>
        <v>169.87560669859536</v>
      </c>
      <c r="L251" s="44">
        <f>Tabla1[[#This Row],[Consumption (ton)]]/1000</f>
        <v>0.16987560669859536</v>
      </c>
    </row>
    <row r="252" spans="2:18" x14ac:dyDescent="0.35">
      <c r="B252" s="584">
        <v>2015</v>
      </c>
      <c r="C252" s="592" t="s">
        <v>60</v>
      </c>
      <c r="D252" s="40" t="s">
        <v>273</v>
      </c>
      <c r="E252" s="40" t="s">
        <v>41</v>
      </c>
      <c r="F252" s="597" t="s">
        <v>507</v>
      </c>
      <c r="G252" s="600">
        <v>216</v>
      </c>
      <c r="H252" s="575">
        <v>14000</v>
      </c>
      <c r="I252" s="605">
        <v>10.6</v>
      </c>
      <c r="J252" s="44">
        <f>IF(Tabla1[[#This Row],[Number of vehicle]]="",0,(Tabla1[[#This Row],[Number of vehicle]]*Tabla1[[#This Row],[km travelled]])/Tabla1[[#This Row],[Fuel economy (km/L)]])</f>
        <v>285283.01886792452</v>
      </c>
      <c r="K252" s="44">
        <f>Tabla1[[#This Row],[Consumption (L)]]/$F$455</f>
        <v>243.00086786024235</v>
      </c>
      <c r="L252" s="44">
        <f>Tabla1[[#This Row],[Consumption (ton)]]/1000</f>
        <v>0.24300086786024236</v>
      </c>
    </row>
    <row r="253" spans="2:18" x14ac:dyDescent="0.35">
      <c r="B253" s="584">
        <v>2015</v>
      </c>
      <c r="C253" s="592" t="s">
        <v>59</v>
      </c>
      <c r="D253" s="40" t="s">
        <v>273</v>
      </c>
      <c r="E253" s="40" t="s">
        <v>136</v>
      </c>
      <c r="F253" s="578" t="s">
        <v>505</v>
      </c>
      <c r="G253" s="577">
        <v>162</v>
      </c>
      <c r="H253" s="575">
        <v>15500</v>
      </c>
      <c r="I253" s="585">
        <v>15.5</v>
      </c>
      <c r="J253" s="44">
        <f>IF(Tabla1[[#This Row],[Number of vehicle]]="",0,(Tabla1[[#This Row],[Number of vehicle]]*Tabla1[[#This Row],[km travelled]])/Tabla1[[#This Row],[Fuel economy (km/L)]])</f>
        <v>162000</v>
      </c>
      <c r="K253" s="44">
        <f>Tabla1[[#This Row],[Consumption (L)]]/$F$454</f>
        <v>117.05202312138728</v>
      </c>
      <c r="L253" s="44">
        <f>Tabla1[[#This Row],[Consumption (ton)]]/1000</f>
        <v>0.11705202312138728</v>
      </c>
    </row>
    <row r="254" spans="2:18" x14ac:dyDescent="0.35">
      <c r="B254" s="584">
        <v>2015</v>
      </c>
      <c r="C254" s="592" t="s">
        <v>59</v>
      </c>
      <c r="D254" s="40" t="s">
        <v>273</v>
      </c>
      <c r="E254" s="40" t="s">
        <v>136</v>
      </c>
      <c r="F254" s="578" t="s">
        <v>507</v>
      </c>
      <c r="G254" s="577">
        <v>2</v>
      </c>
      <c r="H254" s="575">
        <v>15500</v>
      </c>
      <c r="I254" s="585">
        <v>15.5</v>
      </c>
      <c r="J254" s="44">
        <f>IF(Tabla1[[#This Row],[Number of vehicle]]="",0,(Tabla1[[#This Row],[Number of vehicle]]*Tabla1[[#This Row],[km travelled]])/Tabla1[[#This Row],[Fuel economy (km/L)]])</f>
        <v>2000</v>
      </c>
      <c r="K254" s="44">
        <f>Tabla1[[#This Row],[Consumption (L)]]/$F$454</f>
        <v>1.4450867052023122</v>
      </c>
      <c r="L254" s="44">
        <f>Tabla1[[#This Row],[Consumption (ton)]]/1000</f>
        <v>1.4450867052023123E-3</v>
      </c>
    </row>
    <row r="255" spans="2:18" s="110" customFormat="1" x14ac:dyDescent="0.35">
      <c r="B255" s="584">
        <v>2015</v>
      </c>
      <c r="C255" s="592" t="s">
        <v>59</v>
      </c>
      <c r="D255" s="40" t="s">
        <v>273</v>
      </c>
      <c r="E255" s="40" t="s">
        <v>136</v>
      </c>
      <c r="F255" s="581" t="s">
        <v>505</v>
      </c>
      <c r="G255" s="577">
        <v>4003</v>
      </c>
      <c r="H255" s="575">
        <v>15500</v>
      </c>
      <c r="I255" s="576">
        <v>12.8</v>
      </c>
      <c r="J255" s="44">
        <f>IF(Tabla1[[#This Row],[Number of vehicle]]="",0,(Tabla1[[#This Row],[Number of vehicle]]*Tabla1[[#This Row],[km travelled]])/Tabla1[[#This Row],[Fuel economy (km/L)]])</f>
        <v>4847382.8125</v>
      </c>
      <c r="K255" s="44">
        <f>Tabla1[[#This Row],[Consumption (L)]]/$F$454</f>
        <v>3502.4442286849712</v>
      </c>
      <c r="L255" s="44">
        <f>Tabla1[[#This Row],[Consumption (ton)]]/1000</f>
        <v>3.5024442286849711</v>
      </c>
      <c r="N255"/>
      <c r="O255"/>
      <c r="P255"/>
      <c r="Q255"/>
      <c r="R255"/>
    </row>
    <row r="256" spans="2:18" s="110" customFormat="1" x14ac:dyDescent="0.35">
      <c r="B256" s="584">
        <v>2015</v>
      </c>
      <c r="C256" s="592" t="s">
        <v>59</v>
      </c>
      <c r="D256" s="40" t="s">
        <v>273</v>
      </c>
      <c r="E256" s="40" t="s">
        <v>136</v>
      </c>
      <c r="F256" s="581" t="s">
        <v>507</v>
      </c>
      <c r="G256" s="577">
        <v>215</v>
      </c>
      <c r="H256" s="575">
        <v>15500</v>
      </c>
      <c r="I256" s="576">
        <v>12.8</v>
      </c>
      <c r="J256" s="44">
        <f>IF(Tabla1[[#This Row],[Number of vehicle]]="",0,(Tabla1[[#This Row],[Number of vehicle]]*Tabla1[[#This Row],[km travelled]])/Tabla1[[#This Row],[Fuel economy (km/L)]])</f>
        <v>260351.5625</v>
      </c>
      <c r="K256" s="44">
        <f>Tabla1[[#This Row],[Consumption (L)]]/$F$454</f>
        <v>188.11529082369941</v>
      </c>
      <c r="L256" s="44">
        <f>Tabla1[[#This Row],[Consumption (ton)]]/1000</f>
        <v>0.1881152908236994</v>
      </c>
      <c r="N256"/>
      <c r="O256"/>
      <c r="P256"/>
      <c r="Q256"/>
      <c r="R256"/>
    </row>
    <row r="257" spans="2:18" s="110" customFormat="1" x14ac:dyDescent="0.35">
      <c r="B257" s="584">
        <v>2015</v>
      </c>
      <c r="C257" s="592" t="s">
        <v>59</v>
      </c>
      <c r="D257" s="40" t="s">
        <v>273</v>
      </c>
      <c r="E257" s="40" t="s">
        <v>136</v>
      </c>
      <c r="F257" s="581" t="s">
        <v>505</v>
      </c>
      <c r="G257" s="577">
        <v>783</v>
      </c>
      <c r="H257" s="575">
        <v>15500</v>
      </c>
      <c r="I257" s="576">
        <v>10.4</v>
      </c>
      <c r="J257" s="44">
        <f>IF(Tabla1[[#This Row],[Number of vehicle]]="",0,(Tabla1[[#This Row],[Number of vehicle]]*Tabla1[[#This Row],[km travelled]])/Tabla1[[#This Row],[Fuel economy (km/L)]])</f>
        <v>1166971.1538461538</v>
      </c>
      <c r="K257" s="44">
        <f>Tabla1[[#This Row],[Consumption (L)]]/$F$454</f>
        <v>843.18724988883946</v>
      </c>
      <c r="L257" s="44">
        <f>Tabla1[[#This Row],[Consumption (ton)]]/1000</f>
        <v>0.84318724988883942</v>
      </c>
      <c r="N257"/>
      <c r="O257"/>
      <c r="P257"/>
      <c r="Q257"/>
      <c r="R257"/>
    </row>
    <row r="258" spans="2:18" x14ac:dyDescent="0.35">
      <c r="B258" s="584">
        <v>2015</v>
      </c>
      <c r="C258" s="592" t="s">
        <v>59</v>
      </c>
      <c r="D258" s="40" t="s">
        <v>273</v>
      </c>
      <c r="E258" s="40" t="s">
        <v>136</v>
      </c>
      <c r="F258" s="578" t="s">
        <v>507</v>
      </c>
      <c r="G258" s="577">
        <v>192</v>
      </c>
      <c r="H258" s="575">
        <v>15500</v>
      </c>
      <c r="I258" s="585">
        <v>10.4</v>
      </c>
      <c r="J258" s="44">
        <f>IF(Tabla1[[#This Row],[Number of vehicle]]="",0,(Tabla1[[#This Row],[Number of vehicle]]*Tabla1[[#This Row],[km travelled]])/Tabla1[[#This Row],[Fuel economy (km/L)]])</f>
        <v>286153.84615384613</v>
      </c>
      <c r="K258" s="44">
        <f>Tabla1[[#This Row],[Consumption (L)]]/$F$454</f>
        <v>206.75855935971541</v>
      </c>
      <c r="L258" s="44">
        <f>Tabla1[[#This Row],[Consumption (ton)]]/1000</f>
        <v>0.2067585593597154</v>
      </c>
    </row>
    <row r="259" spans="2:18" x14ac:dyDescent="0.35">
      <c r="B259" s="584">
        <v>2015</v>
      </c>
      <c r="C259" s="592" t="s">
        <v>59</v>
      </c>
      <c r="D259" s="40" t="s">
        <v>273</v>
      </c>
      <c r="E259" s="40" t="s">
        <v>136</v>
      </c>
      <c r="F259" s="578" t="s">
        <v>505</v>
      </c>
      <c r="G259" s="577">
        <v>708</v>
      </c>
      <c r="H259" s="575">
        <v>15500</v>
      </c>
      <c r="I259" s="585">
        <v>7.6</v>
      </c>
      <c r="J259" s="44">
        <f>IF(Tabla1[[#This Row],[Number of vehicle]]="",0,(Tabla1[[#This Row],[Number of vehicle]]*Tabla1[[#This Row],[km travelled]])/Tabla1[[#This Row],[Fuel economy (km/L)]])</f>
        <v>1443947.3684210528</v>
      </c>
      <c r="K259" s="44">
        <f>Tabla1[[#This Row],[Consumption (L)]]/$F$454</f>
        <v>1043.3145725585641</v>
      </c>
      <c r="L259" s="44">
        <f>Tabla1[[#This Row],[Consumption (ton)]]/1000</f>
        <v>1.0433145725585642</v>
      </c>
    </row>
    <row r="260" spans="2:18" x14ac:dyDescent="0.35">
      <c r="B260" s="584">
        <v>2015</v>
      </c>
      <c r="C260" s="592" t="s">
        <v>59</v>
      </c>
      <c r="D260" s="40" t="s">
        <v>273</v>
      </c>
      <c r="E260" s="40" t="s">
        <v>136</v>
      </c>
      <c r="F260" s="578" t="s">
        <v>507</v>
      </c>
      <c r="G260" s="577">
        <v>283</v>
      </c>
      <c r="H260" s="575">
        <v>15500</v>
      </c>
      <c r="I260" s="585">
        <v>7.6</v>
      </c>
      <c r="J260" s="44">
        <f>IF(Tabla1[[#This Row],[Number of vehicle]]="",0,(Tabla1[[#This Row],[Number of vehicle]]*Tabla1[[#This Row],[km travelled]])/Tabla1[[#This Row],[Fuel economy (km/L)]])</f>
        <v>577171.05263157899</v>
      </c>
      <c r="K260" s="44">
        <f>Tabla1[[#This Row],[Consumption (L)]]/$F$454</f>
        <v>417.0311073927594</v>
      </c>
      <c r="L260" s="44">
        <f>Tabla1[[#This Row],[Consumption (ton)]]/1000</f>
        <v>0.41703110739275939</v>
      </c>
    </row>
    <row r="261" spans="2:18" x14ac:dyDescent="0.35">
      <c r="B261" s="584">
        <v>2015</v>
      </c>
      <c r="C261" s="592" t="s">
        <v>60</v>
      </c>
      <c r="D261" s="40" t="s">
        <v>273</v>
      </c>
      <c r="E261" s="40" t="s">
        <v>136</v>
      </c>
      <c r="F261" s="578" t="s">
        <v>505</v>
      </c>
      <c r="G261" s="27"/>
      <c r="H261" s="575">
        <v>12000</v>
      </c>
      <c r="I261" s="585">
        <v>15.5</v>
      </c>
      <c r="J261" s="44">
        <f>IF(Tabla1[[#This Row],[Number of vehicle]]="",0,(Tabla1[[#This Row],[Number of vehicle]]*Tabla1[[#This Row],[km travelled]])/Tabla1[[#This Row],[Fuel economy (km/L)]])</f>
        <v>0</v>
      </c>
      <c r="K261" s="44">
        <f>Tabla1[[#This Row],[Consumption (L)]]/$F$454</f>
        <v>0</v>
      </c>
      <c r="L261" s="44">
        <f>Tabla1[[#This Row],[Consumption (ton)]]/1000</f>
        <v>0</v>
      </c>
    </row>
    <row r="262" spans="2:18" x14ac:dyDescent="0.35">
      <c r="B262" s="584">
        <v>2015</v>
      </c>
      <c r="C262" s="592" t="s">
        <v>60</v>
      </c>
      <c r="D262" s="40" t="s">
        <v>273</v>
      </c>
      <c r="E262" s="40" t="s">
        <v>136</v>
      </c>
      <c r="F262" s="571" t="s">
        <v>507</v>
      </c>
      <c r="G262" s="27">
        <v>3</v>
      </c>
      <c r="H262" s="575">
        <v>12000</v>
      </c>
      <c r="I262" s="585">
        <v>15.5</v>
      </c>
      <c r="J262" s="44">
        <f>IF(Tabla1[[#This Row],[Number of vehicle]]="",0,(Tabla1[[#This Row],[Number of vehicle]]*Tabla1[[#This Row],[km travelled]])/Tabla1[[#This Row],[Fuel economy (km/L)]])</f>
        <v>2322.5806451612902</v>
      </c>
      <c r="K262" s="44">
        <f>Tabla1[[#This Row],[Consumption (L)]]/$F$454</f>
        <v>1.6781652060413947</v>
      </c>
      <c r="L262" s="44">
        <f>Tabla1[[#This Row],[Consumption (ton)]]/1000</f>
        <v>1.6781652060413948E-3</v>
      </c>
    </row>
    <row r="263" spans="2:18" x14ac:dyDescent="0.35">
      <c r="B263" s="587">
        <v>2015</v>
      </c>
      <c r="C263" s="592" t="s">
        <v>60</v>
      </c>
      <c r="D263" s="588" t="s">
        <v>273</v>
      </c>
      <c r="E263" s="588" t="s">
        <v>136</v>
      </c>
      <c r="F263" s="582" t="s">
        <v>505</v>
      </c>
      <c r="G263" s="176">
        <v>1</v>
      </c>
      <c r="H263" s="589">
        <v>12000</v>
      </c>
      <c r="I263" s="590">
        <v>12.8</v>
      </c>
      <c r="J263" s="44">
        <f>IF(Tabla1[[#This Row],[Number of vehicle]]="",0,(Tabla1[[#This Row],[Number of vehicle]]*Tabla1[[#This Row],[km travelled]])/Tabla1[[#This Row],[Fuel economy (km/L)]])</f>
        <v>937.5</v>
      </c>
      <c r="K263" s="44">
        <f>Tabla1[[#This Row],[Consumption (L)]]/$F$454</f>
        <v>0.67738439306358378</v>
      </c>
      <c r="L263" s="44">
        <f>Tabla1[[#This Row],[Consumption (ton)]]/1000</f>
        <v>6.773843930635838E-4</v>
      </c>
    </row>
    <row r="264" spans="2:18" x14ac:dyDescent="0.35">
      <c r="B264" s="587">
        <v>2015</v>
      </c>
      <c r="C264" s="587" t="s">
        <v>60</v>
      </c>
      <c r="D264" s="588" t="s">
        <v>273</v>
      </c>
      <c r="E264" s="588" t="s">
        <v>136</v>
      </c>
      <c r="F264" s="571" t="s">
        <v>507</v>
      </c>
      <c r="G264" s="27">
        <v>2</v>
      </c>
      <c r="H264" s="575">
        <v>12000</v>
      </c>
      <c r="I264" s="585">
        <v>12.8</v>
      </c>
      <c r="J264" s="44">
        <f>IF(Tabla1[[#This Row],[Number of vehicle]]="",0,(Tabla1[[#This Row],[Number of vehicle]]*Tabla1[[#This Row],[km travelled]])/Tabla1[[#This Row],[Fuel economy (km/L)]])</f>
        <v>1875</v>
      </c>
      <c r="K264" s="44">
        <f>Tabla1[[#This Row],[Consumption (L)]]/$F$454</f>
        <v>1.3547687861271676</v>
      </c>
      <c r="L264" s="44">
        <f>Tabla1[[#This Row],[Consumption (ton)]]/1000</f>
        <v>1.3547687861271676E-3</v>
      </c>
    </row>
    <row r="265" spans="2:18" x14ac:dyDescent="0.35">
      <c r="B265" s="587">
        <v>2015</v>
      </c>
      <c r="C265" s="587" t="s">
        <v>60</v>
      </c>
      <c r="D265" s="588" t="s">
        <v>273</v>
      </c>
      <c r="E265" s="588" t="s">
        <v>136</v>
      </c>
      <c r="F265" s="578" t="s">
        <v>505</v>
      </c>
      <c r="G265" s="27">
        <v>2</v>
      </c>
      <c r="H265" s="575">
        <v>12000</v>
      </c>
      <c r="I265" s="585">
        <v>10.4</v>
      </c>
      <c r="J265" s="44">
        <f>IF(Tabla1[[#This Row],[Number of vehicle]]="",0,(Tabla1[[#This Row],[Number of vehicle]]*Tabla1[[#This Row],[km travelled]])/Tabla1[[#This Row],[Fuel economy (km/L)]])</f>
        <v>2307.6923076923076</v>
      </c>
      <c r="K265" s="44">
        <f>Tabla1[[#This Row],[Consumption (L)]]/$F$454</f>
        <v>1.6674077367718985</v>
      </c>
      <c r="L265" s="44">
        <f>Tabla1[[#This Row],[Consumption (ton)]]/1000</f>
        <v>1.6674077367718984E-3</v>
      </c>
    </row>
    <row r="266" spans="2:18" x14ac:dyDescent="0.35">
      <c r="B266" s="587">
        <v>2015</v>
      </c>
      <c r="C266" s="587" t="s">
        <v>60</v>
      </c>
      <c r="D266" s="588" t="s">
        <v>273</v>
      </c>
      <c r="E266" s="588" t="s">
        <v>136</v>
      </c>
      <c r="F266" s="571" t="s">
        <v>507</v>
      </c>
      <c r="G266" s="27"/>
      <c r="H266" s="575">
        <v>12000</v>
      </c>
      <c r="I266" s="585">
        <v>10.4</v>
      </c>
      <c r="J266" s="44">
        <f>IF(Tabla1[[#This Row],[Number of vehicle]]="",0,(Tabla1[[#This Row],[Number of vehicle]]*Tabla1[[#This Row],[km travelled]])/Tabla1[[#This Row],[Fuel economy (km/L)]])</f>
        <v>0</v>
      </c>
      <c r="K266" s="44">
        <f>Tabla1[[#This Row],[Consumption (L)]]/$F$454</f>
        <v>0</v>
      </c>
      <c r="L266" s="44">
        <f>Tabla1[[#This Row],[Consumption (ton)]]/1000</f>
        <v>0</v>
      </c>
    </row>
    <row r="267" spans="2:18" x14ac:dyDescent="0.35">
      <c r="B267" s="587">
        <v>2015</v>
      </c>
      <c r="C267" s="587" t="s">
        <v>60</v>
      </c>
      <c r="D267" s="588" t="s">
        <v>273</v>
      </c>
      <c r="E267" s="588" t="s">
        <v>136</v>
      </c>
      <c r="F267" s="578" t="s">
        <v>505</v>
      </c>
      <c r="G267" s="27">
        <v>11</v>
      </c>
      <c r="H267" s="575">
        <v>12000</v>
      </c>
      <c r="I267" s="585">
        <v>7.6</v>
      </c>
      <c r="J267" s="44">
        <f>IF(Tabla1[[#This Row],[Number of vehicle]]="",0,(Tabla1[[#This Row],[Number of vehicle]]*Tabla1[[#This Row],[km travelled]])/Tabla1[[#This Row],[Fuel economy (km/L)]])</f>
        <v>17368.42105263158</v>
      </c>
      <c r="K267" s="44">
        <f>Tabla1[[#This Row],[Consumption (L)]]/$F$454</f>
        <v>12.549437176756921</v>
      </c>
      <c r="L267" s="44">
        <f>Tabla1[[#This Row],[Consumption (ton)]]/1000</f>
        <v>1.2549437176756922E-2</v>
      </c>
    </row>
    <row r="268" spans="2:18" x14ac:dyDescent="0.35">
      <c r="B268" s="587">
        <v>2015</v>
      </c>
      <c r="C268" s="587" t="s">
        <v>60</v>
      </c>
      <c r="D268" s="588" t="s">
        <v>273</v>
      </c>
      <c r="E268" s="588" t="s">
        <v>136</v>
      </c>
      <c r="F268" s="571" t="s">
        <v>507</v>
      </c>
      <c r="G268" s="27">
        <v>1</v>
      </c>
      <c r="H268" s="575">
        <v>12000</v>
      </c>
      <c r="I268" s="585">
        <v>7.6</v>
      </c>
      <c r="J268" s="44">
        <f>IF(Tabla1[[#This Row],[Number of vehicle]]="",0,(Tabla1[[#This Row],[Number of vehicle]]*Tabla1[[#This Row],[km travelled]])/Tabla1[[#This Row],[Fuel economy (km/L)]])</f>
        <v>1578.9473684210527</v>
      </c>
      <c r="K268" s="44">
        <f>Tabla1[[#This Row],[Consumption (L)]]/$F$454</f>
        <v>1.1408579251597202</v>
      </c>
      <c r="L268" s="44">
        <f>Tabla1[[#This Row],[Consumption (ton)]]/1000</f>
        <v>1.1408579251597202E-3</v>
      </c>
    </row>
    <row r="269" spans="2:18" x14ac:dyDescent="0.35">
      <c r="B269" s="587">
        <v>2015</v>
      </c>
      <c r="C269" s="587" t="s">
        <v>59</v>
      </c>
      <c r="D269" s="588" t="s">
        <v>273</v>
      </c>
      <c r="E269" s="588" t="s">
        <v>117</v>
      </c>
      <c r="F269" s="578" t="s">
        <v>505</v>
      </c>
      <c r="G269" s="577"/>
      <c r="H269" s="575">
        <v>13000</v>
      </c>
      <c r="I269" s="585">
        <v>15.5</v>
      </c>
      <c r="J269" s="44">
        <f>IF(Tabla1[[#This Row],[Number of vehicle]]="",0,(Tabla1[[#This Row],[Number of vehicle]]*Tabla1[[#This Row],[km travelled]])/Tabla1[[#This Row],[Fuel economy (km/L)]])</f>
        <v>0</v>
      </c>
      <c r="K269" s="44">
        <f>Tabla1[[#This Row],[Consumption (L)]]/$F$456</f>
        <v>0</v>
      </c>
      <c r="L269" s="44">
        <f>Tabla1[[#This Row],[Consumption (ton)]]/1000</f>
        <v>0</v>
      </c>
    </row>
    <row r="270" spans="2:18" x14ac:dyDescent="0.35">
      <c r="B270" s="587">
        <v>2015</v>
      </c>
      <c r="C270" s="587" t="s">
        <v>59</v>
      </c>
      <c r="D270" s="588" t="s">
        <v>273</v>
      </c>
      <c r="E270" s="588" t="s">
        <v>117</v>
      </c>
      <c r="F270" s="578" t="s">
        <v>507</v>
      </c>
      <c r="G270" s="577"/>
      <c r="H270" s="575">
        <v>13000</v>
      </c>
      <c r="I270" s="585">
        <v>15.5</v>
      </c>
      <c r="J270" s="44">
        <f>IF(Tabla1[[#This Row],[Number of vehicle]]="",0,(Tabla1[[#This Row],[Number of vehicle]]*Tabla1[[#This Row],[km travelled]])/Tabla1[[#This Row],[Fuel economy (km/L)]])</f>
        <v>0</v>
      </c>
      <c r="K270" s="44">
        <f>Tabla1[[#This Row],[Consumption (L)]]/$F$456</f>
        <v>0</v>
      </c>
      <c r="L270" s="44">
        <f>Tabla1[[#This Row],[Consumption (ton)]]/1000</f>
        <v>0</v>
      </c>
    </row>
    <row r="271" spans="2:18" x14ac:dyDescent="0.35">
      <c r="B271" s="587">
        <v>2015</v>
      </c>
      <c r="C271" s="587" t="s">
        <v>59</v>
      </c>
      <c r="D271" s="588" t="s">
        <v>273</v>
      </c>
      <c r="E271" s="588" t="s">
        <v>117</v>
      </c>
      <c r="F271" s="578" t="s">
        <v>505</v>
      </c>
      <c r="G271" s="577">
        <v>4</v>
      </c>
      <c r="H271" s="575">
        <v>13000</v>
      </c>
      <c r="I271" s="585">
        <v>12.8</v>
      </c>
      <c r="J271" s="44">
        <f>IF(Tabla1[[#This Row],[Number of vehicle]]="",0,(Tabla1[[#This Row],[Number of vehicle]]*Tabla1[[#This Row],[km travelled]])/Tabla1[[#This Row],[Fuel economy (km/L)]])</f>
        <v>4062.5</v>
      </c>
      <c r="K271" s="44">
        <f>Tabla1[[#This Row],[Consumption (L)]]/$F$456</f>
        <v>2.2964951950254382</v>
      </c>
      <c r="L271" s="44">
        <f>Tabla1[[#This Row],[Consumption (ton)]]/1000</f>
        <v>2.296495195025438E-3</v>
      </c>
    </row>
    <row r="272" spans="2:18" x14ac:dyDescent="0.35">
      <c r="B272" s="587">
        <v>2015</v>
      </c>
      <c r="C272" s="587" t="s">
        <v>59</v>
      </c>
      <c r="D272" s="588" t="s">
        <v>273</v>
      </c>
      <c r="E272" s="588" t="s">
        <v>117</v>
      </c>
      <c r="F272" s="578" t="s">
        <v>507</v>
      </c>
      <c r="G272" s="577">
        <v>1</v>
      </c>
      <c r="H272" s="575">
        <v>13000</v>
      </c>
      <c r="I272" s="585">
        <v>12.8</v>
      </c>
      <c r="J272" s="44">
        <f>IF(Tabla1[[#This Row],[Number of vehicle]]="",0,(Tabla1[[#This Row],[Number of vehicle]]*Tabla1[[#This Row],[km travelled]])/Tabla1[[#This Row],[Fuel economy (km/L)]])</f>
        <v>1015.625</v>
      </c>
      <c r="K272" s="44">
        <f>Tabla1[[#This Row],[Consumption (L)]]/$F$456</f>
        <v>0.57412379875635955</v>
      </c>
      <c r="L272" s="44">
        <f>Tabla1[[#This Row],[Consumption (ton)]]/1000</f>
        <v>5.7412379875635951E-4</v>
      </c>
    </row>
    <row r="273" spans="2:12" x14ac:dyDescent="0.35">
      <c r="B273" s="587">
        <v>2015</v>
      </c>
      <c r="C273" s="587" t="s">
        <v>59</v>
      </c>
      <c r="D273" s="588" t="s">
        <v>273</v>
      </c>
      <c r="E273" s="588" t="s">
        <v>117</v>
      </c>
      <c r="F273" s="578" t="s">
        <v>505</v>
      </c>
      <c r="G273" s="577">
        <v>1</v>
      </c>
      <c r="H273" s="575">
        <v>13000</v>
      </c>
      <c r="I273" s="585">
        <v>10.4</v>
      </c>
      <c r="J273" s="44">
        <f>IF(Tabla1[[#This Row],[Number of vehicle]]="",0,(Tabla1[[#This Row],[Number of vehicle]]*Tabla1[[#This Row],[km travelled]])/Tabla1[[#This Row],[Fuel economy (km/L)]])</f>
        <v>1250</v>
      </c>
      <c r="K273" s="44">
        <f>Tabla1[[#This Row],[Consumption (L)]]/$F$456</f>
        <v>0.7066139061616733</v>
      </c>
      <c r="L273" s="44">
        <f>Tabla1[[#This Row],[Consumption (ton)]]/1000</f>
        <v>7.0661390616167329E-4</v>
      </c>
    </row>
    <row r="274" spans="2:12" x14ac:dyDescent="0.35">
      <c r="B274" s="587">
        <v>2015</v>
      </c>
      <c r="C274" s="587" t="s">
        <v>59</v>
      </c>
      <c r="D274" s="588" t="s">
        <v>273</v>
      </c>
      <c r="E274" s="588" t="s">
        <v>117</v>
      </c>
      <c r="F274" s="578" t="s">
        <v>507</v>
      </c>
      <c r="G274" s="577"/>
      <c r="H274" s="575">
        <v>13000</v>
      </c>
      <c r="I274" s="585">
        <v>10.4</v>
      </c>
      <c r="J274" s="44">
        <f>IF(Tabla1[[#This Row],[Number of vehicle]]="",0,(Tabla1[[#This Row],[Number of vehicle]]*Tabla1[[#This Row],[km travelled]])/Tabla1[[#This Row],[Fuel economy (km/L)]])</f>
        <v>0</v>
      </c>
      <c r="K274" s="44">
        <f>Tabla1[[#This Row],[Consumption (L)]]/$F$456</f>
        <v>0</v>
      </c>
      <c r="L274" s="44">
        <f>Tabla1[[#This Row],[Consumption (ton)]]/1000</f>
        <v>0</v>
      </c>
    </row>
    <row r="275" spans="2:12" x14ac:dyDescent="0.35">
      <c r="B275" s="587">
        <v>2015</v>
      </c>
      <c r="C275" s="587" t="s">
        <v>59</v>
      </c>
      <c r="D275" s="588" t="s">
        <v>273</v>
      </c>
      <c r="E275" s="588" t="s">
        <v>117</v>
      </c>
      <c r="F275" s="578" t="s">
        <v>505</v>
      </c>
      <c r="G275" s="577">
        <v>5</v>
      </c>
      <c r="H275" s="575">
        <v>13000</v>
      </c>
      <c r="I275" s="585">
        <v>7.6</v>
      </c>
      <c r="J275" s="44">
        <f>IF(Tabla1[[#This Row],[Number of vehicle]]="",0,(Tabla1[[#This Row],[Number of vehicle]]*Tabla1[[#This Row],[km travelled]])/Tabla1[[#This Row],[Fuel economy (km/L)]])</f>
        <v>8552.6315789473683</v>
      </c>
      <c r="K275" s="44">
        <f>Tabla1[[#This Row],[Consumption (L)]]/$F$456</f>
        <v>4.8347267263693432</v>
      </c>
      <c r="L275" s="44">
        <f>Tabla1[[#This Row],[Consumption (ton)]]/1000</f>
        <v>4.8347267263693433E-3</v>
      </c>
    </row>
    <row r="276" spans="2:12" x14ac:dyDescent="0.35">
      <c r="B276" s="587">
        <v>2015</v>
      </c>
      <c r="C276" s="587" t="s">
        <v>59</v>
      </c>
      <c r="D276" s="588" t="s">
        <v>273</v>
      </c>
      <c r="E276" s="588" t="s">
        <v>117</v>
      </c>
      <c r="F276" s="578" t="s">
        <v>507</v>
      </c>
      <c r="G276" s="577">
        <v>3</v>
      </c>
      <c r="H276" s="575">
        <v>13000</v>
      </c>
      <c r="I276" s="585">
        <v>7.6</v>
      </c>
      <c r="J276" s="44">
        <f>IF(Tabla1[[#This Row],[Number of vehicle]]="",0,(Tabla1[[#This Row],[Number of vehicle]]*Tabla1[[#This Row],[km travelled]])/Tabla1[[#This Row],[Fuel economy (km/L)]])</f>
        <v>5131.5789473684217</v>
      </c>
      <c r="K276" s="44">
        <f>Tabla1[[#This Row],[Consumption (L)]]/$F$456</f>
        <v>2.9008360358216065</v>
      </c>
      <c r="L276" s="44">
        <f>Tabla1[[#This Row],[Consumption (ton)]]/1000</f>
        <v>2.9008360358216065E-3</v>
      </c>
    </row>
    <row r="277" spans="2:12" x14ac:dyDescent="0.35">
      <c r="B277" s="587">
        <v>2015</v>
      </c>
      <c r="C277" s="587" t="s">
        <v>60</v>
      </c>
      <c r="D277" s="588" t="s">
        <v>273</v>
      </c>
      <c r="E277" s="588" t="s">
        <v>117</v>
      </c>
      <c r="F277" s="578" t="s">
        <v>505</v>
      </c>
      <c r="G277" s="600"/>
      <c r="H277" s="27">
        <v>12000</v>
      </c>
      <c r="I277" s="585">
        <v>15.5</v>
      </c>
      <c r="J277" s="44">
        <f>IF(Tabla1[[#This Row],[Number of vehicle]]="",0,(Tabla1[[#This Row],[Number of vehicle]]*Tabla1[[#This Row],[km travelled]])/Tabla1[[#This Row],[Fuel economy (km/L)]])</f>
        <v>0</v>
      </c>
      <c r="K277" s="44">
        <f>Tabla1[[#This Row],[Consumption (L)]]/$F$456</f>
        <v>0</v>
      </c>
      <c r="L277" s="44">
        <f>Tabla1[[#This Row],[Consumption (ton)]]/1000</f>
        <v>0</v>
      </c>
    </row>
    <row r="278" spans="2:12" x14ac:dyDescent="0.35">
      <c r="B278" s="587">
        <v>2015</v>
      </c>
      <c r="C278" s="587" t="s">
        <v>60</v>
      </c>
      <c r="D278" s="588" t="s">
        <v>273</v>
      </c>
      <c r="E278" s="588" t="s">
        <v>117</v>
      </c>
      <c r="F278" s="571" t="s">
        <v>507</v>
      </c>
      <c r="G278" s="600"/>
      <c r="H278" s="27">
        <v>12000</v>
      </c>
      <c r="I278" s="585">
        <v>15.5</v>
      </c>
      <c r="J278" s="44">
        <f>IF(Tabla1[[#This Row],[Number of vehicle]]="",0,(Tabla1[[#This Row],[Number of vehicle]]*Tabla1[[#This Row],[km travelled]])/Tabla1[[#This Row],[Fuel economy (km/L)]])</f>
        <v>0</v>
      </c>
      <c r="K278" s="44">
        <f>Tabla1[[#This Row],[Consumption (L)]]/$F$456</f>
        <v>0</v>
      </c>
      <c r="L278" s="44">
        <f>Tabla1[[#This Row],[Consumption (ton)]]/1000</f>
        <v>0</v>
      </c>
    </row>
    <row r="279" spans="2:12" x14ac:dyDescent="0.35">
      <c r="B279" s="587">
        <v>2015</v>
      </c>
      <c r="C279" s="587" t="s">
        <v>60</v>
      </c>
      <c r="D279" s="588" t="s">
        <v>273</v>
      </c>
      <c r="E279" s="588" t="s">
        <v>117</v>
      </c>
      <c r="F279" s="578" t="s">
        <v>505</v>
      </c>
      <c r="G279" s="600"/>
      <c r="H279" s="27">
        <v>12000</v>
      </c>
      <c r="I279" s="585">
        <v>12.8</v>
      </c>
      <c r="J279" s="44">
        <f>IF(Tabla1[[#This Row],[Number of vehicle]]="",0,(Tabla1[[#This Row],[Number of vehicle]]*Tabla1[[#This Row],[km travelled]])/Tabla1[[#This Row],[Fuel economy (km/L)]])</f>
        <v>0</v>
      </c>
      <c r="K279" s="44">
        <f>Tabla1[[#This Row],[Consumption (L)]]/$F$456</f>
        <v>0</v>
      </c>
      <c r="L279" s="44">
        <f>Tabla1[[#This Row],[Consumption (ton)]]/1000</f>
        <v>0</v>
      </c>
    </row>
    <row r="280" spans="2:12" x14ac:dyDescent="0.35">
      <c r="B280" s="587">
        <v>2015</v>
      </c>
      <c r="C280" s="587" t="s">
        <v>60</v>
      </c>
      <c r="D280" s="588" t="s">
        <v>273</v>
      </c>
      <c r="E280" s="588" t="s">
        <v>117</v>
      </c>
      <c r="F280" s="571" t="s">
        <v>507</v>
      </c>
      <c r="G280" s="600">
        <v>1</v>
      </c>
      <c r="H280" s="27">
        <v>12000</v>
      </c>
      <c r="I280" s="585">
        <v>12.8</v>
      </c>
      <c r="J280" s="44">
        <f>IF(Tabla1[[#This Row],[Number of vehicle]]="",0,(Tabla1[[#This Row],[Number of vehicle]]*Tabla1[[#This Row],[km travelled]])/Tabla1[[#This Row],[Fuel economy (km/L)]])</f>
        <v>937.5</v>
      </c>
      <c r="K280" s="44">
        <f>Tabla1[[#This Row],[Consumption (L)]]/$F$456</f>
        <v>0.52996042962125489</v>
      </c>
      <c r="L280" s="44">
        <f>Tabla1[[#This Row],[Consumption (ton)]]/1000</f>
        <v>5.2996042962125491E-4</v>
      </c>
    </row>
    <row r="281" spans="2:12" x14ac:dyDescent="0.35">
      <c r="B281" s="587">
        <v>2015</v>
      </c>
      <c r="C281" s="587" t="s">
        <v>60</v>
      </c>
      <c r="D281" s="588" t="s">
        <v>273</v>
      </c>
      <c r="E281" s="588" t="s">
        <v>117</v>
      </c>
      <c r="F281" s="578" t="s">
        <v>505</v>
      </c>
      <c r="G281" s="600"/>
      <c r="H281" s="27">
        <v>12000</v>
      </c>
      <c r="I281" s="585">
        <v>10.4</v>
      </c>
      <c r="J281" s="44">
        <f>IF(Tabla1[[#This Row],[Number of vehicle]]="",0,(Tabla1[[#This Row],[Number of vehicle]]*Tabla1[[#This Row],[km travelled]])/Tabla1[[#This Row],[Fuel economy (km/L)]])</f>
        <v>0</v>
      </c>
      <c r="K281" s="44">
        <f>Tabla1[[#This Row],[Consumption (L)]]/$F$456</f>
        <v>0</v>
      </c>
      <c r="L281" s="44">
        <f>Tabla1[[#This Row],[Consumption (ton)]]/1000</f>
        <v>0</v>
      </c>
    </row>
    <row r="282" spans="2:12" x14ac:dyDescent="0.35">
      <c r="B282" s="587">
        <v>2015</v>
      </c>
      <c r="C282" s="587" t="s">
        <v>60</v>
      </c>
      <c r="D282" s="588" t="s">
        <v>273</v>
      </c>
      <c r="E282" s="588" t="s">
        <v>117</v>
      </c>
      <c r="F282" s="571" t="s">
        <v>507</v>
      </c>
      <c r="G282" s="600"/>
      <c r="H282" s="27">
        <v>12000</v>
      </c>
      <c r="I282" s="585">
        <v>10.4</v>
      </c>
      <c r="J282" s="44">
        <f>IF(Tabla1[[#This Row],[Number of vehicle]]="",0,(Tabla1[[#This Row],[Number of vehicle]]*Tabla1[[#This Row],[km travelled]])/Tabla1[[#This Row],[Fuel economy (km/L)]])</f>
        <v>0</v>
      </c>
      <c r="K282" s="44">
        <f>Tabla1[[#This Row],[Consumption (L)]]/$F$456</f>
        <v>0</v>
      </c>
      <c r="L282" s="44">
        <f>Tabla1[[#This Row],[Consumption (ton)]]/1000</f>
        <v>0</v>
      </c>
    </row>
    <row r="283" spans="2:12" x14ac:dyDescent="0.35">
      <c r="B283" s="587">
        <v>2015</v>
      </c>
      <c r="C283" s="587" t="s">
        <v>60</v>
      </c>
      <c r="D283" s="588" t="s">
        <v>273</v>
      </c>
      <c r="E283" s="588" t="s">
        <v>117</v>
      </c>
      <c r="F283" s="578" t="s">
        <v>505</v>
      </c>
      <c r="G283" s="600">
        <v>5</v>
      </c>
      <c r="H283" s="27">
        <v>12000</v>
      </c>
      <c r="I283" s="585">
        <v>7.6</v>
      </c>
      <c r="J283" s="44">
        <f>IF(Tabla1[[#This Row],[Number of vehicle]]="",0,(Tabla1[[#This Row],[Number of vehicle]]*Tabla1[[#This Row],[km travelled]])/Tabla1[[#This Row],[Fuel economy (km/L)]])</f>
        <v>7894.7368421052633</v>
      </c>
      <c r="K283" s="44">
        <f>Tabla1[[#This Row],[Consumption (L)]]/$F$456</f>
        <v>4.4628246704947783</v>
      </c>
      <c r="L283" s="44">
        <f>Tabla1[[#This Row],[Consumption (ton)]]/1000</f>
        <v>4.4628246704947784E-3</v>
      </c>
    </row>
    <row r="284" spans="2:12" x14ac:dyDescent="0.35">
      <c r="B284" s="587">
        <v>2015</v>
      </c>
      <c r="C284" s="587" t="s">
        <v>60</v>
      </c>
      <c r="D284" s="588" t="s">
        <v>273</v>
      </c>
      <c r="E284" s="588" t="s">
        <v>117</v>
      </c>
      <c r="F284" s="571" t="s">
        <v>507</v>
      </c>
      <c r="G284" s="600">
        <v>1</v>
      </c>
      <c r="H284" s="27">
        <v>12000</v>
      </c>
      <c r="I284" s="585">
        <v>7.6</v>
      </c>
      <c r="J284" s="44">
        <f>IF(Tabla1[[#This Row],[Number of vehicle]]="",0,(Tabla1[[#This Row],[Number of vehicle]]*Tabla1[[#This Row],[km travelled]])/Tabla1[[#This Row],[Fuel economy (km/L)]])</f>
        <v>1578.9473684210527</v>
      </c>
      <c r="K284" s="44">
        <f>Tabla1[[#This Row],[Consumption (L)]]/$F$456</f>
        <v>0.89256493409895576</v>
      </c>
      <c r="L284" s="44">
        <f>Tabla1[[#This Row],[Consumption (ton)]]/1000</f>
        <v>8.9256493409895572E-4</v>
      </c>
    </row>
    <row r="285" spans="2:12" x14ac:dyDescent="0.35">
      <c r="B285" s="587">
        <v>2016</v>
      </c>
      <c r="C285" s="587" t="s">
        <v>59</v>
      </c>
      <c r="D285" s="588" t="s">
        <v>273</v>
      </c>
      <c r="E285" s="588" t="s">
        <v>41</v>
      </c>
      <c r="F285" s="578" t="s">
        <v>505</v>
      </c>
      <c r="G285" s="577">
        <v>4</v>
      </c>
      <c r="H285" s="575">
        <v>13000</v>
      </c>
      <c r="I285" s="585">
        <v>15.5</v>
      </c>
      <c r="J285" s="44">
        <f>IF(Tabla1[[#This Row],[Number of vehicle]]="",0,(Tabla1[[#This Row],[Number of vehicle]]*Tabla1[[#This Row],[km travelled]])/Tabla1[[#This Row],[Fuel economy (km/L)]])</f>
        <v>3354.8387096774195</v>
      </c>
      <c r="K285" s="44">
        <f>Tabla1[[#This Row],[Consumption (L)]]/$F$455</f>
        <v>2.8576138923998462</v>
      </c>
      <c r="L285" s="44">
        <f>Tabla1[[#This Row],[Consumption (ton)]]/1000</f>
        <v>2.857613892399846E-3</v>
      </c>
    </row>
    <row r="286" spans="2:12" x14ac:dyDescent="0.35">
      <c r="B286" s="587">
        <v>2016</v>
      </c>
      <c r="C286" s="587" t="s">
        <v>59</v>
      </c>
      <c r="D286" s="588" t="s">
        <v>273</v>
      </c>
      <c r="E286" s="588" t="s">
        <v>41</v>
      </c>
      <c r="F286" s="578" t="s">
        <v>507</v>
      </c>
      <c r="G286" s="577"/>
      <c r="H286" s="575">
        <v>13000</v>
      </c>
      <c r="I286" s="585">
        <v>15.5</v>
      </c>
      <c r="J286" s="44">
        <f>IF(Tabla1[[#This Row],[Number of vehicle]]="",0,(Tabla1[[#This Row],[Number of vehicle]]*Tabla1[[#This Row],[km travelled]])/Tabla1[[#This Row],[Fuel economy (km/L)]])</f>
        <v>0</v>
      </c>
      <c r="K286" s="44">
        <f>Tabla1[[#This Row],[Consumption (L)]]/$F$455</f>
        <v>0</v>
      </c>
      <c r="L286" s="44">
        <f>Tabla1[[#This Row],[Consumption (ton)]]/1000</f>
        <v>0</v>
      </c>
    </row>
    <row r="287" spans="2:12" x14ac:dyDescent="0.35">
      <c r="B287" s="587">
        <v>2016</v>
      </c>
      <c r="C287" s="587" t="s">
        <v>59</v>
      </c>
      <c r="D287" s="588" t="s">
        <v>273</v>
      </c>
      <c r="E287" s="588" t="s">
        <v>41</v>
      </c>
      <c r="F287" s="578" t="s">
        <v>505</v>
      </c>
      <c r="G287" s="577">
        <v>83</v>
      </c>
      <c r="H287" s="575">
        <v>13000</v>
      </c>
      <c r="I287" s="585">
        <v>15.2</v>
      </c>
      <c r="J287" s="44">
        <f>IF(Tabla1[[#This Row],[Number of vehicle]]="",0,(Tabla1[[#This Row],[Number of vehicle]]*Tabla1[[#This Row],[km travelled]])/Tabla1[[#This Row],[Fuel economy (km/L)]])</f>
        <v>70986.84210526316</v>
      </c>
      <c r="K287" s="44">
        <f>Tabla1[[#This Row],[Consumption (L)]]/$F$455</f>
        <v>60.465793956782932</v>
      </c>
      <c r="L287" s="44">
        <f>Tabla1[[#This Row],[Consumption (ton)]]/1000</f>
        <v>6.0465793956782934E-2</v>
      </c>
    </row>
    <row r="288" spans="2:12" x14ac:dyDescent="0.35">
      <c r="B288" s="587">
        <v>2016</v>
      </c>
      <c r="C288" s="587" t="s">
        <v>59</v>
      </c>
      <c r="D288" s="588" t="s">
        <v>273</v>
      </c>
      <c r="E288" s="588" t="s">
        <v>41</v>
      </c>
      <c r="F288" s="578" t="s">
        <v>507</v>
      </c>
      <c r="G288" s="577">
        <v>4</v>
      </c>
      <c r="H288" s="575">
        <v>13000</v>
      </c>
      <c r="I288" s="585">
        <v>15.2</v>
      </c>
      <c r="J288" s="44">
        <f>IF(Tabla1[[#This Row],[Number of vehicle]]="",0,(Tabla1[[#This Row],[Number of vehicle]]*Tabla1[[#This Row],[km travelled]])/Tabla1[[#This Row],[Fuel economy (km/L)]])</f>
        <v>3421.0526315789475</v>
      </c>
      <c r="K288" s="44">
        <f>Tabla1[[#This Row],[Consumption (L)]]/$F$455</f>
        <v>2.9140141665919486</v>
      </c>
      <c r="L288" s="44">
        <f>Tabla1[[#This Row],[Consumption (ton)]]/1000</f>
        <v>2.9140141665919485E-3</v>
      </c>
    </row>
    <row r="289" spans="2:12" x14ac:dyDescent="0.35">
      <c r="B289" s="587">
        <v>2016</v>
      </c>
      <c r="C289" s="587" t="s">
        <v>59</v>
      </c>
      <c r="D289" s="588" t="s">
        <v>273</v>
      </c>
      <c r="E289" s="588" t="s">
        <v>41</v>
      </c>
      <c r="F289" s="578" t="s">
        <v>505</v>
      </c>
      <c r="G289" s="577">
        <v>951</v>
      </c>
      <c r="H289" s="575">
        <v>13000</v>
      </c>
      <c r="I289" s="585">
        <v>12.7</v>
      </c>
      <c r="J289" s="44">
        <f>IF(Tabla1[[#This Row],[Number of vehicle]]="",0,(Tabla1[[#This Row],[Number of vehicle]]*Tabla1[[#This Row],[km travelled]])/Tabla1[[#This Row],[Fuel economy (km/L)]])</f>
        <v>973464.56692913396</v>
      </c>
      <c r="K289" s="44">
        <f>Tabla1[[#This Row],[Consumption (L)]]/$F$455</f>
        <v>829.18617285275468</v>
      </c>
      <c r="L289" s="44">
        <f>Tabla1[[#This Row],[Consumption (ton)]]/1000</f>
        <v>0.82918617285275464</v>
      </c>
    </row>
    <row r="290" spans="2:12" x14ac:dyDescent="0.35">
      <c r="B290" s="587">
        <v>2016</v>
      </c>
      <c r="C290" s="587" t="s">
        <v>59</v>
      </c>
      <c r="D290" s="588" t="s">
        <v>273</v>
      </c>
      <c r="E290" s="588" t="s">
        <v>41</v>
      </c>
      <c r="F290" s="578" t="s">
        <v>507</v>
      </c>
      <c r="G290" s="577">
        <v>225</v>
      </c>
      <c r="H290" s="575">
        <v>13000</v>
      </c>
      <c r="I290" s="585">
        <v>12.7</v>
      </c>
      <c r="J290" s="44">
        <f>IF(Tabla1[[#This Row],[Number of vehicle]]="",0,(Tabla1[[#This Row],[Number of vehicle]]*Tabla1[[#This Row],[km travelled]])/Tabla1[[#This Row],[Fuel economy (km/L)]])</f>
        <v>230314.96062992126</v>
      </c>
      <c r="K290" s="44">
        <f>Tabla1[[#This Row],[Consumption (L)]]/$F$455</f>
        <v>196.17969389260756</v>
      </c>
      <c r="L290" s="44">
        <f>Tabla1[[#This Row],[Consumption (ton)]]/1000</f>
        <v>0.19617969389260756</v>
      </c>
    </row>
    <row r="291" spans="2:12" x14ac:dyDescent="0.35">
      <c r="B291" s="587">
        <v>2016</v>
      </c>
      <c r="C291" s="587" t="s">
        <v>59</v>
      </c>
      <c r="D291" s="588" t="s">
        <v>273</v>
      </c>
      <c r="E291" s="588" t="s">
        <v>41</v>
      </c>
      <c r="F291" s="578" t="s">
        <v>505</v>
      </c>
      <c r="G291" s="577">
        <v>18535</v>
      </c>
      <c r="H291" s="575">
        <v>13000</v>
      </c>
      <c r="I291" s="585">
        <v>10.6</v>
      </c>
      <c r="J291" s="44">
        <f>IF(Tabla1[[#This Row],[Number of vehicle]]="",0,(Tabla1[[#This Row],[Number of vehicle]]*Tabla1[[#This Row],[km travelled]])/Tabla1[[#This Row],[Fuel economy (km/L)]])</f>
        <v>22731603.773584906</v>
      </c>
      <c r="K291" s="44">
        <f>Tabla1[[#This Row],[Consumption (L)]]/$F$455</f>
        <v>19362.524509016104</v>
      </c>
      <c r="L291" s="44">
        <f>Tabla1[[#This Row],[Consumption (ton)]]/1000</f>
        <v>19.362524509016104</v>
      </c>
    </row>
    <row r="292" spans="2:12" x14ac:dyDescent="0.35">
      <c r="B292" s="587">
        <v>2016</v>
      </c>
      <c r="C292" s="587" t="s">
        <v>59</v>
      </c>
      <c r="D292" s="588" t="s">
        <v>273</v>
      </c>
      <c r="E292" s="588" t="s">
        <v>41</v>
      </c>
      <c r="F292" s="578" t="s">
        <v>507</v>
      </c>
      <c r="G292" s="577">
        <f>1178+12483</f>
        <v>13661</v>
      </c>
      <c r="H292" s="575">
        <v>13000</v>
      </c>
      <c r="I292" s="585">
        <v>10.6</v>
      </c>
      <c r="J292" s="44">
        <f>IF(Tabla1[[#This Row],[Number of vehicle]]="",0,(Tabla1[[#This Row],[Number of vehicle]]*Tabla1[[#This Row],[km travelled]])/Tabla1[[#This Row],[Fuel economy (km/L)]])</f>
        <v>16754056.603773585</v>
      </c>
      <c r="K292" s="44">
        <f>Tabla1[[#This Row],[Consumption (L)]]/$F$455</f>
        <v>14270.917038989424</v>
      </c>
      <c r="L292" s="44">
        <f>Tabla1[[#This Row],[Consumption (ton)]]/1000</f>
        <v>14.270917038989424</v>
      </c>
    </row>
    <row r="293" spans="2:12" x14ac:dyDescent="0.35">
      <c r="B293" s="587">
        <v>2016</v>
      </c>
      <c r="C293" s="587" t="s">
        <v>60</v>
      </c>
      <c r="D293" s="588" t="s">
        <v>273</v>
      </c>
      <c r="E293" s="588" t="s">
        <v>41</v>
      </c>
      <c r="F293" s="599" t="s">
        <v>505</v>
      </c>
      <c r="G293" s="600"/>
      <c r="H293" s="575">
        <v>14000</v>
      </c>
      <c r="I293" s="605">
        <v>15.5</v>
      </c>
      <c r="J293" s="44">
        <f>IF(Tabla1[[#This Row],[Number of vehicle]]="",0,(Tabla1[[#This Row],[Number of vehicle]]*Tabla1[[#This Row],[km travelled]])/Tabla1[[#This Row],[Fuel economy (km/L)]])</f>
        <v>0</v>
      </c>
      <c r="K293" s="44">
        <f>Tabla1[[#This Row],[Consumption (L)]]/$F$455</f>
        <v>0</v>
      </c>
      <c r="L293" s="44">
        <f>Tabla1[[#This Row],[Consumption (ton)]]/1000</f>
        <v>0</v>
      </c>
    </row>
    <row r="294" spans="2:12" x14ac:dyDescent="0.35">
      <c r="B294" s="587">
        <v>2016</v>
      </c>
      <c r="C294" s="587" t="s">
        <v>60</v>
      </c>
      <c r="D294" s="588" t="s">
        <v>273</v>
      </c>
      <c r="E294" s="588" t="s">
        <v>41</v>
      </c>
      <c r="F294" s="597" t="s">
        <v>507</v>
      </c>
      <c r="G294" s="600"/>
      <c r="H294" s="575">
        <v>14000</v>
      </c>
      <c r="I294" s="605">
        <v>15.5</v>
      </c>
      <c r="J294" s="44">
        <f>IF(Tabla1[[#This Row],[Number of vehicle]]="",0,(Tabla1[[#This Row],[Number of vehicle]]*Tabla1[[#This Row],[km travelled]])/Tabla1[[#This Row],[Fuel economy (km/L)]])</f>
        <v>0</v>
      </c>
      <c r="K294" s="44">
        <f>Tabla1[[#This Row],[Consumption (L)]]/$F$455</f>
        <v>0</v>
      </c>
      <c r="L294" s="44">
        <f>Tabla1[[#This Row],[Consumption (ton)]]/1000</f>
        <v>0</v>
      </c>
    </row>
    <row r="295" spans="2:12" x14ac:dyDescent="0.35">
      <c r="B295" s="587">
        <v>2016</v>
      </c>
      <c r="C295" s="587" t="s">
        <v>60</v>
      </c>
      <c r="D295" s="588" t="s">
        <v>273</v>
      </c>
      <c r="E295" s="588" t="s">
        <v>41</v>
      </c>
      <c r="F295" s="599" t="s">
        <v>505</v>
      </c>
      <c r="G295" s="600">
        <v>1</v>
      </c>
      <c r="H295" s="575">
        <v>14000</v>
      </c>
      <c r="I295" s="605">
        <v>15.2</v>
      </c>
      <c r="J295" s="44">
        <f>IF(Tabla1[[#This Row],[Number of vehicle]]="",0,(Tabla1[[#This Row],[Number of vehicle]]*Tabla1[[#This Row],[km travelled]])/Tabla1[[#This Row],[Fuel economy (km/L)]])</f>
        <v>921.0526315789474</v>
      </c>
      <c r="K295" s="44">
        <f>Tabla1[[#This Row],[Consumption (L)]]/$F$455</f>
        <v>0.78454227562090917</v>
      </c>
      <c r="L295" s="44">
        <f>Tabla1[[#This Row],[Consumption (ton)]]/1000</f>
        <v>7.8454227562090918E-4</v>
      </c>
    </row>
    <row r="296" spans="2:12" x14ac:dyDescent="0.35">
      <c r="B296" s="587">
        <v>2016</v>
      </c>
      <c r="C296" s="587" t="s">
        <v>60</v>
      </c>
      <c r="D296" s="588" t="s">
        <v>273</v>
      </c>
      <c r="E296" s="588" t="s">
        <v>41</v>
      </c>
      <c r="F296" s="597" t="s">
        <v>507</v>
      </c>
      <c r="G296" s="600">
        <v>375</v>
      </c>
      <c r="H296" s="575">
        <v>14000</v>
      </c>
      <c r="I296" s="605">
        <v>15.2</v>
      </c>
      <c r="J296" s="44">
        <f>IF(Tabla1[[#This Row],[Number of vehicle]]="",0,(Tabla1[[#This Row],[Number of vehicle]]*Tabla1[[#This Row],[km travelled]])/Tabla1[[#This Row],[Fuel economy (km/L)]])</f>
        <v>345394.73684210528</v>
      </c>
      <c r="K296" s="44">
        <f>Tabla1[[#This Row],[Consumption (L)]]/$F$455</f>
        <v>294.20335335784097</v>
      </c>
      <c r="L296" s="44">
        <f>Tabla1[[#This Row],[Consumption (ton)]]/1000</f>
        <v>0.29420335335784098</v>
      </c>
    </row>
    <row r="297" spans="2:12" x14ac:dyDescent="0.35">
      <c r="B297" s="587">
        <v>2016</v>
      </c>
      <c r="C297" s="587" t="s">
        <v>60</v>
      </c>
      <c r="D297" s="588" t="s">
        <v>273</v>
      </c>
      <c r="E297" s="588" t="s">
        <v>41</v>
      </c>
      <c r="F297" s="599" t="s">
        <v>505</v>
      </c>
      <c r="G297" s="600">
        <v>781</v>
      </c>
      <c r="H297" s="575">
        <v>14000</v>
      </c>
      <c r="I297" s="605">
        <v>12.7</v>
      </c>
      <c r="J297" s="44">
        <f>IF(Tabla1[[#This Row],[Number of vehicle]]="",0,(Tabla1[[#This Row],[Number of vehicle]]*Tabla1[[#This Row],[km travelled]])/Tabla1[[#This Row],[Fuel economy (km/L)]])</f>
        <v>860944.88188976387</v>
      </c>
      <c r="K297" s="44">
        <f>Tabla1[[#This Row],[Consumption (L)]]/$F$455</f>
        <v>733.34317026385338</v>
      </c>
      <c r="L297" s="44">
        <f>Tabla1[[#This Row],[Consumption (ton)]]/1000</f>
        <v>0.73334317026385343</v>
      </c>
    </row>
    <row r="298" spans="2:12" x14ac:dyDescent="0.35">
      <c r="B298" s="587">
        <v>2016</v>
      </c>
      <c r="C298" s="587" t="s">
        <v>60</v>
      </c>
      <c r="D298" s="588" t="s">
        <v>273</v>
      </c>
      <c r="E298" s="588" t="s">
        <v>41</v>
      </c>
      <c r="F298" s="597" t="s">
        <v>507</v>
      </c>
      <c r="G298" s="600">
        <v>7</v>
      </c>
      <c r="H298" s="575">
        <v>14000</v>
      </c>
      <c r="I298" s="605">
        <v>12.7</v>
      </c>
      <c r="J298" s="44">
        <f>IF(Tabla1[[#This Row],[Number of vehicle]]="",0,(Tabla1[[#This Row],[Number of vehicle]]*Tabla1[[#This Row],[km travelled]])/Tabla1[[#This Row],[Fuel economy (km/L)]])</f>
        <v>7716.5354330708669</v>
      </c>
      <c r="K298" s="44">
        <f>Tabla1[[#This Row],[Consumption (L)]]/$F$455</f>
        <v>6.5728581201625786</v>
      </c>
      <c r="L298" s="44">
        <f>Tabla1[[#This Row],[Consumption (ton)]]/1000</f>
        <v>6.5728581201625787E-3</v>
      </c>
    </row>
    <row r="299" spans="2:12" x14ac:dyDescent="0.35">
      <c r="B299" s="587">
        <v>2016</v>
      </c>
      <c r="C299" s="587" t="s">
        <v>60</v>
      </c>
      <c r="D299" s="588" t="s">
        <v>273</v>
      </c>
      <c r="E299" s="588" t="s">
        <v>41</v>
      </c>
      <c r="F299" s="599" t="s">
        <v>505</v>
      </c>
      <c r="G299" s="600">
        <v>192</v>
      </c>
      <c r="H299" s="575">
        <v>14000</v>
      </c>
      <c r="I299" s="605">
        <v>10.6</v>
      </c>
      <c r="J299" s="44">
        <f>IF(Tabla1[[#This Row],[Number of vehicle]]="",0,(Tabla1[[#This Row],[Number of vehicle]]*Tabla1[[#This Row],[km travelled]])/Tabla1[[#This Row],[Fuel economy (km/L)]])</f>
        <v>253584.90566037738</v>
      </c>
      <c r="K299" s="44">
        <f>Tabla1[[#This Row],[Consumption (L)]]/$F$455</f>
        <v>216.00077143132657</v>
      </c>
      <c r="L299" s="44">
        <f>Tabla1[[#This Row],[Consumption (ton)]]/1000</f>
        <v>0.21600077143132657</v>
      </c>
    </row>
    <row r="300" spans="2:12" x14ac:dyDescent="0.35">
      <c r="B300" s="587">
        <v>2016</v>
      </c>
      <c r="C300" s="587" t="s">
        <v>60</v>
      </c>
      <c r="D300" s="588" t="s">
        <v>273</v>
      </c>
      <c r="E300" s="588" t="s">
        <v>41</v>
      </c>
      <c r="F300" s="597" t="s">
        <v>507</v>
      </c>
      <c r="G300" s="600">
        <f>352-49</f>
        <v>303</v>
      </c>
      <c r="H300" s="575">
        <v>14000</v>
      </c>
      <c r="I300" s="605">
        <v>10.6</v>
      </c>
      <c r="J300" s="44">
        <f>IF(Tabla1[[#This Row],[Number of vehicle]]="",0,(Tabla1[[#This Row],[Number of vehicle]]*Tabla1[[#This Row],[km travelled]])/Tabla1[[#This Row],[Fuel economy (km/L)]])</f>
        <v>400188.67924528301</v>
      </c>
      <c r="K300" s="44">
        <f>Tabla1[[#This Row],[Consumption (L)]]/$F$455</f>
        <v>340.87621741506217</v>
      </c>
      <c r="L300" s="44">
        <f>Tabla1[[#This Row],[Consumption (ton)]]/1000</f>
        <v>0.34087621741506219</v>
      </c>
    </row>
    <row r="301" spans="2:12" x14ac:dyDescent="0.35">
      <c r="B301" s="587">
        <v>2016</v>
      </c>
      <c r="C301" s="587" t="s">
        <v>59</v>
      </c>
      <c r="D301" s="588" t="s">
        <v>273</v>
      </c>
      <c r="E301" s="588" t="s">
        <v>136</v>
      </c>
      <c r="F301" s="578" t="s">
        <v>505</v>
      </c>
      <c r="G301" s="577">
        <v>149</v>
      </c>
      <c r="H301" s="575">
        <v>16000</v>
      </c>
      <c r="I301" s="585">
        <v>15.5</v>
      </c>
      <c r="J301" s="44">
        <f>IF(Tabla1[[#This Row],[Number of vehicle]]="",0,(Tabla1[[#This Row],[Number of vehicle]]*Tabla1[[#This Row],[km travelled]])/Tabla1[[#This Row],[Fuel economy (km/L)]])</f>
        <v>153806.45161290321</v>
      </c>
      <c r="K301" s="44">
        <f>Tabla1[[#This Row],[Consumption (L)]]/$F$454</f>
        <v>111.13182920007458</v>
      </c>
      <c r="L301" s="44">
        <f>Tabla1[[#This Row],[Consumption (ton)]]/1000</f>
        <v>0.11113182920007458</v>
      </c>
    </row>
    <row r="302" spans="2:12" x14ac:dyDescent="0.35">
      <c r="B302" s="587">
        <v>2016</v>
      </c>
      <c r="C302" s="587" t="s">
        <v>59</v>
      </c>
      <c r="D302" s="588" t="s">
        <v>273</v>
      </c>
      <c r="E302" s="588" t="s">
        <v>136</v>
      </c>
      <c r="F302" s="578" t="s">
        <v>507</v>
      </c>
      <c r="G302" s="577">
        <v>3</v>
      </c>
      <c r="H302" s="575">
        <v>16000</v>
      </c>
      <c r="I302" s="585">
        <v>15.5</v>
      </c>
      <c r="J302" s="44">
        <f>IF(Tabla1[[#This Row],[Number of vehicle]]="",0,(Tabla1[[#This Row],[Number of vehicle]]*Tabla1[[#This Row],[km travelled]])/Tabla1[[#This Row],[Fuel economy (km/L)]])</f>
        <v>3096.7741935483873</v>
      </c>
      <c r="K302" s="44">
        <f>Tabla1[[#This Row],[Consumption (L)]]/$F$454</f>
        <v>2.237553608055193</v>
      </c>
      <c r="L302" s="44">
        <f>Tabla1[[#This Row],[Consumption (ton)]]/1000</f>
        <v>2.2375536080551932E-3</v>
      </c>
    </row>
    <row r="303" spans="2:12" x14ac:dyDescent="0.35">
      <c r="B303" s="587">
        <v>2016</v>
      </c>
      <c r="C303" s="587" t="s">
        <v>59</v>
      </c>
      <c r="D303" s="588" t="s">
        <v>273</v>
      </c>
      <c r="E303" s="588" t="s">
        <v>136</v>
      </c>
      <c r="F303" s="578" t="s">
        <v>505</v>
      </c>
      <c r="G303" s="577">
        <v>3806</v>
      </c>
      <c r="H303" s="575">
        <v>16000</v>
      </c>
      <c r="I303" s="585">
        <v>12.8</v>
      </c>
      <c r="J303" s="44">
        <f>IF(Tabla1[[#This Row],[Number of vehicle]]="",0,(Tabla1[[#This Row],[Number of vehicle]]*Tabla1[[#This Row],[km travelled]])/Tabla1[[#This Row],[Fuel economy (km/L)]])</f>
        <v>4757500</v>
      </c>
      <c r="K303" s="44">
        <f>Tabla1[[#This Row],[Consumption (L)]]/$F$454</f>
        <v>3437.5</v>
      </c>
      <c r="L303" s="44">
        <f>Tabla1[[#This Row],[Consumption (ton)]]/1000</f>
        <v>3.4375</v>
      </c>
    </row>
    <row r="304" spans="2:12" x14ac:dyDescent="0.35">
      <c r="B304" s="587">
        <v>2016</v>
      </c>
      <c r="C304" s="587" t="s">
        <v>59</v>
      </c>
      <c r="D304" s="588" t="s">
        <v>273</v>
      </c>
      <c r="E304" s="588" t="s">
        <v>136</v>
      </c>
      <c r="F304" s="578" t="s">
        <v>507</v>
      </c>
      <c r="G304" s="577">
        <v>225</v>
      </c>
      <c r="H304" s="575">
        <v>16000</v>
      </c>
      <c r="I304" s="585">
        <v>12.8</v>
      </c>
      <c r="J304" s="44">
        <f>IF(Tabla1[[#This Row],[Number of vehicle]]="",0,(Tabla1[[#This Row],[Number of vehicle]]*Tabla1[[#This Row],[km travelled]])/Tabla1[[#This Row],[Fuel economy (km/L)]])</f>
        <v>281250</v>
      </c>
      <c r="K304" s="44">
        <f>Tabla1[[#This Row],[Consumption (L)]]/$F$454</f>
        <v>203.21531791907515</v>
      </c>
      <c r="L304" s="44">
        <f>Tabla1[[#This Row],[Consumption (ton)]]/1000</f>
        <v>0.20321531791907516</v>
      </c>
    </row>
    <row r="305" spans="2:12" x14ac:dyDescent="0.35">
      <c r="B305" s="587">
        <v>2016</v>
      </c>
      <c r="C305" s="587" t="s">
        <v>59</v>
      </c>
      <c r="D305" s="588" t="s">
        <v>273</v>
      </c>
      <c r="E305" s="588" t="s">
        <v>136</v>
      </c>
      <c r="F305" s="578" t="s">
        <v>505</v>
      </c>
      <c r="G305" s="577">
        <v>756</v>
      </c>
      <c r="H305" s="575">
        <v>16000</v>
      </c>
      <c r="I305" s="585">
        <v>10.4</v>
      </c>
      <c r="J305" s="44">
        <f>IF(Tabla1[[#This Row],[Number of vehicle]]="",0,(Tabla1[[#This Row],[Number of vehicle]]*Tabla1[[#This Row],[km travelled]])/Tabla1[[#This Row],[Fuel economy (km/L)]])</f>
        <v>1163076.923076923</v>
      </c>
      <c r="K305" s="44">
        <f>Tabla1[[#This Row],[Consumption (L)]]/$F$454</f>
        <v>840.37349933303688</v>
      </c>
      <c r="L305" s="44">
        <f>Tabla1[[#This Row],[Consumption (ton)]]/1000</f>
        <v>0.84037349933303684</v>
      </c>
    </row>
    <row r="306" spans="2:12" x14ac:dyDescent="0.35">
      <c r="B306" s="587">
        <v>2016</v>
      </c>
      <c r="C306" s="587" t="s">
        <v>59</v>
      </c>
      <c r="D306" s="588" t="s">
        <v>273</v>
      </c>
      <c r="E306" s="588" t="s">
        <v>136</v>
      </c>
      <c r="F306" s="578" t="s">
        <v>507</v>
      </c>
      <c r="G306" s="577">
        <v>201</v>
      </c>
      <c r="H306" s="575">
        <v>16000</v>
      </c>
      <c r="I306" s="585">
        <v>10.4</v>
      </c>
      <c r="J306" s="44">
        <f>IF(Tabla1[[#This Row],[Number of vehicle]]="",0,(Tabla1[[#This Row],[Number of vehicle]]*Tabla1[[#This Row],[km travelled]])/Tabla1[[#This Row],[Fuel economy (km/L)]])</f>
        <v>309230.76923076925</v>
      </c>
      <c r="K306" s="44">
        <f>Tabla1[[#This Row],[Consumption (L)]]/$F$454</f>
        <v>223.43263672743444</v>
      </c>
      <c r="L306" s="44">
        <f>Tabla1[[#This Row],[Consumption (ton)]]/1000</f>
        <v>0.22343263672743444</v>
      </c>
    </row>
    <row r="307" spans="2:12" x14ac:dyDescent="0.35">
      <c r="B307" s="587">
        <v>2016</v>
      </c>
      <c r="C307" s="587" t="s">
        <v>59</v>
      </c>
      <c r="D307" s="588" t="s">
        <v>273</v>
      </c>
      <c r="E307" s="588" t="s">
        <v>136</v>
      </c>
      <c r="F307" s="578" t="s">
        <v>505</v>
      </c>
      <c r="G307" s="577">
        <f>702</f>
        <v>702</v>
      </c>
      <c r="H307" s="575">
        <v>16000</v>
      </c>
      <c r="I307" s="585">
        <v>7.6</v>
      </c>
      <c r="J307" s="44">
        <f>IF(Tabla1[[#This Row],[Number of vehicle]]="",0,(Tabla1[[#This Row],[Number of vehicle]]*Tabla1[[#This Row],[km travelled]])/Tabla1[[#This Row],[Fuel economy (km/L)]])</f>
        <v>1477894.7368421054</v>
      </c>
      <c r="K307" s="44">
        <f>Tabla1[[#This Row],[Consumption (L)]]/$F$454</f>
        <v>1067.8430179494981</v>
      </c>
      <c r="L307" s="44">
        <f>Tabla1[[#This Row],[Consumption (ton)]]/1000</f>
        <v>1.067843017949498</v>
      </c>
    </row>
    <row r="308" spans="2:12" x14ac:dyDescent="0.35">
      <c r="B308" s="587">
        <v>2016</v>
      </c>
      <c r="C308" s="587" t="s">
        <v>59</v>
      </c>
      <c r="D308" s="588" t="s">
        <v>273</v>
      </c>
      <c r="E308" s="588" t="s">
        <v>136</v>
      </c>
      <c r="F308" s="578" t="s">
        <v>507</v>
      </c>
      <c r="G308" s="577">
        <f>283+20</f>
        <v>303</v>
      </c>
      <c r="H308" s="575">
        <v>16000</v>
      </c>
      <c r="I308" s="585">
        <v>7.6</v>
      </c>
      <c r="J308" s="44">
        <f>IF(Tabla1[[#This Row],[Number of vehicle]]="",0,(Tabla1[[#This Row],[Number of vehicle]]*Tabla1[[#This Row],[km travelled]])/Tabla1[[#This Row],[Fuel economy (km/L)]])</f>
        <v>637894.73684210528</v>
      </c>
      <c r="K308" s="44">
        <f>Tabla1[[#This Row],[Consumption (L)]]/$F$454</f>
        <v>460.90660176452695</v>
      </c>
      <c r="L308" s="44">
        <f>Tabla1[[#This Row],[Consumption (ton)]]/1000</f>
        <v>0.46090660176452697</v>
      </c>
    </row>
    <row r="309" spans="2:12" x14ac:dyDescent="0.35">
      <c r="B309" s="587">
        <v>2016</v>
      </c>
      <c r="C309" s="587" t="s">
        <v>60</v>
      </c>
      <c r="D309" s="588" t="s">
        <v>273</v>
      </c>
      <c r="E309" s="588" t="s">
        <v>136</v>
      </c>
      <c r="F309" s="578" t="s">
        <v>505</v>
      </c>
      <c r="G309" s="27"/>
      <c r="H309" s="575">
        <v>12000</v>
      </c>
      <c r="I309" s="585">
        <v>15.5</v>
      </c>
      <c r="J309" s="44">
        <f>IF(Tabla1[[#This Row],[Number of vehicle]]="",0,(Tabla1[[#This Row],[Number of vehicle]]*Tabla1[[#This Row],[km travelled]])/Tabla1[[#This Row],[Fuel economy (km/L)]])</f>
        <v>0</v>
      </c>
      <c r="K309" s="44">
        <f>Tabla1[[#This Row],[Consumption (L)]]/$F$454</f>
        <v>0</v>
      </c>
      <c r="L309" s="44">
        <f>Tabla1[[#This Row],[Consumption (ton)]]/1000</f>
        <v>0</v>
      </c>
    </row>
    <row r="310" spans="2:12" x14ac:dyDescent="0.35">
      <c r="B310" s="587">
        <v>2016</v>
      </c>
      <c r="C310" s="587" t="s">
        <v>60</v>
      </c>
      <c r="D310" s="588" t="s">
        <v>273</v>
      </c>
      <c r="E310" s="588" t="s">
        <v>136</v>
      </c>
      <c r="F310" s="571" t="s">
        <v>507</v>
      </c>
      <c r="G310" s="27"/>
      <c r="H310" s="575">
        <v>12000</v>
      </c>
      <c r="I310" s="585">
        <v>15.5</v>
      </c>
      <c r="J310" s="44">
        <f>IF(Tabla1[[#This Row],[Number of vehicle]]="",0,(Tabla1[[#This Row],[Number of vehicle]]*Tabla1[[#This Row],[km travelled]])/Tabla1[[#This Row],[Fuel economy (km/L)]])</f>
        <v>0</v>
      </c>
      <c r="K310" s="44">
        <f>Tabla1[[#This Row],[Consumption (L)]]/$F$454</f>
        <v>0</v>
      </c>
      <c r="L310" s="44">
        <f>Tabla1[[#This Row],[Consumption (ton)]]/1000</f>
        <v>0</v>
      </c>
    </row>
    <row r="311" spans="2:12" x14ac:dyDescent="0.35">
      <c r="B311" s="587">
        <v>2016</v>
      </c>
      <c r="C311" s="587" t="s">
        <v>60</v>
      </c>
      <c r="D311" s="588" t="s">
        <v>273</v>
      </c>
      <c r="E311" s="588" t="s">
        <v>136</v>
      </c>
      <c r="F311" s="578" t="s">
        <v>505</v>
      </c>
      <c r="G311" s="27">
        <v>1</v>
      </c>
      <c r="H311" s="575">
        <v>12000</v>
      </c>
      <c r="I311" s="585">
        <v>12.8</v>
      </c>
      <c r="J311" s="44">
        <f>IF(Tabla1[[#This Row],[Number of vehicle]]="",0,(Tabla1[[#This Row],[Number of vehicle]]*Tabla1[[#This Row],[km travelled]])/Tabla1[[#This Row],[Fuel economy (km/L)]])</f>
        <v>937.5</v>
      </c>
      <c r="K311" s="44">
        <f>Tabla1[[#This Row],[Consumption (L)]]/$F$454</f>
        <v>0.67738439306358378</v>
      </c>
      <c r="L311" s="44">
        <f>Tabla1[[#This Row],[Consumption (ton)]]/1000</f>
        <v>6.773843930635838E-4</v>
      </c>
    </row>
    <row r="312" spans="2:12" x14ac:dyDescent="0.35">
      <c r="B312" s="587">
        <v>2016</v>
      </c>
      <c r="C312" s="587" t="s">
        <v>60</v>
      </c>
      <c r="D312" s="588" t="s">
        <v>273</v>
      </c>
      <c r="E312" s="588" t="s">
        <v>136</v>
      </c>
      <c r="F312" s="571" t="s">
        <v>507</v>
      </c>
      <c r="G312" s="27">
        <v>3</v>
      </c>
      <c r="H312" s="575">
        <v>12000</v>
      </c>
      <c r="I312" s="585">
        <v>12.8</v>
      </c>
      <c r="J312" s="44">
        <f>IF(Tabla1[[#This Row],[Number of vehicle]]="",0,(Tabla1[[#This Row],[Number of vehicle]]*Tabla1[[#This Row],[km travelled]])/Tabla1[[#This Row],[Fuel economy (km/L)]])</f>
        <v>2812.5</v>
      </c>
      <c r="K312" s="44">
        <f>Tabla1[[#This Row],[Consumption (L)]]/$F$454</f>
        <v>2.0321531791907512</v>
      </c>
      <c r="L312" s="44">
        <f>Tabla1[[#This Row],[Consumption (ton)]]/1000</f>
        <v>2.0321531791907513E-3</v>
      </c>
    </row>
    <row r="313" spans="2:12" x14ac:dyDescent="0.35">
      <c r="B313" s="587">
        <v>2016</v>
      </c>
      <c r="C313" s="587" t="s">
        <v>60</v>
      </c>
      <c r="D313" s="588" t="s">
        <v>273</v>
      </c>
      <c r="E313" s="588" t="s">
        <v>136</v>
      </c>
      <c r="F313" s="581" t="s">
        <v>505</v>
      </c>
      <c r="G313" s="170">
        <v>2</v>
      </c>
      <c r="H313" s="575">
        <v>12000</v>
      </c>
      <c r="I313" s="585">
        <v>10.4</v>
      </c>
      <c r="J313" s="44">
        <f>IF(Tabla1[[#This Row],[Number of vehicle]]="",0,(Tabla1[[#This Row],[Number of vehicle]]*Tabla1[[#This Row],[km travelled]])/Tabla1[[#This Row],[Fuel economy (km/L)]])</f>
        <v>2307.6923076923076</v>
      </c>
      <c r="K313" s="44">
        <f>Tabla1[[#This Row],[Consumption (L)]]/$F$454</f>
        <v>1.6674077367718985</v>
      </c>
      <c r="L313" s="44">
        <f>Tabla1[[#This Row],[Consumption (ton)]]/1000</f>
        <v>1.6674077367718984E-3</v>
      </c>
    </row>
    <row r="314" spans="2:12" x14ac:dyDescent="0.35">
      <c r="B314" s="587">
        <v>2016</v>
      </c>
      <c r="C314" s="587" t="s">
        <v>60</v>
      </c>
      <c r="D314" s="588" t="s">
        <v>273</v>
      </c>
      <c r="E314" s="588" t="s">
        <v>136</v>
      </c>
      <c r="F314" s="571" t="s">
        <v>507</v>
      </c>
      <c r="G314" s="170">
        <v>4</v>
      </c>
      <c r="H314" s="575">
        <v>12000</v>
      </c>
      <c r="I314" s="585">
        <v>10.4</v>
      </c>
      <c r="J314" s="44">
        <f>IF(Tabla1[[#This Row],[Number of vehicle]]="",0,(Tabla1[[#This Row],[Number of vehicle]]*Tabla1[[#This Row],[km travelled]])/Tabla1[[#This Row],[Fuel economy (km/L)]])</f>
        <v>4615.3846153846152</v>
      </c>
      <c r="K314" s="44">
        <f>Tabla1[[#This Row],[Consumption (L)]]/$F$454</f>
        <v>3.3348154735437969</v>
      </c>
      <c r="L314" s="44">
        <f>Tabla1[[#This Row],[Consumption (ton)]]/1000</f>
        <v>3.3348154735437967E-3</v>
      </c>
    </row>
    <row r="315" spans="2:12" x14ac:dyDescent="0.35">
      <c r="B315" s="587">
        <v>2016</v>
      </c>
      <c r="C315" s="587" t="s">
        <v>60</v>
      </c>
      <c r="D315" s="588" t="s">
        <v>273</v>
      </c>
      <c r="E315" s="588" t="s">
        <v>136</v>
      </c>
      <c r="F315" s="578" t="s">
        <v>505</v>
      </c>
      <c r="G315" s="27">
        <v>11</v>
      </c>
      <c r="H315" s="575">
        <v>12000</v>
      </c>
      <c r="I315" s="585">
        <v>7.6</v>
      </c>
      <c r="J315" s="44">
        <f>IF(Tabla1[[#This Row],[Number of vehicle]]="",0,(Tabla1[[#This Row],[Number of vehicle]]*Tabla1[[#This Row],[km travelled]])/Tabla1[[#This Row],[Fuel economy (km/L)]])</f>
        <v>17368.42105263158</v>
      </c>
      <c r="K315" s="44">
        <f>Tabla1[[#This Row],[Consumption (L)]]/$F$454</f>
        <v>12.549437176756921</v>
      </c>
      <c r="L315" s="44">
        <f>Tabla1[[#This Row],[Consumption (ton)]]/1000</f>
        <v>1.2549437176756922E-2</v>
      </c>
    </row>
    <row r="316" spans="2:12" x14ac:dyDescent="0.35">
      <c r="B316" s="587">
        <v>2016</v>
      </c>
      <c r="C316" s="587" t="s">
        <v>60</v>
      </c>
      <c r="D316" s="588" t="s">
        <v>273</v>
      </c>
      <c r="E316" s="588" t="s">
        <v>136</v>
      </c>
      <c r="F316" s="571" t="s">
        <v>507</v>
      </c>
      <c r="G316" s="176">
        <v>5</v>
      </c>
      <c r="H316" s="589">
        <v>12000</v>
      </c>
      <c r="I316" s="590">
        <v>7.6</v>
      </c>
      <c r="J316" s="44">
        <f>IF(Tabla1[[#This Row],[Number of vehicle]]="",0,(Tabla1[[#This Row],[Number of vehicle]]*Tabla1[[#This Row],[km travelled]])/Tabla1[[#This Row],[Fuel economy (km/L)]])</f>
        <v>7894.7368421052633</v>
      </c>
      <c r="K316" s="44">
        <f>Tabla1[[#This Row],[Consumption (L)]]/$F$454</f>
        <v>5.7042896257986007</v>
      </c>
      <c r="L316" s="44">
        <f>Tabla1[[#This Row],[Consumption (ton)]]/1000</f>
        <v>5.7042896257986008E-3</v>
      </c>
    </row>
    <row r="317" spans="2:12" x14ac:dyDescent="0.35">
      <c r="B317" s="587">
        <v>2016</v>
      </c>
      <c r="C317" s="587" t="s">
        <v>59</v>
      </c>
      <c r="D317" s="588" t="s">
        <v>273</v>
      </c>
      <c r="E317" s="588" t="s">
        <v>117</v>
      </c>
      <c r="F317" s="581" t="s">
        <v>505</v>
      </c>
      <c r="G317" s="580"/>
      <c r="H317" s="589">
        <v>13000</v>
      </c>
      <c r="I317" s="590">
        <v>15.5</v>
      </c>
      <c r="J317" s="44">
        <f>IF(Tabla1[[#This Row],[Number of vehicle]]="",0,(Tabla1[[#This Row],[Number of vehicle]]*Tabla1[[#This Row],[km travelled]])/Tabla1[[#This Row],[Fuel economy (km/L)]])</f>
        <v>0</v>
      </c>
      <c r="K317" s="44">
        <f>Tabla1[[#This Row],[Consumption (L)]]/$F$456</f>
        <v>0</v>
      </c>
      <c r="L317" s="44">
        <f>Tabla1[[#This Row],[Consumption (ton)]]/1000</f>
        <v>0</v>
      </c>
    </row>
    <row r="318" spans="2:12" s="110" customFormat="1" x14ac:dyDescent="0.35">
      <c r="B318" s="587">
        <v>2016</v>
      </c>
      <c r="C318" s="587" t="s">
        <v>59</v>
      </c>
      <c r="D318" s="588" t="s">
        <v>273</v>
      </c>
      <c r="E318" s="588" t="s">
        <v>117</v>
      </c>
      <c r="F318" s="581" t="s">
        <v>507</v>
      </c>
      <c r="G318" s="577"/>
      <c r="H318" s="575">
        <v>13000</v>
      </c>
      <c r="I318" s="576">
        <v>15.5</v>
      </c>
      <c r="J318" s="44">
        <f>IF(Tabla1[[#This Row],[Number of vehicle]]="",0,(Tabla1[[#This Row],[Number of vehicle]]*Tabla1[[#This Row],[km travelled]])/Tabla1[[#This Row],[Fuel economy (km/L)]])</f>
        <v>0</v>
      </c>
      <c r="K318" s="44">
        <f>Tabla1[[#This Row],[Consumption (L)]]/$F$456</f>
        <v>0</v>
      </c>
      <c r="L318" s="44">
        <f>Tabla1[[#This Row],[Consumption (ton)]]/1000</f>
        <v>0</v>
      </c>
    </row>
    <row r="319" spans="2:12" s="110" customFormat="1" x14ac:dyDescent="0.35">
      <c r="B319" s="587">
        <v>2016</v>
      </c>
      <c r="C319" s="587" t="s">
        <v>59</v>
      </c>
      <c r="D319" s="588" t="s">
        <v>273</v>
      </c>
      <c r="E319" s="588" t="s">
        <v>117</v>
      </c>
      <c r="F319" s="581" t="s">
        <v>505</v>
      </c>
      <c r="G319" s="577">
        <v>3</v>
      </c>
      <c r="H319" s="575">
        <v>13000</v>
      </c>
      <c r="I319" s="576">
        <v>12.8</v>
      </c>
      <c r="J319" s="44">
        <f>IF(Tabla1[[#This Row],[Number of vehicle]]="",0,(Tabla1[[#This Row],[Number of vehicle]]*Tabla1[[#This Row],[km travelled]])/Tabla1[[#This Row],[Fuel economy (km/L)]])</f>
        <v>3046.875</v>
      </c>
      <c r="K319" s="44">
        <f>Tabla1[[#This Row],[Consumption (L)]]/$F$456</f>
        <v>1.7223713962690785</v>
      </c>
      <c r="L319" s="44">
        <f>Tabla1[[#This Row],[Consumption (ton)]]/1000</f>
        <v>1.7223713962690786E-3</v>
      </c>
    </row>
    <row r="320" spans="2:12" s="110" customFormat="1" x14ac:dyDescent="0.35">
      <c r="B320" s="587">
        <v>2016</v>
      </c>
      <c r="C320" s="587" t="s">
        <v>59</v>
      </c>
      <c r="D320" s="588" t="s">
        <v>273</v>
      </c>
      <c r="E320" s="588" t="s">
        <v>117</v>
      </c>
      <c r="F320" s="581" t="s">
        <v>507</v>
      </c>
      <c r="G320" s="577">
        <v>1</v>
      </c>
      <c r="H320" s="575">
        <v>13000</v>
      </c>
      <c r="I320" s="576">
        <v>12.8</v>
      </c>
      <c r="J320" s="44">
        <f>IF(Tabla1[[#This Row],[Number of vehicle]]="",0,(Tabla1[[#This Row],[Number of vehicle]]*Tabla1[[#This Row],[km travelled]])/Tabla1[[#This Row],[Fuel economy (km/L)]])</f>
        <v>1015.625</v>
      </c>
      <c r="K320" s="44">
        <f>Tabla1[[#This Row],[Consumption (L)]]/$F$456</f>
        <v>0.57412379875635955</v>
      </c>
      <c r="L320" s="44">
        <f>Tabla1[[#This Row],[Consumption (ton)]]/1000</f>
        <v>5.7412379875635951E-4</v>
      </c>
    </row>
    <row r="321" spans="2:12" x14ac:dyDescent="0.35">
      <c r="B321" s="587">
        <v>2016</v>
      </c>
      <c r="C321" s="587" t="s">
        <v>59</v>
      </c>
      <c r="D321" s="40" t="s">
        <v>273</v>
      </c>
      <c r="E321" s="40" t="s">
        <v>117</v>
      </c>
      <c r="F321" s="582" t="s">
        <v>505</v>
      </c>
      <c r="G321" s="579">
        <v>1</v>
      </c>
      <c r="H321" s="575">
        <v>13000</v>
      </c>
      <c r="I321" s="585">
        <v>10.4</v>
      </c>
      <c r="J321" s="44">
        <f>IF(Tabla1[[#This Row],[Number of vehicle]]="",0,(Tabla1[[#This Row],[Number of vehicle]]*Tabla1[[#This Row],[km travelled]])/Tabla1[[#This Row],[Fuel economy (km/L)]])</f>
        <v>1250</v>
      </c>
      <c r="K321" s="44">
        <f>Tabla1[[#This Row],[Consumption (L)]]/$F$456</f>
        <v>0.7066139061616733</v>
      </c>
      <c r="L321" s="44">
        <f>Tabla1[[#This Row],[Consumption (ton)]]/1000</f>
        <v>7.0661390616167329E-4</v>
      </c>
    </row>
    <row r="322" spans="2:12" x14ac:dyDescent="0.35">
      <c r="B322" s="587">
        <v>2016</v>
      </c>
      <c r="C322" s="587" t="s">
        <v>59</v>
      </c>
      <c r="D322" s="40" t="s">
        <v>273</v>
      </c>
      <c r="E322" s="40" t="s">
        <v>117</v>
      </c>
      <c r="F322" s="578" t="s">
        <v>507</v>
      </c>
      <c r="G322" s="579"/>
      <c r="H322" s="575">
        <v>13000</v>
      </c>
      <c r="I322" s="585">
        <v>10.4</v>
      </c>
      <c r="J322" s="44">
        <f>IF(Tabla1[[#This Row],[Number of vehicle]]="",0,(Tabla1[[#This Row],[Number of vehicle]]*Tabla1[[#This Row],[km travelled]])/Tabla1[[#This Row],[Fuel economy (km/L)]])</f>
        <v>0</v>
      </c>
      <c r="K322" s="44">
        <f>Tabla1[[#This Row],[Consumption (L)]]/$F$456</f>
        <v>0</v>
      </c>
      <c r="L322" s="44">
        <f>Tabla1[[#This Row],[Consumption (ton)]]/1000</f>
        <v>0</v>
      </c>
    </row>
    <row r="323" spans="2:12" x14ac:dyDescent="0.35">
      <c r="B323" s="587">
        <v>2016</v>
      </c>
      <c r="C323" s="587" t="s">
        <v>59</v>
      </c>
      <c r="D323" s="40" t="s">
        <v>273</v>
      </c>
      <c r="E323" s="40" t="s">
        <v>117</v>
      </c>
      <c r="F323" s="583" t="s">
        <v>505</v>
      </c>
      <c r="G323" s="579">
        <v>5</v>
      </c>
      <c r="H323" s="575">
        <v>13000</v>
      </c>
      <c r="I323" s="585">
        <v>7.6</v>
      </c>
      <c r="J323" s="44">
        <f>IF(Tabla1[[#This Row],[Number of vehicle]]="",0,(Tabla1[[#This Row],[Number of vehicle]]*Tabla1[[#This Row],[km travelled]])/Tabla1[[#This Row],[Fuel economy (km/L)]])</f>
        <v>8552.6315789473683</v>
      </c>
      <c r="K323" s="44">
        <f>Tabla1[[#This Row],[Consumption (L)]]/$F$456</f>
        <v>4.8347267263693432</v>
      </c>
      <c r="L323" s="44">
        <f>Tabla1[[#This Row],[Consumption (ton)]]/1000</f>
        <v>4.8347267263693433E-3</v>
      </c>
    </row>
    <row r="324" spans="2:12" x14ac:dyDescent="0.35">
      <c r="B324" s="587">
        <v>2016</v>
      </c>
      <c r="C324" s="587" t="s">
        <v>59</v>
      </c>
      <c r="D324" s="588" t="s">
        <v>273</v>
      </c>
      <c r="E324" s="588" t="s">
        <v>117</v>
      </c>
      <c r="F324" s="581" t="s">
        <v>507</v>
      </c>
      <c r="G324" s="577">
        <v>4</v>
      </c>
      <c r="H324" s="575">
        <v>13000</v>
      </c>
      <c r="I324" s="585">
        <v>7.6</v>
      </c>
      <c r="J324" s="44">
        <f>IF(Tabla1[[#This Row],[Number of vehicle]]="",0,(Tabla1[[#This Row],[Number of vehicle]]*Tabla1[[#This Row],[km travelled]])/Tabla1[[#This Row],[Fuel economy (km/L)]])</f>
        <v>6842.105263157895</v>
      </c>
      <c r="K324" s="44">
        <f>Tabla1[[#This Row],[Consumption (L)]]/$F$456</f>
        <v>3.8677813810954746</v>
      </c>
      <c r="L324" s="44">
        <f>Tabla1[[#This Row],[Consumption (ton)]]/1000</f>
        <v>3.8677813810954744E-3</v>
      </c>
    </row>
    <row r="325" spans="2:12" x14ac:dyDescent="0.35">
      <c r="B325" s="587">
        <v>2016</v>
      </c>
      <c r="C325" s="587" t="s">
        <v>60</v>
      </c>
      <c r="D325" s="588" t="s">
        <v>273</v>
      </c>
      <c r="E325" s="588" t="s">
        <v>117</v>
      </c>
      <c r="F325" s="581" t="s">
        <v>505</v>
      </c>
      <c r="G325" s="600"/>
      <c r="H325" s="27">
        <v>12000</v>
      </c>
      <c r="I325" s="585">
        <v>15.5</v>
      </c>
      <c r="J325" s="44">
        <f>IF(Tabla1[[#This Row],[Number of vehicle]]="",0,(Tabla1[[#This Row],[Number of vehicle]]*Tabla1[[#This Row],[km travelled]])/Tabla1[[#This Row],[Fuel economy (km/L)]])</f>
        <v>0</v>
      </c>
      <c r="K325" s="44">
        <f>Tabla1[[#This Row],[Consumption (L)]]/$F$456</f>
        <v>0</v>
      </c>
      <c r="L325" s="44">
        <f>Tabla1[[#This Row],[Consumption (ton)]]/1000</f>
        <v>0</v>
      </c>
    </row>
    <row r="326" spans="2:12" x14ac:dyDescent="0.35">
      <c r="B326" s="587">
        <v>2016</v>
      </c>
      <c r="C326" s="587" t="s">
        <v>60</v>
      </c>
      <c r="D326" s="588" t="s">
        <v>273</v>
      </c>
      <c r="E326" s="588" t="s">
        <v>117</v>
      </c>
      <c r="F326" s="607" t="s">
        <v>507</v>
      </c>
      <c r="G326" s="600"/>
      <c r="H326" s="27">
        <v>12000</v>
      </c>
      <c r="I326" s="585">
        <v>15.5</v>
      </c>
      <c r="J326" s="44">
        <f>IF(Tabla1[[#This Row],[Number of vehicle]]="",0,(Tabla1[[#This Row],[Number of vehicle]]*Tabla1[[#This Row],[km travelled]])/Tabla1[[#This Row],[Fuel economy (km/L)]])</f>
        <v>0</v>
      </c>
      <c r="K326" s="44">
        <f>Tabla1[[#This Row],[Consumption (L)]]/$F$456</f>
        <v>0</v>
      </c>
      <c r="L326" s="44">
        <f>Tabla1[[#This Row],[Consumption (ton)]]/1000</f>
        <v>0</v>
      </c>
    </row>
    <row r="327" spans="2:12" x14ac:dyDescent="0.35">
      <c r="B327" s="587">
        <v>2016</v>
      </c>
      <c r="C327" s="587" t="s">
        <v>60</v>
      </c>
      <c r="D327" s="588" t="s">
        <v>273</v>
      </c>
      <c r="E327" s="588" t="s">
        <v>117</v>
      </c>
      <c r="F327" s="578" t="s">
        <v>505</v>
      </c>
      <c r="G327" s="600"/>
      <c r="H327" s="27">
        <v>12000</v>
      </c>
      <c r="I327" s="585">
        <v>12.8</v>
      </c>
      <c r="J327" s="44">
        <f>IF(Tabla1[[#This Row],[Number of vehicle]]="",0,(Tabla1[[#This Row],[Number of vehicle]]*Tabla1[[#This Row],[km travelled]])/Tabla1[[#This Row],[Fuel economy (km/L)]])</f>
        <v>0</v>
      </c>
      <c r="K327" s="44">
        <f>Tabla1[[#This Row],[Consumption (L)]]/$F$456</f>
        <v>0</v>
      </c>
      <c r="L327" s="44">
        <f>Tabla1[[#This Row],[Consumption (ton)]]/1000</f>
        <v>0</v>
      </c>
    </row>
    <row r="328" spans="2:12" x14ac:dyDescent="0.35">
      <c r="B328" s="587">
        <v>2016</v>
      </c>
      <c r="C328" s="587" t="s">
        <v>60</v>
      </c>
      <c r="D328" s="588" t="s">
        <v>273</v>
      </c>
      <c r="E328" s="588" t="s">
        <v>117</v>
      </c>
      <c r="F328" s="571" t="s">
        <v>507</v>
      </c>
      <c r="G328" s="600">
        <v>1</v>
      </c>
      <c r="H328" s="27">
        <v>12000</v>
      </c>
      <c r="I328" s="585">
        <v>12.8</v>
      </c>
      <c r="J328" s="44">
        <f>IF(Tabla1[[#This Row],[Number of vehicle]]="",0,(Tabla1[[#This Row],[Number of vehicle]]*Tabla1[[#This Row],[km travelled]])/Tabla1[[#This Row],[Fuel economy (km/L)]])</f>
        <v>937.5</v>
      </c>
      <c r="K328" s="44">
        <f>Tabla1[[#This Row],[Consumption (L)]]/$F$456</f>
        <v>0.52996042962125489</v>
      </c>
      <c r="L328" s="44">
        <f>Tabla1[[#This Row],[Consumption (ton)]]/1000</f>
        <v>5.2996042962125491E-4</v>
      </c>
    </row>
    <row r="329" spans="2:12" x14ac:dyDescent="0.35">
      <c r="B329" s="587">
        <v>2016</v>
      </c>
      <c r="C329" s="587" t="s">
        <v>60</v>
      </c>
      <c r="D329" s="588" t="s">
        <v>273</v>
      </c>
      <c r="E329" s="588" t="s">
        <v>117</v>
      </c>
      <c r="F329" s="578" t="s">
        <v>505</v>
      </c>
      <c r="G329" s="600"/>
      <c r="H329" s="27">
        <v>12000</v>
      </c>
      <c r="I329" s="585">
        <v>10.4</v>
      </c>
      <c r="J329" s="44">
        <f>IF(Tabla1[[#This Row],[Number of vehicle]]="",0,(Tabla1[[#This Row],[Number of vehicle]]*Tabla1[[#This Row],[km travelled]])/Tabla1[[#This Row],[Fuel economy (km/L)]])</f>
        <v>0</v>
      </c>
      <c r="K329" s="44">
        <f>Tabla1[[#This Row],[Consumption (L)]]/$F$456</f>
        <v>0</v>
      </c>
      <c r="L329" s="44">
        <f>Tabla1[[#This Row],[Consumption (ton)]]/1000</f>
        <v>0</v>
      </c>
    </row>
    <row r="330" spans="2:12" x14ac:dyDescent="0.35">
      <c r="B330" s="587">
        <v>2016</v>
      </c>
      <c r="C330" s="587" t="s">
        <v>60</v>
      </c>
      <c r="D330" s="588" t="s">
        <v>273</v>
      </c>
      <c r="E330" s="588" t="s">
        <v>117</v>
      </c>
      <c r="F330" s="571" t="s">
        <v>507</v>
      </c>
      <c r="G330" s="600"/>
      <c r="H330" s="27">
        <v>12000</v>
      </c>
      <c r="I330" s="585">
        <v>10.4</v>
      </c>
      <c r="J330" s="44">
        <f>IF(Tabla1[[#This Row],[Number of vehicle]]="",0,(Tabla1[[#This Row],[Number of vehicle]]*Tabla1[[#This Row],[km travelled]])/Tabla1[[#This Row],[Fuel economy (km/L)]])</f>
        <v>0</v>
      </c>
      <c r="K330" s="44">
        <f>Tabla1[[#This Row],[Consumption (L)]]/$F$456</f>
        <v>0</v>
      </c>
      <c r="L330" s="44">
        <f>Tabla1[[#This Row],[Consumption (ton)]]/1000</f>
        <v>0</v>
      </c>
    </row>
    <row r="331" spans="2:12" x14ac:dyDescent="0.35">
      <c r="B331" s="587">
        <v>2016</v>
      </c>
      <c r="C331" s="587" t="s">
        <v>60</v>
      </c>
      <c r="D331" s="588" t="s">
        <v>273</v>
      </c>
      <c r="E331" s="588" t="s">
        <v>117</v>
      </c>
      <c r="F331" s="578" t="s">
        <v>505</v>
      </c>
      <c r="G331" s="600">
        <v>5</v>
      </c>
      <c r="H331" s="27">
        <v>12000</v>
      </c>
      <c r="I331" s="585">
        <v>7.6</v>
      </c>
      <c r="J331" s="44">
        <f>IF(Tabla1[[#This Row],[Number of vehicle]]="",0,(Tabla1[[#This Row],[Number of vehicle]]*Tabla1[[#This Row],[km travelled]])/Tabla1[[#This Row],[Fuel economy (km/L)]])</f>
        <v>7894.7368421052633</v>
      </c>
      <c r="K331" s="44">
        <f>Tabla1[[#This Row],[Consumption (L)]]/$F$456</f>
        <v>4.4628246704947783</v>
      </c>
      <c r="L331" s="44">
        <f>Tabla1[[#This Row],[Consumption (ton)]]/1000</f>
        <v>4.4628246704947784E-3</v>
      </c>
    </row>
    <row r="332" spans="2:12" x14ac:dyDescent="0.35">
      <c r="B332" s="587">
        <v>2016</v>
      </c>
      <c r="C332" s="587" t="s">
        <v>60</v>
      </c>
      <c r="D332" s="588" t="s">
        <v>273</v>
      </c>
      <c r="E332" s="588" t="s">
        <v>117</v>
      </c>
      <c r="F332" s="571" t="s">
        <v>507</v>
      </c>
      <c r="G332" s="600">
        <v>2</v>
      </c>
      <c r="H332" s="27">
        <v>12000</v>
      </c>
      <c r="I332" s="585">
        <v>7.6</v>
      </c>
      <c r="J332" s="44">
        <f>IF(Tabla1[[#This Row],[Number of vehicle]]="",0,(Tabla1[[#This Row],[Number of vehicle]]*Tabla1[[#This Row],[km travelled]])/Tabla1[[#This Row],[Fuel economy (km/L)]])</f>
        <v>3157.8947368421054</v>
      </c>
      <c r="K332" s="44">
        <f>Tabla1[[#This Row],[Consumption (L)]]/$F$456</f>
        <v>1.7851298681979115</v>
      </c>
      <c r="L332" s="44">
        <f>Tabla1[[#This Row],[Consumption (ton)]]/1000</f>
        <v>1.7851298681979114E-3</v>
      </c>
    </row>
    <row r="333" spans="2:12" x14ac:dyDescent="0.35">
      <c r="B333" s="587">
        <v>2014</v>
      </c>
      <c r="C333" s="587" t="s">
        <v>59</v>
      </c>
      <c r="D333" s="588" t="s">
        <v>510</v>
      </c>
      <c r="E333" s="588" t="s">
        <v>41</v>
      </c>
      <c r="F333" s="578"/>
      <c r="G333" s="577">
        <v>2850</v>
      </c>
      <c r="H333" s="575">
        <v>15000</v>
      </c>
      <c r="I333" s="585">
        <v>2.8571428571428572</v>
      </c>
      <c r="J333" s="44">
        <f>IF(Tabla1[[#This Row],[Number of vehicle]]="",0,(Tabla1[[#This Row],[Number of vehicle]]*Tabla1[[#This Row],[km travelled]])/Tabla1[[#This Row],[Fuel economy (km/L)]])</f>
        <v>14962500</v>
      </c>
      <c r="K333" s="44">
        <f>Tabla1[[#This Row],[Consumption (L)]]/$F$455</f>
        <v>12744.889267461669</v>
      </c>
      <c r="L333" s="44">
        <f>Tabla1[[#This Row],[Consumption (ton)]]/1000</f>
        <v>12.744889267461669</v>
      </c>
    </row>
    <row r="334" spans="2:12" x14ac:dyDescent="0.35">
      <c r="B334" s="587">
        <v>2014</v>
      </c>
      <c r="C334" s="587" t="s">
        <v>59</v>
      </c>
      <c r="D334" s="588" t="s">
        <v>510</v>
      </c>
      <c r="E334" s="588" t="s">
        <v>41</v>
      </c>
      <c r="F334" s="578"/>
      <c r="G334" s="577">
        <f>1573-471</f>
        <v>1102</v>
      </c>
      <c r="H334" s="575">
        <v>14500</v>
      </c>
      <c r="I334" s="585">
        <v>1.8518518518518516</v>
      </c>
      <c r="J334" s="44">
        <f>IF(Tabla1[[#This Row],[Number of vehicle]]="",0,(Tabla1[[#This Row],[Number of vehicle]]*Tabla1[[#This Row],[km travelled]])/Tabla1[[#This Row],[Fuel economy (km/L)]])</f>
        <v>8628660.0000000019</v>
      </c>
      <c r="K334" s="44">
        <f>Tabla1[[#This Row],[Consumption (L)]]/$F$455</f>
        <v>7349.7955706984685</v>
      </c>
      <c r="L334" s="44">
        <f>Tabla1[[#This Row],[Consumption (ton)]]/1000</f>
        <v>7.3497955706984683</v>
      </c>
    </row>
    <row r="335" spans="2:12" x14ac:dyDescent="0.35">
      <c r="B335" s="587">
        <v>2014</v>
      </c>
      <c r="C335" s="587" t="s">
        <v>59</v>
      </c>
      <c r="D335" s="588" t="s">
        <v>510</v>
      </c>
      <c r="E335" s="588" t="s">
        <v>41</v>
      </c>
      <c r="F335" s="578"/>
      <c r="G335" s="577">
        <f>3462-21</f>
        <v>3441</v>
      </c>
      <c r="H335" s="575">
        <v>8500</v>
      </c>
      <c r="I335" s="585">
        <v>1.8518518518518516</v>
      </c>
      <c r="J335" s="44">
        <f>IF(Tabla1[[#This Row],[Number of vehicle]]="",0,(Tabla1[[#This Row],[Number of vehicle]]*Tabla1[[#This Row],[km travelled]])/Tabla1[[#This Row],[Fuel economy (km/L)]])</f>
        <v>15794190.000000002</v>
      </c>
      <c r="K335" s="44">
        <f>Tabla1[[#This Row],[Consumption (L)]]/$F$455</f>
        <v>13453.313458262353</v>
      </c>
      <c r="L335" s="44">
        <f>Tabla1[[#This Row],[Consumption (ton)]]/1000</f>
        <v>13.453313458262354</v>
      </c>
    </row>
    <row r="336" spans="2:12" x14ac:dyDescent="0.35">
      <c r="B336" s="587">
        <v>2014</v>
      </c>
      <c r="C336" s="587" t="s">
        <v>59</v>
      </c>
      <c r="D336" s="588" t="s">
        <v>510</v>
      </c>
      <c r="E336" s="588" t="s">
        <v>41</v>
      </c>
      <c r="F336" s="173"/>
      <c r="G336" s="577">
        <v>1420</v>
      </c>
      <c r="H336" s="27">
        <v>7000</v>
      </c>
      <c r="I336" s="585">
        <v>3.3333333333333335</v>
      </c>
      <c r="J336" s="44">
        <f>IF(Tabla1[[#This Row],[Number of vehicle]]="",0,(Tabla1[[#This Row],[Number of vehicle]]*Tabla1[[#This Row],[km travelled]])/Tabla1[[#This Row],[Fuel economy (km/L)]])</f>
        <v>2982000</v>
      </c>
      <c r="K336" s="44">
        <f>Tabla1[[#This Row],[Consumption (L)]]/$F$455</f>
        <v>2540.0340715502557</v>
      </c>
      <c r="L336" s="44">
        <f>Tabla1[[#This Row],[Consumption (ton)]]/1000</f>
        <v>2.5400340715502558</v>
      </c>
    </row>
    <row r="337" spans="2:12" x14ac:dyDescent="0.35">
      <c r="B337" s="587">
        <v>2014</v>
      </c>
      <c r="C337" s="587" t="s">
        <v>59</v>
      </c>
      <c r="D337" s="588" t="s">
        <v>510</v>
      </c>
      <c r="E337" s="588" t="s">
        <v>41</v>
      </c>
      <c r="F337" s="173"/>
      <c r="G337" s="577">
        <v>20</v>
      </c>
      <c r="H337" s="27">
        <v>3000</v>
      </c>
      <c r="I337" s="585">
        <v>2.2222222222222223</v>
      </c>
      <c r="J337" s="44">
        <f>IF(Tabla1[[#This Row],[Number of vehicle]]="",0,(Tabla1[[#This Row],[Number of vehicle]]*Tabla1[[#This Row],[km travelled]])/Tabla1[[#This Row],[Fuel economy (km/L)]])</f>
        <v>27000</v>
      </c>
      <c r="K337" s="44">
        <f>Tabla1[[#This Row],[Consumption (L)]]/$F$455</f>
        <v>22.998296422487222</v>
      </c>
      <c r="L337" s="44">
        <f>Tabla1[[#This Row],[Consumption (ton)]]/1000</f>
        <v>2.299829642248722E-2</v>
      </c>
    </row>
    <row r="338" spans="2:12" x14ac:dyDescent="0.35">
      <c r="B338" s="587">
        <v>2014</v>
      </c>
      <c r="C338" s="587" t="s">
        <v>59</v>
      </c>
      <c r="D338" s="588" t="s">
        <v>510</v>
      </c>
      <c r="E338" s="588" t="s">
        <v>41</v>
      </c>
      <c r="F338" s="173"/>
      <c r="G338" s="577">
        <v>888</v>
      </c>
      <c r="H338" s="27">
        <v>7000</v>
      </c>
      <c r="I338" s="585">
        <v>3.3333333333333335</v>
      </c>
      <c r="J338" s="44">
        <f>IF(Tabla1[[#This Row],[Number of vehicle]]="",0,(Tabla1[[#This Row],[Number of vehicle]]*Tabla1[[#This Row],[km travelled]])/Tabla1[[#This Row],[Fuel economy (km/L)]])</f>
        <v>1864800</v>
      </c>
      <c r="K338" s="44">
        <f>Tabla1[[#This Row],[Consumption (L)]]/$F$455</f>
        <v>1588.4156729131175</v>
      </c>
      <c r="L338" s="44">
        <f>Tabla1[[#This Row],[Consumption (ton)]]/1000</f>
        <v>1.5884156729131176</v>
      </c>
    </row>
    <row r="339" spans="2:12" x14ac:dyDescent="0.35">
      <c r="B339" s="587">
        <v>2014</v>
      </c>
      <c r="C339" s="587" t="s">
        <v>60</v>
      </c>
      <c r="D339" s="588" t="s">
        <v>510</v>
      </c>
      <c r="E339" s="588" t="s">
        <v>41</v>
      </c>
      <c r="F339" s="578"/>
      <c r="G339" s="173"/>
      <c r="H339" s="27">
        <v>17000</v>
      </c>
      <c r="I339" s="585">
        <v>2.8571428571428572</v>
      </c>
      <c r="J339" s="44">
        <f>IF(Tabla1[[#This Row],[Number of vehicle]]="",0,(Tabla1[[#This Row],[Number of vehicle]]*Tabla1[[#This Row],[km travelled]])/Tabla1[[#This Row],[Fuel economy (km/L)]])</f>
        <v>0</v>
      </c>
      <c r="K339" s="44">
        <f>Tabla1[[#This Row],[Consumption (L)]]/$F$455</f>
        <v>0</v>
      </c>
      <c r="L339" s="44">
        <f>Tabla1[[#This Row],[Consumption (ton)]]/1000</f>
        <v>0</v>
      </c>
    </row>
    <row r="340" spans="2:12" x14ac:dyDescent="0.35">
      <c r="B340" s="587">
        <v>2014</v>
      </c>
      <c r="C340" s="587" t="s">
        <v>60</v>
      </c>
      <c r="D340" s="588" t="s">
        <v>510</v>
      </c>
      <c r="E340" s="588" t="s">
        <v>41</v>
      </c>
      <c r="F340" s="578"/>
      <c r="G340" s="173"/>
      <c r="H340" s="27">
        <v>18000</v>
      </c>
      <c r="I340" s="585">
        <v>1.8518518518518516</v>
      </c>
      <c r="J340" s="44">
        <f>IF(Tabla1[[#This Row],[Number of vehicle]]="",0,(Tabla1[[#This Row],[Number of vehicle]]*Tabla1[[#This Row],[km travelled]])/Tabla1[[#This Row],[Fuel economy (km/L)]])</f>
        <v>0</v>
      </c>
      <c r="K340" s="44">
        <f>Tabla1[[#This Row],[Consumption (L)]]/$F$455</f>
        <v>0</v>
      </c>
      <c r="L340" s="44">
        <f>Tabla1[[#This Row],[Consumption (ton)]]/1000</f>
        <v>0</v>
      </c>
    </row>
    <row r="341" spans="2:12" x14ac:dyDescent="0.35">
      <c r="B341" s="587">
        <v>2014</v>
      </c>
      <c r="C341" s="587" t="s">
        <v>60</v>
      </c>
      <c r="D341" s="588" t="s">
        <v>510</v>
      </c>
      <c r="E341" s="588" t="s">
        <v>41</v>
      </c>
      <c r="F341" s="578"/>
      <c r="G341" s="173"/>
      <c r="H341" s="27">
        <v>9500</v>
      </c>
      <c r="I341" s="585">
        <v>1.8518518518518516</v>
      </c>
      <c r="J341" s="44">
        <f>IF(Tabla1[[#This Row],[Number of vehicle]]="",0,(Tabla1[[#This Row],[Number of vehicle]]*Tabla1[[#This Row],[km travelled]])/Tabla1[[#This Row],[Fuel economy (km/L)]])</f>
        <v>0</v>
      </c>
      <c r="K341" s="44">
        <f>Tabla1[[#This Row],[Consumption (L)]]/$F$455</f>
        <v>0</v>
      </c>
      <c r="L341" s="44">
        <f>Tabla1[[#This Row],[Consumption (ton)]]/1000</f>
        <v>0</v>
      </c>
    </row>
    <row r="342" spans="2:12" x14ac:dyDescent="0.35">
      <c r="B342" s="587">
        <v>2014</v>
      </c>
      <c r="C342" s="587" t="s">
        <v>60</v>
      </c>
      <c r="D342" s="588" t="s">
        <v>510</v>
      </c>
      <c r="E342" s="588" t="s">
        <v>41</v>
      </c>
      <c r="F342" s="173"/>
      <c r="G342" s="173">
        <v>66</v>
      </c>
      <c r="H342" s="27">
        <v>8500</v>
      </c>
      <c r="I342" s="585">
        <v>3.3333333333333335</v>
      </c>
      <c r="J342" s="44">
        <f>IF(Tabla1[[#This Row],[Number of vehicle]]="",0,(Tabla1[[#This Row],[Number of vehicle]]*Tabla1[[#This Row],[km travelled]])/Tabla1[[#This Row],[Fuel economy (km/L)]])</f>
        <v>168300</v>
      </c>
      <c r="K342" s="44">
        <f>Tabla1[[#This Row],[Consumption (L)]]/$F$455</f>
        <v>143.35604770017036</v>
      </c>
      <c r="L342" s="44">
        <f>Tabla1[[#This Row],[Consumption (ton)]]/1000</f>
        <v>0.14335604770017035</v>
      </c>
    </row>
    <row r="343" spans="2:12" x14ac:dyDescent="0.35">
      <c r="B343" s="587">
        <v>2014</v>
      </c>
      <c r="C343" s="587" t="s">
        <v>60</v>
      </c>
      <c r="D343" s="588" t="s">
        <v>510</v>
      </c>
      <c r="E343" s="588" t="s">
        <v>41</v>
      </c>
      <c r="F343" s="173"/>
      <c r="G343" s="173"/>
      <c r="H343" s="27">
        <v>3000</v>
      </c>
      <c r="I343" s="585">
        <v>2.2222222222222223</v>
      </c>
      <c r="J343" s="44">
        <f>IF(Tabla1[[#This Row],[Number of vehicle]]="",0,(Tabla1[[#This Row],[Number of vehicle]]*Tabla1[[#This Row],[km travelled]])/Tabla1[[#This Row],[Fuel economy (km/L)]])</f>
        <v>0</v>
      </c>
      <c r="K343" s="44">
        <f>Tabla1[[#This Row],[Consumption (L)]]/$F$455</f>
        <v>0</v>
      </c>
      <c r="L343" s="44">
        <f>Tabla1[[#This Row],[Consumption (ton)]]/1000</f>
        <v>0</v>
      </c>
    </row>
    <row r="344" spans="2:12" x14ac:dyDescent="0.35">
      <c r="B344" s="587">
        <v>2014</v>
      </c>
      <c r="C344" s="587" t="s">
        <v>60</v>
      </c>
      <c r="D344" s="588" t="s">
        <v>510</v>
      </c>
      <c r="E344" s="588" t="s">
        <v>41</v>
      </c>
      <c r="F344" s="173"/>
      <c r="G344" s="173"/>
      <c r="H344" s="27">
        <v>8500</v>
      </c>
      <c r="I344" s="585">
        <v>3.3333333333333335</v>
      </c>
      <c r="J344" s="44">
        <f>IF(Tabla1[[#This Row],[Number of vehicle]]="",0,(Tabla1[[#This Row],[Number of vehicle]]*Tabla1[[#This Row],[km travelled]])/Tabla1[[#This Row],[Fuel economy (km/L)]])</f>
        <v>0</v>
      </c>
      <c r="K344" s="44">
        <f>Tabla1[[#This Row],[Consumption (L)]]/$F$455</f>
        <v>0</v>
      </c>
      <c r="L344" s="44">
        <f>Tabla1[[#This Row],[Consumption (ton)]]/1000</f>
        <v>0</v>
      </c>
    </row>
    <row r="345" spans="2:12" x14ac:dyDescent="0.35">
      <c r="B345" s="587">
        <v>2015</v>
      </c>
      <c r="C345" s="587" t="s">
        <v>59</v>
      </c>
      <c r="D345" s="588" t="s">
        <v>510</v>
      </c>
      <c r="E345" s="588" t="s">
        <v>41</v>
      </c>
      <c r="F345" s="578"/>
      <c r="G345" s="577">
        <v>2743</v>
      </c>
      <c r="H345" s="575">
        <v>15000</v>
      </c>
      <c r="I345" s="585">
        <v>2.8571428571428572</v>
      </c>
      <c r="J345" s="44">
        <f>IF(Tabla1[[#This Row],[Number of vehicle]]="",0,(Tabla1[[#This Row],[Number of vehicle]]*Tabla1[[#This Row],[km travelled]])/Tabla1[[#This Row],[Fuel economy (km/L)]])</f>
        <v>14400750</v>
      </c>
      <c r="K345" s="44">
        <f>Tabla1[[#This Row],[Consumption (L)]]/$F$455</f>
        <v>12266.396933560476</v>
      </c>
      <c r="L345" s="44">
        <f>Tabla1[[#This Row],[Consumption (ton)]]/1000</f>
        <v>12.266396933560475</v>
      </c>
    </row>
    <row r="346" spans="2:12" x14ac:dyDescent="0.35">
      <c r="B346" s="587">
        <v>2015</v>
      </c>
      <c r="C346" s="587" t="s">
        <v>59</v>
      </c>
      <c r="D346" s="588" t="s">
        <v>510</v>
      </c>
      <c r="E346" s="588" t="s">
        <v>41</v>
      </c>
      <c r="F346" s="578"/>
      <c r="G346" s="577">
        <v>1111</v>
      </c>
      <c r="H346" s="575">
        <v>14500</v>
      </c>
      <c r="I346" s="585">
        <v>1.8518518518518516</v>
      </c>
      <c r="J346" s="44">
        <f>IF(Tabla1[[#This Row],[Number of vehicle]]="",0,(Tabla1[[#This Row],[Number of vehicle]]*Tabla1[[#This Row],[km travelled]])/Tabla1[[#This Row],[Fuel economy (km/L)]])</f>
        <v>8699130.0000000019</v>
      </c>
      <c r="K346" s="44">
        <f>Tabla1[[#This Row],[Consumption (L)]]/$F$455</f>
        <v>7409.8211243611604</v>
      </c>
      <c r="L346" s="44">
        <f>Tabla1[[#This Row],[Consumption (ton)]]/1000</f>
        <v>7.4098211243611605</v>
      </c>
    </row>
    <row r="347" spans="2:12" x14ac:dyDescent="0.35">
      <c r="B347" s="587">
        <v>2015</v>
      </c>
      <c r="C347" s="587" t="s">
        <v>59</v>
      </c>
      <c r="D347" s="588" t="s">
        <v>510</v>
      </c>
      <c r="E347" s="588" t="s">
        <v>41</v>
      </c>
      <c r="F347" s="578"/>
      <c r="G347" s="577">
        <v>1554</v>
      </c>
      <c r="H347" s="575">
        <v>8500</v>
      </c>
      <c r="I347" s="585">
        <v>1.8518518518518516</v>
      </c>
      <c r="J347" s="44">
        <f>IF(Tabla1[[#This Row],[Number of vehicle]]="",0,(Tabla1[[#This Row],[Number of vehicle]]*Tabla1[[#This Row],[km travelled]])/Tabla1[[#This Row],[Fuel economy (km/L)]])</f>
        <v>7132860.0000000009</v>
      </c>
      <c r="K347" s="44">
        <f>Tabla1[[#This Row],[Consumption (L)]]/$F$455</f>
        <v>6075.6899488926756</v>
      </c>
      <c r="L347" s="44">
        <f>Tabla1[[#This Row],[Consumption (ton)]]/1000</f>
        <v>6.0756899488926752</v>
      </c>
    </row>
    <row r="348" spans="2:12" x14ac:dyDescent="0.35">
      <c r="B348" s="587">
        <v>2015</v>
      </c>
      <c r="C348" s="587" t="s">
        <v>59</v>
      </c>
      <c r="D348" s="588" t="s">
        <v>510</v>
      </c>
      <c r="E348" s="588" t="s">
        <v>41</v>
      </c>
      <c r="F348" s="173"/>
      <c r="G348" s="577">
        <v>1430</v>
      </c>
      <c r="H348" s="27">
        <v>7000</v>
      </c>
      <c r="I348" s="585">
        <v>3.3333333333333335</v>
      </c>
      <c r="J348" s="44">
        <f>IF(Tabla1[[#This Row],[Number of vehicle]]="",0,(Tabla1[[#This Row],[Number of vehicle]]*Tabla1[[#This Row],[km travelled]])/Tabla1[[#This Row],[Fuel economy (km/L)]])</f>
        <v>3003000</v>
      </c>
      <c r="K348" s="44">
        <f>Tabla1[[#This Row],[Consumption (L)]]/$F$455</f>
        <v>2557.9216354344121</v>
      </c>
      <c r="L348" s="44">
        <f>Tabla1[[#This Row],[Consumption (ton)]]/1000</f>
        <v>2.5579216354344121</v>
      </c>
    </row>
    <row r="349" spans="2:12" x14ac:dyDescent="0.35">
      <c r="B349" s="587">
        <v>2015</v>
      </c>
      <c r="C349" s="587" t="s">
        <v>59</v>
      </c>
      <c r="D349" s="588" t="s">
        <v>510</v>
      </c>
      <c r="E349" s="588" t="s">
        <v>41</v>
      </c>
      <c r="F349" s="173"/>
      <c r="G349" s="577">
        <v>13</v>
      </c>
      <c r="H349" s="27">
        <v>3000</v>
      </c>
      <c r="I349" s="585">
        <v>2.2222222222222223</v>
      </c>
      <c r="J349" s="44">
        <f>IF(Tabla1[[#This Row],[Number of vehicle]]="",0,(Tabla1[[#This Row],[Number of vehicle]]*Tabla1[[#This Row],[km travelled]])/Tabla1[[#This Row],[Fuel economy (km/L)]])</f>
        <v>17550</v>
      </c>
      <c r="K349" s="44">
        <f>Tabla1[[#This Row],[Consumption (L)]]/$F$455</f>
        <v>14.948892674616696</v>
      </c>
      <c r="L349" s="44">
        <f>Tabla1[[#This Row],[Consumption (ton)]]/1000</f>
        <v>1.4948892674616696E-2</v>
      </c>
    </row>
    <row r="350" spans="2:12" x14ac:dyDescent="0.35">
      <c r="B350" s="587">
        <v>2015</v>
      </c>
      <c r="C350" s="587" t="s">
        <v>59</v>
      </c>
      <c r="D350" s="588" t="s">
        <v>510</v>
      </c>
      <c r="E350" s="588" t="s">
        <v>41</v>
      </c>
      <c r="F350" s="173"/>
      <c r="G350" s="577">
        <v>898</v>
      </c>
      <c r="H350" s="27">
        <v>7000</v>
      </c>
      <c r="I350" s="585">
        <v>3.3333333333333335</v>
      </c>
      <c r="J350" s="44">
        <f>IF(Tabla1[[#This Row],[Number of vehicle]]="",0,(Tabla1[[#This Row],[Number of vehicle]]*Tabla1[[#This Row],[km travelled]])/Tabla1[[#This Row],[Fuel economy (km/L)]])</f>
        <v>1885800</v>
      </c>
      <c r="K350" s="44">
        <f>Tabla1[[#This Row],[Consumption (L)]]/$F$455</f>
        <v>1606.3032367972742</v>
      </c>
      <c r="L350" s="44">
        <f>Tabla1[[#This Row],[Consumption (ton)]]/1000</f>
        <v>1.6063032367972743</v>
      </c>
    </row>
    <row r="351" spans="2:12" x14ac:dyDescent="0.35">
      <c r="B351" s="587">
        <v>2015</v>
      </c>
      <c r="C351" s="587" t="s">
        <v>60</v>
      </c>
      <c r="D351" s="588" t="s">
        <v>510</v>
      </c>
      <c r="E351" s="588" t="s">
        <v>41</v>
      </c>
      <c r="F351" s="578"/>
      <c r="G351" s="173"/>
      <c r="H351" s="27">
        <v>17000</v>
      </c>
      <c r="I351" s="585">
        <v>2.8571428571428572</v>
      </c>
      <c r="J351" s="44">
        <f>IF(Tabla1[[#This Row],[Number of vehicle]]="",0,(Tabla1[[#This Row],[Number of vehicle]]*Tabla1[[#This Row],[km travelled]])/Tabla1[[#This Row],[Fuel economy (km/L)]])</f>
        <v>0</v>
      </c>
      <c r="K351" s="44">
        <f>Tabla1[[#This Row],[Consumption (L)]]/$F$455</f>
        <v>0</v>
      </c>
      <c r="L351" s="44">
        <f>Tabla1[[#This Row],[Consumption (ton)]]/1000</f>
        <v>0</v>
      </c>
    </row>
    <row r="352" spans="2:12" x14ac:dyDescent="0.35">
      <c r="B352" s="587">
        <v>2015</v>
      </c>
      <c r="C352" s="587" t="s">
        <v>60</v>
      </c>
      <c r="D352" s="588" t="s">
        <v>510</v>
      </c>
      <c r="E352" s="588" t="s">
        <v>41</v>
      </c>
      <c r="F352" s="578"/>
      <c r="G352" s="173"/>
      <c r="H352" s="27">
        <v>18000</v>
      </c>
      <c r="I352" s="585">
        <v>1.8518518518518516</v>
      </c>
      <c r="J352" s="44">
        <f>IF(Tabla1[[#This Row],[Number of vehicle]]="",0,(Tabla1[[#This Row],[Number of vehicle]]*Tabla1[[#This Row],[km travelled]])/Tabla1[[#This Row],[Fuel economy (km/L)]])</f>
        <v>0</v>
      </c>
      <c r="K352" s="44">
        <f>Tabla1[[#This Row],[Consumption (L)]]/$F$455</f>
        <v>0</v>
      </c>
      <c r="L352" s="44">
        <f>Tabla1[[#This Row],[Consumption (ton)]]/1000</f>
        <v>0</v>
      </c>
    </row>
    <row r="353" spans="2:12" x14ac:dyDescent="0.35">
      <c r="B353" s="587">
        <v>2015</v>
      </c>
      <c r="C353" s="587" t="s">
        <v>60</v>
      </c>
      <c r="D353" s="588" t="s">
        <v>510</v>
      </c>
      <c r="E353" s="588" t="s">
        <v>41</v>
      </c>
      <c r="F353" s="578"/>
      <c r="G353" s="173"/>
      <c r="H353" s="27">
        <v>9500</v>
      </c>
      <c r="I353" s="585">
        <v>1.8518518518518516</v>
      </c>
      <c r="J353" s="44">
        <f>IF(Tabla1[[#This Row],[Number of vehicle]]="",0,(Tabla1[[#This Row],[Number of vehicle]]*Tabla1[[#This Row],[km travelled]])/Tabla1[[#This Row],[Fuel economy (km/L)]])</f>
        <v>0</v>
      </c>
      <c r="K353" s="44">
        <f>Tabla1[[#This Row],[Consumption (L)]]/$F$455</f>
        <v>0</v>
      </c>
      <c r="L353" s="44">
        <f>Tabla1[[#This Row],[Consumption (ton)]]/1000</f>
        <v>0</v>
      </c>
    </row>
    <row r="354" spans="2:12" x14ac:dyDescent="0.35">
      <c r="B354" s="587">
        <v>2015</v>
      </c>
      <c r="C354" s="587" t="s">
        <v>60</v>
      </c>
      <c r="D354" s="588" t="s">
        <v>510</v>
      </c>
      <c r="E354" s="588" t="s">
        <v>41</v>
      </c>
      <c r="F354" s="173"/>
      <c r="G354" s="173">
        <v>71</v>
      </c>
      <c r="H354" s="27">
        <v>8500</v>
      </c>
      <c r="I354" s="585">
        <v>3.3333333333333335</v>
      </c>
      <c r="J354" s="44">
        <f>IF(Tabla1[[#This Row],[Number of vehicle]]="",0,(Tabla1[[#This Row],[Number of vehicle]]*Tabla1[[#This Row],[km travelled]])/Tabla1[[#This Row],[Fuel economy (km/L)]])</f>
        <v>181050</v>
      </c>
      <c r="K354" s="44">
        <f>Tabla1[[#This Row],[Consumption (L)]]/$F$455</f>
        <v>154.21635434412266</v>
      </c>
      <c r="L354" s="44">
        <f>Tabla1[[#This Row],[Consumption (ton)]]/1000</f>
        <v>0.15421635434412267</v>
      </c>
    </row>
    <row r="355" spans="2:12" x14ac:dyDescent="0.35">
      <c r="B355" s="587">
        <v>2015</v>
      </c>
      <c r="C355" s="587" t="s">
        <v>60</v>
      </c>
      <c r="D355" s="588" t="s">
        <v>510</v>
      </c>
      <c r="E355" s="588" t="s">
        <v>41</v>
      </c>
      <c r="F355" s="173"/>
      <c r="G355" s="173"/>
      <c r="H355" s="27">
        <v>3000</v>
      </c>
      <c r="I355" s="585">
        <v>2.2222222222222223</v>
      </c>
      <c r="J355" s="44">
        <f>IF(Tabla1[[#This Row],[Number of vehicle]]="",0,(Tabla1[[#This Row],[Number of vehicle]]*Tabla1[[#This Row],[km travelled]])/Tabla1[[#This Row],[Fuel economy (km/L)]])</f>
        <v>0</v>
      </c>
      <c r="K355" s="44">
        <f>Tabla1[[#This Row],[Consumption (L)]]/$F$455</f>
        <v>0</v>
      </c>
      <c r="L355" s="44">
        <f>Tabla1[[#This Row],[Consumption (ton)]]/1000</f>
        <v>0</v>
      </c>
    </row>
    <row r="356" spans="2:12" x14ac:dyDescent="0.35">
      <c r="B356" s="587">
        <v>2015</v>
      </c>
      <c r="C356" s="587" t="s">
        <v>60</v>
      </c>
      <c r="D356" s="588" t="s">
        <v>510</v>
      </c>
      <c r="E356" s="588" t="s">
        <v>41</v>
      </c>
      <c r="F356" s="173"/>
      <c r="G356" s="173"/>
      <c r="H356" s="27">
        <v>8500</v>
      </c>
      <c r="I356" s="585">
        <v>3.3333333333333335</v>
      </c>
      <c r="J356" s="44">
        <f>IF(Tabla1[[#This Row],[Number of vehicle]]="",0,(Tabla1[[#This Row],[Number of vehicle]]*Tabla1[[#This Row],[km travelled]])/Tabla1[[#This Row],[Fuel economy (km/L)]])</f>
        <v>0</v>
      </c>
      <c r="K356" s="44">
        <f>Tabla1[[#This Row],[Consumption (L)]]/$F$455</f>
        <v>0</v>
      </c>
      <c r="L356" s="44">
        <f>Tabla1[[#This Row],[Consumption (ton)]]/1000</f>
        <v>0</v>
      </c>
    </row>
    <row r="357" spans="2:12" x14ac:dyDescent="0.35">
      <c r="B357" s="587">
        <v>2016</v>
      </c>
      <c r="C357" s="587" t="s">
        <v>59</v>
      </c>
      <c r="D357" s="588" t="s">
        <v>510</v>
      </c>
      <c r="E357" s="588" t="s">
        <v>41</v>
      </c>
      <c r="F357" s="578"/>
      <c r="G357" s="577">
        <v>2535</v>
      </c>
      <c r="H357" s="575">
        <v>15000</v>
      </c>
      <c r="I357" s="585">
        <v>2.8571428571428572</v>
      </c>
      <c r="J357" s="44">
        <f>IF(Tabla1[[#This Row],[Number of vehicle]]="",0,(Tabla1[[#This Row],[Number of vehicle]]*Tabla1[[#This Row],[km travelled]])/Tabla1[[#This Row],[Fuel economy (km/L)]])</f>
        <v>13308750</v>
      </c>
      <c r="K357" s="44">
        <f>Tabla1[[#This Row],[Consumption (L)]]/$F$455</f>
        <v>11336.243611584327</v>
      </c>
      <c r="L357" s="44">
        <f>Tabla1[[#This Row],[Consumption (ton)]]/1000</f>
        <v>11.336243611584326</v>
      </c>
    </row>
    <row r="358" spans="2:12" x14ac:dyDescent="0.35">
      <c r="B358" s="587">
        <v>2016</v>
      </c>
      <c r="C358" s="587" t="s">
        <v>59</v>
      </c>
      <c r="D358" s="588" t="s">
        <v>510</v>
      </c>
      <c r="E358" s="588" t="s">
        <v>41</v>
      </c>
      <c r="F358" s="578"/>
      <c r="G358" s="577"/>
      <c r="H358" s="575">
        <v>15000</v>
      </c>
      <c r="I358" s="585">
        <v>1.8518518518518516</v>
      </c>
      <c r="J358" s="44">
        <f>IF(Tabla1[[#This Row],[Number of vehicle]]="",0,(Tabla1[[#This Row],[Number of vehicle]]*Tabla1[[#This Row],[km travelled]])/Tabla1[[#This Row],[Fuel economy (km/L)]])</f>
        <v>0</v>
      </c>
      <c r="K358" s="44">
        <f>Tabla1[[#This Row],[Consumption (L)]]/$F$455</f>
        <v>0</v>
      </c>
      <c r="L358" s="44">
        <f>Tabla1[[#This Row],[Consumption (ton)]]/1000</f>
        <v>0</v>
      </c>
    </row>
    <row r="359" spans="2:12" x14ac:dyDescent="0.35">
      <c r="B359" s="587">
        <v>2016</v>
      </c>
      <c r="C359" s="587" t="s">
        <v>59</v>
      </c>
      <c r="D359" s="588" t="s">
        <v>510</v>
      </c>
      <c r="E359" s="588" t="s">
        <v>41</v>
      </c>
      <c r="F359" s="578"/>
      <c r="G359" s="577">
        <v>1516</v>
      </c>
      <c r="H359" s="575">
        <v>8500</v>
      </c>
      <c r="I359" s="585">
        <v>1.8518518518518516</v>
      </c>
      <c r="J359" s="44">
        <f>IF(Tabla1[[#This Row],[Number of vehicle]]="",0,(Tabla1[[#This Row],[Number of vehicle]]*Tabla1[[#This Row],[km travelled]])/Tabla1[[#This Row],[Fuel economy (km/L)]])</f>
        <v>6958440.0000000009</v>
      </c>
      <c r="K359" s="44">
        <f>Tabla1[[#This Row],[Consumption (L)]]/$F$455</f>
        <v>5927.1209540034079</v>
      </c>
      <c r="L359" s="44">
        <f>Tabla1[[#This Row],[Consumption (ton)]]/1000</f>
        <v>5.9271209540034082</v>
      </c>
    </row>
    <row r="360" spans="2:12" x14ac:dyDescent="0.35">
      <c r="B360" s="587">
        <v>2016</v>
      </c>
      <c r="C360" s="587" t="s">
        <v>59</v>
      </c>
      <c r="D360" s="588" t="s">
        <v>510</v>
      </c>
      <c r="E360" s="588" t="s">
        <v>41</v>
      </c>
      <c r="F360" s="173"/>
      <c r="G360" s="577">
        <f>1466+13</f>
        <v>1479</v>
      </c>
      <c r="H360" s="27">
        <v>8000</v>
      </c>
      <c r="I360" s="585">
        <v>3.3333333333333335</v>
      </c>
      <c r="J360" s="44">
        <f>IF(Tabla1[[#This Row],[Number of vehicle]]="",0,(Tabla1[[#This Row],[Number of vehicle]]*Tabla1[[#This Row],[km travelled]])/Tabla1[[#This Row],[Fuel economy (km/L)]])</f>
        <v>3549600</v>
      </c>
      <c r="K360" s="44">
        <f>Tabla1[[#This Row],[Consumption (L)]]/$F$455</f>
        <v>3023.5093696763201</v>
      </c>
      <c r="L360" s="44">
        <f>Tabla1[[#This Row],[Consumption (ton)]]/1000</f>
        <v>3.02350936967632</v>
      </c>
    </row>
    <row r="361" spans="2:12" x14ac:dyDescent="0.35">
      <c r="B361" s="587">
        <v>2016</v>
      </c>
      <c r="C361" s="587" t="s">
        <v>59</v>
      </c>
      <c r="D361" s="588" t="s">
        <v>510</v>
      </c>
      <c r="E361" s="588" t="s">
        <v>41</v>
      </c>
      <c r="F361" s="173"/>
      <c r="G361" s="577">
        <v>20</v>
      </c>
      <c r="H361" s="27">
        <v>3000</v>
      </c>
      <c r="I361" s="585">
        <v>2.2222222222222223</v>
      </c>
      <c r="J361" s="44">
        <f>IF(Tabla1[[#This Row],[Number of vehicle]]="",0,(Tabla1[[#This Row],[Number of vehicle]]*Tabla1[[#This Row],[km travelled]])/Tabla1[[#This Row],[Fuel economy (km/L)]])</f>
        <v>27000</v>
      </c>
      <c r="K361" s="44">
        <f>Tabla1[[#This Row],[Consumption (L)]]/$F$455</f>
        <v>22.998296422487222</v>
      </c>
      <c r="L361" s="44">
        <f>Tabla1[[#This Row],[Consumption (ton)]]/1000</f>
        <v>2.299829642248722E-2</v>
      </c>
    </row>
    <row r="362" spans="2:12" x14ac:dyDescent="0.35">
      <c r="B362" s="587">
        <v>2016</v>
      </c>
      <c r="C362" s="587" t="s">
        <v>59</v>
      </c>
      <c r="D362" s="588" t="s">
        <v>510</v>
      </c>
      <c r="E362" s="588" t="s">
        <v>41</v>
      </c>
      <c r="F362" s="173"/>
      <c r="G362" s="577">
        <f>1000-13</f>
        <v>987</v>
      </c>
      <c r="H362" s="27">
        <v>8000</v>
      </c>
      <c r="I362" s="585">
        <v>3.3333333333333335</v>
      </c>
      <c r="J362" s="44">
        <f>IF(Tabla1[[#This Row],[Number of vehicle]]="",0,(Tabla1[[#This Row],[Number of vehicle]]*Tabla1[[#This Row],[km travelled]])/Tabla1[[#This Row],[Fuel economy (km/L)]])</f>
        <v>2368800</v>
      </c>
      <c r="K362" s="44">
        <f>Tabla1[[#This Row],[Consumption (L)]]/$F$455</f>
        <v>2017.717206132879</v>
      </c>
      <c r="L362" s="44">
        <f>Tabla1[[#This Row],[Consumption (ton)]]/1000</f>
        <v>2.017717206132879</v>
      </c>
    </row>
    <row r="363" spans="2:12" x14ac:dyDescent="0.35">
      <c r="B363" s="587">
        <v>2016</v>
      </c>
      <c r="C363" s="587" t="s">
        <v>60</v>
      </c>
      <c r="D363" s="588" t="s">
        <v>510</v>
      </c>
      <c r="E363" s="588" t="s">
        <v>41</v>
      </c>
      <c r="F363" s="578"/>
      <c r="G363" s="173"/>
      <c r="H363" s="27">
        <v>17000</v>
      </c>
      <c r="I363" s="585">
        <v>2.8571428571428572</v>
      </c>
      <c r="J363" s="44">
        <f>IF(Tabla1[[#This Row],[Number of vehicle]]="",0,(Tabla1[[#This Row],[Number of vehicle]]*Tabla1[[#This Row],[km travelled]])/Tabla1[[#This Row],[Fuel economy (km/L)]])</f>
        <v>0</v>
      </c>
      <c r="K363" s="44">
        <f>Tabla1[[#This Row],[Consumption (L)]]/$F$455</f>
        <v>0</v>
      </c>
      <c r="L363" s="44">
        <f>Tabla1[[#This Row],[Consumption (ton)]]/1000</f>
        <v>0</v>
      </c>
    </row>
    <row r="364" spans="2:12" x14ac:dyDescent="0.35">
      <c r="B364" s="587">
        <v>2016</v>
      </c>
      <c r="C364" s="587" t="s">
        <v>60</v>
      </c>
      <c r="D364" s="588" t="s">
        <v>510</v>
      </c>
      <c r="E364" s="588" t="s">
        <v>41</v>
      </c>
      <c r="F364" s="578"/>
      <c r="G364" s="173"/>
      <c r="H364" s="27">
        <v>18000</v>
      </c>
      <c r="I364" s="585">
        <v>1.8518518518518516</v>
      </c>
      <c r="J364" s="44">
        <f>IF(Tabla1[[#This Row],[Number of vehicle]]="",0,(Tabla1[[#This Row],[Number of vehicle]]*Tabla1[[#This Row],[km travelled]])/Tabla1[[#This Row],[Fuel economy (km/L)]])</f>
        <v>0</v>
      </c>
      <c r="K364" s="44">
        <f>Tabla1[[#This Row],[Consumption (L)]]/$F$455</f>
        <v>0</v>
      </c>
      <c r="L364" s="44">
        <f>Tabla1[[#This Row],[Consumption (ton)]]/1000</f>
        <v>0</v>
      </c>
    </row>
    <row r="365" spans="2:12" x14ac:dyDescent="0.35">
      <c r="B365" s="587">
        <v>2016</v>
      </c>
      <c r="C365" s="587" t="s">
        <v>60</v>
      </c>
      <c r="D365" s="588" t="s">
        <v>510</v>
      </c>
      <c r="E365" s="588" t="s">
        <v>41</v>
      </c>
      <c r="F365" s="578"/>
      <c r="G365" s="173"/>
      <c r="H365" s="27">
        <v>9500</v>
      </c>
      <c r="I365" s="585">
        <v>1.8518518518518516</v>
      </c>
      <c r="J365" s="44">
        <f>IF(Tabla1[[#This Row],[Number of vehicle]]="",0,(Tabla1[[#This Row],[Number of vehicle]]*Tabla1[[#This Row],[km travelled]])/Tabla1[[#This Row],[Fuel economy (km/L)]])</f>
        <v>0</v>
      </c>
      <c r="K365" s="44">
        <f>Tabla1[[#This Row],[Consumption (L)]]/$F$455</f>
        <v>0</v>
      </c>
      <c r="L365" s="44">
        <f>Tabla1[[#This Row],[Consumption (ton)]]/1000</f>
        <v>0</v>
      </c>
    </row>
    <row r="366" spans="2:12" x14ac:dyDescent="0.35">
      <c r="B366" s="587">
        <v>2016</v>
      </c>
      <c r="C366" s="587" t="s">
        <v>60</v>
      </c>
      <c r="D366" s="588" t="s">
        <v>510</v>
      </c>
      <c r="E366" s="588" t="s">
        <v>41</v>
      </c>
      <c r="F366" s="173"/>
      <c r="G366" s="173">
        <v>77</v>
      </c>
      <c r="H366" s="27">
        <v>8500</v>
      </c>
      <c r="I366" s="585">
        <v>3.3333333333333335</v>
      </c>
      <c r="J366" s="44">
        <f>IF(Tabla1[[#This Row],[Number of vehicle]]="",0,(Tabla1[[#This Row],[Number of vehicle]]*Tabla1[[#This Row],[km travelled]])/Tabla1[[#This Row],[Fuel economy (km/L)]])</f>
        <v>196350</v>
      </c>
      <c r="K366" s="44">
        <f>Tabla1[[#This Row],[Consumption (L)]]/$F$455</f>
        <v>167.24872231686541</v>
      </c>
      <c r="L366" s="44">
        <f>Tabla1[[#This Row],[Consumption (ton)]]/1000</f>
        <v>0.16724872231686541</v>
      </c>
    </row>
    <row r="367" spans="2:12" x14ac:dyDescent="0.35">
      <c r="B367" s="587">
        <v>2016</v>
      </c>
      <c r="C367" s="587" t="s">
        <v>60</v>
      </c>
      <c r="D367" s="588" t="s">
        <v>510</v>
      </c>
      <c r="E367" s="588" t="s">
        <v>41</v>
      </c>
      <c r="F367" s="173"/>
      <c r="G367" s="173"/>
      <c r="H367" s="27">
        <v>3000</v>
      </c>
      <c r="I367" s="585">
        <v>2.2222222222222223</v>
      </c>
      <c r="J367" s="44">
        <f>IF(Tabla1[[#This Row],[Number of vehicle]]="",0,(Tabla1[[#This Row],[Number of vehicle]]*Tabla1[[#This Row],[km travelled]])/Tabla1[[#This Row],[Fuel economy (km/L)]])</f>
        <v>0</v>
      </c>
      <c r="K367" s="44">
        <f>Tabla1[[#This Row],[Consumption (L)]]/$F$455</f>
        <v>0</v>
      </c>
      <c r="L367" s="44">
        <f>Tabla1[[#This Row],[Consumption (ton)]]/1000</f>
        <v>0</v>
      </c>
    </row>
    <row r="368" spans="2:12" x14ac:dyDescent="0.35">
      <c r="B368" s="587">
        <v>2016</v>
      </c>
      <c r="C368" s="587" t="s">
        <v>60</v>
      </c>
      <c r="D368" s="588" t="s">
        <v>510</v>
      </c>
      <c r="E368" s="588" t="s">
        <v>41</v>
      </c>
      <c r="F368" s="173"/>
      <c r="G368" s="173"/>
      <c r="H368" s="27">
        <v>8500</v>
      </c>
      <c r="I368" s="585">
        <v>3.3333333333333335</v>
      </c>
      <c r="J368" s="44">
        <f>IF(Tabla1[[#This Row],[Number of vehicle]]="",0,(Tabla1[[#This Row],[Number of vehicle]]*Tabla1[[#This Row],[km travelled]])/Tabla1[[#This Row],[Fuel economy (km/L)]])</f>
        <v>0</v>
      </c>
      <c r="K368" s="44">
        <f>Tabla1[[#This Row],[Consumption (L)]]/$F$455</f>
        <v>0</v>
      </c>
      <c r="L368" s="44">
        <f>Tabla1[[#This Row],[Consumption (ton)]]/1000</f>
        <v>0</v>
      </c>
    </row>
    <row r="369" spans="2:12" x14ac:dyDescent="0.35">
      <c r="B369" s="587">
        <v>2014</v>
      </c>
      <c r="C369" s="587" t="s">
        <v>59</v>
      </c>
      <c r="D369" s="588" t="s">
        <v>509</v>
      </c>
      <c r="E369" s="588" t="s">
        <v>41</v>
      </c>
      <c r="F369" s="578" t="s">
        <v>505</v>
      </c>
      <c r="G369" s="577">
        <v>16596</v>
      </c>
      <c r="H369" s="575">
        <v>15000</v>
      </c>
      <c r="I369" s="585">
        <v>10</v>
      </c>
      <c r="J369" s="44">
        <f>IF(Tabla1[[#This Row],[Number of vehicle]]="",0,(Tabla1[[#This Row],[Number of vehicle]]*Tabla1[[#This Row],[km travelled]])/Tabla1[[#This Row],[Fuel economy (km/L)]])</f>
        <v>24894000</v>
      </c>
      <c r="K369" s="44">
        <f>Tabla1[[#This Row],[Consumption (L)]]/$F$455</f>
        <v>21204.429301533219</v>
      </c>
      <c r="L369" s="44">
        <f>Tabla1[[#This Row],[Consumption (ton)]]/1000</f>
        <v>21.204429301533217</v>
      </c>
    </row>
    <row r="370" spans="2:12" x14ac:dyDescent="0.35">
      <c r="B370" s="587">
        <v>2014</v>
      </c>
      <c r="C370" s="587" t="s">
        <v>59</v>
      </c>
      <c r="D370" s="588" t="s">
        <v>509</v>
      </c>
      <c r="E370" s="588" t="s">
        <v>41</v>
      </c>
      <c r="F370" s="578" t="s">
        <v>507</v>
      </c>
      <c r="G370" s="577">
        <v>3163</v>
      </c>
      <c r="H370" s="575">
        <v>15000</v>
      </c>
      <c r="I370" s="585">
        <v>10</v>
      </c>
      <c r="J370" s="44">
        <f>IF(Tabla1[[#This Row],[Number of vehicle]]="",0,(Tabla1[[#This Row],[Number of vehicle]]*Tabla1[[#This Row],[km travelled]])/Tabla1[[#This Row],[Fuel economy (km/L)]])</f>
        <v>4744500</v>
      </c>
      <c r="K370" s="44">
        <f>Tabla1[[#This Row],[Consumption (L)]]/$F$455</f>
        <v>4041.311754684838</v>
      </c>
      <c r="L370" s="44">
        <f>Tabla1[[#This Row],[Consumption (ton)]]/1000</f>
        <v>4.0413117546848376</v>
      </c>
    </row>
    <row r="371" spans="2:12" x14ac:dyDescent="0.35">
      <c r="B371" s="587">
        <v>2014</v>
      </c>
      <c r="C371" s="587" t="s">
        <v>60</v>
      </c>
      <c r="D371" s="588" t="s">
        <v>509</v>
      </c>
      <c r="E371" s="588" t="s">
        <v>41</v>
      </c>
      <c r="F371" s="571" t="s">
        <v>519</v>
      </c>
      <c r="G371" s="601">
        <v>0</v>
      </c>
      <c r="H371" s="386">
        <v>22500</v>
      </c>
      <c r="I371" s="606">
        <v>10.416666666666666</v>
      </c>
      <c r="J371" s="44">
        <f>IF(Tabla1[[#This Row],[Number of vehicle]]="",0,(Tabla1[[#This Row],[Number of vehicle]]*Tabla1[[#This Row],[km travelled]])/Tabla1[[#This Row],[Fuel economy (km/L)]])</f>
        <v>0</v>
      </c>
      <c r="K371" s="44">
        <f>Tabla1[[#This Row],[Consumption (L)]]/$F$455</f>
        <v>0</v>
      </c>
      <c r="L371" s="44">
        <f>Tabla1[[#This Row],[Consumption (ton)]]/1000</f>
        <v>0</v>
      </c>
    </row>
    <row r="372" spans="2:12" x14ac:dyDescent="0.35">
      <c r="B372" s="587">
        <v>2014</v>
      </c>
      <c r="C372" s="587" t="s">
        <v>60</v>
      </c>
      <c r="D372" s="588" t="s">
        <v>509</v>
      </c>
      <c r="E372" s="588" t="s">
        <v>41</v>
      </c>
      <c r="F372" s="608"/>
      <c r="G372" s="601"/>
      <c r="H372" s="27">
        <v>17500</v>
      </c>
      <c r="I372" s="585">
        <v>10</v>
      </c>
      <c r="J372" s="44">
        <f>IF(Tabla1[[#This Row],[Number of vehicle]]="",0,(Tabla1[[#This Row],[Number of vehicle]]*Tabla1[[#This Row],[km travelled]])/Tabla1[[#This Row],[Fuel economy (km/L)]])</f>
        <v>0</v>
      </c>
      <c r="K372" s="44">
        <f>Tabla1[[#This Row],[Consumption (L)]]/$F$455</f>
        <v>0</v>
      </c>
      <c r="L372" s="44">
        <f>Tabla1[[#This Row],[Consumption (ton)]]/1000</f>
        <v>0</v>
      </c>
    </row>
    <row r="373" spans="2:12" x14ac:dyDescent="0.35">
      <c r="B373" s="587">
        <v>2015</v>
      </c>
      <c r="C373" s="587" t="s">
        <v>59</v>
      </c>
      <c r="D373" s="588" t="s">
        <v>509</v>
      </c>
      <c r="E373" s="588" t="s">
        <v>41</v>
      </c>
      <c r="F373" s="578" t="s">
        <v>505</v>
      </c>
      <c r="G373" s="577">
        <v>16237</v>
      </c>
      <c r="H373" s="575">
        <v>17500</v>
      </c>
      <c r="I373" s="585">
        <v>10</v>
      </c>
      <c r="J373" s="44">
        <f>IF(Tabla1[[#This Row],[Number of vehicle]]="",0,(Tabla1[[#This Row],[Number of vehicle]]*Tabla1[[#This Row],[km travelled]])/Tabla1[[#This Row],[Fuel economy (km/L)]])</f>
        <v>28414750</v>
      </c>
      <c r="K373" s="44">
        <f>Tabla1[[#This Row],[Consumption (L)]]/$F$455</f>
        <v>24203.364565587734</v>
      </c>
      <c r="L373" s="44">
        <f>Tabla1[[#This Row],[Consumption (ton)]]/1000</f>
        <v>24.203364565587734</v>
      </c>
    </row>
    <row r="374" spans="2:12" x14ac:dyDescent="0.35">
      <c r="B374" s="587">
        <v>2015</v>
      </c>
      <c r="C374" s="587" t="s">
        <v>59</v>
      </c>
      <c r="D374" s="588" t="s">
        <v>509</v>
      </c>
      <c r="E374" s="588" t="s">
        <v>41</v>
      </c>
      <c r="F374" s="578" t="s">
        <v>507</v>
      </c>
      <c r="G374" s="577">
        <v>4120</v>
      </c>
      <c r="H374" s="575">
        <v>17500</v>
      </c>
      <c r="I374" s="585">
        <v>10</v>
      </c>
      <c r="J374" s="44">
        <f>IF(Tabla1[[#This Row],[Number of vehicle]]="",0,(Tabla1[[#This Row],[Number of vehicle]]*Tabla1[[#This Row],[km travelled]])/Tabla1[[#This Row],[Fuel economy (km/L)]])</f>
        <v>7210000</v>
      </c>
      <c r="K374" s="44">
        <f>Tabla1[[#This Row],[Consumption (L)]]/$F$455</f>
        <v>6141.396933560477</v>
      </c>
      <c r="L374" s="44">
        <f>Tabla1[[#This Row],[Consumption (ton)]]/1000</f>
        <v>6.1413969335604772</v>
      </c>
    </row>
    <row r="375" spans="2:12" x14ac:dyDescent="0.35">
      <c r="B375" s="587">
        <v>2015</v>
      </c>
      <c r="C375" s="587" t="s">
        <v>60</v>
      </c>
      <c r="D375" s="588" t="s">
        <v>509</v>
      </c>
      <c r="E375" s="588" t="s">
        <v>41</v>
      </c>
      <c r="F375" s="571" t="s">
        <v>519</v>
      </c>
      <c r="G375" s="601">
        <v>0</v>
      </c>
      <c r="H375" s="386">
        <v>22500</v>
      </c>
      <c r="I375" s="606">
        <v>10.416666666666666</v>
      </c>
      <c r="J375" s="44">
        <f>IF(Tabla1[[#This Row],[Number of vehicle]]="",0,(Tabla1[[#This Row],[Number of vehicle]]*Tabla1[[#This Row],[km travelled]])/Tabla1[[#This Row],[Fuel economy (km/L)]])</f>
        <v>0</v>
      </c>
      <c r="K375" s="44">
        <f>Tabla1[[#This Row],[Consumption (L)]]/$F$455</f>
        <v>0</v>
      </c>
      <c r="L375" s="44">
        <f>Tabla1[[#This Row],[Consumption (ton)]]/1000</f>
        <v>0</v>
      </c>
    </row>
    <row r="376" spans="2:12" x14ac:dyDescent="0.35">
      <c r="B376" s="587">
        <v>2015</v>
      </c>
      <c r="C376" s="587" t="s">
        <v>60</v>
      </c>
      <c r="D376" s="588" t="s">
        <v>509</v>
      </c>
      <c r="E376" s="588" t="s">
        <v>41</v>
      </c>
      <c r="F376" s="602"/>
      <c r="G376" s="603"/>
      <c r="H376" s="27">
        <v>17500</v>
      </c>
      <c r="I376" s="585">
        <v>10</v>
      </c>
      <c r="J376" s="44">
        <f>IF(Tabla1[[#This Row],[Number of vehicle]]="",0,(Tabla1[[#This Row],[Number of vehicle]]*Tabla1[[#This Row],[km travelled]])/Tabla1[[#This Row],[Fuel economy (km/L)]])</f>
        <v>0</v>
      </c>
      <c r="K376" s="44">
        <f>Tabla1[[#This Row],[Consumption (L)]]/$F$455</f>
        <v>0</v>
      </c>
      <c r="L376" s="44">
        <f>Tabla1[[#This Row],[Consumption (ton)]]/1000</f>
        <v>0</v>
      </c>
    </row>
    <row r="377" spans="2:12" x14ac:dyDescent="0.35">
      <c r="B377" s="587">
        <v>2016</v>
      </c>
      <c r="C377" s="587" t="s">
        <v>59</v>
      </c>
      <c r="D377" s="588" t="s">
        <v>509</v>
      </c>
      <c r="E377" s="588" t="s">
        <v>41</v>
      </c>
      <c r="F377" s="578" t="s">
        <v>505</v>
      </c>
      <c r="G377" s="579">
        <v>15960</v>
      </c>
      <c r="H377" s="575">
        <v>17500</v>
      </c>
      <c r="I377" s="585">
        <v>10</v>
      </c>
      <c r="J377" s="44">
        <f>IF(Tabla1[[#This Row],[Number of vehicle]]="",0,(Tabla1[[#This Row],[Number of vehicle]]*Tabla1[[#This Row],[km travelled]])/Tabla1[[#This Row],[Fuel economy (km/L)]])</f>
        <v>27930000</v>
      </c>
      <c r="K377" s="44">
        <f>Tabla1[[#This Row],[Consumption (L)]]/$F$455</f>
        <v>23790.45996592845</v>
      </c>
      <c r="L377" s="44">
        <f>Tabla1[[#This Row],[Consumption (ton)]]/1000</f>
        <v>23.790459965928452</v>
      </c>
    </row>
    <row r="378" spans="2:12" x14ac:dyDescent="0.35">
      <c r="B378" s="587">
        <v>2016</v>
      </c>
      <c r="C378" s="587" t="s">
        <v>59</v>
      </c>
      <c r="D378" s="588" t="s">
        <v>509</v>
      </c>
      <c r="E378" s="588" t="s">
        <v>41</v>
      </c>
      <c r="F378" s="578" t="s">
        <v>507</v>
      </c>
      <c r="G378" s="577">
        <v>5670</v>
      </c>
      <c r="H378" s="575">
        <v>17500</v>
      </c>
      <c r="I378" s="585">
        <v>10</v>
      </c>
      <c r="J378" s="44">
        <f>IF(Tabla1[[#This Row],[Number of vehicle]]="",0,(Tabla1[[#This Row],[Number of vehicle]]*Tabla1[[#This Row],[km travelled]])/Tabla1[[#This Row],[Fuel economy (km/L)]])</f>
        <v>9922500</v>
      </c>
      <c r="K378" s="44">
        <f>Tabla1[[#This Row],[Consumption (L)]]/$F$455</f>
        <v>8451.873935264055</v>
      </c>
      <c r="L378" s="44">
        <f>Tabla1[[#This Row],[Consumption (ton)]]/1000</f>
        <v>8.4518739352640555</v>
      </c>
    </row>
    <row r="379" spans="2:12" x14ac:dyDescent="0.35">
      <c r="B379" s="587">
        <v>2016</v>
      </c>
      <c r="C379" s="587" t="s">
        <v>60</v>
      </c>
      <c r="D379" s="588" t="s">
        <v>509</v>
      </c>
      <c r="E379" s="588" t="s">
        <v>41</v>
      </c>
      <c r="F379" s="571" t="s">
        <v>519</v>
      </c>
      <c r="G379" s="609">
        <v>0</v>
      </c>
      <c r="H379" s="610">
        <v>22500</v>
      </c>
      <c r="I379" s="611">
        <v>10.416666666666666</v>
      </c>
      <c r="J379" s="44">
        <f>IF(Tabla1[[#This Row],[Number of vehicle]]="",0,(Tabla1[[#This Row],[Number of vehicle]]*Tabla1[[#This Row],[km travelled]])/Tabla1[[#This Row],[Fuel economy (km/L)]])</f>
        <v>0</v>
      </c>
      <c r="K379" s="44">
        <f>Tabla1[[#This Row],[Consumption (L)]]/$F$455</f>
        <v>0</v>
      </c>
      <c r="L379" s="44">
        <f>Tabla1[[#This Row],[Consumption (ton)]]/1000</f>
        <v>0</v>
      </c>
    </row>
    <row r="380" spans="2:12" x14ac:dyDescent="0.35">
      <c r="B380" s="587">
        <v>2016</v>
      </c>
      <c r="C380" s="587" t="s">
        <v>60</v>
      </c>
      <c r="D380" s="588" t="s">
        <v>509</v>
      </c>
      <c r="E380" s="588" t="s">
        <v>41</v>
      </c>
      <c r="F380" s="602"/>
      <c r="G380" s="609"/>
      <c r="H380" s="176">
        <v>17500</v>
      </c>
      <c r="I380" s="590">
        <v>10</v>
      </c>
      <c r="J380" s="44">
        <f>IF(Tabla1[[#This Row],[Number of vehicle]]="",0,(Tabla1[[#This Row],[Number of vehicle]]*Tabla1[[#This Row],[km travelled]])/Tabla1[[#This Row],[Fuel economy (km/L)]])</f>
        <v>0</v>
      </c>
      <c r="K380" s="44">
        <f>Tabla1[[#This Row],[Consumption (L)]]/$F$455</f>
        <v>0</v>
      </c>
      <c r="L380" s="44">
        <f>Tabla1[[#This Row],[Consumption (ton)]]/1000</f>
        <v>0</v>
      </c>
    </row>
    <row r="381" spans="2:12" s="110" customFormat="1" x14ac:dyDescent="0.35">
      <c r="B381" s="587">
        <v>2014</v>
      </c>
      <c r="C381" s="587" t="s">
        <v>59</v>
      </c>
      <c r="D381" s="588" t="s">
        <v>511</v>
      </c>
      <c r="E381" s="588" t="s">
        <v>41</v>
      </c>
      <c r="F381" s="581"/>
      <c r="G381" s="577">
        <v>8771</v>
      </c>
      <c r="H381" s="575">
        <v>16500</v>
      </c>
      <c r="I381" s="576">
        <v>5.0505050505050502</v>
      </c>
      <c r="J381" s="44">
        <f>IF(Tabla1[[#This Row],[Number of vehicle]]="",0,(Tabla1[[#This Row],[Number of vehicle]]*Tabla1[[#This Row],[km travelled]])/Tabla1[[#This Row],[Fuel economy (km/L)]])</f>
        <v>28654857.000000004</v>
      </c>
      <c r="K381" s="44">
        <f>Tabla1[[#This Row],[Consumption (L)]]/$F$455</f>
        <v>24407.885008517889</v>
      </c>
      <c r="L381" s="44">
        <f>Tabla1[[#This Row],[Consumption (ton)]]/1000</f>
        <v>24.407885008517891</v>
      </c>
    </row>
    <row r="382" spans="2:12" s="110" customFormat="1" x14ac:dyDescent="0.35">
      <c r="B382" s="587">
        <v>2014</v>
      </c>
      <c r="C382" s="587" t="s">
        <v>60</v>
      </c>
      <c r="D382" s="588" t="s">
        <v>511</v>
      </c>
      <c r="E382" s="588" t="s">
        <v>41</v>
      </c>
      <c r="F382" s="581"/>
      <c r="G382" s="173">
        <v>847</v>
      </c>
      <c r="H382" s="27">
        <v>17500</v>
      </c>
      <c r="I382" s="576">
        <v>5.0505050505050502</v>
      </c>
      <c r="J382" s="44">
        <f>IF(Tabla1[[#This Row],[Number of vehicle]]="",0,(Tabla1[[#This Row],[Number of vehicle]]*Tabla1[[#This Row],[km travelled]])/Tabla1[[#This Row],[Fuel economy (km/L)]])</f>
        <v>2934855</v>
      </c>
      <c r="K382" s="44">
        <f>Tabla1[[#This Row],[Consumption (L)]]/$F$455</f>
        <v>2499.8764906303236</v>
      </c>
      <c r="L382" s="44">
        <f>Tabla1[[#This Row],[Consumption (ton)]]/1000</f>
        <v>2.4998764906303235</v>
      </c>
    </row>
    <row r="383" spans="2:12" s="110" customFormat="1" x14ac:dyDescent="0.35">
      <c r="B383" s="587">
        <v>2015</v>
      </c>
      <c r="C383" s="587" t="s">
        <v>59</v>
      </c>
      <c r="D383" s="588" t="s">
        <v>511</v>
      </c>
      <c r="E383" s="588" t="s">
        <v>41</v>
      </c>
      <c r="F383" s="581"/>
      <c r="G383" s="577">
        <v>8851</v>
      </c>
      <c r="H383" s="575">
        <v>16500</v>
      </c>
      <c r="I383" s="576">
        <v>5.0505050505050502</v>
      </c>
      <c r="J383" s="44">
        <f>IF(Tabla1[[#This Row],[Number of vehicle]]="",0,(Tabla1[[#This Row],[Number of vehicle]]*Tabla1[[#This Row],[km travelled]])/Tabla1[[#This Row],[Fuel economy (km/L)]])</f>
        <v>28916217.000000004</v>
      </c>
      <c r="K383" s="44">
        <f>Tabla1[[#This Row],[Consumption (L)]]/$F$455</f>
        <v>24630.508517887567</v>
      </c>
      <c r="L383" s="44">
        <f>Tabla1[[#This Row],[Consumption (ton)]]/1000</f>
        <v>24.630508517887566</v>
      </c>
    </row>
    <row r="384" spans="2:12" x14ac:dyDescent="0.35">
      <c r="B384" s="587">
        <v>2015</v>
      </c>
      <c r="C384" s="587" t="s">
        <v>60</v>
      </c>
      <c r="D384" s="588" t="s">
        <v>511</v>
      </c>
      <c r="E384" s="588" t="s">
        <v>41</v>
      </c>
      <c r="F384" s="582"/>
      <c r="G384" s="604">
        <v>877</v>
      </c>
      <c r="H384" s="27">
        <v>17500</v>
      </c>
      <c r="I384" s="585">
        <v>5.0505050505050502</v>
      </c>
      <c r="J384" s="44">
        <f>IF(Tabla1[[#This Row],[Number of vehicle]]="",0,(Tabla1[[#This Row],[Number of vehicle]]*Tabla1[[#This Row],[km travelled]])/Tabla1[[#This Row],[Fuel economy (km/L)]])</f>
        <v>3038805</v>
      </c>
      <c r="K384" s="44">
        <f>Tabla1[[#This Row],[Consumption (L)]]/$F$455</f>
        <v>2588.4199318568994</v>
      </c>
      <c r="L384" s="44">
        <f>Tabla1[[#This Row],[Consumption (ton)]]/1000</f>
        <v>2.5884199318568992</v>
      </c>
    </row>
    <row r="385" spans="2:12" x14ac:dyDescent="0.35">
      <c r="B385" s="587">
        <v>2016</v>
      </c>
      <c r="C385" s="587" t="s">
        <v>59</v>
      </c>
      <c r="D385" s="588" t="s">
        <v>511</v>
      </c>
      <c r="E385" s="588" t="s">
        <v>41</v>
      </c>
      <c r="F385" s="578"/>
      <c r="G385" s="579">
        <v>9252</v>
      </c>
      <c r="H385" s="575">
        <v>16500</v>
      </c>
      <c r="I385" s="585">
        <v>5.0505050505050502</v>
      </c>
      <c r="J385" s="44">
        <f>IF(Tabla1[[#This Row],[Number of vehicle]]="",0,(Tabla1[[#This Row],[Number of vehicle]]*Tabla1[[#This Row],[km travelled]])/Tabla1[[#This Row],[Fuel economy (km/L)]])</f>
        <v>30226284.000000004</v>
      </c>
      <c r="K385" s="44">
        <f>Tabla1[[#This Row],[Consumption (L)]]/$F$455</f>
        <v>25746.40885860307</v>
      </c>
      <c r="L385" s="44">
        <f>Tabla1[[#This Row],[Consumption (ton)]]/1000</f>
        <v>25.746408858603072</v>
      </c>
    </row>
    <row r="386" spans="2:12" x14ac:dyDescent="0.35">
      <c r="B386" s="587">
        <v>2016</v>
      </c>
      <c r="C386" s="587" t="s">
        <v>60</v>
      </c>
      <c r="D386" s="588" t="s">
        <v>511</v>
      </c>
      <c r="E386" s="588" t="s">
        <v>41</v>
      </c>
      <c r="F386" s="583"/>
      <c r="G386" s="604">
        <v>922</v>
      </c>
      <c r="H386" s="27">
        <v>17500</v>
      </c>
      <c r="I386" s="585">
        <v>5.0505050505050502</v>
      </c>
      <c r="J386" s="44">
        <f>IF(Tabla1[[#This Row],[Number of vehicle]]="",0,(Tabla1[[#This Row],[Number of vehicle]]*Tabla1[[#This Row],[km travelled]])/Tabla1[[#This Row],[Fuel economy (km/L)]])</f>
        <v>3194730</v>
      </c>
      <c r="K386" s="44">
        <f>Tabla1[[#This Row],[Consumption (L)]]/$F$455</f>
        <v>2721.2350936967632</v>
      </c>
      <c r="L386" s="44">
        <f>Tabla1[[#This Row],[Consumption (ton)]]/1000</f>
        <v>2.7212350936967633</v>
      </c>
    </row>
    <row r="387" spans="2:12" x14ac:dyDescent="0.35">
      <c r="B387" s="587">
        <v>2014</v>
      </c>
      <c r="C387" s="587" t="s">
        <v>59</v>
      </c>
      <c r="D387" s="588" t="s">
        <v>266</v>
      </c>
      <c r="E387" s="588" t="s">
        <v>136</v>
      </c>
      <c r="F387" s="581"/>
      <c r="G387" s="577">
        <v>121866</v>
      </c>
      <c r="H387" s="575">
        <v>3000</v>
      </c>
      <c r="I387" s="585">
        <v>45.45454545454546</v>
      </c>
      <c r="J387" s="44">
        <f>IF(Tabla1[[#This Row],[Number of vehicle]]="",0,(Tabla1[[#This Row],[Number of vehicle]]*Tabla1[[#This Row],[km travelled]])/Tabla1[[#This Row],[Fuel economy (km/L)]])</f>
        <v>8043155.9999999991</v>
      </c>
      <c r="K387" s="44">
        <f>Tabla1[[#This Row],[Consumption (L)]]/$F$454</f>
        <v>5811.5289017341038</v>
      </c>
      <c r="L387" s="44">
        <f>Tabla1[[#This Row],[Consumption (ton)]]/1000</f>
        <v>5.8115289017341034</v>
      </c>
    </row>
    <row r="388" spans="2:12" x14ac:dyDescent="0.35">
      <c r="B388" s="587">
        <v>2014</v>
      </c>
      <c r="C388" s="587" t="s">
        <v>59</v>
      </c>
      <c r="D388" s="588" t="s">
        <v>266</v>
      </c>
      <c r="E388" s="588" t="s">
        <v>136</v>
      </c>
      <c r="F388" s="581"/>
      <c r="G388" s="577">
        <v>66462</v>
      </c>
      <c r="H388" s="575">
        <v>5000</v>
      </c>
      <c r="I388" s="585">
        <v>35.714285714285715</v>
      </c>
      <c r="J388" s="44">
        <f>IF(Tabla1[[#This Row],[Number of vehicle]]="",0,(Tabla1[[#This Row],[Number of vehicle]]*Tabla1[[#This Row],[km travelled]])/Tabla1[[#This Row],[Fuel economy (km/L)]])</f>
        <v>9304680</v>
      </c>
      <c r="K388" s="44">
        <f>Tabla1[[#This Row],[Consumption (L)]]/$F$454</f>
        <v>6723.0346820809245</v>
      </c>
      <c r="L388" s="44">
        <f>Tabla1[[#This Row],[Consumption (ton)]]/1000</f>
        <v>6.7230346820809244</v>
      </c>
    </row>
    <row r="389" spans="2:12" x14ac:dyDescent="0.35">
      <c r="B389" s="587">
        <v>2014</v>
      </c>
      <c r="C389" s="587" t="s">
        <v>59</v>
      </c>
      <c r="D389" s="588" t="s">
        <v>266</v>
      </c>
      <c r="E389" s="588" t="s">
        <v>136</v>
      </c>
      <c r="F389" s="581"/>
      <c r="G389" s="577">
        <v>7283</v>
      </c>
      <c r="H389" s="575">
        <v>6000</v>
      </c>
      <c r="I389" s="585">
        <v>26.315789473684212</v>
      </c>
      <c r="J389" s="44">
        <f>IF(Tabla1[[#This Row],[Number of vehicle]]="",0,(Tabla1[[#This Row],[Number of vehicle]]*Tabla1[[#This Row],[km travelled]])/Tabla1[[#This Row],[Fuel economy (km/L)]])</f>
        <v>1660523.9999999998</v>
      </c>
      <c r="K389" s="44">
        <f>Tabla1[[#This Row],[Consumption (L)]]/$F$454</f>
        <v>1199.8005780346818</v>
      </c>
      <c r="L389" s="44">
        <f>Tabla1[[#This Row],[Consumption (ton)]]/1000</f>
        <v>1.1998005780346819</v>
      </c>
    </row>
    <row r="390" spans="2:12" x14ac:dyDescent="0.35">
      <c r="B390" s="587">
        <v>2014</v>
      </c>
      <c r="C390" s="587" t="s">
        <v>60</v>
      </c>
      <c r="D390" s="588" t="s">
        <v>266</v>
      </c>
      <c r="E390" s="588" t="s">
        <v>136</v>
      </c>
      <c r="F390" s="578"/>
      <c r="G390" s="173">
        <v>664</v>
      </c>
      <c r="H390" s="575">
        <v>8000</v>
      </c>
      <c r="I390" s="585">
        <v>45.45454545454546</v>
      </c>
      <c r="J390" s="44">
        <f>IF(Tabla1[[#This Row],[Number of vehicle]]="",0,(Tabla1[[#This Row],[Number of vehicle]]*Tabla1[[#This Row],[km travelled]])/Tabla1[[#This Row],[Fuel economy (km/L)]])</f>
        <v>116863.99999999999</v>
      </c>
      <c r="K390" s="44">
        <f>Tabla1[[#This Row],[Consumption (L)]]/$F$454</f>
        <v>84.439306358381486</v>
      </c>
      <c r="L390" s="44">
        <f>Tabla1[[#This Row],[Consumption (ton)]]/1000</f>
        <v>8.4439306358381483E-2</v>
      </c>
    </row>
    <row r="391" spans="2:12" x14ac:dyDescent="0.35">
      <c r="B391" s="587">
        <v>2014</v>
      </c>
      <c r="C391" s="587" t="s">
        <v>60</v>
      </c>
      <c r="D391" s="588" t="s">
        <v>266</v>
      </c>
      <c r="E391" s="588" t="s">
        <v>136</v>
      </c>
      <c r="F391" s="578"/>
      <c r="G391" s="173">
        <f>5872-362</f>
        <v>5510</v>
      </c>
      <c r="H391" s="575">
        <v>9000</v>
      </c>
      <c r="I391" s="585">
        <v>35.714285714285715</v>
      </c>
      <c r="J391" s="44">
        <f>IF(Tabla1[[#This Row],[Number of vehicle]]="",0,(Tabla1[[#This Row],[Number of vehicle]]*Tabla1[[#This Row],[km travelled]])/Tabla1[[#This Row],[Fuel economy (km/L)]])</f>
        <v>1388520</v>
      </c>
      <c r="K391" s="44">
        <f>Tabla1[[#This Row],[Consumption (L)]]/$F$454</f>
        <v>1003.2658959537572</v>
      </c>
      <c r="L391" s="44">
        <f>Tabla1[[#This Row],[Consumption (ton)]]/1000</f>
        <v>1.0032658959537573</v>
      </c>
    </row>
    <row r="392" spans="2:12" x14ac:dyDescent="0.35">
      <c r="B392" s="587">
        <v>2014</v>
      </c>
      <c r="C392" s="587" t="s">
        <v>60</v>
      </c>
      <c r="D392" s="588" t="s">
        <v>266</v>
      </c>
      <c r="E392" s="588" t="s">
        <v>136</v>
      </c>
      <c r="F392" s="578"/>
      <c r="G392" s="173">
        <v>1262</v>
      </c>
      <c r="H392" s="575">
        <v>9000</v>
      </c>
      <c r="I392" s="585">
        <v>26.315789473684212</v>
      </c>
      <c r="J392" s="44">
        <f>IF(Tabla1[[#This Row],[Number of vehicle]]="",0,(Tabla1[[#This Row],[Number of vehicle]]*Tabla1[[#This Row],[km travelled]])/Tabla1[[#This Row],[Fuel economy (km/L)]])</f>
        <v>431603.99999999994</v>
      </c>
      <c r="K392" s="44">
        <f>Tabla1[[#This Row],[Consumption (L)]]/$F$454</f>
        <v>311.85260115606934</v>
      </c>
      <c r="L392" s="44">
        <f>Tabla1[[#This Row],[Consumption (ton)]]/1000</f>
        <v>0.31185260115606933</v>
      </c>
    </row>
    <row r="393" spans="2:12" x14ac:dyDescent="0.35">
      <c r="B393" s="587">
        <v>2015</v>
      </c>
      <c r="C393" s="587" t="s">
        <v>59</v>
      </c>
      <c r="D393" s="588" t="s">
        <v>266</v>
      </c>
      <c r="E393" s="588" t="s">
        <v>136</v>
      </c>
      <c r="F393" s="578"/>
      <c r="G393" s="577">
        <v>123563</v>
      </c>
      <c r="H393" s="575">
        <v>4000</v>
      </c>
      <c r="I393" s="585">
        <v>45.45454545454546</v>
      </c>
      <c r="J393" s="44">
        <f>IF(Tabla1[[#This Row],[Number of vehicle]]="",0,(Tabla1[[#This Row],[Number of vehicle]]*Tabla1[[#This Row],[km travelled]])/Tabla1[[#This Row],[Fuel economy (km/L)]])</f>
        <v>10873543.999999998</v>
      </c>
      <c r="K393" s="44">
        <f>Tabla1[[#This Row],[Consumption (L)]]/$F$454</f>
        <v>7856.606936416184</v>
      </c>
      <c r="L393" s="44">
        <f>Tabla1[[#This Row],[Consumption (ton)]]/1000</f>
        <v>7.8566069364161839</v>
      </c>
    </row>
    <row r="394" spans="2:12" x14ac:dyDescent="0.35">
      <c r="B394" s="587">
        <v>2015</v>
      </c>
      <c r="C394" s="587" t="s">
        <v>59</v>
      </c>
      <c r="D394" s="588" t="s">
        <v>266</v>
      </c>
      <c r="E394" s="588" t="s">
        <v>136</v>
      </c>
      <c r="F394" s="578"/>
      <c r="G394" s="577">
        <v>79931</v>
      </c>
      <c r="H394" s="575">
        <v>6000</v>
      </c>
      <c r="I394" s="585">
        <v>35.714285714285715</v>
      </c>
      <c r="J394" s="44">
        <f>IF(Tabla1[[#This Row],[Number of vehicle]]="",0,(Tabla1[[#This Row],[Number of vehicle]]*Tabla1[[#This Row],[km travelled]])/Tabla1[[#This Row],[Fuel economy (km/L)]])</f>
        <v>13428408</v>
      </c>
      <c r="K394" s="44">
        <f>Tabla1[[#This Row],[Consumption (L)]]/$F$454</f>
        <v>9702.6069364161849</v>
      </c>
      <c r="L394" s="44">
        <f>Tabla1[[#This Row],[Consumption (ton)]]/1000</f>
        <v>9.7026069364161849</v>
      </c>
    </row>
    <row r="395" spans="2:12" x14ac:dyDescent="0.35">
      <c r="B395" s="587">
        <v>2015</v>
      </c>
      <c r="C395" s="587" t="s">
        <v>59</v>
      </c>
      <c r="D395" s="588" t="s">
        <v>266</v>
      </c>
      <c r="E395" s="588" t="s">
        <v>136</v>
      </c>
      <c r="F395" s="578"/>
      <c r="G395" s="577">
        <v>6561</v>
      </c>
      <c r="H395" s="575">
        <v>7000</v>
      </c>
      <c r="I395" s="585">
        <v>26.315789473684212</v>
      </c>
      <c r="J395" s="44">
        <f>IF(Tabla1[[#This Row],[Number of vehicle]]="",0,(Tabla1[[#This Row],[Number of vehicle]]*Tabla1[[#This Row],[km travelled]])/Tabla1[[#This Row],[Fuel economy (km/L)]])</f>
        <v>1745225.9999999998</v>
      </c>
      <c r="K395" s="44">
        <f>Tabla1[[#This Row],[Consumption (L)]]/$F$454</f>
        <v>1261.001445086705</v>
      </c>
      <c r="L395" s="44">
        <f>Tabla1[[#This Row],[Consumption (ton)]]/1000</f>
        <v>1.2610014450867049</v>
      </c>
    </row>
    <row r="396" spans="2:12" x14ac:dyDescent="0.35">
      <c r="B396" s="587">
        <v>2015</v>
      </c>
      <c r="C396" s="587" t="s">
        <v>60</v>
      </c>
      <c r="D396" s="588" t="s">
        <v>266</v>
      </c>
      <c r="E396" s="588" t="s">
        <v>136</v>
      </c>
      <c r="F396" s="578"/>
      <c r="G396" s="173">
        <v>665</v>
      </c>
      <c r="H396" s="575">
        <v>8000</v>
      </c>
      <c r="I396" s="585">
        <v>45.45454545454546</v>
      </c>
      <c r="J396" s="44">
        <f>IF(Tabla1[[#This Row],[Number of vehicle]]="",0,(Tabla1[[#This Row],[Number of vehicle]]*Tabla1[[#This Row],[km travelled]])/Tabla1[[#This Row],[Fuel economy (km/L)]])</f>
        <v>117039.99999999999</v>
      </c>
      <c r="K396" s="44">
        <f>Tabla1[[#This Row],[Consumption (L)]]/$F$454</f>
        <v>84.566473988439299</v>
      </c>
      <c r="L396" s="44">
        <f>Tabla1[[#This Row],[Consumption (ton)]]/1000</f>
        <v>8.4566473988439292E-2</v>
      </c>
    </row>
    <row r="397" spans="2:12" x14ac:dyDescent="0.35">
      <c r="B397" s="587">
        <v>2015</v>
      </c>
      <c r="C397" s="587" t="s">
        <v>60</v>
      </c>
      <c r="D397" s="588" t="s">
        <v>266</v>
      </c>
      <c r="E397" s="588" t="s">
        <v>136</v>
      </c>
      <c r="F397" s="578"/>
      <c r="G397" s="173">
        <v>5913</v>
      </c>
      <c r="H397" s="575">
        <v>9000</v>
      </c>
      <c r="I397" s="585">
        <v>35.714285714285715</v>
      </c>
      <c r="J397" s="44">
        <f>IF(Tabla1[[#This Row],[Number of vehicle]]="",0,(Tabla1[[#This Row],[Number of vehicle]]*Tabla1[[#This Row],[km travelled]])/Tabla1[[#This Row],[Fuel economy (km/L)]])</f>
        <v>1490076</v>
      </c>
      <c r="K397" s="44">
        <f>Tabla1[[#This Row],[Consumption (L)]]/$F$454</f>
        <v>1076.6445086705203</v>
      </c>
      <c r="L397" s="44">
        <f>Tabla1[[#This Row],[Consumption (ton)]]/1000</f>
        <v>1.0766445086705203</v>
      </c>
    </row>
    <row r="398" spans="2:12" x14ac:dyDescent="0.35">
      <c r="B398" s="587">
        <v>2015</v>
      </c>
      <c r="C398" s="587" t="s">
        <v>60</v>
      </c>
      <c r="D398" s="588" t="s">
        <v>266</v>
      </c>
      <c r="E398" s="588" t="s">
        <v>136</v>
      </c>
      <c r="F398" s="578"/>
      <c r="G398" s="173">
        <v>1470</v>
      </c>
      <c r="H398" s="575">
        <v>9000</v>
      </c>
      <c r="I398" s="585">
        <v>26.315789473684212</v>
      </c>
      <c r="J398" s="44">
        <f>IF(Tabla1[[#This Row],[Number of vehicle]]="",0,(Tabla1[[#This Row],[Number of vehicle]]*Tabla1[[#This Row],[km travelled]])/Tabla1[[#This Row],[Fuel economy (km/L)]])</f>
        <v>502739.99999999994</v>
      </c>
      <c r="K398" s="44">
        <f>Tabla1[[#This Row],[Consumption (L)]]/$F$454</f>
        <v>363.25144508670513</v>
      </c>
      <c r="L398" s="44">
        <f>Tabla1[[#This Row],[Consumption (ton)]]/1000</f>
        <v>0.36325144508670515</v>
      </c>
    </row>
    <row r="399" spans="2:12" x14ac:dyDescent="0.35">
      <c r="B399" s="587">
        <v>2016</v>
      </c>
      <c r="C399" s="587" t="s">
        <v>59</v>
      </c>
      <c r="D399" s="588" t="s">
        <v>266</v>
      </c>
      <c r="E399" s="588" t="s">
        <v>136</v>
      </c>
      <c r="F399" s="578"/>
      <c r="G399" s="577">
        <v>124200</v>
      </c>
      <c r="H399" s="575">
        <v>5000</v>
      </c>
      <c r="I399" s="585">
        <v>45.45454545454546</v>
      </c>
      <c r="J399" s="44">
        <f>IF(Tabla1[[#This Row],[Number of vehicle]]="",0,(Tabla1[[#This Row],[Number of vehicle]]*Tabla1[[#This Row],[km travelled]])/Tabla1[[#This Row],[Fuel economy (km/L)]])</f>
        <v>13661999.999999998</v>
      </c>
      <c r="K399" s="44">
        <f>Tabla1[[#This Row],[Consumption (L)]]/$F$454</f>
        <v>9871.3872832369925</v>
      </c>
      <c r="L399" s="44">
        <f>Tabla1[[#This Row],[Consumption (ton)]]/1000</f>
        <v>9.8713872832369933</v>
      </c>
    </row>
    <row r="400" spans="2:12" x14ac:dyDescent="0.35">
      <c r="B400" s="587">
        <v>2016</v>
      </c>
      <c r="C400" s="587" t="s">
        <v>59</v>
      </c>
      <c r="D400" s="588" t="s">
        <v>266</v>
      </c>
      <c r="E400" s="588" t="s">
        <v>136</v>
      </c>
      <c r="F400" s="578"/>
      <c r="G400" s="577">
        <v>77572</v>
      </c>
      <c r="H400" s="575">
        <v>6000</v>
      </c>
      <c r="I400" s="585">
        <v>35.714285714285715</v>
      </c>
      <c r="J400" s="44">
        <f>IF(Tabla1[[#This Row],[Number of vehicle]]="",0,(Tabla1[[#This Row],[Number of vehicle]]*Tabla1[[#This Row],[km travelled]])/Tabla1[[#This Row],[Fuel economy (km/L)]])</f>
        <v>13032096</v>
      </c>
      <c r="K400" s="44">
        <f>Tabla1[[#This Row],[Consumption (L)]]/$F$454</f>
        <v>9416.2543352601151</v>
      </c>
      <c r="L400" s="44">
        <f>Tabla1[[#This Row],[Consumption (ton)]]/1000</f>
        <v>9.4162543352601151</v>
      </c>
    </row>
    <row r="401" spans="2:12" x14ac:dyDescent="0.35">
      <c r="B401" s="587">
        <v>2016</v>
      </c>
      <c r="C401" s="587" t="s">
        <v>59</v>
      </c>
      <c r="D401" s="588" t="s">
        <v>266</v>
      </c>
      <c r="E401" s="588" t="s">
        <v>136</v>
      </c>
      <c r="F401" s="578"/>
      <c r="G401" s="577">
        <v>8328</v>
      </c>
      <c r="H401" s="575">
        <v>7000</v>
      </c>
      <c r="I401" s="585">
        <v>26.315789473684212</v>
      </c>
      <c r="J401" s="44">
        <f>IF(Tabla1[[#This Row],[Number of vehicle]]="",0,(Tabla1[[#This Row],[Number of vehicle]]*Tabla1[[#This Row],[km travelled]])/Tabla1[[#This Row],[Fuel economy (km/L)]])</f>
        <v>2215248</v>
      </c>
      <c r="K401" s="44">
        <f>Tabla1[[#This Row],[Consumption (L)]]/$F$454</f>
        <v>1600.6127167630059</v>
      </c>
      <c r="L401" s="44">
        <f>Tabla1[[#This Row],[Consumption (ton)]]/1000</f>
        <v>1.600612716763006</v>
      </c>
    </row>
    <row r="402" spans="2:12" x14ac:dyDescent="0.35">
      <c r="B402" s="587">
        <v>2016</v>
      </c>
      <c r="C402" s="587" t="s">
        <v>60</v>
      </c>
      <c r="D402" s="588" t="s">
        <v>266</v>
      </c>
      <c r="E402" s="588" t="s">
        <v>136</v>
      </c>
      <c r="F402" s="578"/>
      <c r="G402" s="173">
        <v>670</v>
      </c>
      <c r="H402" s="575">
        <v>8000</v>
      </c>
      <c r="I402" s="585">
        <v>45.45454545454546</v>
      </c>
      <c r="J402" s="44">
        <f>IF(Tabla1[[#This Row],[Number of vehicle]]="",0,(Tabla1[[#This Row],[Number of vehicle]]*Tabla1[[#This Row],[km travelled]])/Tabla1[[#This Row],[Fuel economy (km/L)]])</f>
        <v>117919.99999999999</v>
      </c>
      <c r="K402" s="44">
        <f>Tabla1[[#This Row],[Consumption (L)]]/$F$454</f>
        <v>85.202312138728317</v>
      </c>
      <c r="L402" s="44">
        <f>Tabla1[[#This Row],[Consumption (ton)]]/1000</f>
        <v>8.5202312138728323E-2</v>
      </c>
    </row>
    <row r="403" spans="2:12" x14ac:dyDescent="0.35">
      <c r="B403" s="587">
        <v>2016</v>
      </c>
      <c r="C403" s="587" t="s">
        <v>60</v>
      </c>
      <c r="D403" s="588" t="s">
        <v>266</v>
      </c>
      <c r="E403" s="588" t="s">
        <v>136</v>
      </c>
      <c r="F403" s="578"/>
      <c r="G403" s="173">
        <v>6512</v>
      </c>
      <c r="H403" s="575">
        <v>9000</v>
      </c>
      <c r="I403" s="585">
        <v>35.714285714285715</v>
      </c>
      <c r="J403" s="44">
        <f>IF(Tabla1[[#This Row],[Number of vehicle]]="",0,(Tabla1[[#This Row],[Number of vehicle]]*Tabla1[[#This Row],[km travelled]])/Tabla1[[#This Row],[Fuel economy (km/L)]])</f>
        <v>1641024</v>
      </c>
      <c r="K403" s="44">
        <f>Tabla1[[#This Row],[Consumption (L)]]/$F$454</f>
        <v>1185.7109826589594</v>
      </c>
      <c r="L403" s="44">
        <f>Tabla1[[#This Row],[Consumption (ton)]]/1000</f>
        <v>1.1857109826589594</v>
      </c>
    </row>
    <row r="404" spans="2:12" x14ac:dyDescent="0.35">
      <c r="B404" s="587">
        <v>2016</v>
      </c>
      <c r="C404" s="587" t="s">
        <v>60</v>
      </c>
      <c r="D404" s="588" t="s">
        <v>266</v>
      </c>
      <c r="E404" s="588" t="s">
        <v>136</v>
      </c>
      <c r="F404" s="578"/>
      <c r="G404" s="173">
        <v>1512</v>
      </c>
      <c r="H404" s="575">
        <v>9000</v>
      </c>
      <c r="I404" s="585">
        <v>26.315789473684212</v>
      </c>
      <c r="J404" s="44">
        <f>IF(Tabla1[[#This Row],[Number of vehicle]]="",0,(Tabla1[[#This Row],[Number of vehicle]]*Tabla1[[#This Row],[km travelled]])/Tabla1[[#This Row],[Fuel economy (km/L)]])</f>
        <v>517103.99999999994</v>
      </c>
      <c r="K404" s="44">
        <f>Tabla1[[#This Row],[Consumption (L)]]/$F$454</f>
        <v>373.63005780346816</v>
      </c>
      <c r="L404" s="44">
        <f>Tabla1[[#This Row],[Consumption (ton)]]/1000</f>
        <v>0.37363005780346814</v>
      </c>
    </row>
    <row r="405" spans="2:12" x14ac:dyDescent="0.35">
      <c r="B405" s="587">
        <v>2014</v>
      </c>
      <c r="C405" s="587" t="s">
        <v>59</v>
      </c>
      <c r="D405" s="588" t="s">
        <v>508</v>
      </c>
      <c r="E405" s="588" t="s">
        <v>41</v>
      </c>
      <c r="F405" s="578" t="s">
        <v>505</v>
      </c>
      <c r="G405" s="577"/>
      <c r="H405" s="575">
        <v>28000</v>
      </c>
      <c r="I405" s="585">
        <v>15.5</v>
      </c>
      <c r="J405" s="44">
        <f>IF(Tabla1[[#This Row],[Number of vehicle]]="",0,(Tabla1[[#This Row],[Number of vehicle]]*Tabla1[[#This Row],[km travelled]])/Tabla1[[#This Row],[Fuel economy (km/L)]])</f>
        <v>0</v>
      </c>
      <c r="K405" s="44">
        <f>Tabla1[[#This Row],[Consumption (L)]]/$F$455</f>
        <v>0</v>
      </c>
      <c r="L405" s="44">
        <f>Tabla1[[#This Row],[Consumption (ton)]]/1000</f>
        <v>0</v>
      </c>
    </row>
    <row r="406" spans="2:12" x14ac:dyDescent="0.35">
      <c r="B406" s="587">
        <v>2014</v>
      </c>
      <c r="C406" s="587" t="s">
        <v>59</v>
      </c>
      <c r="D406" s="588" t="s">
        <v>508</v>
      </c>
      <c r="E406" s="588" t="s">
        <v>41</v>
      </c>
      <c r="F406" s="578" t="s">
        <v>507</v>
      </c>
      <c r="G406" s="577"/>
      <c r="H406" s="575">
        <v>28000</v>
      </c>
      <c r="I406" s="585">
        <v>15.5</v>
      </c>
      <c r="J406" s="44">
        <f>IF(Tabla1[[#This Row],[Number of vehicle]]="",0,(Tabla1[[#This Row],[Number of vehicle]]*Tabla1[[#This Row],[km travelled]])/Tabla1[[#This Row],[Fuel economy (km/L)]])</f>
        <v>0</v>
      </c>
      <c r="K406" s="44">
        <f>Tabla1[[#This Row],[Consumption (L)]]/$F$455</f>
        <v>0</v>
      </c>
      <c r="L406" s="44">
        <f>Tabla1[[#This Row],[Consumption (ton)]]/1000</f>
        <v>0</v>
      </c>
    </row>
    <row r="407" spans="2:12" x14ac:dyDescent="0.35">
      <c r="B407" s="587">
        <v>2014</v>
      </c>
      <c r="C407" s="587" t="s">
        <v>59</v>
      </c>
      <c r="D407" s="588" t="s">
        <v>508</v>
      </c>
      <c r="E407" s="588" t="s">
        <v>41</v>
      </c>
      <c r="F407" s="578" t="s">
        <v>505</v>
      </c>
      <c r="G407" s="577">
        <v>104</v>
      </c>
      <c r="H407" s="575">
        <v>28000</v>
      </c>
      <c r="I407" s="585">
        <v>15.2</v>
      </c>
      <c r="J407" s="44">
        <f>IF(Tabla1[[#This Row],[Number of vehicle]]="",0,(Tabla1[[#This Row],[Number of vehicle]]*Tabla1[[#This Row],[km travelled]])/Tabla1[[#This Row],[Fuel economy (km/L)]])</f>
        <v>191578.94736842107</v>
      </c>
      <c r="K407" s="44">
        <f>Tabla1[[#This Row],[Consumption (L)]]/$F$455</f>
        <v>163.18479332914913</v>
      </c>
      <c r="L407" s="44">
        <f>Tabla1[[#This Row],[Consumption (ton)]]/1000</f>
        <v>0.16318479332914912</v>
      </c>
    </row>
    <row r="408" spans="2:12" x14ac:dyDescent="0.35">
      <c r="B408" s="587">
        <v>2014</v>
      </c>
      <c r="C408" s="587" t="s">
        <v>59</v>
      </c>
      <c r="D408" s="588" t="s">
        <v>508</v>
      </c>
      <c r="E408" s="588" t="s">
        <v>41</v>
      </c>
      <c r="F408" s="578" t="s">
        <v>507</v>
      </c>
      <c r="G408" s="577">
        <v>5</v>
      </c>
      <c r="H408" s="575">
        <v>28000</v>
      </c>
      <c r="I408" s="585">
        <v>15.2</v>
      </c>
      <c r="J408" s="44">
        <f>IF(Tabla1[[#This Row],[Number of vehicle]]="",0,(Tabla1[[#This Row],[Number of vehicle]]*Tabla1[[#This Row],[km travelled]])/Tabla1[[#This Row],[Fuel economy (km/L)]])</f>
        <v>9210.5263157894733</v>
      </c>
      <c r="K408" s="44">
        <f>Tabla1[[#This Row],[Consumption (L)]]/$F$455</f>
        <v>7.845422756209091</v>
      </c>
      <c r="L408" s="44">
        <f>Tabla1[[#This Row],[Consumption (ton)]]/1000</f>
        <v>7.8454227562090913E-3</v>
      </c>
    </row>
    <row r="409" spans="2:12" x14ac:dyDescent="0.35">
      <c r="B409" s="587">
        <v>2014</v>
      </c>
      <c r="C409" s="587" t="s">
        <v>59</v>
      </c>
      <c r="D409" s="588" t="s">
        <v>508</v>
      </c>
      <c r="E409" s="588" t="s">
        <v>41</v>
      </c>
      <c r="F409" s="578" t="s">
        <v>505</v>
      </c>
      <c r="G409" s="577">
        <v>544</v>
      </c>
      <c r="H409" s="575">
        <v>28000</v>
      </c>
      <c r="I409" s="585">
        <v>12.7</v>
      </c>
      <c r="J409" s="44">
        <f>IF(Tabla1[[#This Row],[Number of vehicle]]="",0,(Tabla1[[#This Row],[Number of vehicle]]*Tabla1[[#This Row],[km travelled]])/Tabla1[[#This Row],[Fuel economy (km/L)]])</f>
        <v>1199370.0787401577</v>
      </c>
      <c r="K409" s="44">
        <f>Tabla1[[#This Row],[Consumption (L)]]/$F$455</f>
        <v>1021.609947819555</v>
      </c>
      <c r="L409" s="44">
        <f>Tabla1[[#This Row],[Consumption (ton)]]/1000</f>
        <v>1.0216099478195551</v>
      </c>
    </row>
    <row r="410" spans="2:12" x14ac:dyDescent="0.35">
      <c r="B410" s="587">
        <v>2014</v>
      </c>
      <c r="C410" s="587" t="s">
        <v>59</v>
      </c>
      <c r="D410" s="588" t="s">
        <v>508</v>
      </c>
      <c r="E410" s="588" t="s">
        <v>41</v>
      </c>
      <c r="F410" s="578" t="s">
        <v>507</v>
      </c>
      <c r="G410" s="577">
        <v>130</v>
      </c>
      <c r="H410" s="575">
        <v>28000</v>
      </c>
      <c r="I410" s="585">
        <v>12.7</v>
      </c>
      <c r="J410" s="44">
        <f>IF(Tabla1[[#This Row],[Number of vehicle]]="",0,(Tabla1[[#This Row],[Number of vehicle]]*Tabla1[[#This Row],[km travelled]])/Tabla1[[#This Row],[Fuel economy (km/L)]])</f>
        <v>286614.17322834645</v>
      </c>
      <c r="K410" s="44">
        <f>Tabla1[[#This Row],[Consumption (L)]]/$F$455</f>
        <v>244.13473017746716</v>
      </c>
      <c r="L410" s="44">
        <f>Tabla1[[#This Row],[Consumption (ton)]]/1000</f>
        <v>0.24413473017746717</v>
      </c>
    </row>
    <row r="411" spans="2:12" x14ac:dyDescent="0.35">
      <c r="B411" s="587">
        <v>2014</v>
      </c>
      <c r="C411" s="587" t="s">
        <v>59</v>
      </c>
      <c r="D411" s="588" t="s">
        <v>508</v>
      </c>
      <c r="E411" s="588" t="s">
        <v>41</v>
      </c>
      <c r="F411" s="578" t="s">
        <v>505</v>
      </c>
      <c r="G411" s="577">
        <f>1163-7</f>
        <v>1156</v>
      </c>
      <c r="H411" s="575">
        <v>28000</v>
      </c>
      <c r="I411" s="585">
        <v>11.1</v>
      </c>
      <c r="J411" s="44">
        <f>IF(Tabla1[[#This Row],[Number of vehicle]]="",0,(Tabla1[[#This Row],[Number of vehicle]]*Tabla1[[#This Row],[km travelled]])/Tabla1[[#This Row],[Fuel economy (km/L)]])</f>
        <v>2916036.036036036</v>
      </c>
      <c r="K411" s="44">
        <f>Tabla1[[#This Row],[Consumption (L)]]/$F$455</f>
        <v>2483.8467087189401</v>
      </c>
      <c r="L411" s="44">
        <f>Tabla1[[#This Row],[Consumption (ton)]]/1000</f>
        <v>2.4838467087189402</v>
      </c>
    </row>
    <row r="412" spans="2:12" x14ac:dyDescent="0.35">
      <c r="B412" s="587">
        <v>2014</v>
      </c>
      <c r="C412" s="587" t="s">
        <v>59</v>
      </c>
      <c r="D412" s="588" t="s">
        <v>508</v>
      </c>
      <c r="E412" s="588" t="s">
        <v>41</v>
      </c>
      <c r="F412" s="578" t="s">
        <v>507</v>
      </c>
      <c r="G412" s="577">
        <v>131</v>
      </c>
      <c r="H412" s="575">
        <v>28000</v>
      </c>
      <c r="I412" s="585">
        <v>11.1</v>
      </c>
      <c r="J412" s="44">
        <f>IF(Tabla1[[#This Row],[Number of vehicle]]="",0,(Tabla1[[#This Row],[Number of vehicle]]*Tabla1[[#This Row],[km travelled]])/Tabla1[[#This Row],[Fuel economy (km/L)]])</f>
        <v>330450.45045045047</v>
      </c>
      <c r="K412" s="44">
        <f>Tabla1[[#This Row],[Consumption (L)]]/$F$455</f>
        <v>281.47397823718097</v>
      </c>
      <c r="L412" s="44">
        <f>Tabla1[[#This Row],[Consumption (ton)]]/1000</f>
        <v>0.28147397823718096</v>
      </c>
    </row>
    <row r="413" spans="2:12" x14ac:dyDescent="0.35">
      <c r="B413" s="587">
        <v>2014</v>
      </c>
      <c r="C413" s="587" t="s">
        <v>59</v>
      </c>
      <c r="D413" s="588" t="s">
        <v>508</v>
      </c>
      <c r="E413" s="588" t="s">
        <v>136</v>
      </c>
      <c r="F413" s="578" t="s">
        <v>505</v>
      </c>
      <c r="G413" s="577"/>
      <c r="H413" s="575">
        <v>20000</v>
      </c>
      <c r="I413" s="585">
        <v>16.5</v>
      </c>
      <c r="J413" s="44">
        <f>IF(Tabla1[[#This Row],[Number of vehicle]]="",0,(Tabla1[[#This Row],[Number of vehicle]]*Tabla1[[#This Row],[km travelled]])/Tabla1[[#This Row],[Fuel economy (km/L)]])</f>
        <v>0</v>
      </c>
      <c r="K413" s="44">
        <f>Tabla1[[#This Row],[Consumption (L)]]/$F$454</f>
        <v>0</v>
      </c>
      <c r="L413" s="44">
        <f>Tabla1[[#This Row],[Consumption (ton)]]/1000</f>
        <v>0</v>
      </c>
    </row>
    <row r="414" spans="2:12" x14ac:dyDescent="0.35">
      <c r="B414" s="587">
        <v>2014</v>
      </c>
      <c r="C414" s="587" t="s">
        <v>59</v>
      </c>
      <c r="D414" s="588" t="s">
        <v>508</v>
      </c>
      <c r="E414" s="588" t="s">
        <v>136</v>
      </c>
      <c r="F414" s="578" t="s">
        <v>507</v>
      </c>
      <c r="G414" s="577"/>
      <c r="H414" s="575">
        <v>20000</v>
      </c>
      <c r="I414" s="585">
        <v>16.5</v>
      </c>
      <c r="J414" s="44">
        <f>IF(Tabla1[[#This Row],[Number of vehicle]]="",0,(Tabla1[[#This Row],[Number of vehicle]]*Tabla1[[#This Row],[km travelled]])/Tabla1[[#This Row],[Fuel economy (km/L)]])</f>
        <v>0</v>
      </c>
      <c r="K414" s="44">
        <f>Tabla1[[#This Row],[Consumption (L)]]/$F$454</f>
        <v>0</v>
      </c>
      <c r="L414" s="44">
        <f>Tabla1[[#This Row],[Consumption (ton)]]/1000</f>
        <v>0</v>
      </c>
    </row>
    <row r="415" spans="2:12" x14ac:dyDescent="0.35">
      <c r="B415" s="587">
        <v>2014</v>
      </c>
      <c r="C415" s="587" t="s">
        <v>59</v>
      </c>
      <c r="D415" s="588" t="s">
        <v>508</v>
      </c>
      <c r="E415" s="588" t="s">
        <v>136</v>
      </c>
      <c r="F415" s="578" t="s">
        <v>505</v>
      </c>
      <c r="G415" s="577">
        <f>2365-5</f>
        <v>2360</v>
      </c>
      <c r="H415" s="575">
        <v>20000</v>
      </c>
      <c r="I415" s="585">
        <v>14.1</v>
      </c>
      <c r="J415" s="44">
        <f>IF(Tabla1[[#This Row],[Number of vehicle]]="",0,(Tabla1[[#This Row],[Number of vehicle]]*Tabla1[[#This Row],[km travelled]])/Tabla1[[#This Row],[Fuel economy (km/L)]])</f>
        <v>3347517.7304964541</v>
      </c>
      <c r="K415" s="44">
        <f>Tabla1[[#This Row],[Consumption (L)]]/$F$454</f>
        <v>2418.7266838847213</v>
      </c>
      <c r="L415" s="44">
        <f>Tabla1[[#This Row],[Consumption (ton)]]/1000</f>
        <v>2.4187266838847212</v>
      </c>
    </row>
    <row r="416" spans="2:12" x14ac:dyDescent="0.35">
      <c r="B416" s="587">
        <v>2014</v>
      </c>
      <c r="C416" s="587" t="s">
        <v>59</v>
      </c>
      <c r="D416" s="588" t="s">
        <v>508</v>
      </c>
      <c r="E416" s="588" t="s">
        <v>136</v>
      </c>
      <c r="F416" s="578" t="s">
        <v>507</v>
      </c>
      <c r="G416" s="577">
        <v>787</v>
      </c>
      <c r="H416" s="575">
        <v>20000</v>
      </c>
      <c r="I416" s="585">
        <v>14.1</v>
      </c>
      <c r="J416" s="44">
        <f>IF(Tabla1[[#This Row],[Number of vehicle]]="",0,(Tabla1[[#This Row],[Number of vehicle]]*Tabla1[[#This Row],[km travelled]])/Tabla1[[#This Row],[Fuel economy (km/L)]])</f>
        <v>1116312.0567375887</v>
      </c>
      <c r="K416" s="44">
        <f>Tabla1[[#This Row],[Consumption (L)]]/$F$454</f>
        <v>806.58385602426927</v>
      </c>
      <c r="L416" s="44">
        <f>Tabla1[[#This Row],[Consumption (ton)]]/1000</f>
        <v>0.8065838560242693</v>
      </c>
    </row>
    <row r="417" spans="2:12" x14ac:dyDescent="0.35">
      <c r="B417" s="587">
        <v>2014</v>
      </c>
      <c r="C417" s="587" t="s">
        <v>59</v>
      </c>
      <c r="D417" s="588" t="s">
        <v>508</v>
      </c>
      <c r="E417" s="588" t="s">
        <v>136</v>
      </c>
      <c r="F417" s="578" t="s">
        <v>505</v>
      </c>
      <c r="G417" s="577">
        <f>1090-2</f>
        <v>1088</v>
      </c>
      <c r="H417" s="575">
        <v>20000</v>
      </c>
      <c r="I417" s="585">
        <v>11.2</v>
      </c>
      <c r="J417" s="44">
        <f>IF(Tabla1[[#This Row],[Number of vehicle]]="",0,(Tabla1[[#This Row],[Number of vehicle]]*Tabla1[[#This Row],[km travelled]])/Tabla1[[#This Row],[Fuel economy (km/L)]])</f>
        <v>1942857.142857143</v>
      </c>
      <c r="K417" s="44">
        <f>Tabla1[[#This Row],[Consumption (L)]]/$F$454</f>
        <v>1403.7985136251034</v>
      </c>
      <c r="L417" s="44">
        <f>Tabla1[[#This Row],[Consumption (ton)]]/1000</f>
        <v>1.4037985136251034</v>
      </c>
    </row>
    <row r="418" spans="2:12" x14ac:dyDescent="0.35">
      <c r="B418" s="587">
        <v>2014</v>
      </c>
      <c r="C418" s="587" t="s">
        <v>59</v>
      </c>
      <c r="D418" s="588" t="s">
        <v>508</v>
      </c>
      <c r="E418" s="588" t="s">
        <v>136</v>
      </c>
      <c r="F418" s="578" t="s">
        <v>507</v>
      </c>
      <c r="G418" s="577">
        <v>363</v>
      </c>
      <c r="H418" s="575">
        <v>20000</v>
      </c>
      <c r="I418" s="585">
        <v>11.2</v>
      </c>
      <c r="J418" s="44">
        <f>IF(Tabla1[[#This Row],[Number of vehicle]]="",0,(Tabla1[[#This Row],[Number of vehicle]]*Tabla1[[#This Row],[km travelled]])/Tabla1[[#This Row],[Fuel economy (km/L)]])</f>
        <v>648214.2857142858</v>
      </c>
      <c r="K418" s="44">
        <f>Tabla1[[#This Row],[Consumption (L)]]/$F$454</f>
        <v>468.3629232039637</v>
      </c>
      <c r="L418" s="44">
        <f>Tabla1[[#This Row],[Consumption (ton)]]/1000</f>
        <v>0.46836292320396372</v>
      </c>
    </row>
    <row r="419" spans="2:12" x14ac:dyDescent="0.35">
      <c r="B419" s="587">
        <v>2014</v>
      </c>
      <c r="C419" s="587" t="s">
        <v>59</v>
      </c>
      <c r="D419" s="588" t="s">
        <v>508</v>
      </c>
      <c r="E419" s="588" t="s">
        <v>136</v>
      </c>
      <c r="F419" s="578" t="s">
        <v>505</v>
      </c>
      <c r="G419" s="577">
        <v>182</v>
      </c>
      <c r="H419" s="575">
        <v>20000</v>
      </c>
      <c r="I419" s="585">
        <v>7.9</v>
      </c>
      <c r="J419" s="44">
        <f>IF(Tabla1[[#This Row],[Number of vehicle]]="",0,(Tabla1[[#This Row],[Number of vehicle]]*Tabla1[[#This Row],[km travelled]])/Tabla1[[#This Row],[Fuel economy (km/L)]])</f>
        <v>460759.49367088603</v>
      </c>
      <c r="K419" s="44">
        <f>Tabla1[[#This Row],[Consumption (L)]]/$F$454</f>
        <v>332.91870929977313</v>
      </c>
      <c r="L419" s="44">
        <f>Tabla1[[#This Row],[Consumption (ton)]]/1000</f>
        <v>0.33291870929977313</v>
      </c>
    </row>
    <row r="420" spans="2:12" x14ac:dyDescent="0.35">
      <c r="B420" s="587">
        <v>2014</v>
      </c>
      <c r="C420" s="587" t="s">
        <v>59</v>
      </c>
      <c r="D420" s="588" t="s">
        <v>508</v>
      </c>
      <c r="E420" s="588" t="s">
        <v>136</v>
      </c>
      <c r="F420" s="578" t="s">
        <v>507</v>
      </c>
      <c r="G420" s="577">
        <v>61</v>
      </c>
      <c r="H420" s="575">
        <v>20000</v>
      </c>
      <c r="I420" s="585">
        <v>7.9</v>
      </c>
      <c r="J420" s="44">
        <f>IF(Tabla1[[#This Row],[Number of vehicle]]="",0,(Tabla1[[#This Row],[Number of vehicle]]*Tabla1[[#This Row],[km travelled]])/Tabla1[[#This Row],[Fuel economy (km/L)]])</f>
        <v>154430.37974683545</v>
      </c>
      <c r="K420" s="44">
        <f>Tabla1[[#This Row],[Consumption (L)]]/$F$454</f>
        <v>111.58264432574815</v>
      </c>
      <c r="L420" s="44">
        <f>Tabla1[[#This Row],[Consumption (ton)]]/1000</f>
        <v>0.11158264432574815</v>
      </c>
    </row>
    <row r="421" spans="2:12" x14ac:dyDescent="0.35">
      <c r="B421" s="587">
        <v>2015</v>
      </c>
      <c r="C421" s="587" t="s">
        <v>59</v>
      </c>
      <c r="D421" s="588" t="s">
        <v>508</v>
      </c>
      <c r="E421" s="588" t="s">
        <v>41</v>
      </c>
      <c r="F421" s="578" t="s">
        <v>505</v>
      </c>
      <c r="G421" s="577"/>
      <c r="H421" s="575">
        <v>28000</v>
      </c>
      <c r="I421" s="585">
        <v>15.5</v>
      </c>
      <c r="J421" s="44">
        <f>IF(Tabla1[[#This Row],[Number of vehicle]]="",0,(Tabla1[[#This Row],[Number of vehicle]]*Tabla1[[#This Row],[km travelled]])/Tabla1[[#This Row],[Fuel economy (km/L)]])</f>
        <v>0</v>
      </c>
      <c r="K421" s="44">
        <f>Tabla1[[#This Row],[Consumption (L)]]/$F$455</f>
        <v>0</v>
      </c>
      <c r="L421" s="44">
        <f>Tabla1[[#This Row],[Consumption (ton)]]/1000</f>
        <v>0</v>
      </c>
    </row>
    <row r="422" spans="2:12" x14ac:dyDescent="0.35">
      <c r="B422" s="587">
        <v>2015</v>
      </c>
      <c r="C422" s="587" t="s">
        <v>59</v>
      </c>
      <c r="D422" s="588" t="s">
        <v>508</v>
      </c>
      <c r="E422" s="588" t="s">
        <v>41</v>
      </c>
      <c r="F422" s="578" t="s">
        <v>507</v>
      </c>
      <c r="G422" s="577"/>
      <c r="H422" s="575">
        <v>28000</v>
      </c>
      <c r="I422" s="585">
        <v>15.5</v>
      </c>
      <c r="J422" s="44">
        <f>IF(Tabla1[[#This Row],[Number of vehicle]]="",0,(Tabla1[[#This Row],[Number of vehicle]]*Tabla1[[#This Row],[km travelled]])/Tabla1[[#This Row],[Fuel economy (km/L)]])</f>
        <v>0</v>
      </c>
      <c r="K422" s="44">
        <f>Tabla1[[#This Row],[Consumption (L)]]/$F$455</f>
        <v>0</v>
      </c>
      <c r="L422" s="44">
        <f>Tabla1[[#This Row],[Consumption (ton)]]/1000</f>
        <v>0</v>
      </c>
    </row>
    <row r="423" spans="2:12" x14ac:dyDescent="0.35">
      <c r="B423" s="587">
        <v>2015</v>
      </c>
      <c r="C423" s="587" t="s">
        <v>59</v>
      </c>
      <c r="D423" s="588" t="s">
        <v>508</v>
      </c>
      <c r="E423" s="588" t="s">
        <v>41</v>
      </c>
      <c r="F423" s="578" t="s">
        <v>505</v>
      </c>
      <c r="G423" s="577">
        <v>100</v>
      </c>
      <c r="H423" s="575">
        <v>28000</v>
      </c>
      <c r="I423" s="585">
        <v>15.2</v>
      </c>
      <c r="J423" s="44">
        <f>IF(Tabla1[[#This Row],[Number of vehicle]]="",0,(Tabla1[[#This Row],[Number of vehicle]]*Tabla1[[#This Row],[km travelled]])/Tabla1[[#This Row],[Fuel economy (km/L)]])</f>
        <v>184210.5263157895</v>
      </c>
      <c r="K423" s="44">
        <f>Tabla1[[#This Row],[Consumption (L)]]/$F$455</f>
        <v>156.90845512418184</v>
      </c>
      <c r="L423" s="44">
        <f>Tabla1[[#This Row],[Consumption (ton)]]/1000</f>
        <v>0.15690845512418183</v>
      </c>
    </row>
    <row r="424" spans="2:12" x14ac:dyDescent="0.35">
      <c r="B424" s="587">
        <v>2015</v>
      </c>
      <c r="C424" s="587" t="s">
        <v>59</v>
      </c>
      <c r="D424" s="588" t="s">
        <v>508</v>
      </c>
      <c r="E424" s="588" t="s">
        <v>41</v>
      </c>
      <c r="F424" s="578" t="s">
        <v>507</v>
      </c>
      <c r="G424" s="577">
        <v>7</v>
      </c>
      <c r="H424" s="575">
        <v>28000</v>
      </c>
      <c r="I424" s="585">
        <v>15.2</v>
      </c>
      <c r="J424" s="44">
        <f>IF(Tabla1[[#This Row],[Number of vehicle]]="",0,(Tabla1[[#This Row],[Number of vehicle]]*Tabla1[[#This Row],[km travelled]])/Tabla1[[#This Row],[Fuel economy (km/L)]])</f>
        <v>12894.736842105263</v>
      </c>
      <c r="K424" s="44">
        <f>Tabla1[[#This Row],[Consumption (L)]]/$F$455</f>
        <v>10.983591858692728</v>
      </c>
      <c r="L424" s="44">
        <f>Tabla1[[#This Row],[Consumption (ton)]]/1000</f>
        <v>1.0983591858692729E-2</v>
      </c>
    </row>
    <row r="425" spans="2:12" x14ac:dyDescent="0.35">
      <c r="B425" s="587">
        <v>2015</v>
      </c>
      <c r="C425" s="587" t="s">
        <v>59</v>
      </c>
      <c r="D425" s="588" t="s">
        <v>508</v>
      </c>
      <c r="E425" s="588" t="s">
        <v>41</v>
      </c>
      <c r="F425" s="578" t="s">
        <v>505</v>
      </c>
      <c r="G425" s="577">
        <f>545-15</f>
        <v>530</v>
      </c>
      <c r="H425" s="575">
        <v>28000</v>
      </c>
      <c r="I425" s="585">
        <v>12.7</v>
      </c>
      <c r="J425" s="44">
        <f>IF(Tabla1[[#This Row],[Number of vehicle]]="",0,(Tabla1[[#This Row],[Number of vehicle]]*Tabla1[[#This Row],[km travelled]])/Tabla1[[#This Row],[Fuel economy (km/L)]])</f>
        <v>1168503.937007874</v>
      </c>
      <c r="K425" s="44">
        <f>Tabla1[[#This Row],[Consumption (L)]]/$F$455</f>
        <v>995.3185153389046</v>
      </c>
      <c r="L425" s="44">
        <f>Tabla1[[#This Row],[Consumption (ton)]]/1000</f>
        <v>0.99531851533890459</v>
      </c>
    </row>
    <row r="426" spans="2:12" x14ac:dyDescent="0.35">
      <c r="B426" s="587">
        <v>2015</v>
      </c>
      <c r="C426" s="587" t="s">
        <v>59</v>
      </c>
      <c r="D426" s="588" t="s">
        <v>508</v>
      </c>
      <c r="E426" s="588" t="s">
        <v>41</v>
      </c>
      <c r="F426" s="578" t="s">
        <v>507</v>
      </c>
      <c r="G426" s="577">
        <v>129</v>
      </c>
      <c r="H426" s="575">
        <v>28000</v>
      </c>
      <c r="I426" s="585">
        <v>12.7</v>
      </c>
      <c r="J426" s="44">
        <f>IF(Tabla1[[#This Row],[Number of vehicle]]="",0,(Tabla1[[#This Row],[Number of vehicle]]*Tabla1[[#This Row],[km travelled]])/Tabla1[[#This Row],[Fuel economy (km/L)]])</f>
        <v>284409.44881889765</v>
      </c>
      <c r="K426" s="44">
        <f>Tabla1[[#This Row],[Consumption (L)]]/$F$455</f>
        <v>242.2567707145636</v>
      </c>
      <c r="L426" s="44">
        <f>Tabla1[[#This Row],[Consumption (ton)]]/1000</f>
        <v>0.24225677071456361</v>
      </c>
    </row>
    <row r="427" spans="2:12" x14ac:dyDescent="0.35">
      <c r="B427" s="587">
        <v>2015</v>
      </c>
      <c r="C427" s="587" t="s">
        <v>59</v>
      </c>
      <c r="D427" s="588" t="s">
        <v>508</v>
      </c>
      <c r="E427" s="588" t="s">
        <v>41</v>
      </c>
      <c r="F427" s="578" t="s">
        <v>505</v>
      </c>
      <c r="G427" s="577">
        <v>1155</v>
      </c>
      <c r="H427" s="575">
        <v>28000</v>
      </c>
      <c r="I427" s="585">
        <v>11.1</v>
      </c>
      <c r="J427" s="44">
        <f>IF(Tabla1[[#This Row],[Number of vehicle]]="",0,(Tabla1[[#This Row],[Number of vehicle]]*Tabla1[[#This Row],[km travelled]])/Tabla1[[#This Row],[Fuel economy (km/L)]])</f>
        <v>2913513.5135135134</v>
      </c>
      <c r="K427" s="44">
        <f>Tabla1[[#This Row],[Consumption (L)]]/$F$455</f>
        <v>2481.698052396519</v>
      </c>
      <c r="L427" s="44">
        <f>Tabla1[[#This Row],[Consumption (ton)]]/1000</f>
        <v>2.4816980523965189</v>
      </c>
    </row>
    <row r="428" spans="2:12" x14ac:dyDescent="0.35">
      <c r="B428" s="587">
        <v>2015</v>
      </c>
      <c r="C428" s="587" t="s">
        <v>59</v>
      </c>
      <c r="D428" s="588" t="s">
        <v>508</v>
      </c>
      <c r="E428" s="588" t="s">
        <v>41</v>
      </c>
      <c r="F428" s="578" t="s">
        <v>507</v>
      </c>
      <c r="G428" s="577">
        <v>130</v>
      </c>
      <c r="H428" s="575">
        <v>28000</v>
      </c>
      <c r="I428" s="585">
        <v>11.1</v>
      </c>
      <c r="J428" s="44">
        <f>IF(Tabla1[[#This Row],[Number of vehicle]]="",0,(Tabla1[[#This Row],[Number of vehicle]]*Tabla1[[#This Row],[km travelled]])/Tabla1[[#This Row],[Fuel economy (km/L)]])</f>
        <v>327927.92792792793</v>
      </c>
      <c r="K428" s="44">
        <f>Tabla1[[#This Row],[Consumption (L)]]/$F$455</f>
        <v>279.32532191475974</v>
      </c>
      <c r="L428" s="44">
        <f>Tabla1[[#This Row],[Consumption (ton)]]/1000</f>
        <v>0.27932532191475973</v>
      </c>
    </row>
    <row r="429" spans="2:12" x14ac:dyDescent="0.35">
      <c r="B429" s="587">
        <v>2015</v>
      </c>
      <c r="C429" s="587" t="s">
        <v>59</v>
      </c>
      <c r="D429" s="588" t="s">
        <v>508</v>
      </c>
      <c r="E429" s="588" t="s">
        <v>136</v>
      </c>
      <c r="F429" s="578" t="s">
        <v>505</v>
      </c>
      <c r="G429" s="577"/>
      <c r="H429" s="575">
        <v>23000</v>
      </c>
      <c r="I429" s="585">
        <v>16.5</v>
      </c>
      <c r="J429" s="44">
        <f>IF(Tabla1[[#This Row],[Number of vehicle]]="",0,(Tabla1[[#This Row],[Number of vehicle]]*Tabla1[[#This Row],[km travelled]])/Tabla1[[#This Row],[Fuel economy (km/L)]])</f>
        <v>0</v>
      </c>
      <c r="K429" s="44">
        <f>Tabla1[[#This Row],[Consumption (L)]]/$F$454</f>
        <v>0</v>
      </c>
      <c r="L429" s="44">
        <f>Tabla1[[#This Row],[Consumption (ton)]]/1000</f>
        <v>0</v>
      </c>
    </row>
    <row r="430" spans="2:12" x14ac:dyDescent="0.35">
      <c r="B430" s="587">
        <v>2015</v>
      </c>
      <c r="C430" s="587" t="s">
        <v>59</v>
      </c>
      <c r="D430" s="588" t="s">
        <v>508</v>
      </c>
      <c r="E430" s="588" t="s">
        <v>136</v>
      </c>
      <c r="F430" s="578" t="s">
        <v>507</v>
      </c>
      <c r="G430" s="577"/>
      <c r="H430" s="575">
        <v>23000</v>
      </c>
      <c r="I430" s="585">
        <v>16.5</v>
      </c>
      <c r="J430" s="44">
        <f>IF(Tabla1[[#This Row],[Number of vehicle]]="",0,(Tabla1[[#This Row],[Number of vehicle]]*Tabla1[[#This Row],[km travelled]])/Tabla1[[#This Row],[Fuel economy (km/L)]])</f>
        <v>0</v>
      </c>
      <c r="K430" s="44">
        <f>Tabla1[[#This Row],[Consumption (L)]]/$F$454</f>
        <v>0</v>
      </c>
      <c r="L430" s="44">
        <f>Tabla1[[#This Row],[Consumption (ton)]]/1000</f>
        <v>0</v>
      </c>
    </row>
    <row r="431" spans="2:12" x14ac:dyDescent="0.35">
      <c r="B431" s="587">
        <v>2015</v>
      </c>
      <c r="C431" s="587" t="s">
        <v>59</v>
      </c>
      <c r="D431" s="588" t="s">
        <v>508</v>
      </c>
      <c r="E431" s="588" t="s">
        <v>136</v>
      </c>
      <c r="F431" s="578" t="s">
        <v>505</v>
      </c>
      <c r="G431" s="577">
        <v>2370</v>
      </c>
      <c r="H431" s="575">
        <v>23000</v>
      </c>
      <c r="I431" s="585">
        <v>14.1</v>
      </c>
      <c r="J431" s="44">
        <f>IF(Tabla1[[#This Row],[Number of vehicle]]="",0,(Tabla1[[#This Row],[Number of vehicle]]*Tabla1[[#This Row],[km travelled]])/Tabla1[[#This Row],[Fuel economy (km/L)]])</f>
        <v>3865957.4468085109</v>
      </c>
      <c r="K431" s="44">
        <f>Tabla1[[#This Row],[Consumption (L)]]/$F$454</f>
        <v>2793.321854630427</v>
      </c>
      <c r="L431" s="44">
        <f>Tabla1[[#This Row],[Consumption (ton)]]/1000</f>
        <v>2.793321854630427</v>
      </c>
    </row>
    <row r="432" spans="2:12" x14ac:dyDescent="0.35">
      <c r="B432" s="587">
        <v>2015</v>
      </c>
      <c r="C432" s="587" t="s">
        <v>59</v>
      </c>
      <c r="D432" s="588" t="s">
        <v>508</v>
      </c>
      <c r="E432" s="588" t="s">
        <v>136</v>
      </c>
      <c r="F432" s="578" t="s">
        <v>507</v>
      </c>
      <c r="G432" s="577">
        <v>790</v>
      </c>
      <c r="H432" s="575">
        <v>23000</v>
      </c>
      <c r="I432" s="585">
        <v>14.1</v>
      </c>
      <c r="J432" s="44">
        <f>IF(Tabla1[[#This Row],[Number of vehicle]]="",0,(Tabla1[[#This Row],[Number of vehicle]]*Tabla1[[#This Row],[km travelled]])/Tabla1[[#This Row],[Fuel economy (km/L)]])</f>
        <v>1288652.4822695036</v>
      </c>
      <c r="K432" s="44">
        <f>Tabla1[[#This Row],[Consumption (L)]]/$F$454</f>
        <v>931.10728487680899</v>
      </c>
      <c r="L432" s="44">
        <f>Tabla1[[#This Row],[Consumption (ton)]]/1000</f>
        <v>0.93110728487680894</v>
      </c>
    </row>
    <row r="433" spans="2:12" x14ac:dyDescent="0.35">
      <c r="B433" s="587">
        <v>2015</v>
      </c>
      <c r="C433" s="587" t="s">
        <v>59</v>
      </c>
      <c r="D433" s="588" t="s">
        <v>508</v>
      </c>
      <c r="E433" s="588" t="s">
        <v>136</v>
      </c>
      <c r="F433" s="578" t="s">
        <v>505</v>
      </c>
      <c r="G433" s="577">
        <v>1087</v>
      </c>
      <c r="H433" s="575">
        <v>23000</v>
      </c>
      <c r="I433" s="585">
        <v>11.2</v>
      </c>
      <c r="J433" s="44">
        <f>IF(Tabla1[[#This Row],[Number of vehicle]]="",0,(Tabla1[[#This Row],[Number of vehicle]]*Tabla1[[#This Row],[km travelled]])/Tabla1[[#This Row],[Fuel economy (km/L)]])</f>
        <v>2232232.1428571432</v>
      </c>
      <c r="K433" s="44">
        <f>Tabla1[[#This Row],[Consumption (L)]]/$F$454</f>
        <v>1612.8844962840631</v>
      </c>
      <c r="L433" s="44">
        <f>Tabla1[[#This Row],[Consumption (ton)]]/1000</f>
        <v>1.6128844962840632</v>
      </c>
    </row>
    <row r="434" spans="2:12" x14ac:dyDescent="0.35">
      <c r="B434" s="587">
        <v>2015</v>
      </c>
      <c r="C434" s="587" t="s">
        <v>59</v>
      </c>
      <c r="D434" s="588" t="s">
        <v>508</v>
      </c>
      <c r="E434" s="588" t="s">
        <v>136</v>
      </c>
      <c r="F434" s="578" t="s">
        <v>507</v>
      </c>
      <c r="G434" s="577">
        <v>365</v>
      </c>
      <c r="H434" s="575">
        <v>23000</v>
      </c>
      <c r="I434" s="585">
        <v>11.2</v>
      </c>
      <c r="J434" s="44">
        <f>IF(Tabla1[[#This Row],[Number of vehicle]]="",0,(Tabla1[[#This Row],[Number of vehicle]]*Tabla1[[#This Row],[km travelled]])/Tabla1[[#This Row],[Fuel economy (km/L)]])</f>
        <v>749553.57142857148</v>
      </c>
      <c r="K434" s="44">
        <f>Tabla1[[#This Row],[Consumption (L)]]/$F$454</f>
        <v>541.5849504541701</v>
      </c>
      <c r="L434" s="44">
        <f>Tabla1[[#This Row],[Consumption (ton)]]/1000</f>
        <v>0.5415849504541701</v>
      </c>
    </row>
    <row r="435" spans="2:12" x14ac:dyDescent="0.35">
      <c r="B435" s="587">
        <v>2015</v>
      </c>
      <c r="C435" s="587" t="s">
        <v>59</v>
      </c>
      <c r="D435" s="588" t="s">
        <v>508</v>
      </c>
      <c r="E435" s="588" t="s">
        <v>136</v>
      </c>
      <c r="F435" s="578" t="s">
        <v>505</v>
      </c>
      <c r="G435" s="577">
        <v>181</v>
      </c>
      <c r="H435" s="575">
        <v>23000</v>
      </c>
      <c r="I435" s="585">
        <v>7.9</v>
      </c>
      <c r="J435" s="44">
        <f>IF(Tabla1[[#This Row],[Number of vehicle]]="",0,(Tabla1[[#This Row],[Number of vehicle]]*Tabla1[[#This Row],[km travelled]])/Tabla1[[#This Row],[Fuel economy (km/L)]])</f>
        <v>526962.02531645563</v>
      </c>
      <c r="K435" s="44">
        <f>Tabla1[[#This Row],[Consumption (L)]]/$F$454</f>
        <v>380.75290846564712</v>
      </c>
      <c r="L435" s="44">
        <f>Tabla1[[#This Row],[Consumption (ton)]]/1000</f>
        <v>0.38075290846564713</v>
      </c>
    </row>
    <row r="436" spans="2:12" x14ac:dyDescent="0.35">
      <c r="B436" s="587">
        <v>2015</v>
      </c>
      <c r="C436" s="587" t="s">
        <v>59</v>
      </c>
      <c r="D436" s="588" t="s">
        <v>508</v>
      </c>
      <c r="E436" s="588" t="s">
        <v>136</v>
      </c>
      <c r="F436" s="578" t="s">
        <v>507</v>
      </c>
      <c r="G436" s="577">
        <v>63</v>
      </c>
      <c r="H436" s="575">
        <v>23000</v>
      </c>
      <c r="I436" s="585">
        <v>7.9</v>
      </c>
      <c r="J436" s="44">
        <f>IF(Tabla1[[#This Row],[Number of vehicle]]="",0,(Tabla1[[#This Row],[Number of vehicle]]*Tabla1[[#This Row],[km travelled]])/Tabla1[[#This Row],[Fuel economy (km/L)]])</f>
        <v>183417.72151898732</v>
      </c>
      <c r="K436" s="44">
        <f>Tabla1[[#This Row],[Consumption (L)]]/$F$454</f>
        <v>132.52725543279431</v>
      </c>
      <c r="L436" s="44">
        <f>Tabla1[[#This Row],[Consumption (ton)]]/1000</f>
        <v>0.13252725543279431</v>
      </c>
    </row>
    <row r="437" spans="2:12" x14ac:dyDescent="0.35">
      <c r="B437" s="587">
        <v>2016</v>
      </c>
      <c r="C437" s="587" t="s">
        <v>59</v>
      </c>
      <c r="D437" s="588" t="s">
        <v>508</v>
      </c>
      <c r="E437" s="588" t="s">
        <v>41</v>
      </c>
      <c r="F437" s="578" t="s">
        <v>505</v>
      </c>
      <c r="G437" s="577"/>
      <c r="H437" s="575">
        <v>28000</v>
      </c>
      <c r="I437" s="585">
        <v>15.5</v>
      </c>
      <c r="J437" s="44">
        <f>IF(Tabla1[[#This Row],[Number of vehicle]]="",0,(Tabla1[[#This Row],[Number of vehicle]]*Tabla1[[#This Row],[km travelled]])/Tabla1[[#This Row],[Fuel economy (km/L)]])</f>
        <v>0</v>
      </c>
      <c r="K437" s="44">
        <f>Tabla1[[#This Row],[Consumption (L)]]/$F$455</f>
        <v>0</v>
      </c>
      <c r="L437" s="44">
        <f>Tabla1[[#This Row],[Consumption (ton)]]/1000</f>
        <v>0</v>
      </c>
    </row>
    <row r="438" spans="2:12" x14ac:dyDescent="0.35">
      <c r="B438" s="587">
        <v>2016</v>
      </c>
      <c r="C438" s="587" t="s">
        <v>59</v>
      </c>
      <c r="D438" s="588" t="s">
        <v>508</v>
      </c>
      <c r="E438" s="588" t="s">
        <v>41</v>
      </c>
      <c r="F438" s="578" t="s">
        <v>507</v>
      </c>
      <c r="G438" s="577"/>
      <c r="H438" s="575">
        <v>28000</v>
      </c>
      <c r="I438" s="585">
        <v>15.5</v>
      </c>
      <c r="J438" s="44">
        <f>IF(Tabla1[[#This Row],[Number of vehicle]]="",0,(Tabla1[[#This Row],[Number of vehicle]]*Tabla1[[#This Row],[km travelled]])/Tabla1[[#This Row],[Fuel economy (km/L)]])</f>
        <v>0</v>
      </c>
      <c r="K438" s="44">
        <f>Tabla1[[#This Row],[Consumption (L)]]/$F$455</f>
        <v>0</v>
      </c>
      <c r="L438" s="44">
        <f>Tabla1[[#This Row],[Consumption (ton)]]/1000</f>
        <v>0</v>
      </c>
    </row>
    <row r="439" spans="2:12" x14ac:dyDescent="0.35">
      <c r="B439" s="587">
        <v>2016</v>
      </c>
      <c r="C439" s="587" t="s">
        <v>59</v>
      </c>
      <c r="D439" s="588" t="s">
        <v>508</v>
      </c>
      <c r="E439" s="588" t="s">
        <v>41</v>
      </c>
      <c r="F439" s="581" t="s">
        <v>505</v>
      </c>
      <c r="G439" s="579">
        <v>100</v>
      </c>
      <c r="H439" s="575">
        <v>28000</v>
      </c>
      <c r="I439" s="585">
        <v>15.2</v>
      </c>
      <c r="J439" s="44">
        <f>IF(Tabla1[[#This Row],[Number of vehicle]]="",0,(Tabla1[[#This Row],[Number of vehicle]]*Tabla1[[#This Row],[km travelled]])/Tabla1[[#This Row],[Fuel economy (km/L)]])</f>
        <v>184210.5263157895</v>
      </c>
      <c r="K439" s="44">
        <f>Tabla1[[#This Row],[Consumption (L)]]/$F$455</f>
        <v>156.90845512418184</v>
      </c>
      <c r="L439" s="44">
        <f>Tabla1[[#This Row],[Consumption (ton)]]/1000</f>
        <v>0.15690845512418183</v>
      </c>
    </row>
    <row r="440" spans="2:12" x14ac:dyDescent="0.35">
      <c r="B440" s="587">
        <v>2016</v>
      </c>
      <c r="C440" s="587" t="s">
        <v>59</v>
      </c>
      <c r="D440" s="588" t="s">
        <v>508</v>
      </c>
      <c r="E440" s="588" t="s">
        <v>41</v>
      </c>
      <c r="F440" s="578" t="s">
        <v>507</v>
      </c>
      <c r="G440" s="579">
        <v>7</v>
      </c>
      <c r="H440" s="575">
        <v>28000</v>
      </c>
      <c r="I440" s="585">
        <v>15.2</v>
      </c>
      <c r="J440" s="44">
        <f>IF(Tabla1[[#This Row],[Number of vehicle]]="",0,(Tabla1[[#This Row],[Number of vehicle]]*Tabla1[[#This Row],[km travelled]])/Tabla1[[#This Row],[Fuel economy (km/L)]])</f>
        <v>12894.736842105263</v>
      </c>
      <c r="K440" s="44">
        <f>Tabla1[[#This Row],[Consumption (L)]]/$F$455</f>
        <v>10.983591858692728</v>
      </c>
      <c r="L440" s="44">
        <f>Tabla1[[#This Row],[Consumption (ton)]]/1000</f>
        <v>1.0983591858692729E-2</v>
      </c>
    </row>
    <row r="441" spans="2:12" x14ac:dyDescent="0.35">
      <c r="B441" s="587">
        <v>2016</v>
      </c>
      <c r="C441" s="587" t="s">
        <v>59</v>
      </c>
      <c r="D441" s="588" t="s">
        <v>508</v>
      </c>
      <c r="E441" s="588" t="s">
        <v>41</v>
      </c>
      <c r="F441" s="578" t="s">
        <v>505</v>
      </c>
      <c r="G441" s="577">
        <f>545-15</f>
        <v>530</v>
      </c>
      <c r="H441" s="575">
        <v>28000</v>
      </c>
      <c r="I441" s="585">
        <v>12.7</v>
      </c>
      <c r="J441" s="44">
        <f>IF(Tabla1[[#This Row],[Number of vehicle]]="",0,(Tabla1[[#This Row],[Number of vehicle]]*Tabla1[[#This Row],[km travelled]])/Tabla1[[#This Row],[Fuel economy (km/L)]])</f>
        <v>1168503.937007874</v>
      </c>
      <c r="K441" s="44">
        <f>Tabla1[[#This Row],[Consumption (L)]]/$F$455</f>
        <v>995.3185153389046</v>
      </c>
      <c r="L441" s="44">
        <f>Tabla1[[#This Row],[Consumption (ton)]]/1000</f>
        <v>0.99531851533890459</v>
      </c>
    </row>
    <row r="442" spans="2:12" x14ac:dyDescent="0.35">
      <c r="B442" s="587">
        <v>2016</v>
      </c>
      <c r="C442" s="587" t="s">
        <v>59</v>
      </c>
      <c r="D442" s="588" t="s">
        <v>508</v>
      </c>
      <c r="E442" s="588" t="s">
        <v>41</v>
      </c>
      <c r="F442" s="578" t="s">
        <v>507</v>
      </c>
      <c r="G442" s="580">
        <v>129</v>
      </c>
      <c r="H442" s="589">
        <v>28000</v>
      </c>
      <c r="I442" s="590">
        <v>12.7</v>
      </c>
      <c r="J442" s="44">
        <f>IF(Tabla1[[#This Row],[Number of vehicle]]="",0,(Tabla1[[#This Row],[Number of vehicle]]*Tabla1[[#This Row],[km travelled]])/Tabla1[[#This Row],[Fuel economy (km/L)]])</f>
        <v>284409.44881889765</v>
      </c>
      <c r="K442" s="44">
        <f>Tabla1[[#This Row],[Consumption (L)]]/$F$455</f>
        <v>242.2567707145636</v>
      </c>
      <c r="L442" s="44">
        <f>Tabla1[[#This Row],[Consumption (ton)]]/1000</f>
        <v>0.24225677071456361</v>
      </c>
    </row>
    <row r="443" spans="2:12" x14ac:dyDescent="0.35">
      <c r="B443" s="587">
        <v>2016</v>
      </c>
      <c r="C443" s="587" t="s">
        <v>59</v>
      </c>
      <c r="D443" s="588" t="s">
        <v>508</v>
      </c>
      <c r="E443" s="588" t="s">
        <v>41</v>
      </c>
      <c r="F443" s="581" t="s">
        <v>505</v>
      </c>
      <c r="G443" s="580">
        <v>1155</v>
      </c>
      <c r="H443" s="589">
        <v>28000</v>
      </c>
      <c r="I443" s="590">
        <v>11.1</v>
      </c>
      <c r="J443" s="44">
        <f>IF(Tabla1[[#This Row],[Number of vehicle]]="",0,(Tabla1[[#This Row],[Number of vehicle]]*Tabla1[[#This Row],[km travelled]])/Tabla1[[#This Row],[Fuel economy (km/L)]])</f>
        <v>2913513.5135135134</v>
      </c>
      <c r="K443" s="44">
        <f>Tabla1[[#This Row],[Consumption (L)]]/$F$455</f>
        <v>2481.698052396519</v>
      </c>
      <c r="L443" s="44">
        <f>Tabla1[[#This Row],[Consumption (ton)]]/1000</f>
        <v>2.4816980523965189</v>
      </c>
    </row>
    <row r="444" spans="2:12" s="110" customFormat="1" x14ac:dyDescent="0.35">
      <c r="B444" s="587">
        <v>2016</v>
      </c>
      <c r="C444" s="587" t="s">
        <v>59</v>
      </c>
      <c r="D444" s="588" t="s">
        <v>508</v>
      </c>
      <c r="E444" s="588" t="s">
        <v>41</v>
      </c>
      <c r="F444" s="581" t="s">
        <v>507</v>
      </c>
      <c r="G444" s="577">
        <v>130</v>
      </c>
      <c r="H444" s="575">
        <v>28000</v>
      </c>
      <c r="I444" s="576">
        <v>11.1</v>
      </c>
      <c r="J444" s="44">
        <f>IF(Tabla1[[#This Row],[Number of vehicle]]="",0,(Tabla1[[#This Row],[Number of vehicle]]*Tabla1[[#This Row],[km travelled]])/Tabla1[[#This Row],[Fuel economy (km/L)]])</f>
        <v>327927.92792792793</v>
      </c>
      <c r="K444" s="44">
        <f>Tabla1[[#This Row],[Consumption (L)]]/$F$455</f>
        <v>279.32532191475974</v>
      </c>
      <c r="L444" s="44">
        <f>Tabla1[[#This Row],[Consumption (ton)]]/1000</f>
        <v>0.27932532191475973</v>
      </c>
    </row>
    <row r="445" spans="2:12" s="110" customFormat="1" x14ac:dyDescent="0.35">
      <c r="B445" s="587">
        <v>2016</v>
      </c>
      <c r="C445" s="587" t="s">
        <v>59</v>
      </c>
      <c r="D445" s="588" t="s">
        <v>508</v>
      </c>
      <c r="E445" s="588" t="s">
        <v>136</v>
      </c>
      <c r="F445" s="581" t="s">
        <v>505</v>
      </c>
      <c r="G445" s="577"/>
      <c r="H445" s="575">
        <v>28000</v>
      </c>
      <c r="I445" s="576">
        <v>16.5</v>
      </c>
      <c r="J445" s="44">
        <f>IF(Tabla1[[#This Row],[Number of vehicle]]="",0,(Tabla1[[#This Row],[Number of vehicle]]*Tabla1[[#This Row],[km travelled]])/Tabla1[[#This Row],[Fuel economy (km/L)]])</f>
        <v>0</v>
      </c>
      <c r="K445" s="44">
        <f>Tabla1[[#This Row],[Consumption (L)]]/$F$454</f>
        <v>0</v>
      </c>
      <c r="L445" s="44">
        <f>Tabla1[[#This Row],[Consumption (ton)]]/1000</f>
        <v>0</v>
      </c>
    </row>
    <row r="446" spans="2:12" s="110" customFormat="1" x14ac:dyDescent="0.35">
      <c r="B446" s="587">
        <v>2016</v>
      </c>
      <c r="C446" s="587" t="s">
        <v>59</v>
      </c>
      <c r="D446" s="588" t="s">
        <v>508</v>
      </c>
      <c r="E446" s="588" t="s">
        <v>136</v>
      </c>
      <c r="F446" s="581" t="s">
        <v>507</v>
      </c>
      <c r="G446" s="577"/>
      <c r="H446" s="575">
        <v>28000</v>
      </c>
      <c r="I446" s="576">
        <v>16.5</v>
      </c>
      <c r="J446" s="44">
        <f>IF(Tabla1[[#This Row],[Number of vehicle]]="",0,(Tabla1[[#This Row],[Number of vehicle]]*Tabla1[[#This Row],[km travelled]])/Tabla1[[#This Row],[Fuel economy (km/L)]])</f>
        <v>0</v>
      </c>
      <c r="K446" s="44">
        <f>Tabla1[[#This Row],[Consumption (L)]]/$F$454</f>
        <v>0</v>
      </c>
      <c r="L446" s="44">
        <f>Tabla1[[#This Row],[Consumption (ton)]]/1000</f>
        <v>0</v>
      </c>
    </row>
    <row r="447" spans="2:12" x14ac:dyDescent="0.35">
      <c r="B447" s="587">
        <v>2016</v>
      </c>
      <c r="C447" s="587" t="s">
        <v>59</v>
      </c>
      <c r="D447" s="588" t="s">
        <v>508</v>
      </c>
      <c r="E447" s="588" t="s">
        <v>136</v>
      </c>
      <c r="F447" s="582" t="s">
        <v>505</v>
      </c>
      <c r="G447" s="579">
        <v>2369</v>
      </c>
      <c r="H447" s="575">
        <v>28000</v>
      </c>
      <c r="I447" s="585">
        <v>14.1</v>
      </c>
      <c r="J447" s="44">
        <f>IF(Tabla1[[#This Row],[Number of vehicle]]="",0,(Tabla1[[#This Row],[Number of vehicle]]*Tabla1[[#This Row],[km travelled]])/Tabla1[[#This Row],[Fuel economy (km/L)]])</f>
        <v>4704397.1631205678</v>
      </c>
      <c r="K447" s="44">
        <f>Tabla1[[#This Row],[Consumption (L)]]/$F$454</f>
        <v>3399.1308982085029</v>
      </c>
      <c r="L447" s="44">
        <f>Tabla1[[#This Row],[Consumption (ton)]]/1000</f>
        <v>3.3991308982085031</v>
      </c>
    </row>
    <row r="448" spans="2:12" x14ac:dyDescent="0.35">
      <c r="B448" s="587">
        <v>2016</v>
      </c>
      <c r="C448" s="587" t="s">
        <v>59</v>
      </c>
      <c r="D448" s="588" t="s">
        <v>508</v>
      </c>
      <c r="E448" s="588" t="s">
        <v>136</v>
      </c>
      <c r="F448" s="578" t="s">
        <v>507</v>
      </c>
      <c r="G448" s="579">
        <v>790</v>
      </c>
      <c r="H448" s="575">
        <v>28000</v>
      </c>
      <c r="I448" s="585">
        <v>14.1</v>
      </c>
      <c r="J448" s="44">
        <f>IF(Tabla1[[#This Row],[Number of vehicle]]="",0,(Tabla1[[#This Row],[Number of vehicle]]*Tabla1[[#This Row],[km travelled]])/Tabla1[[#This Row],[Fuel economy (km/L)]])</f>
        <v>1568794.3262411349</v>
      </c>
      <c r="K448" s="44">
        <f>Tabla1[[#This Row],[Consumption (L)]]/$F$454</f>
        <v>1133.5219120239415</v>
      </c>
      <c r="L448" s="44">
        <f>Tabla1[[#This Row],[Consumption (ton)]]/1000</f>
        <v>1.1335219120239415</v>
      </c>
    </row>
    <row r="449" spans="2:12" x14ac:dyDescent="0.35">
      <c r="B449" s="587">
        <v>2016</v>
      </c>
      <c r="C449" s="587" t="s">
        <v>59</v>
      </c>
      <c r="D449" s="588" t="s">
        <v>508</v>
      </c>
      <c r="E449" s="588" t="s">
        <v>136</v>
      </c>
      <c r="F449" s="583" t="s">
        <v>505</v>
      </c>
      <c r="G449" s="579">
        <v>1086</v>
      </c>
      <c r="H449" s="575">
        <v>28000</v>
      </c>
      <c r="I449" s="585">
        <v>11.2</v>
      </c>
      <c r="J449" s="44">
        <f>IF(Tabla1[[#This Row],[Number of vehicle]]="",0,(Tabla1[[#This Row],[Number of vehicle]]*Tabla1[[#This Row],[km travelled]])/Tabla1[[#This Row],[Fuel economy (km/L)]])</f>
        <v>2715000</v>
      </c>
      <c r="K449" s="44">
        <f>Tabla1[[#This Row],[Consumption (L)]]/$F$454</f>
        <v>1961.7052023121387</v>
      </c>
      <c r="L449" s="44">
        <f>Tabla1[[#This Row],[Consumption (ton)]]/1000</f>
        <v>1.9617052023121386</v>
      </c>
    </row>
    <row r="450" spans="2:12" x14ac:dyDescent="0.35">
      <c r="B450" s="587">
        <v>2016</v>
      </c>
      <c r="C450" s="587" t="s">
        <v>59</v>
      </c>
      <c r="D450" s="588" t="s">
        <v>508</v>
      </c>
      <c r="E450" s="588" t="s">
        <v>136</v>
      </c>
      <c r="F450" s="581" t="s">
        <v>507</v>
      </c>
      <c r="G450" s="577">
        <v>365</v>
      </c>
      <c r="H450" s="575">
        <v>28000</v>
      </c>
      <c r="I450" s="585">
        <v>11.2</v>
      </c>
      <c r="J450" s="44">
        <f>IF(Tabla1[[#This Row],[Number of vehicle]]="",0,(Tabla1[[#This Row],[Number of vehicle]]*Tabla1[[#This Row],[km travelled]])/Tabla1[[#This Row],[Fuel economy (km/L)]])</f>
        <v>912500</v>
      </c>
      <c r="K450" s="44">
        <f>Tabla1[[#This Row],[Consumption (L)]]/$F$454</f>
        <v>659.32080924855495</v>
      </c>
      <c r="L450" s="44">
        <f>Tabla1[[#This Row],[Consumption (ton)]]/1000</f>
        <v>0.65932080924855496</v>
      </c>
    </row>
    <row r="451" spans="2:12" x14ac:dyDescent="0.35">
      <c r="B451" s="587">
        <v>2016</v>
      </c>
      <c r="C451" s="587" t="s">
        <v>59</v>
      </c>
      <c r="D451" s="588" t="s">
        <v>508</v>
      </c>
      <c r="E451" s="588" t="s">
        <v>136</v>
      </c>
      <c r="F451" s="581" t="s">
        <v>505</v>
      </c>
      <c r="G451" s="577">
        <v>181</v>
      </c>
      <c r="H451" s="575">
        <v>28000</v>
      </c>
      <c r="I451" s="585">
        <v>7.9</v>
      </c>
      <c r="J451" s="44">
        <f>IF(Tabla1[[#This Row],[Number of vehicle]]="",0,(Tabla1[[#This Row],[Number of vehicle]]*Tabla1[[#This Row],[km travelled]])/Tabla1[[#This Row],[Fuel economy (km/L)]])</f>
        <v>641518.98734177207</v>
      </c>
      <c r="K451" s="44">
        <f>Tabla1[[#This Row],[Consumption (L)]]/$F$454</f>
        <v>463.52527987122261</v>
      </c>
      <c r="L451" s="44">
        <f>Tabla1[[#This Row],[Consumption (ton)]]/1000</f>
        <v>0.46352527987122261</v>
      </c>
    </row>
    <row r="452" spans="2:12" x14ac:dyDescent="0.35">
      <c r="B452" s="587">
        <v>2016</v>
      </c>
      <c r="C452" s="587" t="s">
        <v>59</v>
      </c>
      <c r="D452" s="588" t="s">
        <v>508</v>
      </c>
      <c r="E452" s="588" t="s">
        <v>136</v>
      </c>
      <c r="F452" s="581" t="s">
        <v>507</v>
      </c>
      <c r="G452" s="577">
        <v>63</v>
      </c>
      <c r="H452" s="575">
        <v>28000</v>
      </c>
      <c r="I452" s="585">
        <v>7.9</v>
      </c>
      <c r="J452" s="44">
        <f>IF(Tabla1[[#This Row],[Number of vehicle]]="",0,(Tabla1[[#This Row],[Number of vehicle]]*Tabla1[[#This Row],[km travelled]])/Tabla1[[#This Row],[Fuel economy (km/L)]])</f>
        <v>223291.13924050631</v>
      </c>
      <c r="K452" s="44">
        <f>Tabla1[[#This Row],[Consumption (L)]]/$F$454</f>
        <v>161.33752835296698</v>
      </c>
      <c r="L452" s="44">
        <f>Tabla1[[#This Row],[Consumption (ton)]]/1000</f>
        <v>0.161337528352967</v>
      </c>
    </row>
    <row r="454" spans="2:12" x14ac:dyDescent="0.35">
      <c r="D454" s="27" t="s">
        <v>136</v>
      </c>
      <c r="E454" s="27" t="s">
        <v>522</v>
      </c>
      <c r="F454" s="27">
        <v>1384</v>
      </c>
    </row>
    <row r="455" spans="2:12" x14ac:dyDescent="0.35">
      <c r="D455" s="27" t="s">
        <v>41</v>
      </c>
      <c r="E455" s="27" t="s">
        <v>522</v>
      </c>
      <c r="F455" s="27">
        <v>1174</v>
      </c>
    </row>
    <row r="456" spans="2:12" x14ac:dyDescent="0.35">
      <c r="D456" s="27" t="s">
        <v>117</v>
      </c>
      <c r="E456" s="27" t="s">
        <v>522</v>
      </c>
      <c r="F456" s="27">
        <v>1769</v>
      </c>
    </row>
    <row r="458" spans="2:12" s="110" customFormat="1" x14ac:dyDescent="0.35"/>
    <row r="462" spans="2:12" s="110" customFormat="1" x14ac:dyDescent="0.35"/>
  </sheetData>
  <mergeCells count="52">
    <mergeCell ref="AB52:AD52"/>
    <mergeCell ref="AB28:AD28"/>
    <mergeCell ref="AB4:AD4"/>
    <mergeCell ref="AC53:AC57"/>
    <mergeCell ref="AC58:AC62"/>
    <mergeCell ref="AB5:AB14"/>
    <mergeCell ref="AC5:AC9"/>
    <mergeCell ref="AC10:AC14"/>
    <mergeCell ref="AB15:AC15"/>
    <mergeCell ref="AB16:AB21"/>
    <mergeCell ref="AC16:AC18"/>
    <mergeCell ref="AC19:AC21"/>
    <mergeCell ref="AB29:AB38"/>
    <mergeCell ref="AC29:AC33"/>
    <mergeCell ref="AC34:AC38"/>
    <mergeCell ref="AB39:AC39"/>
    <mergeCell ref="AB63:AC63"/>
    <mergeCell ref="AB64:AB69"/>
    <mergeCell ref="AC64:AC66"/>
    <mergeCell ref="AC67:AC69"/>
    <mergeCell ref="N205:P205"/>
    <mergeCell ref="N194:O194"/>
    <mergeCell ref="N195:N200"/>
    <mergeCell ref="O195:O197"/>
    <mergeCell ref="O198:O200"/>
    <mergeCell ref="N170:O170"/>
    <mergeCell ref="O150:O152"/>
    <mergeCell ref="N147:N152"/>
    <mergeCell ref="N146:O146"/>
    <mergeCell ref="N157:P157"/>
    <mergeCell ref="N135:P135"/>
    <mergeCell ref="AB40:AB45"/>
    <mergeCell ref="AC40:AC42"/>
    <mergeCell ref="AC43:AC45"/>
    <mergeCell ref="AB53:AB62"/>
    <mergeCell ref="N184:N193"/>
    <mergeCell ref="O184:O188"/>
    <mergeCell ref="O189:O193"/>
    <mergeCell ref="N171:N176"/>
    <mergeCell ref="O171:O173"/>
    <mergeCell ref="O174:O176"/>
    <mergeCell ref="N181:P181"/>
    <mergeCell ref="N183:P183"/>
    <mergeCell ref="N159:P159"/>
    <mergeCell ref="N160:N169"/>
    <mergeCell ref="O160:O164"/>
    <mergeCell ref="O165:O169"/>
    <mergeCell ref="N54:P54"/>
    <mergeCell ref="O136:O140"/>
    <mergeCell ref="O141:O145"/>
    <mergeCell ref="N136:N145"/>
    <mergeCell ref="O147:O149"/>
  </mergeCells>
  <pageMargins left="0.7" right="0.7" top="0.75" bottom="0.75" header="0.3" footer="0.3"/>
  <pageSetup paperSize="9" orientation="portrait" r:id="rId4"/>
  <tableParts count="1"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318A4-B87B-4CD8-8CDD-A4E4C8988CD8}">
  <sheetPr>
    <tabColor theme="6" tint="0.39997558519241921"/>
  </sheetPr>
  <dimension ref="B3:AS1048576"/>
  <sheetViews>
    <sheetView topLeftCell="A53" zoomScale="40" zoomScaleNormal="40" workbookViewId="0">
      <selection activeCell="F102" sqref="F102"/>
    </sheetView>
  </sheetViews>
  <sheetFormatPr baseColWidth="10" defaultRowHeight="14.5" x14ac:dyDescent="0.35"/>
  <cols>
    <col min="1" max="1" width="4.453125" customWidth="1"/>
    <col min="2" max="2" width="16" customWidth="1"/>
    <col min="3" max="3" width="42.7265625" customWidth="1"/>
    <col min="4" max="4" width="12" customWidth="1"/>
    <col min="5" max="5" width="18.7265625" bestFit="1" customWidth="1"/>
    <col min="6" max="6" width="12" bestFit="1" customWidth="1"/>
    <col min="7" max="7" width="11.54296875" bestFit="1" customWidth="1"/>
    <col min="8" max="8" width="15.7265625" bestFit="1" customWidth="1"/>
    <col min="9" max="9" width="46" customWidth="1"/>
    <col min="10" max="10" width="26.7265625" bestFit="1" customWidth="1"/>
    <col min="13" max="13" width="12.1796875" bestFit="1" customWidth="1"/>
    <col min="14" max="14" width="13.81640625" customWidth="1"/>
    <col min="15" max="15" width="34.453125" customWidth="1"/>
    <col min="16" max="16" width="20.54296875" customWidth="1"/>
    <col min="17" max="17" width="26.7265625" bestFit="1" customWidth="1"/>
    <col min="21" max="21" width="14.54296875" bestFit="1" customWidth="1"/>
    <col min="44" max="44" width="15.1796875" bestFit="1" customWidth="1"/>
  </cols>
  <sheetData>
    <row r="3" spans="2:18" x14ac:dyDescent="0.35">
      <c r="C3" s="3" t="s">
        <v>148</v>
      </c>
      <c r="D3" s="3">
        <v>2014</v>
      </c>
      <c r="E3" s="3">
        <v>2015</v>
      </c>
      <c r="F3" s="3">
        <v>2016</v>
      </c>
      <c r="I3" s="3" t="s">
        <v>148</v>
      </c>
      <c r="J3" s="3">
        <v>2014</v>
      </c>
      <c r="K3" s="3">
        <v>2015</v>
      </c>
      <c r="L3" s="3">
        <v>2016</v>
      </c>
      <c r="O3" s="3" t="s">
        <v>148</v>
      </c>
      <c r="P3" s="3">
        <v>2014</v>
      </c>
      <c r="Q3" s="3">
        <v>2015</v>
      </c>
      <c r="R3" s="3">
        <v>2016</v>
      </c>
    </row>
    <row r="4" spans="2:18" x14ac:dyDescent="0.35">
      <c r="B4" s="707" t="s">
        <v>139</v>
      </c>
      <c r="C4" s="27" t="s">
        <v>23</v>
      </c>
      <c r="D4" s="81">
        <v>2614.8400264099482</v>
      </c>
      <c r="E4" s="81">
        <v>3148.1990020484736</v>
      </c>
      <c r="F4" s="81">
        <v>3518.2241706431055</v>
      </c>
      <c r="H4" s="707" t="s">
        <v>140</v>
      </c>
      <c r="I4" s="27" t="s">
        <v>23</v>
      </c>
      <c r="J4" s="81">
        <v>5.8670502715942856</v>
      </c>
      <c r="K4" s="81">
        <v>4.5305621700301391</v>
      </c>
      <c r="L4" s="81">
        <v>9.8063617157670127</v>
      </c>
      <c r="N4" s="731" t="s">
        <v>147</v>
      </c>
      <c r="O4" s="27" t="s">
        <v>23</v>
      </c>
      <c r="P4" s="82">
        <f>D4+J4</f>
        <v>2620.7070766815427</v>
      </c>
      <c r="Q4" s="82">
        <f t="shared" ref="Q4:R19" si="0">E4+K4</f>
        <v>3152.7295642185036</v>
      </c>
      <c r="R4" s="82">
        <f t="shared" si="0"/>
        <v>3528.0305323588723</v>
      </c>
    </row>
    <row r="5" spans="2:18" x14ac:dyDescent="0.35">
      <c r="B5" s="707"/>
      <c r="C5" s="27" t="s">
        <v>24</v>
      </c>
      <c r="D5" s="81">
        <v>732.8972471447214</v>
      </c>
      <c r="E5" s="81">
        <v>755.84682118721457</v>
      </c>
      <c r="F5" s="81">
        <v>937.18235643811659</v>
      </c>
      <c r="H5" s="707"/>
      <c r="I5" s="27" t="s">
        <v>24</v>
      </c>
      <c r="J5" s="81">
        <v>13.81703860189973</v>
      </c>
      <c r="K5" s="81">
        <v>23.940558356233399</v>
      </c>
      <c r="L5" s="81">
        <v>29.239148461008973</v>
      </c>
      <c r="N5" s="731"/>
      <c r="O5" s="27" t="s">
        <v>24</v>
      </c>
      <c r="P5" s="82">
        <f t="shared" ref="P5:P21" si="1">D5+J5</f>
        <v>746.71428574662116</v>
      </c>
      <c r="Q5" s="82">
        <f t="shared" si="0"/>
        <v>779.78737954344797</v>
      </c>
      <c r="R5" s="82">
        <f t="shared" si="0"/>
        <v>966.42150489912558</v>
      </c>
    </row>
    <row r="6" spans="2:18" x14ac:dyDescent="0.35">
      <c r="B6" s="707"/>
      <c r="C6" s="27" t="s">
        <v>25</v>
      </c>
      <c r="D6" s="81">
        <v>3.9983936798823212</v>
      </c>
      <c r="E6" s="81">
        <v>0.62871573860517493</v>
      </c>
      <c r="F6" s="81">
        <v>0.21003967385163003</v>
      </c>
      <c r="H6" s="707"/>
      <c r="I6" s="27" t="s">
        <v>25</v>
      </c>
      <c r="J6" s="81">
        <v>0</v>
      </c>
      <c r="K6" s="81">
        <v>0.10138738673525002</v>
      </c>
      <c r="L6" s="81">
        <v>0.16500300194168141</v>
      </c>
      <c r="N6" s="731"/>
      <c r="O6" s="27" t="s">
        <v>25</v>
      </c>
      <c r="P6" s="82">
        <f t="shared" si="1"/>
        <v>3.9983936798823212</v>
      </c>
      <c r="Q6" s="82">
        <f t="shared" si="0"/>
        <v>0.73010312534042499</v>
      </c>
      <c r="R6" s="82">
        <f t="shared" si="0"/>
        <v>0.37504267579331141</v>
      </c>
    </row>
    <row r="7" spans="2:18" x14ac:dyDescent="0.35">
      <c r="B7" s="707"/>
      <c r="C7" s="27" t="s">
        <v>26</v>
      </c>
      <c r="D7" s="81">
        <v>2787.6960413497477</v>
      </c>
      <c r="E7" s="81">
        <v>3197.6455803691456</v>
      </c>
      <c r="F7" s="81">
        <v>3478.7619975804855</v>
      </c>
      <c r="H7" s="707"/>
      <c r="I7" s="27" t="s">
        <v>26</v>
      </c>
      <c r="J7" s="81">
        <v>18.327863853248889</v>
      </c>
      <c r="K7" s="81">
        <v>23.406518639192644</v>
      </c>
      <c r="L7" s="81">
        <v>23.406518639192644</v>
      </c>
      <c r="N7" s="731"/>
      <c r="O7" s="27" t="s">
        <v>26</v>
      </c>
      <c r="P7" s="82">
        <f t="shared" si="1"/>
        <v>2806.0239052029965</v>
      </c>
      <c r="Q7" s="82">
        <f t="shared" si="0"/>
        <v>3221.0520990083382</v>
      </c>
      <c r="R7" s="82">
        <f t="shared" si="0"/>
        <v>3502.1685162196782</v>
      </c>
    </row>
    <row r="8" spans="2:18" x14ac:dyDescent="0.35">
      <c r="B8" s="707"/>
      <c r="C8" s="27" t="s">
        <v>27</v>
      </c>
      <c r="D8" s="81">
        <v>1315.1716450405142</v>
      </c>
      <c r="E8" s="81">
        <v>1302.2788735192653</v>
      </c>
      <c r="F8" s="81">
        <v>1348.9321412959016</v>
      </c>
      <c r="H8" s="707"/>
      <c r="I8" s="27" t="s">
        <v>27</v>
      </c>
      <c r="J8" s="81">
        <v>51.946274337793454</v>
      </c>
      <c r="K8" s="81">
        <v>51.613085925578503</v>
      </c>
      <c r="L8" s="81">
        <v>54.302801316793705</v>
      </c>
      <c r="N8" s="731"/>
      <c r="O8" s="27" t="s">
        <v>27</v>
      </c>
      <c r="P8" s="82">
        <f t="shared" si="1"/>
        <v>1367.1179193783078</v>
      </c>
      <c r="Q8" s="82">
        <f t="shared" si="0"/>
        <v>1353.8919594448439</v>
      </c>
      <c r="R8" s="82">
        <f t="shared" si="0"/>
        <v>1403.2349426126952</v>
      </c>
    </row>
    <row r="9" spans="2:18" x14ac:dyDescent="0.35">
      <c r="B9" s="707"/>
      <c r="C9" s="27" t="s">
        <v>28</v>
      </c>
      <c r="D9" s="81">
        <v>1.1334646955869023</v>
      </c>
      <c r="E9" s="81">
        <v>5.9435384144965901</v>
      </c>
      <c r="F9" s="81">
        <v>0.34347147084581042</v>
      </c>
      <c r="H9" s="707"/>
      <c r="I9" s="27" t="s">
        <v>28</v>
      </c>
      <c r="J9" s="81">
        <v>0.31807807603215693</v>
      </c>
      <c r="K9" s="81">
        <v>0.31807807603215693</v>
      </c>
      <c r="L9" s="81">
        <v>0.31807807603215693</v>
      </c>
      <c r="N9" s="731"/>
      <c r="O9" s="27" t="s">
        <v>28</v>
      </c>
      <c r="P9" s="82">
        <f t="shared" si="1"/>
        <v>1.4515427716190592</v>
      </c>
      <c r="Q9" s="82">
        <f t="shared" si="0"/>
        <v>6.2616164905287475</v>
      </c>
      <c r="R9" s="82">
        <f t="shared" si="0"/>
        <v>0.6615495468779673</v>
      </c>
    </row>
    <row r="10" spans="2:18" x14ac:dyDescent="0.35">
      <c r="B10" s="707"/>
      <c r="C10" s="27" t="s">
        <v>29</v>
      </c>
      <c r="D10" s="81">
        <v>0</v>
      </c>
      <c r="E10" s="81">
        <v>0</v>
      </c>
      <c r="F10" s="81">
        <v>0</v>
      </c>
      <c r="H10" s="707"/>
      <c r="I10" s="27" t="s">
        <v>29</v>
      </c>
      <c r="J10" s="81">
        <v>0</v>
      </c>
      <c r="K10" s="81">
        <v>0</v>
      </c>
      <c r="L10" s="81">
        <v>0</v>
      </c>
      <c r="N10" s="731"/>
      <c r="O10" s="27" t="s">
        <v>29</v>
      </c>
      <c r="P10" s="82">
        <f t="shared" si="1"/>
        <v>0</v>
      </c>
      <c r="Q10" s="82">
        <f t="shared" si="0"/>
        <v>0</v>
      </c>
      <c r="R10" s="82">
        <f t="shared" si="0"/>
        <v>0</v>
      </c>
    </row>
    <row r="11" spans="2:18" x14ac:dyDescent="0.35">
      <c r="B11" s="707"/>
      <c r="C11" s="27" t="s">
        <v>30</v>
      </c>
      <c r="D11" s="81">
        <v>175.07424802425399</v>
      </c>
      <c r="E11" s="81">
        <v>266.05234023708954</v>
      </c>
      <c r="F11" s="81">
        <v>366.14484687968388</v>
      </c>
      <c r="H11" s="707"/>
      <c r="I11" s="27" t="s">
        <v>30</v>
      </c>
      <c r="J11" s="81">
        <v>0</v>
      </c>
      <c r="K11" s="81">
        <v>0</v>
      </c>
      <c r="L11" s="81">
        <v>0</v>
      </c>
      <c r="N11" s="731"/>
      <c r="O11" s="27" t="s">
        <v>30</v>
      </c>
      <c r="P11" s="82">
        <f t="shared" si="1"/>
        <v>175.07424802425399</v>
      </c>
      <c r="Q11" s="82">
        <f t="shared" si="0"/>
        <v>266.05234023708954</v>
      </c>
      <c r="R11" s="82">
        <f t="shared" si="0"/>
        <v>366.14484687968388</v>
      </c>
    </row>
    <row r="12" spans="2:18" x14ac:dyDescent="0.35">
      <c r="B12" s="707"/>
      <c r="C12" s="27" t="s">
        <v>31</v>
      </c>
      <c r="D12" s="81">
        <v>0</v>
      </c>
      <c r="E12" s="81">
        <v>0</v>
      </c>
      <c r="F12" s="81">
        <v>0</v>
      </c>
      <c r="H12" s="707"/>
      <c r="I12" s="27" t="s">
        <v>31</v>
      </c>
      <c r="J12" s="81">
        <v>0</v>
      </c>
      <c r="K12" s="81">
        <v>0</v>
      </c>
      <c r="L12" s="81">
        <v>0</v>
      </c>
      <c r="N12" s="731"/>
      <c r="O12" s="27" t="s">
        <v>31</v>
      </c>
      <c r="P12" s="82">
        <f t="shared" si="1"/>
        <v>0</v>
      </c>
      <c r="Q12" s="82">
        <f t="shared" si="0"/>
        <v>0</v>
      </c>
      <c r="R12" s="82">
        <f t="shared" si="0"/>
        <v>0</v>
      </c>
    </row>
    <row r="13" spans="2:18" x14ac:dyDescent="0.35">
      <c r="B13" s="707"/>
      <c r="C13" s="27" t="s">
        <v>32</v>
      </c>
      <c r="D13" s="81">
        <v>0</v>
      </c>
      <c r="E13" s="81">
        <v>0</v>
      </c>
      <c r="F13" s="81">
        <v>0</v>
      </c>
      <c r="H13" s="707"/>
      <c r="I13" s="27" t="s">
        <v>32</v>
      </c>
      <c r="J13" s="81">
        <v>0</v>
      </c>
      <c r="K13" s="81">
        <v>0</v>
      </c>
      <c r="L13" s="81">
        <v>0</v>
      </c>
      <c r="N13" s="731"/>
      <c r="O13" s="27" t="s">
        <v>32</v>
      </c>
      <c r="P13" s="82">
        <f t="shared" si="1"/>
        <v>0</v>
      </c>
      <c r="Q13" s="82">
        <f t="shared" si="0"/>
        <v>0</v>
      </c>
      <c r="R13" s="82">
        <f t="shared" si="0"/>
        <v>0</v>
      </c>
    </row>
    <row r="14" spans="2:18" x14ac:dyDescent="0.35">
      <c r="B14" s="707"/>
      <c r="C14" s="27" t="s">
        <v>33</v>
      </c>
      <c r="D14" s="81">
        <v>918.60013285188722</v>
      </c>
      <c r="E14" s="81">
        <v>1048.5174389392287</v>
      </c>
      <c r="F14" s="81">
        <v>1030.6299393650361</v>
      </c>
      <c r="H14" s="707"/>
      <c r="I14" s="27" t="s">
        <v>33</v>
      </c>
      <c r="J14" s="81">
        <v>108.29750915485761</v>
      </c>
      <c r="K14" s="81">
        <v>112.13331231264478</v>
      </c>
      <c r="L14" s="81">
        <v>117.88701704932552</v>
      </c>
      <c r="N14" s="731"/>
      <c r="O14" s="27" t="s">
        <v>33</v>
      </c>
      <c r="P14" s="82">
        <f t="shared" si="1"/>
        <v>1026.8976420067447</v>
      </c>
      <c r="Q14" s="82">
        <f t="shared" si="0"/>
        <v>1160.6507512518735</v>
      </c>
      <c r="R14" s="82">
        <f t="shared" si="0"/>
        <v>1148.5169564143616</v>
      </c>
    </row>
    <row r="15" spans="2:18" x14ac:dyDescent="0.35">
      <c r="B15" s="707"/>
      <c r="C15" s="27" t="s">
        <v>34</v>
      </c>
      <c r="D15" s="81">
        <v>0</v>
      </c>
      <c r="E15" s="81">
        <v>0</v>
      </c>
      <c r="F15" s="81">
        <v>0</v>
      </c>
      <c r="H15" s="707"/>
      <c r="I15" s="27" t="s">
        <v>34</v>
      </c>
      <c r="J15" s="81">
        <v>0</v>
      </c>
      <c r="K15" s="81">
        <v>0</v>
      </c>
      <c r="L15" s="81">
        <v>0</v>
      </c>
      <c r="N15" s="731"/>
      <c r="O15" s="27" t="s">
        <v>34</v>
      </c>
      <c r="P15" s="82">
        <f t="shared" si="1"/>
        <v>0</v>
      </c>
      <c r="Q15" s="82">
        <f t="shared" si="0"/>
        <v>0</v>
      </c>
      <c r="R15" s="82">
        <f t="shared" si="0"/>
        <v>0</v>
      </c>
    </row>
    <row r="16" spans="2:18" x14ac:dyDescent="0.35">
      <c r="B16" s="707"/>
      <c r="C16" s="36" t="s">
        <v>35</v>
      </c>
      <c r="D16" s="81">
        <v>0</v>
      </c>
      <c r="E16" s="81">
        <v>0</v>
      </c>
      <c r="F16" s="81">
        <v>0</v>
      </c>
      <c r="H16" s="707"/>
      <c r="I16" s="36" t="s">
        <v>35</v>
      </c>
      <c r="J16" s="81">
        <v>0</v>
      </c>
      <c r="K16" s="81">
        <v>0</v>
      </c>
      <c r="L16" s="81">
        <v>0</v>
      </c>
      <c r="N16" s="731"/>
      <c r="O16" s="36" t="s">
        <v>35</v>
      </c>
      <c r="P16" s="82">
        <f t="shared" si="1"/>
        <v>0</v>
      </c>
      <c r="Q16" s="82">
        <f t="shared" si="0"/>
        <v>0</v>
      </c>
      <c r="R16" s="82">
        <f t="shared" si="0"/>
        <v>0</v>
      </c>
    </row>
    <row r="17" spans="2:18" x14ac:dyDescent="0.35">
      <c r="B17" s="707"/>
      <c r="C17" s="36" t="s">
        <v>36</v>
      </c>
      <c r="D17" s="81">
        <v>4000.6599258328797</v>
      </c>
      <c r="E17" s="81">
        <v>3697.9728056530189</v>
      </c>
      <c r="F17" s="81">
        <v>3690.7575473668076</v>
      </c>
      <c r="H17" s="707"/>
      <c r="I17" s="36" t="s">
        <v>36</v>
      </c>
      <c r="J17" s="81">
        <v>6.2103479697506474</v>
      </c>
      <c r="K17" s="81">
        <v>6.6808288765499384</v>
      </c>
      <c r="L17" s="81">
        <v>7.2454059647090885</v>
      </c>
      <c r="N17" s="731"/>
      <c r="O17" s="36" t="s">
        <v>36</v>
      </c>
      <c r="P17" s="82">
        <f t="shared" si="1"/>
        <v>4006.8702738026304</v>
      </c>
      <c r="Q17" s="82">
        <f t="shared" si="0"/>
        <v>3704.653634529569</v>
      </c>
      <c r="R17" s="82">
        <f t="shared" si="0"/>
        <v>3698.0029533315164</v>
      </c>
    </row>
    <row r="18" spans="2:18" x14ac:dyDescent="0.35">
      <c r="B18" s="707"/>
      <c r="C18" s="36" t="s">
        <v>37</v>
      </c>
      <c r="D18" s="81">
        <v>0</v>
      </c>
      <c r="E18" s="81">
        <v>0</v>
      </c>
      <c r="F18" s="81">
        <v>0</v>
      </c>
      <c r="H18" s="707"/>
      <c r="I18" s="36" t="s">
        <v>37</v>
      </c>
      <c r="J18" s="81">
        <v>0</v>
      </c>
      <c r="K18" s="81">
        <v>0</v>
      </c>
      <c r="L18" s="81">
        <v>0</v>
      </c>
      <c r="N18" s="731"/>
      <c r="O18" s="36" t="s">
        <v>37</v>
      </c>
      <c r="P18" s="82">
        <f t="shared" si="1"/>
        <v>0</v>
      </c>
      <c r="Q18" s="82">
        <f t="shared" si="0"/>
        <v>0</v>
      </c>
      <c r="R18" s="82">
        <f t="shared" si="0"/>
        <v>0</v>
      </c>
    </row>
    <row r="19" spans="2:18" x14ac:dyDescent="0.35">
      <c r="B19" s="707"/>
      <c r="C19" s="36" t="s">
        <v>38</v>
      </c>
      <c r="D19" s="81">
        <v>615.26395006069026</v>
      </c>
      <c r="E19" s="81">
        <v>843.09691231720694</v>
      </c>
      <c r="F19" s="81">
        <v>935.73970521935155</v>
      </c>
      <c r="H19" s="707"/>
      <c r="I19" s="36" t="s">
        <v>38</v>
      </c>
      <c r="J19" s="81">
        <v>62.696565516444139</v>
      </c>
      <c r="K19" s="81">
        <v>68.291969250332357</v>
      </c>
      <c r="L19" s="81">
        <v>73.671283740824222</v>
      </c>
      <c r="N19" s="731"/>
      <c r="O19" s="36" t="s">
        <v>38</v>
      </c>
      <c r="P19" s="82">
        <f t="shared" si="1"/>
        <v>677.9605155771344</v>
      </c>
      <c r="Q19" s="82">
        <f t="shared" si="0"/>
        <v>911.38888156753933</v>
      </c>
      <c r="R19" s="82">
        <f t="shared" si="0"/>
        <v>1009.4109889601758</v>
      </c>
    </row>
    <row r="20" spans="2:18" x14ac:dyDescent="0.35">
      <c r="B20" s="707"/>
      <c r="C20" s="36" t="s">
        <v>39</v>
      </c>
      <c r="D20" s="81">
        <v>0</v>
      </c>
      <c r="E20" s="81">
        <v>0</v>
      </c>
      <c r="F20" s="81">
        <v>0</v>
      </c>
      <c r="H20" s="707"/>
      <c r="I20" s="36" t="s">
        <v>39</v>
      </c>
      <c r="J20" s="81">
        <v>0</v>
      </c>
      <c r="K20" s="81">
        <v>0</v>
      </c>
      <c r="L20" s="81">
        <v>0</v>
      </c>
      <c r="N20" s="731"/>
      <c r="O20" s="36" t="s">
        <v>39</v>
      </c>
      <c r="P20" s="82">
        <f t="shared" si="1"/>
        <v>0</v>
      </c>
      <c r="Q20" s="82">
        <f t="shared" ref="Q20:Q21" si="2">E20+K20</f>
        <v>0</v>
      </c>
      <c r="R20" s="82">
        <f t="shared" ref="R20:R21" si="3">F20+L20</f>
        <v>0</v>
      </c>
    </row>
    <row r="21" spans="2:18" x14ac:dyDescent="0.35">
      <c r="B21" s="707"/>
      <c r="C21" s="36" t="s">
        <v>40</v>
      </c>
      <c r="D21" s="81">
        <v>0</v>
      </c>
      <c r="E21" s="81">
        <v>0</v>
      </c>
      <c r="F21" s="81">
        <v>0</v>
      </c>
      <c r="H21" s="707"/>
      <c r="I21" s="36" t="s">
        <v>40</v>
      </c>
      <c r="J21" s="81">
        <v>0</v>
      </c>
      <c r="K21" s="81">
        <v>0</v>
      </c>
      <c r="L21" s="81">
        <v>0</v>
      </c>
      <c r="N21" s="731"/>
      <c r="O21" s="36" t="s">
        <v>40</v>
      </c>
      <c r="P21" s="82">
        <f t="shared" si="1"/>
        <v>0</v>
      </c>
      <c r="Q21" s="82">
        <f t="shared" si="2"/>
        <v>0</v>
      </c>
      <c r="R21" s="82">
        <f t="shared" si="3"/>
        <v>0</v>
      </c>
    </row>
    <row r="22" spans="2:18" x14ac:dyDescent="0.35">
      <c r="B22" s="707"/>
      <c r="C22" s="68" t="s">
        <v>141</v>
      </c>
      <c r="D22" s="83">
        <f>D4+D7+D10+D13+D16+D19</f>
        <v>6017.8000178203865</v>
      </c>
      <c r="E22" s="83">
        <f t="shared" ref="E22:F22" si="4">E4+E7+E10+E13+E16+E19</f>
        <v>7188.9414947348268</v>
      </c>
      <c r="F22" s="83">
        <f t="shared" si="4"/>
        <v>7932.7258734429433</v>
      </c>
      <c r="H22" s="707"/>
      <c r="I22" s="68" t="s">
        <v>141</v>
      </c>
      <c r="J22" s="83">
        <f>J4+J7+J10+J13+J16+J19</f>
        <v>86.891479641287305</v>
      </c>
      <c r="K22" s="83">
        <f t="shared" ref="K22:L22" si="5">K4+K7+K10+K13+K16+K19</f>
        <v>96.229050059555135</v>
      </c>
      <c r="L22" s="83">
        <f t="shared" si="5"/>
        <v>106.88416409578389</v>
      </c>
      <c r="N22" s="731"/>
      <c r="O22" s="68" t="s">
        <v>141</v>
      </c>
      <c r="P22" s="83">
        <f>P4+P7+P10+P13+P16+P19</f>
        <v>6104.691497461673</v>
      </c>
      <c r="Q22" s="83">
        <f t="shared" ref="Q22:R22" si="6">Q4+Q7+Q10+Q13+Q16+Q19</f>
        <v>7285.1705447943814</v>
      </c>
      <c r="R22" s="83">
        <f t="shared" si="6"/>
        <v>8039.6100375387259</v>
      </c>
    </row>
    <row r="23" spans="2:18" x14ac:dyDescent="0.35">
      <c r="B23" s="707"/>
      <c r="C23" s="68" t="s">
        <v>142</v>
      </c>
      <c r="D23" s="83">
        <f t="shared" ref="D23:F24" si="7">D5+D8+D11+D14+D17+D20</f>
        <v>7142.403198894257</v>
      </c>
      <c r="E23" s="83">
        <f t="shared" si="7"/>
        <v>7070.6682795358174</v>
      </c>
      <c r="F23" s="83">
        <f t="shared" si="7"/>
        <v>7373.6468313455462</v>
      </c>
      <c r="H23" s="707"/>
      <c r="I23" s="68" t="s">
        <v>142</v>
      </c>
      <c r="J23" s="83">
        <f t="shared" ref="J23:L23" si="8">J5+J8+J11+J14+J17+J20</f>
        <v>180.27117006430143</v>
      </c>
      <c r="K23" s="83">
        <f t="shared" si="8"/>
        <v>194.36778547100658</v>
      </c>
      <c r="L23" s="83">
        <f t="shared" si="8"/>
        <v>208.67437279183727</v>
      </c>
      <c r="N23" s="731"/>
      <c r="O23" s="68" t="s">
        <v>142</v>
      </c>
      <c r="P23" s="83">
        <f t="shared" ref="P23:R23" si="9">P5+P8+P11+P14+P17+P20</f>
        <v>7322.6743689585583</v>
      </c>
      <c r="Q23" s="83">
        <f t="shared" si="9"/>
        <v>7265.0360650068242</v>
      </c>
      <c r="R23" s="83">
        <f t="shared" si="9"/>
        <v>7582.3212041373827</v>
      </c>
    </row>
    <row r="24" spans="2:18" x14ac:dyDescent="0.35">
      <c r="B24" s="707"/>
      <c r="C24" s="68" t="s">
        <v>117</v>
      </c>
      <c r="D24" s="83">
        <f t="shared" si="7"/>
        <v>5.1318583754692231</v>
      </c>
      <c r="E24" s="83">
        <f t="shared" si="7"/>
        <v>6.5722541531017651</v>
      </c>
      <c r="F24" s="83">
        <f t="shared" si="7"/>
        <v>0.55351114469744045</v>
      </c>
      <c r="H24" s="707"/>
      <c r="I24" s="68" t="s">
        <v>117</v>
      </c>
      <c r="J24" s="83">
        <f t="shared" ref="J24:L24" si="10">J6+J9+J12+J15+J18+J21</f>
        <v>0.31807807603215693</v>
      </c>
      <c r="K24" s="83">
        <f t="shared" si="10"/>
        <v>0.41946546276740693</v>
      </c>
      <c r="L24" s="83">
        <f t="shared" si="10"/>
        <v>0.48308107797383837</v>
      </c>
      <c r="N24" s="731"/>
      <c r="O24" s="68" t="s">
        <v>117</v>
      </c>
      <c r="P24" s="83">
        <f t="shared" ref="P24:Q24" si="11">P6+P9+P12+P15+P18+P21</f>
        <v>5.4499364515013804</v>
      </c>
      <c r="Q24" s="83">
        <f t="shared" si="11"/>
        <v>6.9917196158691723</v>
      </c>
      <c r="R24" s="83">
        <f>R6+R9+R12+R15+R18+R21</f>
        <v>1.0365922226712787</v>
      </c>
    </row>
    <row r="25" spans="2:18" x14ac:dyDescent="0.35">
      <c r="B25" s="707"/>
      <c r="C25" s="68" t="s">
        <v>143</v>
      </c>
      <c r="D25" s="83">
        <f>SUM(D4:D9)</f>
        <v>7455.7368183204007</v>
      </c>
      <c r="E25" s="83">
        <f t="shared" ref="E25:F25" si="12">SUM(E4:E9)</f>
        <v>8410.5425312772004</v>
      </c>
      <c r="F25" s="83">
        <f t="shared" si="12"/>
        <v>9283.6541771023076</v>
      </c>
      <c r="H25" s="707"/>
      <c r="I25" s="68" t="s">
        <v>143</v>
      </c>
      <c r="J25" s="83">
        <f>SUM(J4:J9)</f>
        <v>90.27630514056851</v>
      </c>
      <c r="K25" s="83">
        <f t="shared" ref="K25:L25" si="13">SUM(K4:K9)</f>
        <v>103.9101905538021</v>
      </c>
      <c r="L25" s="83">
        <f t="shared" si="13"/>
        <v>117.23791121073617</v>
      </c>
      <c r="N25" s="731"/>
      <c r="O25" s="68" t="s">
        <v>143</v>
      </c>
      <c r="P25" s="83">
        <f>SUM(P4:P9)</f>
        <v>7546.0131234609698</v>
      </c>
      <c r="Q25" s="83">
        <f t="shared" ref="Q25:R25" si="14">SUM(Q4:Q9)</f>
        <v>8514.4527218310031</v>
      </c>
      <c r="R25" s="83">
        <f t="shared" si="14"/>
        <v>9400.8920883130431</v>
      </c>
    </row>
    <row r="26" spans="2:18" x14ac:dyDescent="0.35">
      <c r="B26" s="707"/>
      <c r="C26" s="68" t="s">
        <v>144</v>
      </c>
      <c r="D26" s="83">
        <f>SUM(D10:D15)</f>
        <v>1093.6743808761412</v>
      </c>
      <c r="E26" s="83">
        <f t="shared" ref="E26:F26" si="15">SUM(E10:E15)</f>
        <v>1314.5697791763182</v>
      </c>
      <c r="F26" s="83">
        <f t="shared" si="15"/>
        <v>1396.77478624472</v>
      </c>
      <c r="H26" s="707"/>
      <c r="I26" s="68" t="s">
        <v>144</v>
      </c>
      <c r="J26" s="83">
        <f>SUM(J10:J15)</f>
        <v>108.29750915485761</v>
      </c>
      <c r="K26" s="83">
        <f t="shared" ref="K26:L26" si="16">SUM(K10:K15)</f>
        <v>112.13331231264478</v>
      </c>
      <c r="L26" s="83">
        <f t="shared" si="16"/>
        <v>117.88701704932552</v>
      </c>
      <c r="N26" s="731"/>
      <c r="O26" s="68" t="s">
        <v>144</v>
      </c>
      <c r="P26" s="83">
        <f>SUM(P10:P15)</f>
        <v>1201.9718900309988</v>
      </c>
      <c r="Q26" s="83">
        <f t="shared" ref="Q26:R26" si="17">SUM(Q10:Q15)</f>
        <v>1426.7030914889631</v>
      </c>
      <c r="R26" s="83">
        <f t="shared" si="17"/>
        <v>1514.6618032940455</v>
      </c>
    </row>
    <row r="27" spans="2:18" x14ac:dyDescent="0.35">
      <c r="B27" s="707"/>
      <c r="C27" s="68" t="s">
        <v>145</v>
      </c>
      <c r="D27" s="83">
        <f>SUM(D16:D18)</f>
        <v>4000.6599258328797</v>
      </c>
      <c r="E27" s="83">
        <f t="shared" ref="E27:F27" si="18">SUM(E16:E18)</f>
        <v>3697.9728056530189</v>
      </c>
      <c r="F27" s="83">
        <f t="shared" si="18"/>
        <v>3690.7575473668076</v>
      </c>
      <c r="H27" s="707"/>
      <c r="I27" s="68" t="s">
        <v>145</v>
      </c>
      <c r="J27" s="83">
        <f>SUM(J16:J18)</f>
        <v>6.2103479697506474</v>
      </c>
      <c r="K27" s="83">
        <f t="shared" ref="K27:L27" si="19">SUM(K16:K18)</f>
        <v>6.6808288765499384</v>
      </c>
      <c r="L27" s="83">
        <f t="shared" si="19"/>
        <v>7.2454059647090885</v>
      </c>
      <c r="N27" s="731"/>
      <c r="O27" s="68" t="s">
        <v>145</v>
      </c>
      <c r="P27" s="83">
        <f>SUM(P16:P18)</f>
        <v>4006.8702738026304</v>
      </c>
      <c r="Q27" s="83">
        <f t="shared" ref="Q27:R27" si="20">SUM(Q16:Q18)</f>
        <v>3704.653634529569</v>
      </c>
      <c r="R27" s="83">
        <f t="shared" si="20"/>
        <v>3698.0029533315164</v>
      </c>
    </row>
    <row r="28" spans="2:18" x14ac:dyDescent="0.35">
      <c r="B28" s="707"/>
      <c r="C28" s="68" t="s">
        <v>146</v>
      </c>
      <c r="D28" s="83">
        <f>SUM(D19:D21)</f>
        <v>615.26395006069026</v>
      </c>
      <c r="E28" s="83">
        <f t="shared" ref="E28:F28" si="21">SUM(E19:E21)</f>
        <v>843.09691231720694</v>
      </c>
      <c r="F28" s="83">
        <f t="shared" si="21"/>
        <v>935.73970521935155</v>
      </c>
      <c r="H28" s="707"/>
      <c r="I28" s="68" t="s">
        <v>146</v>
      </c>
      <c r="J28" s="83">
        <f>SUM(J19:J21)</f>
        <v>62.696565516444139</v>
      </c>
      <c r="K28" s="83">
        <f t="shared" ref="K28:L28" si="22">SUM(K19:K21)</f>
        <v>68.291969250332357</v>
      </c>
      <c r="L28" s="83">
        <f t="shared" si="22"/>
        <v>73.671283740824222</v>
      </c>
      <c r="N28" s="731"/>
      <c r="O28" s="68" t="s">
        <v>146</v>
      </c>
      <c r="P28" s="83">
        <f>SUM(P19:P21)</f>
        <v>677.9605155771344</v>
      </c>
      <c r="Q28" s="83">
        <f t="shared" ref="Q28:R28" si="23">SUM(Q19:Q21)</f>
        <v>911.38888156753933</v>
      </c>
      <c r="R28" s="83">
        <f t="shared" si="23"/>
        <v>1009.4109889601758</v>
      </c>
    </row>
    <row r="32" spans="2:18" ht="29" x14ac:dyDescent="0.35">
      <c r="C32" s="70" t="s">
        <v>149</v>
      </c>
      <c r="D32" s="71">
        <v>2014</v>
      </c>
      <c r="E32" s="71">
        <v>2015</v>
      </c>
      <c r="F32" s="71">
        <v>2016</v>
      </c>
    </row>
    <row r="33" spans="2:38" x14ac:dyDescent="0.35">
      <c r="C33" t="s">
        <v>141</v>
      </c>
      <c r="D33" s="69">
        <f>'Activity Data Calculations'!T152</f>
        <v>137244</v>
      </c>
      <c r="E33" s="69">
        <f>'Activity Data Calculations'!U152</f>
        <v>147564.71</v>
      </c>
      <c r="F33" s="69">
        <f>'Activity Data Calculations'!V152</f>
        <v>161833</v>
      </c>
      <c r="H33" t="s">
        <v>164</v>
      </c>
    </row>
    <row r="34" spans="2:38" x14ac:dyDescent="0.35">
      <c r="C34" t="s">
        <v>142</v>
      </c>
      <c r="D34" s="69">
        <f>'Activity Data Calculations'!T153</f>
        <v>165140</v>
      </c>
      <c r="E34" s="69">
        <f>'Activity Data Calculations'!U153</f>
        <v>166293.5</v>
      </c>
      <c r="F34" s="69">
        <f>'Activity Data Calculations'!V153</f>
        <v>168544</v>
      </c>
      <c r="H34" t="s">
        <v>164</v>
      </c>
    </row>
    <row r="35" spans="2:38" x14ac:dyDescent="0.35">
      <c r="C35" t="s">
        <v>117</v>
      </c>
      <c r="D35" s="69">
        <f>'Activity Data Calculations'!T154</f>
        <v>3744</v>
      </c>
      <c r="E35" s="69">
        <f>'Activity Data Calculations'!U154</f>
        <v>3190</v>
      </c>
      <c r="F35" s="69">
        <f>'Activity Data Calculations'!V154</f>
        <v>3479</v>
      </c>
      <c r="H35" t="s">
        <v>164</v>
      </c>
    </row>
    <row r="36" spans="2:38" x14ac:dyDescent="0.35">
      <c r="C36" s="72" t="s">
        <v>162</v>
      </c>
    </row>
    <row r="37" spans="2:38" x14ac:dyDescent="0.35">
      <c r="C37" t="s">
        <v>141</v>
      </c>
      <c r="D37" s="82">
        <f>(1/'Conversion Factors CF'!$D$19)*'Transport QA-QC'!P22*1000</f>
        <v>136265.43521119806</v>
      </c>
      <c r="E37" s="82">
        <f>(1/'Conversion Factors CF'!$D$19)*'Transport QA-QC'!Q22*1000</f>
        <v>162615.41394630316</v>
      </c>
      <c r="F37" s="82">
        <f>(1/'Conversion Factors CF'!$D$19)*'Transport QA-QC'!R22*1000</f>
        <v>179455.58119506086</v>
      </c>
    </row>
    <row r="38" spans="2:38" x14ac:dyDescent="0.35">
      <c r="C38" t="s">
        <v>142</v>
      </c>
      <c r="D38" s="82">
        <f>(1/'Conversion Factors CF'!$D$20)*'Transport QA-QC'!P23*1000</f>
        <v>168997.79296004059</v>
      </c>
      <c r="E38" s="82">
        <f>(1/'Conversion Factors CF'!$D$20)*'Transport QA-QC'!Q23*1000</f>
        <v>167667.5759290751</v>
      </c>
      <c r="F38" s="82">
        <f>(1/'Conversion Factors CF'!$D$20)*'Transport QA-QC'!R23*1000</f>
        <v>174990.10394962804</v>
      </c>
    </row>
    <row r="39" spans="2:38" x14ac:dyDescent="0.35">
      <c r="C39" t="s">
        <v>117</v>
      </c>
      <c r="D39" s="82">
        <f>(1/'Conversion Factors CF'!$D$21)*'Transport QA-QC'!P24*1000</f>
        <v>115.19628939973329</v>
      </c>
      <c r="E39" s="82">
        <f>(1/'Conversion Factors CF'!$D$21)*'Transport QA-QC'!Q24*1000</f>
        <v>147.78523812870796</v>
      </c>
      <c r="F39" s="82">
        <f>(1/'Conversion Factors CF'!$D$21)*'Transport QA-QC'!R24*1000</f>
        <v>21.910636708333943</v>
      </c>
    </row>
    <row r="42" spans="2:38" ht="15" thickBot="1" x14ac:dyDescent="0.4">
      <c r="B42" s="110"/>
      <c r="C42" s="3" t="s">
        <v>148</v>
      </c>
      <c r="D42" s="3" t="s">
        <v>224</v>
      </c>
      <c r="E42" t="s">
        <v>280</v>
      </c>
      <c r="F42" s="172">
        <v>2000</v>
      </c>
      <c r="G42" s="3">
        <v>2001</v>
      </c>
      <c r="H42" s="3">
        <v>2002</v>
      </c>
      <c r="I42" s="3">
        <v>2003</v>
      </c>
      <c r="J42" s="3">
        <v>2004</v>
      </c>
      <c r="K42" s="3">
        <v>2005</v>
      </c>
      <c r="L42" s="3">
        <v>2006</v>
      </c>
      <c r="M42" s="3">
        <v>2007</v>
      </c>
      <c r="N42" s="3">
        <v>2008</v>
      </c>
      <c r="O42" s="3">
        <v>2009</v>
      </c>
      <c r="P42" s="3">
        <v>2010</v>
      </c>
      <c r="Q42" s="3">
        <v>2011</v>
      </c>
      <c r="R42" s="3">
        <v>2012</v>
      </c>
      <c r="S42" s="3">
        <v>2013</v>
      </c>
      <c r="T42" s="3">
        <v>2014</v>
      </c>
      <c r="U42" s="3">
        <v>2015</v>
      </c>
      <c r="V42" s="3">
        <v>2016</v>
      </c>
      <c r="W42" s="3">
        <v>2017</v>
      </c>
      <c r="X42" s="3">
        <v>2018</v>
      </c>
    </row>
    <row r="43" spans="2:38" ht="15" customHeight="1" x14ac:dyDescent="0.35">
      <c r="B43" s="735" t="s">
        <v>139</v>
      </c>
      <c r="C43" s="170" t="s">
        <v>276</v>
      </c>
      <c r="D43" s="147" t="s">
        <v>136</v>
      </c>
      <c r="F43" s="151">
        <f t="shared" ref="F43:S52" si="24">$Y43*F$62</f>
        <v>91582.851445539432</v>
      </c>
      <c r="G43" s="151">
        <f t="shared" si="24"/>
        <v>95497.30565012357</v>
      </c>
      <c r="H43" s="151">
        <f t="shared" si="24"/>
        <v>99499.113190075208</v>
      </c>
      <c r="I43" s="151">
        <f t="shared" si="24"/>
        <v>103440.28728245183</v>
      </c>
      <c r="J43" s="151">
        <f t="shared" si="24"/>
        <v>109142.07703774769</v>
      </c>
      <c r="K43" s="151">
        <f t="shared" si="24"/>
        <v>114341.20802703577</v>
      </c>
      <c r="L43" s="151">
        <f t="shared" si="24"/>
        <v>119560.17588497495</v>
      </c>
      <c r="M43" s="151">
        <f t="shared" si="24"/>
        <v>125063.97123430051</v>
      </c>
      <c r="N43" s="151">
        <f t="shared" si="24"/>
        <v>131524.42764536536</v>
      </c>
      <c r="O43" s="151">
        <f t="shared" si="24"/>
        <v>137181.30373579083</v>
      </c>
      <c r="P43" s="151">
        <f t="shared" si="24"/>
        <v>143766.76984741158</v>
      </c>
      <c r="Q43" s="151">
        <f t="shared" si="24"/>
        <v>150056.18005142835</v>
      </c>
      <c r="R43" s="151">
        <f t="shared" si="24"/>
        <v>157918.6913675305</v>
      </c>
      <c r="S43" s="151">
        <f t="shared" si="24"/>
        <v>165991.54834744229</v>
      </c>
      <c r="T43" s="148">
        <f>167274+4841</f>
        <v>172115</v>
      </c>
      <c r="U43" s="148">
        <f>174020+4856</f>
        <v>178876</v>
      </c>
      <c r="V43" s="148">
        <f>190497+4854</f>
        <v>195351</v>
      </c>
      <c r="W43" s="151">
        <f t="shared" ref="W43:X61" si="25">$Y43*W$62</f>
        <v>199041.26864231788</v>
      </c>
      <c r="X43" s="151">
        <f t="shared" si="25"/>
        <v>208100.3548466753</v>
      </c>
      <c r="Y43" s="51">
        <f t="shared" ref="Y43:Y48" si="26">AVERAGE(T43/$T$62,U43/$U$62,V43/$V$62)</f>
        <v>0.37428054058657323</v>
      </c>
      <c r="AJ43" s="51"/>
      <c r="AK43" s="51"/>
      <c r="AL43" s="51"/>
    </row>
    <row r="44" spans="2:38" x14ac:dyDescent="0.35">
      <c r="B44" s="736"/>
      <c r="C44" s="170"/>
      <c r="D44" s="147" t="s">
        <v>41</v>
      </c>
      <c r="F44" s="151">
        <f t="shared" si="24"/>
        <v>8305.3541678948168</v>
      </c>
      <c r="G44" s="151">
        <f t="shared" si="24"/>
        <v>8660.3434265816268</v>
      </c>
      <c r="H44" s="151">
        <f t="shared" si="24"/>
        <v>9023.254478229921</v>
      </c>
      <c r="I44" s="151">
        <f t="shared" si="24"/>
        <v>9380.6668775805156</v>
      </c>
      <c r="J44" s="151">
        <f t="shared" si="24"/>
        <v>9897.7438473532529</v>
      </c>
      <c r="K44" s="151">
        <f t="shared" si="24"/>
        <v>10369.236310732085</v>
      </c>
      <c r="L44" s="151">
        <f t="shared" si="24"/>
        <v>10842.527715912016</v>
      </c>
      <c r="M44" s="151">
        <f t="shared" si="24"/>
        <v>11341.649209971889</v>
      </c>
      <c r="N44" s="151">
        <f t="shared" si="24"/>
        <v>11927.527218062165</v>
      </c>
      <c r="O44" s="151">
        <f t="shared" si="24"/>
        <v>12440.531112058829</v>
      </c>
      <c r="P44" s="151">
        <f t="shared" si="24"/>
        <v>13037.745847725844</v>
      </c>
      <c r="Q44" s="151">
        <f t="shared" si="24"/>
        <v>13608.112225568901</v>
      </c>
      <c r="R44" s="151">
        <f t="shared" si="24"/>
        <v>14321.138082468986</v>
      </c>
      <c r="S44" s="151">
        <f t="shared" si="24"/>
        <v>15053.239510920359</v>
      </c>
      <c r="T44" s="148">
        <f>13729+2070</f>
        <v>15799</v>
      </c>
      <c r="U44" s="148">
        <f>14341+2051</f>
        <v>16392</v>
      </c>
      <c r="V44" s="148">
        <f>15279+2051</f>
        <v>17330</v>
      </c>
      <c r="W44" s="151">
        <f t="shared" si="25"/>
        <v>18050.41232074525</v>
      </c>
      <c r="X44" s="151">
        <f t="shared" si="25"/>
        <v>18871.951704779603</v>
      </c>
      <c r="Y44" s="51">
        <f t="shared" si="26"/>
        <v>3.3942298133959478E-2</v>
      </c>
      <c r="AJ44" s="51"/>
      <c r="AK44" s="51"/>
      <c r="AL44" s="51"/>
    </row>
    <row r="45" spans="2:38" x14ac:dyDescent="0.35">
      <c r="B45" s="736"/>
      <c r="C45" s="170"/>
      <c r="D45" s="147" t="s">
        <v>117</v>
      </c>
      <c r="F45" s="151">
        <f t="shared" si="24"/>
        <v>111.13993557976171</v>
      </c>
      <c r="G45" s="151">
        <f t="shared" si="24"/>
        <v>115.89030293850371</v>
      </c>
      <c r="H45" s="151">
        <f t="shared" si="24"/>
        <v>120.74667752362252</v>
      </c>
      <c r="I45" s="151">
        <f t="shared" si="24"/>
        <v>125.52947067563349</v>
      </c>
      <c r="J45" s="151">
        <f t="shared" si="24"/>
        <v>132.44885062603566</v>
      </c>
      <c r="K45" s="151">
        <f t="shared" si="24"/>
        <v>138.75823141184614</v>
      </c>
      <c r="L45" s="151">
        <f t="shared" si="24"/>
        <v>145.09168513564867</v>
      </c>
      <c r="M45" s="151">
        <f t="shared" si="24"/>
        <v>151.7707899125073</v>
      </c>
      <c r="N45" s="151">
        <f t="shared" si="24"/>
        <v>159.61084618951213</v>
      </c>
      <c r="O45" s="151">
        <f t="shared" si="24"/>
        <v>166.47572137464923</v>
      </c>
      <c r="P45" s="151">
        <f t="shared" si="24"/>
        <v>174.46748258164192</v>
      </c>
      <c r="Q45" s="151">
        <f t="shared" si="24"/>
        <v>182.09996654426226</v>
      </c>
      <c r="R45" s="151">
        <f t="shared" si="24"/>
        <v>191.64147991029208</v>
      </c>
      <c r="S45" s="151">
        <f t="shared" si="24"/>
        <v>201.43825726031338</v>
      </c>
      <c r="T45" s="148">
        <v>218</v>
      </c>
      <c r="U45" s="148">
        <v>221</v>
      </c>
      <c r="V45" s="148">
        <v>223</v>
      </c>
      <c r="W45" s="151">
        <f t="shared" si="25"/>
        <v>241.54558878062409</v>
      </c>
      <c r="X45" s="151">
        <f t="shared" si="25"/>
        <v>252.53919993459115</v>
      </c>
      <c r="Y45" s="184">
        <f t="shared" si="26"/>
        <v>4.5420637720901789E-4</v>
      </c>
      <c r="AJ45" s="51"/>
      <c r="AK45" s="51"/>
      <c r="AL45" s="51"/>
    </row>
    <row r="46" spans="2:38" x14ac:dyDescent="0.35">
      <c r="B46" s="736"/>
      <c r="C46" s="170"/>
      <c r="D46" s="147" t="s">
        <v>226</v>
      </c>
      <c r="F46" s="151">
        <f t="shared" si="24"/>
        <v>1334.2848610409887</v>
      </c>
      <c r="G46" s="151">
        <f t="shared" si="24"/>
        <v>1391.315155489953</v>
      </c>
      <c r="H46" s="151">
        <f t="shared" si="24"/>
        <v>1449.618114319886</v>
      </c>
      <c r="I46" s="151">
        <f t="shared" si="24"/>
        <v>1507.0376949857291</v>
      </c>
      <c r="J46" s="151">
        <f t="shared" si="24"/>
        <v>1590.1079601199604</v>
      </c>
      <c r="K46" s="151">
        <f t="shared" si="24"/>
        <v>1665.8549112148537</v>
      </c>
      <c r="L46" s="151">
        <f t="shared" si="24"/>
        <v>1741.8908687461467</v>
      </c>
      <c r="M46" s="151">
        <f t="shared" si="24"/>
        <v>1822.0765224680104</v>
      </c>
      <c r="N46" s="151">
        <f t="shared" si="24"/>
        <v>1916.1999205566256</v>
      </c>
      <c r="O46" s="151">
        <f t="shared" si="24"/>
        <v>1998.6158314952345</v>
      </c>
      <c r="P46" s="151">
        <f t="shared" si="24"/>
        <v>2094.5605154283312</v>
      </c>
      <c r="Q46" s="151">
        <f t="shared" si="24"/>
        <v>2186.191914621952</v>
      </c>
      <c r="R46" s="151">
        <f t="shared" si="24"/>
        <v>2300.7420695172386</v>
      </c>
      <c r="S46" s="151">
        <f t="shared" si="24"/>
        <v>2418.356783228689</v>
      </c>
      <c r="T46" s="148">
        <v>1829</v>
      </c>
      <c r="U46" s="148">
        <v>2424</v>
      </c>
      <c r="V46" s="148">
        <v>3777</v>
      </c>
      <c r="W46" s="151">
        <f t="shared" si="25"/>
        <v>2899.8633180772431</v>
      </c>
      <c r="X46" s="151">
        <f t="shared" si="25"/>
        <v>3031.8465593342298</v>
      </c>
      <c r="Y46" s="51">
        <f t="shared" si="26"/>
        <v>5.4529516301845314E-3</v>
      </c>
      <c r="AJ46" s="51"/>
      <c r="AK46" s="51"/>
      <c r="AL46" s="51"/>
    </row>
    <row r="47" spans="2:38" x14ac:dyDescent="0.35">
      <c r="B47" s="736"/>
      <c r="C47" s="170"/>
      <c r="D47" s="147" t="s">
        <v>227</v>
      </c>
      <c r="F47" s="151">
        <f t="shared" si="24"/>
        <v>8.1045121330002683</v>
      </c>
      <c r="G47" s="151">
        <f t="shared" si="24"/>
        <v>8.4509169576413914</v>
      </c>
      <c r="H47" s="151">
        <f t="shared" si="24"/>
        <v>8.8050520085767339</v>
      </c>
      <c r="I47" s="151">
        <f t="shared" si="24"/>
        <v>9.1538213769221475</v>
      </c>
      <c r="J47" s="151">
        <f t="shared" si="24"/>
        <v>9.6583942693603273</v>
      </c>
      <c r="K47" s="151">
        <f t="shared" si="24"/>
        <v>10.118484990698041</v>
      </c>
      <c r="L47" s="151">
        <f t="shared" si="24"/>
        <v>10.580331151401596</v>
      </c>
      <c r="M47" s="151">
        <f t="shared" si="24"/>
        <v>11.067382771678833</v>
      </c>
      <c r="N47" s="151">
        <f t="shared" si="24"/>
        <v>11.639092939486067</v>
      </c>
      <c r="O47" s="151">
        <f t="shared" si="24"/>
        <v>12.139691252228003</v>
      </c>
      <c r="P47" s="151">
        <f t="shared" si="24"/>
        <v>12.722464000189783</v>
      </c>
      <c r="Q47" s="151">
        <f t="shared" si="24"/>
        <v>13.279037643653822</v>
      </c>
      <c r="R47" s="151">
        <f t="shared" si="24"/>
        <v>13.974820940978807</v>
      </c>
      <c r="S47" s="151">
        <f t="shared" si="24"/>
        <v>14.689218519881202</v>
      </c>
      <c r="T47" s="148">
        <v>9</v>
      </c>
      <c r="U47" s="148">
        <v>14</v>
      </c>
      <c r="V47" s="148">
        <v>26</v>
      </c>
      <c r="W47" s="151">
        <f t="shared" si="25"/>
        <v>17.613912989362369</v>
      </c>
      <c r="X47" s="151">
        <f t="shared" si="25"/>
        <v>18.415585714094789</v>
      </c>
      <c r="Y47" s="185">
        <f t="shared" si="26"/>
        <v>3.3121497468700216E-5</v>
      </c>
      <c r="AJ47" s="51"/>
      <c r="AK47" s="51"/>
      <c r="AL47" s="51"/>
    </row>
    <row r="48" spans="2:38" x14ac:dyDescent="0.35">
      <c r="B48" s="736"/>
      <c r="C48" s="170" t="s">
        <v>277</v>
      </c>
      <c r="D48" s="147" t="s">
        <v>136</v>
      </c>
      <c r="F48" s="151">
        <f t="shared" si="24"/>
        <v>103304.39337055908</v>
      </c>
      <c r="G48" s="151">
        <f t="shared" si="24"/>
        <v>107719.85227578727</v>
      </c>
      <c r="H48" s="151">
        <f t="shared" si="24"/>
        <v>112233.84472934467</v>
      </c>
      <c r="I48" s="151">
        <f t="shared" si="24"/>
        <v>116679.44335784817</v>
      </c>
      <c r="J48" s="151">
        <f t="shared" si="24"/>
        <v>123110.99601754641</v>
      </c>
      <c r="K48" s="151">
        <f t="shared" si="24"/>
        <v>128975.55542386569</v>
      </c>
      <c r="L48" s="151">
        <f t="shared" si="24"/>
        <v>134862.49058776436</v>
      </c>
      <c r="M48" s="151">
        <f t="shared" si="24"/>
        <v>141070.70785577424</v>
      </c>
      <c r="N48" s="151">
        <f t="shared" si="24"/>
        <v>148358.02769685673</v>
      </c>
      <c r="O48" s="151">
        <f t="shared" si="24"/>
        <v>154738.91826392245</v>
      </c>
      <c r="P48" s="151">
        <f t="shared" si="24"/>
        <v>162167.24759616549</v>
      </c>
      <c r="Q48" s="151">
        <f t="shared" si="24"/>
        <v>169261.62930113915</v>
      </c>
      <c r="R48" s="151">
        <f t="shared" si="24"/>
        <v>178130.45080056682</v>
      </c>
      <c r="S48" s="151">
        <f t="shared" si="24"/>
        <v>187236.53976715673</v>
      </c>
      <c r="T48" s="148">
        <v>195611</v>
      </c>
      <c r="U48" s="148">
        <v>210055</v>
      </c>
      <c r="V48" s="148">
        <v>210100</v>
      </c>
      <c r="W48" s="151">
        <f t="shared" si="25"/>
        <v>224516.24063079551</v>
      </c>
      <c r="X48" s="151">
        <f t="shared" si="25"/>
        <v>234734.78471477449</v>
      </c>
      <c r="Y48" s="51">
        <f t="shared" si="26"/>
        <v>0.42218410527098782</v>
      </c>
      <c r="AJ48" s="51"/>
      <c r="AK48" s="51"/>
      <c r="AL48" s="51"/>
    </row>
    <row r="49" spans="2:38" x14ac:dyDescent="0.35">
      <c r="B49" s="736"/>
      <c r="C49" s="170"/>
      <c r="D49" s="147" t="s">
        <v>41</v>
      </c>
      <c r="F49" s="151">
        <f t="shared" si="24"/>
        <v>0</v>
      </c>
      <c r="G49" s="151">
        <f t="shared" si="24"/>
        <v>0</v>
      </c>
      <c r="H49" s="151">
        <f t="shared" si="24"/>
        <v>0</v>
      </c>
      <c r="I49" s="151">
        <f t="shared" si="24"/>
        <v>0</v>
      </c>
      <c r="J49" s="151">
        <f t="shared" si="24"/>
        <v>0</v>
      </c>
      <c r="K49" s="151">
        <f t="shared" si="24"/>
        <v>0</v>
      </c>
      <c r="L49" s="151">
        <f t="shared" si="24"/>
        <v>0</v>
      </c>
      <c r="M49" s="151">
        <f t="shared" si="24"/>
        <v>0</v>
      </c>
      <c r="N49" s="151">
        <f t="shared" si="24"/>
        <v>0</v>
      </c>
      <c r="O49" s="151">
        <f t="shared" si="24"/>
        <v>0</v>
      </c>
      <c r="P49" s="151">
        <f t="shared" si="24"/>
        <v>0</v>
      </c>
      <c r="Q49" s="151">
        <f t="shared" si="24"/>
        <v>0</v>
      </c>
      <c r="R49" s="151">
        <f t="shared" si="24"/>
        <v>0</v>
      </c>
      <c r="S49" s="151">
        <f t="shared" si="24"/>
        <v>0</v>
      </c>
      <c r="T49" s="148"/>
      <c r="U49" s="148"/>
      <c r="V49" s="148"/>
      <c r="W49" s="151">
        <f t="shared" si="25"/>
        <v>0</v>
      </c>
      <c r="X49" s="151">
        <f t="shared" si="25"/>
        <v>0</v>
      </c>
      <c r="Y49" s="186"/>
      <c r="AJ49" s="51"/>
      <c r="AK49" s="51"/>
      <c r="AL49" s="51"/>
    </row>
    <row r="50" spans="2:38" x14ac:dyDescent="0.35">
      <c r="B50" s="736"/>
      <c r="C50" s="170" t="s">
        <v>279</v>
      </c>
      <c r="D50" s="147" t="s">
        <v>136</v>
      </c>
      <c r="F50" s="151">
        <f t="shared" si="24"/>
        <v>3191.4328277672321</v>
      </c>
      <c r="G50" s="151">
        <f t="shared" si="24"/>
        <v>3327.8417455298572</v>
      </c>
      <c r="H50" s="151">
        <f t="shared" si="24"/>
        <v>3467.2947080858744</v>
      </c>
      <c r="I50" s="151">
        <f t="shared" si="24"/>
        <v>3604.6347469668003</v>
      </c>
      <c r="J50" s="151">
        <f t="shared" si="24"/>
        <v>3803.3278288577808</v>
      </c>
      <c r="K50" s="151">
        <f t="shared" si="24"/>
        <v>3984.5045126274813</v>
      </c>
      <c r="L50" s="151">
        <f t="shared" si="24"/>
        <v>4166.3724615501433</v>
      </c>
      <c r="M50" s="151">
        <f t="shared" si="24"/>
        <v>4358.1659346502402</v>
      </c>
      <c r="N50" s="151">
        <f t="shared" si="24"/>
        <v>4583.2966479573306</v>
      </c>
      <c r="O50" s="151">
        <f t="shared" si="24"/>
        <v>4780.4246012000958</v>
      </c>
      <c r="P50" s="151">
        <f t="shared" si="24"/>
        <v>5009.9115892447198</v>
      </c>
      <c r="Q50" s="151">
        <f t="shared" si="24"/>
        <v>5229.081770949856</v>
      </c>
      <c r="R50" s="151">
        <f t="shared" si="24"/>
        <v>5503.070583558746</v>
      </c>
      <c r="S50" s="151">
        <f t="shared" si="24"/>
        <v>5784.3894153367792</v>
      </c>
      <c r="T50" s="148">
        <v>6495</v>
      </c>
      <c r="U50" s="148">
        <v>6348</v>
      </c>
      <c r="V50" s="148">
        <v>6145</v>
      </c>
      <c r="W50" s="151">
        <f t="shared" si="25"/>
        <v>6936.0893311262889</v>
      </c>
      <c r="X50" s="151">
        <f t="shared" si="25"/>
        <v>7251.7757794713916</v>
      </c>
      <c r="Y50" s="51">
        <f>AVERAGE(T50/$T$62,U50/$U$62,V50/$V$62)</f>
        <v>1.3042738735130677E-2</v>
      </c>
      <c r="AJ50" s="51"/>
      <c r="AK50" s="51"/>
      <c r="AL50" s="51"/>
    </row>
    <row r="51" spans="2:38" s="110" customFormat="1" x14ac:dyDescent="0.35">
      <c r="B51" s="736"/>
      <c r="C51" s="170"/>
      <c r="D51" s="147" t="s">
        <v>41</v>
      </c>
      <c r="F51" s="151">
        <f t="shared" si="24"/>
        <v>16144.932149231603</v>
      </c>
      <c r="G51" s="151">
        <f t="shared" si="24"/>
        <v>16835.002359284703</v>
      </c>
      <c r="H51" s="151">
        <f t="shared" si="24"/>
        <v>17540.471889737386</v>
      </c>
      <c r="I51" s="151">
        <f t="shared" si="24"/>
        <v>18235.252487910486</v>
      </c>
      <c r="J51" s="151">
        <f t="shared" si="24"/>
        <v>19240.408008572307</v>
      </c>
      <c r="K51" s="151">
        <f t="shared" si="24"/>
        <v>20156.950961015093</v>
      </c>
      <c r="L51" s="151">
        <f t="shared" si="24"/>
        <v>21076.99090982095</v>
      </c>
      <c r="M51" s="151">
        <f t="shared" si="24"/>
        <v>22047.24244791548</v>
      </c>
      <c r="N51" s="151">
        <f t="shared" si="24"/>
        <v>23186.141584199038</v>
      </c>
      <c r="O51" s="151">
        <f t="shared" si="24"/>
        <v>24183.37937724635</v>
      </c>
      <c r="P51" s="151">
        <f t="shared" si="24"/>
        <v>25344.316188723624</v>
      </c>
      <c r="Q51" s="151">
        <f t="shared" si="24"/>
        <v>26453.061979008595</v>
      </c>
      <c r="R51" s="151">
        <f t="shared" si="24"/>
        <v>27839.126178991715</v>
      </c>
      <c r="S51" s="151">
        <f t="shared" si="24"/>
        <v>29262.271736636118</v>
      </c>
      <c r="T51" s="148">
        <v>31467</v>
      </c>
      <c r="U51" s="148">
        <v>31291</v>
      </c>
      <c r="V51" s="148">
        <v>33463</v>
      </c>
      <c r="W51" s="151">
        <f t="shared" si="25"/>
        <v>35088.531601772011</v>
      </c>
      <c r="X51" s="151">
        <f t="shared" si="25"/>
        <v>36685.537261618323</v>
      </c>
      <c r="Y51" s="51">
        <f>AVERAGE(T51/$T$62,U51/$U$62,V51/$V$62)</f>
        <v>6.5981063454235378E-2</v>
      </c>
      <c r="AJ51" s="51"/>
      <c r="AK51" s="51"/>
      <c r="AL51" s="51"/>
    </row>
    <row r="52" spans="2:38" s="110" customFormat="1" x14ac:dyDescent="0.35">
      <c r="B52" s="736"/>
      <c r="C52" s="170"/>
      <c r="D52" s="147" t="s">
        <v>117</v>
      </c>
      <c r="F52" s="151">
        <f t="shared" si="24"/>
        <v>7.0535149492463427</v>
      </c>
      <c r="G52" s="151">
        <f t="shared" si="24"/>
        <v>7.3549978231072135</v>
      </c>
      <c r="H52" s="151">
        <f t="shared" si="24"/>
        <v>7.6632084636531781</v>
      </c>
      <c r="I52" s="151">
        <f t="shared" si="24"/>
        <v>7.9667492460090523</v>
      </c>
      <c r="J52" s="151">
        <f t="shared" si="24"/>
        <v>8.4058888735882906</v>
      </c>
      <c r="K52" s="151">
        <f t="shared" si="24"/>
        <v>8.8063148002459783</v>
      </c>
      <c r="L52" s="151">
        <f t="shared" si="24"/>
        <v>9.2082685200152383</v>
      </c>
      <c r="M52" s="151">
        <f t="shared" si="24"/>
        <v>9.6321590427638739</v>
      </c>
      <c r="N52" s="151">
        <f t="shared" si="24"/>
        <v>10.129729550289492</v>
      </c>
      <c r="O52" s="151">
        <f t="shared" si="24"/>
        <v>10.565410023653849</v>
      </c>
      <c r="P52" s="151">
        <f t="shared" si="24"/>
        <v>11.072608510410886</v>
      </c>
      <c r="Q52" s="151">
        <f t="shared" si="24"/>
        <v>11.557005405634829</v>
      </c>
      <c r="R52" s="151">
        <f t="shared" si="24"/>
        <v>12.162559177235003</v>
      </c>
      <c r="S52" s="151">
        <f t="shared" si="24"/>
        <v>12.784313321074876</v>
      </c>
      <c r="T52" s="148">
        <v>14</v>
      </c>
      <c r="U52" s="148">
        <v>14</v>
      </c>
      <c r="V52" s="148">
        <v>14</v>
      </c>
      <c r="W52" s="151">
        <f t="shared" si="25"/>
        <v>15.329731950095617</v>
      </c>
      <c r="X52" s="151">
        <f t="shared" si="25"/>
        <v>16.027443355237267</v>
      </c>
      <c r="Y52" s="185">
        <f>AVERAGE(T52/$T$62,U52/$U$62,V52/$V$62)</f>
        <v>2.8826285124014647E-5</v>
      </c>
      <c r="AJ52" s="51"/>
      <c r="AK52" s="51"/>
      <c r="AL52" s="51"/>
    </row>
    <row r="53" spans="2:38" x14ac:dyDescent="0.35">
      <c r="B53" s="736"/>
      <c r="C53" s="170" t="s">
        <v>278</v>
      </c>
      <c r="D53" s="147" t="s">
        <v>136</v>
      </c>
      <c r="F53" s="151">
        <f t="shared" ref="F53:S61" si="27">$Y53*F$62</f>
        <v>0</v>
      </c>
      <c r="G53" s="151">
        <f t="shared" si="27"/>
        <v>0</v>
      </c>
      <c r="H53" s="151">
        <f t="shared" si="27"/>
        <v>0</v>
      </c>
      <c r="I53" s="151">
        <f t="shared" si="27"/>
        <v>0</v>
      </c>
      <c r="J53" s="151">
        <f t="shared" si="27"/>
        <v>0</v>
      </c>
      <c r="K53" s="151">
        <f t="shared" si="27"/>
        <v>0</v>
      </c>
      <c r="L53" s="151">
        <f t="shared" si="27"/>
        <v>0</v>
      </c>
      <c r="M53" s="151">
        <f t="shared" si="27"/>
        <v>0</v>
      </c>
      <c r="N53" s="151">
        <f t="shared" si="27"/>
        <v>0</v>
      </c>
      <c r="O53" s="151">
        <f t="shared" si="27"/>
        <v>0</v>
      </c>
      <c r="P53" s="151">
        <f t="shared" si="27"/>
        <v>0</v>
      </c>
      <c r="Q53" s="151">
        <f t="shared" si="27"/>
        <v>0</v>
      </c>
      <c r="R53" s="151">
        <f t="shared" si="27"/>
        <v>0</v>
      </c>
      <c r="S53" s="151">
        <f t="shared" si="27"/>
        <v>0</v>
      </c>
      <c r="T53" s="148"/>
      <c r="U53" s="148"/>
      <c r="V53" s="148"/>
      <c r="W53" s="151">
        <f t="shared" si="25"/>
        <v>0</v>
      </c>
      <c r="X53" s="151">
        <f t="shared" si="25"/>
        <v>0</v>
      </c>
      <c r="Y53" s="184"/>
      <c r="AJ53" s="51"/>
      <c r="AK53" s="51"/>
      <c r="AL53" s="51"/>
    </row>
    <row r="54" spans="2:38" x14ac:dyDescent="0.35">
      <c r="B54" s="736"/>
      <c r="C54" s="170"/>
      <c r="D54" s="147" t="s">
        <v>41</v>
      </c>
      <c r="F54" s="151">
        <f t="shared" si="27"/>
        <v>14865.681602094175</v>
      </c>
      <c r="G54" s="151">
        <f t="shared" si="27"/>
        <v>15501.073806342481</v>
      </c>
      <c r="H54" s="151">
        <f t="shared" si="27"/>
        <v>16150.64515930649</v>
      </c>
      <c r="I54" s="151">
        <f t="shared" si="27"/>
        <v>16790.374522074075</v>
      </c>
      <c r="J54" s="151">
        <f t="shared" si="27"/>
        <v>17715.88611869339</v>
      </c>
      <c r="K54" s="151">
        <f t="shared" si="27"/>
        <v>18559.806401523827</v>
      </c>
      <c r="L54" s="151">
        <f t="shared" si="27"/>
        <v>19406.946594727167</v>
      </c>
      <c r="M54" s="151">
        <f t="shared" si="27"/>
        <v>20300.319840643344</v>
      </c>
      <c r="N54" s="151">
        <f t="shared" si="27"/>
        <v>21348.977820769771</v>
      </c>
      <c r="O54" s="151">
        <f t="shared" si="27"/>
        <v>22267.199054280623</v>
      </c>
      <c r="P54" s="151">
        <f t="shared" si="27"/>
        <v>23336.148545058935</v>
      </c>
      <c r="Q54" s="151">
        <f t="shared" si="27"/>
        <v>24357.042392347299</v>
      </c>
      <c r="R54" s="151">
        <f t="shared" si="27"/>
        <v>25633.281207509564</v>
      </c>
      <c r="S54" s="151">
        <f t="shared" si="27"/>
        <v>26943.663223229796</v>
      </c>
      <c r="T54" s="148">
        <f>19759+8771</f>
        <v>28530</v>
      </c>
      <c r="U54" s="148">
        <f>8851+20357</f>
        <v>29208</v>
      </c>
      <c r="V54" s="148">
        <f>21630+9252</f>
        <v>30882</v>
      </c>
      <c r="W54" s="151">
        <f t="shared" si="25"/>
        <v>32308.276916591924</v>
      </c>
      <c r="X54" s="151">
        <f t="shared" si="25"/>
        <v>33778.743155568809</v>
      </c>
      <c r="Y54" s="51">
        <f>AVERAGE(T54/$T$62,U54/$U$62,V54/$V$62)</f>
        <v>6.0753025903854146E-2</v>
      </c>
      <c r="AJ54" s="51"/>
      <c r="AK54" s="51"/>
      <c r="AL54" s="51"/>
    </row>
    <row r="55" spans="2:38" x14ac:dyDescent="0.35">
      <c r="B55" s="736"/>
      <c r="C55" s="170"/>
      <c r="D55" s="147" t="s">
        <v>117</v>
      </c>
      <c r="F55" s="151">
        <f t="shared" si="27"/>
        <v>0</v>
      </c>
      <c r="G55" s="151">
        <f t="shared" si="27"/>
        <v>0</v>
      </c>
      <c r="H55" s="151">
        <f t="shared" si="27"/>
        <v>0</v>
      </c>
      <c r="I55" s="151">
        <f t="shared" si="27"/>
        <v>0</v>
      </c>
      <c r="J55" s="151">
        <f t="shared" si="27"/>
        <v>0</v>
      </c>
      <c r="K55" s="151">
        <f t="shared" si="27"/>
        <v>0</v>
      </c>
      <c r="L55" s="151">
        <f t="shared" si="27"/>
        <v>0</v>
      </c>
      <c r="M55" s="151">
        <f t="shared" si="27"/>
        <v>0</v>
      </c>
      <c r="N55" s="151">
        <f t="shared" si="27"/>
        <v>0</v>
      </c>
      <c r="O55" s="151">
        <f t="shared" si="27"/>
        <v>0</v>
      </c>
      <c r="P55" s="151">
        <f t="shared" si="27"/>
        <v>0</v>
      </c>
      <c r="Q55" s="151">
        <f t="shared" si="27"/>
        <v>0</v>
      </c>
      <c r="R55" s="151">
        <f t="shared" si="27"/>
        <v>0</v>
      </c>
      <c r="S55" s="151">
        <f t="shared" si="27"/>
        <v>0</v>
      </c>
      <c r="T55" s="148"/>
      <c r="U55" s="148"/>
      <c r="V55" s="148"/>
      <c r="W55" s="151">
        <f t="shared" si="25"/>
        <v>0</v>
      </c>
      <c r="X55" s="151">
        <f t="shared" si="25"/>
        <v>0</v>
      </c>
      <c r="Y55" s="184"/>
      <c r="AJ55" s="51"/>
      <c r="AK55" s="51"/>
      <c r="AL55" s="51"/>
    </row>
    <row r="56" spans="2:38" x14ac:dyDescent="0.35">
      <c r="B56" s="736"/>
      <c r="C56" s="171" t="s">
        <v>274</v>
      </c>
      <c r="D56" s="147" t="s">
        <v>136</v>
      </c>
      <c r="F56" s="151">
        <f t="shared" si="27"/>
        <v>0</v>
      </c>
      <c r="G56" s="151">
        <f t="shared" si="27"/>
        <v>0</v>
      </c>
      <c r="H56" s="151">
        <f t="shared" si="27"/>
        <v>0</v>
      </c>
      <c r="I56" s="151">
        <f t="shared" si="27"/>
        <v>0</v>
      </c>
      <c r="J56" s="151">
        <f t="shared" si="27"/>
        <v>0</v>
      </c>
      <c r="K56" s="151">
        <f t="shared" si="27"/>
        <v>0</v>
      </c>
      <c r="L56" s="151">
        <f t="shared" si="27"/>
        <v>0</v>
      </c>
      <c r="M56" s="151">
        <f t="shared" si="27"/>
        <v>0</v>
      </c>
      <c r="N56" s="151">
        <f t="shared" si="27"/>
        <v>0</v>
      </c>
      <c r="O56" s="151">
        <f t="shared" si="27"/>
        <v>0</v>
      </c>
      <c r="P56" s="151">
        <f t="shared" si="27"/>
        <v>0</v>
      </c>
      <c r="Q56" s="151">
        <f t="shared" si="27"/>
        <v>0</v>
      </c>
      <c r="R56" s="151">
        <f t="shared" si="27"/>
        <v>0</v>
      </c>
      <c r="S56" s="151">
        <f t="shared" si="27"/>
        <v>0</v>
      </c>
      <c r="T56" s="148"/>
      <c r="U56" s="148"/>
      <c r="V56" s="148"/>
      <c r="W56" s="151">
        <f t="shared" si="25"/>
        <v>0</v>
      </c>
      <c r="X56" s="151">
        <f t="shared" si="25"/>
        <v>0</v>
      </c>
      <c r="Y56" s="51"/>
      <c r="AJ56" s="51"/>
      <c r="AK56" s="51"/>
      <c r="AL56" s="51"/>
    </row>
    <row r="57" spans="2:38" x14ac:dyDescent="0.35">
      <c r="B57" s="736"/>
      <c r="C57" s="171"/>
      <c r="D57" s="147" t="s">
        <v>41</v>
      </c>
      <c r="F57" s="151">
        <f t="shared" si="27"/>
        <v>4055.2606079636421</v>
      </c>
      <c r="G57" s="151">
        <f t="shared" si="27"/>
        <v>4228.5914410505256</v>
      </c>
      <c r="H57" s="151">
        <f t="shared" si="27"/>
        <v>4405.7902530690417</v>
      </c>
      <c r="I57" s="151">
        <f t="shared" si="27"/>
        <v>4580.3042346024276</v>
      </c>
      <c r="J57" s="151">
        <f t="shared" si="27"/>
        <v>4832.7777383706725</v>
      </c>
      <c r="K57" s="151">
        <f t="shared" si="27"/>
        <v>5062.9936659566429</v>
      </c>
      <c r="L57" s="151">
        <f t="shared" si="27"/>
        <v>5294.0879640099711</v>
      </c>
      <c r="M57" s="151">
        <f t="shared" si="27"/>
        <v>5537.7943361323305</v>
      </c>
      <c r="N57" s="151">
        <f t="shared" si="27"/>
        <v>5823.8613670200593</v>
      </c>
      <c r="O57" s="151">
        <f t="shared" si="27"/>
        <v>6074.3461074659854</v>
      </c>
      <c r="P57" s="151">
        <f t="shared" si="27"/>
        <v>6365.9485296008324</v>
      </c>
      <c r="Q57" s="151">
        <f t="shared" si="27"/>
        <v>6644.4416868360677</v>
      </c>
      <c r="R57" s="151">
        <f t="shared" si="27"/>
        <v>6992.5912794354836</v>
      </c>
      <c r="S57" s="151">
        <f t="shared" si="27"/>
        <v>7350.0549135944211</v>
      </c>
      <c r="T57" s="148">
        <v>9721</v>
      </c>
      <c r="U57" s="148">
        <v>7749</v>
      </c>
      <c r="V57" s="148">
        <v>6537</v>
      </c>
      <c r="W57" s="151">
        <f t="shared" si="25"/>
        <v>8813.4864043219713</v>
      </c>
      <c r="X57" s="151">
        <f t="shared" si="25"/>
        <v>9214.6199664334708</v>
      </c>
      <c r="Y57" s="51">
        <f>AVERAGE(T57/$T$62,U57/$U$62,V57/$V$62)</f>
        <v>1.6573027685981626E-2</v>
      </c>
      <c r="AJ57" s="51"/>
      <c r="AK57" s="51"/>
      <c r="AL57" s="51"/>
    </row>
    <row r="58" spans="2:38" x14ac:dyDescent="0.35">
      <c r="B58" s="736"/>
      <c r="C58" s="171"/>
      <c r="D58" s="147" t="s">
        <v>117</v>
      </c>
      <c r="F58" s="151">
        <f t="shared" si="27"/>
        <v>0</v>
      </c>
      <c r="G58" s="151">
        <f t="shared" si="27"/>
        <v>0</v>
      </c>
      <c r="H58" s="151">
        <f t="shared" si="27"/>
        <v>0</v>
      </c>
      <c r="I58" s="151">
        <f t="shared" si="27"/>
        <v>0</v>
      </c>
      <c r="J58" s="151">
        <f t="shared" si="27"/>
        <v>0</v>
      </c>
      <c r="K58" s="151">
        <f t="shared" si="27"/>
        <v>0</v>
      </c>
      <c r="L58" s="151">
        <f t="shared" si="27"/>
        <v>0</v>
      </c>
      <c r="M58" s="151">
        <f t="shared" si="27"/>
        <v>0</v>
      </c>
      <c r="N58" s="151">
        <f t="shared" si="27"/>
        <v>0</v>
      </c>
      <c r="O58" s="151">
        <f t="shared" si="27"/>
        <v>0</v>
      </c>
      <c r="P58" s="151">
        <f t="shared" si="27"/>
        <v>0</v>
      </c>
      <c r="Q58" s="151">
        <f t="shared" si="27"/>
        <v>0</v>
      </c>
      <c r="R58" s="151">
        <f t="shared" si="27"/>
        <v>0</v>
      </c>
      <c r="S58" s="151">
        <f t="shared" si="27"/>
        <v>0</v>
      </c>
      <c r="T58" s="148"/>
      <c r="U58" s="148"/>
      <c r="V58" s="148"/>
      <c r="W58" s="151">
        <f t="shared" si="25"/>
        <v>0</v>
      </c>
      <c r="X58" s="151">
        <f t="shared" si="25"/>
        <v>0</v>
      </c>
      <c r="Y58" s="51"/>
      <c r="AJ58" s="51"/>
      <c r="AK58" s="51"/>
      <c r="AL58" s="51"/>
    </row>
    <row r="59" spans="2:38" x14ac:dyDescent="0.35">
      <c r="B59" s="736"/>
      <c r="C59" s="171" t="s">
        <v>275</v>
      </c>
      <c r="D59" s="147" t="s">
        <v>136</v>
      </c>
      <c r="F59" s="151">
        <f t="shared" si="27"/>
        <v>0</v>
      </c>
      <c r="G59" s="151">
        <f t="shared" si="27"/>
        <v>0</v>
      </c>
      <c r="H59" s="151">
        <f t="shared" si="27"/>
        <v>0</v>
      </c>
      <c r="I59" s="151">
        <f t="shared" si="27"/>
        <v>0</v>
      </c>
      <c r="J59" s="151">
        <f t="shared" si="27"/>
        <v>0</v>
      </c>
      <c r="K59" s="151">
        <f t="shared" si="27"/>
        <v>0</v>
      </c>
      <c r="L59" s="151">
        <f t="shared" si="27"/>
        <v>0</v>
      </c>
      <c r="M59" s="151">
        <f t="shared" si="27"/>
        <v>0</v>
      </c>
      <c r="N59" s="151">
        <f t="shared" si="27"/>
        <v>0</v>
      </c>
      <c r="O59" s="151">
        <f t="shared" si="27"/>
        <v>0</v>
      </c>
      <c r="P59" s="151">
        <f t="shared" si="27"/>
        <v>0</v>
      </c>
      <c r="Q59" s="151">
        <f t="shared" si="27"/>
        <v>0</v>
      </c>
      <c r="R59" s="151">
        <f t="shared" si="27"/>
        <v>0</v>
      </c>
      <c r="S59" s="151">
        <f t="shared" si="27"/>
        <v>0</v>
      </c>
      <c r="T59" s="148"/>
      <c r="U59" s="148"/>
      <c r="V59" s="148"/>
      <c r="W59" s="151">
        <f t="shared" si="25"/>
        <v>0</v>
      </c>
      <c r="X59" s="151">
        <f t="shared" si="25"/>
        <v>0</v>
      </c>
      <c r="Y59" s="51"/>
      <c r="AJ59" s="51"/>
      <c r="AK59" s="51"/>
      <c r="AL59" s="51"/>
    </row>
    <row r="60" spans="2:38" x14ac:dyDescent="0.35">
      <c r="B60" s="736"/>
      <c r="C60" s="171"/>
      <c r="D60" s="147" t="s">
        <v>41</v>
      </c>
      <c r="F60" s="151">
        <f t="shared" si="27"/>
        <v>1779.9010052470383</v>
      </c>
      <c r="G60" s="151">
        <f t="shared" si="27"/>
        <v>1855.9779220907553</v>
      </c>
      <c r="H60" s="151">
        <f t="shared" si="27"/>
        <v>1933.7525398356586</v>
      </c>
      <c r="I60" s="151">
        <f t="shared" si="27"/>
        <v>2010.3487542813969</v>
      </c>
      <c r="J60" s="151">
        <f t="shared" si="27"/>
        <v>2121.1623089695618</v>
      </c>
      <c r="K60" s="151">
        <f t="shared" si="27"/>
        <v>2222.2067548257583</v>
      </c>
      <c r="L60" s="151">
        <f t="shared" si="27"/>
        <v>2323.636727687237</v>
      </c>
      <c r="M60" s="151">
        <f t="shared" si="27"/>
        <v>2430.6022864170168</v>
      </c>
      <c r="N60" s="151">
        <f t="shared" si="27"/>
        <v>2556.1604305336255</v>
      </c>
      <c r="O60" s="151">
        <f t="shared" si="27"/>
        <v>2666.1010938890749</v>
      </c>
      <c r="P60" s="151">
        <f t="shared" si="27"/>
        <v>2794.088785548407</v>
      </c>
      <c r="Q60" s="151">
        <f t="shared" si="27"/>
        <v>2916.3226685062591</v>
      </c>
      <c r="R60" s="151">
        <f t="shared" si="27"/>
        <v>3069.1295703924529</v>
      </c>
      <c r="S60" s="151">
        <f t="shared" si="27"/>
        <v>3226.0245133535286</v>
      </c>
      <c r="T60" s="148">
        <v>3244</v>
      </c>
      <c r="U60" s="148">
        <v>3552</v>
      </c>
      <c r="V60" s="148">
        <v>3828</v>
      </c>
      <c r="W60" s="151">
        <f t="shared" si="25"/>
        <v>3868.3416005318359</v>
      </c>
      <c r="X60" s="151">
        <f t="shared" si="25"/>
        <v>4044.4037823404442</v>
      </c>
      <c r="Y60" s="51">
        <f>AVERAGE(T60/$T$62,U60/$U$62,V60/$V$62)</f>
        <v>7.2740944392913759E-3</v>
      </c>
      <c r="AJ60" s="51"/>
      <c r="AK60" s="51"/>
      <c r="AL60" s="51"/>
    </row>
    <row r="61" spans="2:38" x14ac:dyDescent="0.35">
      <c r="B61" s="736"/>
      <c r="C61" s="171"/>
      <c r="D61" s="147" t="s">
        <v>117</v>
      </c>
      <c r="F61" s="151">
        <f t="shared" si="27"/>
        <v>0</v>
      </c>
      <c r="G61" s="151">
        <f t="shared" si="27"/>
        <v>0</v>
      </c>
      <c r="H61" s="151">
        <f t="shared" si="27"/>
        <v>0</v>
      </c>
      <c r="I61" s="151">
        <f t="shared" si="27"/>
        <v>0</v>
      </c>
      <c r="J61" s="151">
        <f t="shared" si="27"/>
        <v>0</v>
      </c>
      <c r="K61" s="151">
        <f t="shared" si="27"/>
        <v>0</v>
      </c>
      <c r="L61" s="151">
        <f t="shared" si="27"/>
        <v>0</v>
      </c>
      <c r="M61" s="151">
        <f t="shared" si="27"/>
        <v>0</v>
      </c>
      <c r="N61" s="151">
        <f t="shared" si="27"/>
        <v>0</v>
      </c>
      <c r="O61" s="151">
        <f t="shared" si="27"/>
        <v>0</v>
      </c>
      <c r="P61" s="151">
        <f t="shared" si="27"/>
        <v>0</v>
      </c>
      <c r="Q61" s="151">
        <f t="shared" si="27"/>
        <v>0</v>
      </c>
      <c r="R61" s="151">
        <f t="shared" si="27"/>
        <v>0</v>
      </c>
      <c r="S61" s="151">
        <f t="shared" si="27"/>
        <v>0</v>
      </c>
      <c r="T61" s="149"/>
      <c r="U61" s="149"/>
      <c r="V61" s="149"/>
      <c r="W61" s="151">
        <f t="shared" si="25"/>
        <v>0</v>
      </c>
      <c r="X61" s="151">
        <f t="shared" si="25"/>
        <v>0</v>
      </c>
      <c r="Y61" s="51"/>
      <c r="AJ61" s="51"/>
      <c r="AK61" s="51"/>
      <c r="AL61" s="51"/>
    </row>
    <row r="62" spans="2:38" ht="15" thickBot="1" x14ac:dyDescent="0.4">
      <c r="B62" s="737"/>
      <c r="C62" s="3" t="s">
        <v>219</v>
      </c>
      <c r="E62" t="s">
        <v>281</v>
      </c>
      <c r="F62" s="151">
        <f>411.92*11^2+820.37*11+185824</f>
        <v>244690.39</v>
      </c>
      <c r="G62" s="151">
        <v>255149</v>
      </c>
      <c r="H62" s="151">
        <v>265841</v>
      </c>
      <c r="I62" s="151">
        <v>276371</v>
      </c>
      <c r="J62" s="151">
        <v>291605</v>
      </c>
      <c r="K62" s="151">
        <v>305496</v>
      </c>
      <c r="L62" s="151">
        <v>319440</v>
      </c>
      <c r="M62" s="151">
        <v>334145</v>
      </c>
      <c r="N62" s="151">
        <v>351406</v>
      </c>
      <c r="O62" s="151">
        <v>366520</v>
      </c>
      <c r="P62" s="151">
        <v>384115</v>
      </c>
      <c r="Q62" s="151">
        <v>400919</v>
      </c>
      <c r="R62" s="151">
        <v>421926</v>
      </c>
      <c r="S62" s="151">
        <v>443495</v>
      </c>
      <c r="T62" s="151">
        <f>SUM(T43:T61)</f>
        <v>465052</v>
      </c>
      <c r="U62" s="151">
        <f t="shared" ref="U62:V62" si="28">SUM(U43:U61)</f>
        <v>486144</v>
      </c>
      <c r="V62" s="151">
        <f t="shared" si="28"/>
        <v>507676</v>
      </c>
      <c r="W62" s="151">
        <v>531797</v>
      </c>
      <c r="X62" s="151">
        <v>556001</v>
      </c>
    </row>
    <row r="63" spans="2:38" x14ac:dyDescent="0.35">
      <c r="B63" s="735" t="s">
        <v>140</v>
      </c>
      <c r="C63" s="170" t="s">
        <v>276</v>
      </c>
      <c r="D63" s="147" t="s">
        <v>136</v>
      </c>
      <c r="F63" s="151">
        <f t="shared" ref="F63:S72" si="29">$Y63*F$82</f>
        <v>272.34949995452575</v>
      </c>
      <c r="G63" s="151">
        <f t="shared" si="29"/>
        <v>294.27627286998819</v>
      </c>
      <c r="H63" s="151">
        <f t="shared" si="29"/>
        <v>317.96836340331487</v>
      </c>
      <c r="I63" s="151">
        <f t="shared" si="29"/>
        <v>343.56789672285396</v>
      </c>
      <c r="J63" s="151">
        <f t="shared" si="29"/>
        <v>371.22844044973027</v>
      </c>
      <c r="K63" s="151">
        <f t="shared" si="29"/>
        <v>401.11592588613314</v>
      </c>
      <c r="L63" s="151">
        <f t="shared" si="29"/>
        <v>433.40964341140568</v>
      </c>
      <c r="M63" s="151">
        <f t="shared" si="29"/>
        <v>457.7072631818001</v>
      </c>
      <c r="N63" s="151">
        <f t="shared" si="29"/>
        <v>483.16191246507049</v>
      </c>
      <c r="O63" s="151">
        <f t="shared" si="29"/>
        <v>500.85765795611405</v>
      </c>
      <c r="P63" s="151">
        <f t="shared" si="29"/>
        <v>522.0244919857854</v>
      </c>
      <c r="Q63" s="151">
        <f t="shared" si="29"/>
        <v>550.13350309271232</v>
      </c>
      <c r="R63" s="151">
        <f t="shared" si="29"/>
        <v>590.56147548378874</v>
      </c>
      <c r="S63" s="151">
        <f t="shared" si="29"/>
        <v>635.14114200930237</v>
      </c>
      <c r="T63" s="148">
        <v>694</v>
      </c>
      <c r="U63" s="148">
        <v>806</v>
      </c>
      <c r="V63" s="148">
        <v>953</v>
      </c>
      <c r="W63" s="151">
        <f t="shared" ref="W63:X81" si="30">$Y63*W$82</f>
        <v>948.88522427032035</v>
      </c>
      <c r="X63" s="151">
        <f t="shared" si="30"/>
        <v>1019.5874614316733</v>
      </c>
      <c r="Y63" s="51">
        <f>AVERAGE(T63/$T$82,U63/$U$82,V63/$V$82)</f>
        <v>6.8060559580936819E-2</v>
      </c>
    </row>
    <row r="64" spans="2:38" x14ac:dyDescent="0.35">
      <c r="B64" s="736"/>
      <c r="C64" s="170"/>
      <c r="D64" s="147" t="s">
        <v>41</v>
      </c>
      <c r="F64" s="151">
        <f t="shared" si="29"/>
        <v>150.80475426502986</v>
      </c>
      <c r="G64" s="151">
        <f t="shared" si="29"/>
        <v>162.94599778445448</v>
      </c>
      <c r="H64" s="151">
        <f t="shared" si="29"/>
        <v>176.06472901583084</v>
      </c>
      <c r="I64" s="151">
        <f t="shared" si="29"/>
        <v>190.23964518860564</v>
      </c>
      <c r="J64" s="151">
        <f t="shared" si="29"/>
        <v>205.55577942151294</v>
      </c>
      <c r="K64" s="151">
        <f t="shared" si="29"/>
        <v>222.10501082303543</v>
      </c>
      <c r="L64" s="151">
        <f t="shared" si="29"/>
        <v>239.98661565989457</v>
      </c>
      <c r="M64" s="151">
        <f t="shared" si="29"/>
        <v>253.44063918228503</v>
      </c>
      <c r="N64" s="151">
        <f t="shared" si="29"/>
        <v>267.53533049145597</v>
      </c>
      <c r="O64" s="151">
        <f t="shared" si="29"/>
        <v>277.33377899515767</v>
      </c>
      <c r="P64" s="151">
        <f t="shared" si="29"/>
        <v>289.05423085920091</v>
      </c>
      <c r="Q64" s="151">
        <f t="shared" si="29"/>
        <v>304.61868944392711</v>
      </c>
      <c r="R64" s="151">
        <f t="shared" si="29"/>
        <v>327.00437564084564</v>
      </c>
      <c r="S64" s="151">
        <f t="shared" si="29"/>
        <v>351.68892860209422</v>
      </c>
      <c r="T64" s="148">
        <v>472</v>
      </c>
      <c r="U64" s="148">
        <v>427</v>
      </c>
      <c r="V64" s="148">
        <v>445</v>
      </c>
      <c r="W64" s="151">
        <f t="shared" si="30"/>
        <v>525.41459813840754</v>
      </c>
      <c r="X64" s="151">
        <f t="shared" si="30"/>
        <v>564.56368232209786</v>
      </c>
      <c r="Y64" s="51">
        <f>AVERAGE(T64/$T$82,U64/$U$82,V64/$V$82)</f>
        <v>3.768634039885279E-2</v>
      </c>
    </row>
    <row r="65" spans="2:25" x14ac:dyDescent="0.35">
      <c r="B65" s="736"/>
      <c r="C65" s="170"/>
      <c r="D65" s="147" t="s">
        <v>117</v>
      </c>
      <c r="F65" s="151">
        <f t="shared" si="29"/>
        <v>0</v>
      </c>
      <c r="G65" s="151">
        <f t="shared" si="29"/>
        <v>0</v>
      </c>
      <c r="H65" s="151">
        <f t="shared" si="29"/>
        <v>0</v>
      </c>
      <c r="I65" s="151">
        <f t="shared" si="29"/>
        <v>0</v>
      </c>
      <c r="J65" s="151">
        <f t="shared" si="29"/>
        <v>0</v>
      </c>
      <c r="K65" s="151">
        <f t="shared" si="29"/>
        <v>0</v>
      </c>
      <c r="L65" s="151">
        <f t="shared" si="29"/>
        <v>0</v>
      </c>
      <c r="M65" s="151">
        <f t="shared" si="29"/>
        <v>0</v>
      </c>
      <c r="N65" s="151">
        <f t="shared" si="29"/>
        <v>0</v>
      </c>
      <c r="O65" s="151">
        <f t="shared" si="29"/>
        <v>0</v>
      </c>
      <c r="P65" s="151">
        <f t="shared" si="29"/>
        <v>0</v>
      </c>
      <c r="Q65" s="151">
        <f t="shared" si="29"/>
        <v>0</v>
      </c>
      <c r="R65" s="151">
        <f t="shared" si="29"/>
        <v>0</v>
      </c>
      <c r="S65" s="151">
        <f t="shared" si="29"/>
        <v>0</v>
      </c>
      <c r="T65" s="148"/>
      <c r="U65" s="148"/>
      <c r="V65" s="148"/>
      <c r="W65" s="151">
        <f t="shared" si="30"/>
        <v>0</v>
      </c>
      <c r="X65" s="151">
        <f t="shared" si="30"/>
        <v>0</v>
      </c>
      <c r="Y65" s="51"/>
    </row>
    <row r="66" spans="2:25" x14ac:dyDescent="0.35">
      <c r="B66" s="736"/>
      <c r="C66" s="170"/>
      <c r="D66" s="147" t="s">
        <v>226</v>
      </c>
      <c r="F66" s="151">
        <f t="shared" si="29"/>
        <v>1.3165132964396407</v>
      </c>
      <c r="G66" s="151">
        <f t="shared" si="29"/>
        <v>1.4225053694782868</v>
      </c>
      <c r="H66" s="151">
        <f t="shared" si="29"/>
        <v>1.5370308311104333</v>
      </c>
      <c r="I66" s="151">
        <f t="shared" si="29"/>
        <v>1.6607767017782704</v>
      </c>
      <c r="J66" s="151">
        <f t="shared" si="29"/>
        <v>1.7944853137245491</v>
      </c>
      <c r="K66" s="151">
        <f t="shared" si="29"/>
        <v>1.9389587641283144</v>
      </c>
      <c r="L66" s="151">
        <f t="shared" si="29"/>
        <v>2.0950637267612029</v>
      </c>
      <c r="M66" s="151">
        <f t="shared" si="29"/>
        <v>2.2125162629505479</v>
      </c>
      <c r="N66" s="151">
        <f t="shared" si="29"/>
        <v>2.3355617770536714</v>
      </c>
      <c r="O66" s="151">
        <f t="shared" si="29"/>
        <v>2.4211014392643988</v>
      </c>
      <c r="P66" s="151">
        <f t="shared" si="29"/>
        <v>2.5234200352164615</v>
      </c>
      <c r="Q66" s="151">
        <f t="shared" si="29"/>
        <v>2.659296498651194</v>
      </c>
      <c r="R66" s="151">
        <f t="shared" si="29"/>
        <v>2.8547217269326253</v>
      </c>
      <c r="S66" s="151">
        <f t="shared" si="29"/>
        <v>3.0702158759634965</v>
      </c>
      <c r="T66" s="148">
        <v>3</v>
      </c>
      <c r="U66" s="148">
        <v>3</v>
      </c>
      <c r="V66" s="148">
        <v>6</v>
      </c>
      <c r="W66" s="151">
        <f t="shared" si="30"/>
        <v>4.5868269071746761</v>
      </c>
      <c r="X66" s="151">
        <f t="shared" si="30"/>
        <v>4.9285952428113919</v>
      </c>
      <c r="Y66" s="184">
        <f>AVERAGE(T66/$T$82,U66/$U$82,V66/$V$82)</f>
        <v>3.2899870081049042E-4</v>
      </c>
    </row>
    <row r="67" spans="2:25" x14ac:dyDescent="0.35">
      <c r="B67" s="736"/>
      <c r="C67" s="170"/>
      <c r="D67" s="147" t="s">
        <v>227</v>
      </c>
      <c r="F67" s="151">
        <f t="shared" si="29"/>
        <v>0</v>
      </c>
      <c r="G67" s="151">
        <f t="shared" si="29"/>
        <v>0</v>
      </c>
      <c r="H67" s="151">
        <f t="shared" si="29"/>
        <v>0</v>
      </c>
      <c r="I67" s="151">
        <f t="shared" si="29"/>
        <v>0</v>
      </c>
      <c r="J67" s="151">
        <f t="shared" si="29"/>
        <v>0</v>
      </c>
      <c r="K67" s="151">
        <f t="shared" si="29"/>
        <v>0</v>
      </c>
      <c r="L67" s="151">
        <f t="shared" si="29"/>
        <v>0</v>
      </c>
      <c r="M67" s="151">
        <f t="shared" si="29"/>
        <v>0</v>
      </c>
      <c r="N67" s="151">
        <f t="shared" si="29"/>
        <v>0</v>
      </c>
      <c r="O67" s="151">
        <f t="shared" si="29"/>
        <v>0</v>
      </c>
      <c r="P67" s="151">
        <f t="shared" si="29"/>
        <v>0</v>
      </c>
      <c r="Q67" s="151">
        <f t="shared" si="29"/>
        <v>0</v>
      </c>
      <c r="R67" s="151">
        <f t="shared" si="29"/>
        <v>0</v>
      </c>
      <c r="S67" s="151">
        <f t="shared" si="29"/>
        <v>0</v>
      </c>
      <c r="T67" s="148"/>
      <c r="U67" s="148"/>
      <c r="V67" s="148"/>
      <c r="W67" s="151">
        <f t="shared" si="30"/>
        <v>0</v>
      </c>
      <c r="X67" s="151">
        <f t="shared" si="30"/>
        <v>0</v>
      </c>
      <c r="Y67" s="51"/>
    </row>
    <row r="68" spans="2:25" x14ac:dyDescent="0.35">
      <c r="B68" s="736"/>
      <c r="C68" s="170" t="s">
        <v>277</v>
      </c>
      <c r="D68" s="147" t="s">
        <v>136</v>
      </c>
      <c r="F68" s="151">
        <f t="shared" si="29"/>
        <v>2696.4713958880593</v>
      </c>
      <c r="G68" s="151">
        <f t="shared" si="29"/>
        <v>2913.5634631786156</v>
      </c>
      <c r="H68" s="151">
        <f t="shared" si="29"/>
        <v>3148.1335447927645</v>
      </c>
      <c r="I68" s="151">
        <f t="shared" si="29"/>
        <v>3401.5887901879137</v>
      </c>
      <c r="J68" s="151">
        <f t="shared" si="29"/>
        <v>3675.4496379834354</v>
      </c>
      <c r="K68" s="151">
        <f t="shared" si="29"/>
        <v>3971.3589368355997</v>
      </c>
      <c r="L68" s="151">
        <f t="shared" si="29"/>
        <v>4291.0918006312959</v>
      </c>
      <c r="M68" s="151">
        <f t="shared" si="29"/>
        <v>4531.6570915900538</v>
      </c>
      <c r="N68" s="151">
        <f t="shared" si="29"/>
        <v>4783.6778725944669</v>
      </c>
      <c r="O68" s="151">
        <f t="shared" si="29"/>
        <v>4958.8794850574286</v>
      </c>
      <c r="P68" s="151">
        <f t="shared" si="29"/>
        <v>5168.4475676573547</v>
      </c>
      <c r="Q68" s="151">
        <f t="shared" si="29"/>
        <v>5446.7485905312124</v>
      </c>
      <c r="R68" s="151">
        <f t="shared" si="29"/>
        <v>5847.0168897735166</v>
      </c>
      <c r="S68" s="151">
        <f t="shared" si="29"/>
        <v>6288.3901827090531</v>
      </c>
      <c r="T68" s="148">
        <v>7436</v>
      </c>
      <c r="U68" s="148">
        <v>8048</v>
      </c>
      <c r="V68" s="148">
        <v>8694</v>
      </c>
      <c r="W68" s="151">
        <f t="shared" si="30"/>
        <v>9394.7000661024213</v>
      </c>
      <c r="X68" s="151">
        <f t="shared" si="30"/>
        <v>10094.707079747441</v>
      </c>
      <c r="Y68" s="51">
        <f>AVERAGE(T68/$T$82,U68/$U$82,V68/$V$82)</f>
        <v>0.67385235562677381</v>
      </c>
    </row>
    <row r="69" spans="2:25" x14ac:dyDescent="0.35">
      <c r="B69" s="736"/>
      <c r="C69" s="170"/>
      <c r="D69" s="147" t="s">
        <v>41</v>
      </c>
      <c r="F69" s="151">
        <f t="shared" si="29"/>
        <v>0</v>
      </c>
      <c r="G69" s="151">
        <f t="shared" si="29"/>
        <v>0</v>
      </c>
      <c r="H69" s="151">
        <f t="shared" si="29"/>
        <v>0</v>
      </c>
      <c r="I69" s="151">
        <f t="shared" si="29"/>
        <v>0</v>
      </c>
      <c r="J69" s="151">
        <f t="shared" si="29"/>
        <v>0</v>
      </c>
      <c r="K69" s="151">
        <f t="shared" si="29"/>
        <v>0</v>
      </c>
      <c r="L69" s="151">
        <f t="shared" si="29"/>
        <v>0</v>
      </c>
      <c r="M69" s="151">
        <f t="shared" si="29"/>
        <v>0</v>
      </c>
      <c r="N69" s="151">
        <f t="shared" si="29"/>
        <v>0</v>
      </c>
      <c r="O69" s="151">
        <f t="shared" si="29"/>
        <v>0</v>
      </c>
      <c r="P69" s="151">
        <f t="shared" si="29"/>
        <v>0</v>
      </c>
      <c r="Q69" s="151">
        <f t="shared" si="29"/>
        <v>0</v>
      </c>
      <c r="R69" s="151">
        <f t="shared" si="29"/>
        <v>0</v>
      </c>
      <c r="S69" s="151">
        <f t="shared" si="29"/>
        <v>0</v>
      </c>
      <c r="T69" s="148"/>
      <c r="U69" s="148"/>
      <c r="V69" s="148"/>
      <c r="W69" s="151">
        <f t="shared" si="30"/>
        <v>0</v>
      </c>
      <c r="X69" s="151">
        <f t="shared" si="30"/>
        <v>0</v>
      </c>
      <c r="Y69" s="51"/>
    </row>
    <row r="70" spans="2:25" x14ac:dyDescent="0.35">
      <c r="B70" s="736"/>
      <c r="C70" s="170" t="s">
        <v>279</v>
      </c>
      <c r="D70" s="147" t="s">
        <v>136</v>
      </c>
      <c r="F70" s="151">
        <f t="shared" si="29"/>
        <v>7.3375243878903769</v>
      </c>
      <c r="G70" s="151">
        <f t="shared" si="29"/>
        <v>7.9282661775459591</v>
      </c>
      <c r="H70" s="151">
        <f t="shared" si="29"/>
        <v>8.5665684036099599</v>
      </c>
      <c r="I70" s="151">
        <f t="shared" si="29"/>
        <v>9.2562601419171493</v>
      </c>
      <c r="J70" s="151">
        <f t="shared" si="29"/>
        <v>10.001478745998122</v>
      </c>
      <c r="K70" s="151">
        <f t="shared" si="29"/>
        <v>10.806694666420011</v>
      </c>
      <c r="L70" s="151">
        <f t="shared" si="29"/>
        <v>11.676738268324529</v>
      </c>
      <c r="M70" s="151">
        <f t="shared" si="29"/>
        <v>12.331354405540587</v>
      </c>
      <c r="N70" s="151">
        <f t="shared" si="29"/>
        <v>13.017142739766934</v>
      </c>
      <c r="O70" s="151">
        <f t="shared" si="29"/>
        <v>13.493893988159581</v>
      </c>
      <c r="P70" s="151">
        <f t="shared" si="29"/>
        <v>14.064161827583094</v>
      </c>
      <c r="Q70" s="151">
        <f t="shared" si="29"/>
        <v>14.821462849068338</v>
      </c>
      <c r="R70" s="151">
        <f t="shared" si="29"/>
        <v>15.910656085780769</v>
      </c>
      <c r="S70" s="151">
        <f t="shared" si="29"/>
        <v>17.111702500000707</v>
      </c>
      <c r="T70" s="148">
        <v>20</v>
      </c>
      <c r="U70" s="148">
        <v>20</v>
      </c>
      <c r="V70" s="148">
        <v>26</v>
      </c>
      <c r="W70" s="151">
        <f t="shared" si="30"/>
        <v>25.564462117811228</v>
      </c>
      <c r="X70" s="151">
        <f t="shared" si="30"/>
        <v>27.469291719247828</v>
      </c>
      <c r="Y70" s="51">
        <f>AVERAGE(T70/$T$82,U70/$U$82,V70/$V$82)</f>
        <v>1.8336586476640278E-3</v>
      </c>
    </row>
    <row r="71" spans="2:25" x14ac:dyDescent="0.35">
      <c r="B71" s="736"/>
      <c r="C71" s="170"/>
      <c r="D71" s="147" t="s">
        <v>41</v>
      </c>
      <c r="F71" s="151">
        <f t="shared" si="29"/>
        <v>491.83855910368959</v>
      </c>
      <c r="G71" s="151">
        <f t="shared" si="29"/>
        <v>531.43632740631369</v>
      </c>
      <c r="H71" s="151">
        <f t="shared" si="29"/>
        <v>574.22209962917884</v>
      </c>
      <c r="I71" s="151">
        <f t="shared" si="29"/>
        <v>620.45254096911628</v>
      </c>
      <c r="J71" s="151">
        <f t="shared" si="29"/>
        <v>670.4049806575423</v>
      </c>
      <c r="K71" s="151">
        <f t="shared" si="29"/>
        <v>724.37907561540828</v>
      </c>
      <c r="L71" s="151">
        <f t="shared" si="29"/>
        <v>782.6986080484902</v>
      </c>
      <c r="M71" s="151">
        <f t="shared" si="29"/>
        <v>826.57791129492728</v>
      </c>
      <c r="N71" s="151">
        <f t="shared" si="29"/>
        <v>872.54670517214697</v>
      </c>
      <c r="O71" s="151">
        <f t="shared" si="29"/>
        <v>904.50362070176504</v>
      </c>
      <c r="P71" s="151">
        <f t="shared" si="29"/>
        <v>942.72900812373121</v>
      </c>
      <c r="Q71" s="151">
        <f t="shared" si="29"/>
        <v>993.49133933039366</v>
      </c>
      <c r="R71" s="151">
        <f t="shared" si="29"/>
        <v>1066.5006001942131</v>
      </c>
      <c r="S71" s="151">
        <f t="shared" si="29"/>
        <v>1147.0074450861355</v>
      </c>
      <c r="T71" s="148">
        <v>1264</v>
      </c>
      <c r="U71" s="148">
        <v>1501</v>
      </c>
      <c r="V71" s="148">
        <v>1659</v>
      </c>
      <c r="W71" s="151">
        <f t="shared" si="30"/>
        <v>1713.600875117525</v>
      </c>
      <c r="X71" s="151">
        <f t="shared" si="30"/>
        <v>1841.2827194265963</v>
      </c>
      <c r="Y71" s="51">
        <f>AVERAGE(T71/$T$82,U71/$U$82,V71/$V$82)</f>
        <v>0.12291121357545387</v>
      </c>
    </row>
    <row r="72" spans="2:25" x14ac:dyDescent="0.35">
      <c r="B72" s="736"/>
      <c r="C72" s="170"/>
      <c r="D72" s="147" t="s">
        <v>117</v>
      </c>
      <c r="F72" s="151">
        <f t="shared" si="29"/>
        <v>2.212067472389553</v>
      </c>
      <c r="G72" s="151">
        <f t="shared" si="29"/>
        <v>2.3901603315608213</v>
      </c>
      <c r="H72" s="151">
        <f t="shared" si="29"/>
        <v>2.5825913910282741</v>
      </c>
      <c r="I72" s="151">
        <f t="shared" si="29"/>
        <v>2.7905150148056639</v>
      </c>
      <c r="J72" s="151">
        <f t="shared" si="29"/>
        <v>3.0151785043918329</v>
      </c>
      <c r="K72" s="151">
        <f t="shared" si="29"/>
        <v>3.2579295811385212</v>
      </c>
      <c r="L72" s="151">
        <f t="shared" si="29"/>
        <v>3.5202244710212618</v>
      </c>
      <c r="M72" s="151">
        <f t="shared" si="29"/>
        <v>3.7175737386334777</v>
      </c>
      <c r="N72" s="151">
        <f t="shared" si="29"/>
        <v>3.9243205904177039</v>
      </c>
      <c r="O72" s="151">
        <f t="shared" si="29"/>
        <v>4.0680483483425673</v>
      </c>
      <c r="P72" s="151">
        <f t="shared" si="29"/>
        <v>4.2399688587834605</v>
      </c>
      <c r="Q72" s="151">
        <f t="shared" si="29"/>
        <v>4.4682748742564167</v>
      </c>
      <c r="R72" s="151">
        <f t="shared" si="29"/>
        <v>4.7966375212078347</v>
      </c>
      <c r="S72" s="151">
        <f t="shared" si="29"/>
        <v>5.1587209113647008</v>
      </c>
      <c r="T72" s="148">
        <v>5</v>
      </c>
      <c r="U72" s="148">
        <v>7</v>
      </c>
      <c r="V72" s="148">
        <v>8</v>
      </c>
      <c r="W72" s="151">
        <f t="shared" si="30"/>
        <v>7.7070019955605273</v>
      </c>
      <c r="X72" s="151">
        <f t="shared" si="30"/>
        <v>8.2812572046793775</v>
      </c>
      <c r="Y72" s="51">
        <f>AVERAGE(T72/$T$82,U72/$U$82,V72/$V$82)</f>
        <v>5.5279906894178108E-4</v>
      </c>
    </row>
    <row r="73" spans="2:25" x14ac:dyDescent="0.35">
      <c r="B73" s="736"/>
      <c r="C73" s="170" t="s">
        <v>278</v>
      </c>
      <c r="D73" s="147" t="s">
        <v>136</v>
      </c>
      <c r="F73" s="151">
        <f t="shared" ref="F73:S81" si="31">$Y73*F$82</f>
        <v>0</v>
      </c>
      <c r="G73" s="151">
        <f t="shared" si="31"/>
        <v>0</v>
      </c>
      <c r="H73" s="151">
        <f t="shared" si="31"/>
        <v>0</v>
      </c>
      <c r="I73" s="151">
        <f t="shared" si="31"/>
        <v>0</v>
      </c>
      <c r="J73" s="151">
        <f t="shared" si="31"/>
        <v>0</v>
      </c>
      <c r="K73" s="151">
        <f t="shared" si="31"/>
        <v>0</v>
      </c>
      <c r="L73" s="151">
        <f t="shared" si="31"/>
        <v>0</v>
      </c>
      <c r="M73" s="151">
        <f t="shared" si="31"/>
        <v>0</v>
      </c>
      <c r="N73" s="151">
        <f t="shared" si="31"/>
        <v>0</v>
      </c>
      <c r="O73" s="151">
        <f t="shared" si="31"/>
        <v>0</v>
      </c>
      <c r="P73" s="151">
        <f t="shared" si="31"/>
        <v>0</v>
      </c>
      <c r="Q73" s="151">
        <f t="shared" si="31"/>
        <v>0</v>
      </c>
      <c r="R73" s="151">
        <f t="shared" si="31"/>
        <v>0</v>
      </c>
      <c r="S73" s="151">
        <f t="shared" si="31"/>
        <v>0</v>
      </c>
      <c r="T73" s="148"/>
      <c r="U73" s="148"/>
      <c r="V73" s="148"/>
      <c r="W73" s="151">
        <f t="shared" si="30"/>
        <v>0</v>
      </c>
      <c r="X73" s="151">
        <f t="shared" si="30"/>
        <v>0</v>
      </c>
      <c r="Y73" s="51"/>
    </row>
    <row r="74" spans="2:25" x14ac:dyDescent="0.35">
      <c r="B74" s="736"/>
      <c r="C74" s="170"/>
      <c r="D74" s="147" t="s">
        <v>41</v>
      </c>
      <c r="F74" s="151">
        <f t="shared" si="31"/>
        <v>295.68452818582773</v>
      </c>
      <c r="G74" s="151">
        <f t="shared" si="31"/>
        <v>319.48999691343255</v>
      </c>
      <c r="H74" s="151">
        <f t="shared" si="31"/>
        <v>345.21203647015034</v>
      </c>
      <c r="I74" s="151">
        <f t="shared" si="31"/>
        <v>373.00494937297981</v>
      </c>
      <c r="J74" s="151">
        <f t="shared" si="31"/>
        <v>403.03546098622121</v>
      </c>
      <c r="K74" s="151">
        <f t="shared" si="31"/>
        <v>435.48371968102015</v>
      </c>
      <c r="L74" s="151">
        <f t="shared" si="31"/>
        <v>470.54437751744342</v>
      </c>
      <c r="M74" s="151">
        <f t="shared" si="31"/>
        <v>496.92382832990057</v>
      </c>
      <c r="N74" s="151">
        <f t="shared" si="31"/>
        <v>524.55944346676051</v>
      </c>
      <c r="O74" s="151">
        <f t="shared" si="31"/>
        <v>543.77136842821392</v>
      </c>
      <c r="P74" s="151">
        <f t="shared" si="31"/>
        <v>566.75178636287546</v>
      </c>
      <c r="Q74" s="151">
        <f t="shared" si="31"/>
        <v>597.2691902439534</v>
      </c>
      <c r="R74" s="151">
        <f t="shared" si="31"/>
        <v>641.16104957896619</v>
      </c>
      <c r="S74" s="151">
        <f t="shared" si="31"/>
        <v>689.56032207801218</v>
      </c>
      <c r="T74" s="148">
        <v>847</v>
      </c>
      <c r="U74" s="148">
        <v>877</v>
      </c>
      <c r="V74" s="148">
        <v>922</v>
      </c>
      <c r="W74" s="151">
        <f t="shared" si="30"/>
        <v>1030.1861390886338</v>
      </c>
      <c r="X74" s="151">
        <f t="shared" si="30"/>
        <v>1106.9461758804316</v>
      </c>
      <c r="Y74" s="51">
        <f>AVERAGE(T74/$T$82,U74/$U$82,V74/$V$82)</f>
        <v>7.3892019082513097E-2</v>
      </c>
    </row>
    <row r="75" spans="2:25" x14ac:dyDescent="0.35">
      <c r="B75" s="736"/>
      <c r="C75" s="170"/>
      <c r="D75" s="147" t="s">
        <v>117</v>
      </c>
      <c r="F75" s="151">
        <f t="shared" si="31"/>
        <v>0</v>
      </c>
      <c r="G75" s="151">
        <f t="shared" si="31"/>
        <v>0</v>
      </c>
      <c r="H75" s="151">
        <f t="shared" si="31"/>
        <v>0</v>
      </c>
      <c r="I75" s="151">
        <f t="shared" si="31"/>
        <v>0</v>
      </c>
      <c r="J75" s="151">
        <f t="shared" si="31"/>
        <v>0</v>
      </c>
      <c r="K75" s="151">
        <f t="shared" si="31"/>
        <v>0</v>
      </c>
      <c r="L75" s="151">
        <f t="shared" si="31"/>
        <v>0</v>
      </c>
      <c r="M75" s="151">
        <f t="shared" si="31"/>
        <v>0</v>
      </c>
      <c r="N75" s="151">
        <f t="shared" si="31"/>
        <v>0</v>
      </c>
      <c r="O75" s="151">
        <f t="shared" si="31"/>
        <v>0</v>
      </c>
      <c r="P75" s="151">
        <f t="shared" si="31"/>
        <v>0</v>
      </c>
      <c r="Q75" s="151">
        <f t="shared" si="31"/>
        <v>0</v>
      </c>
      <c r="R75" s="151">
        <f t="shared" si="31"/>
        <v>0</v>
      </c>
      <c r="S75" s="151">
        <f t="shared" si="31"/>
        <v>0</v>
      </c>
      <c r="T75" s="148"/>
      <c r="U75" s="148"/>
      <c r="V75" s="148"/>
      <c r="W75" s="151">
        <f t="shared" si="30"/>
        <v>0</v>
      </c>
      <c r="X75" s="151">
        <f t="shared" si="30"/>
        <v>0</v>
      </c>
      <c r="Y75" s="51"/>
    </row>
    <row r="76" spans="2:25" x14ac:dyDescent="0.35">
      <c r="B76" s="736"/>
      <c r="C76" s="171" t="s">
        <v>274</v>
      </c>
      <c r="D76" s="147" t="s">
        <v>136</v>
      </c>
      <c r="F76" s="151">
        <f t="shared" si="31"/>
        <v>0</v>
      </c>
      <c r="G76" s="151">
        <f t="shared" si="31"/>
        <v>0</v>
      </c>
      <c r="H76" s="151">
        <f t="shared" si="31"/>
        <v>0</v>
      </c>
      <c r="I76" s="151">
        <f t="shared" si="31"/>
        <v>0</v>
      </c>
      <c r="J76" s="151">
        <f t="shared" si="31"/>
        <v>0</v>
      </c>
      <c r="K76" s="151">
        <f t="shared" si="31"/>
        <v>0</v>
      </c>
      <c r="L76" s="151">
        <f t="shared" si="31"/>
        <v>0</v>
      </c>
      <c r="M76" s="151">
        <f t="shared" si="31"/>
        <v>0</v>
      </c>
      <c r="N76" s="151">
        <f t="shared" si="31"/>
        <v>0</v>
      </c>
      <c r="O76" s="151">
        <f t="shared" si="31"/>
        <v>0</v>
      </c>
      <c r="P76" s="151">
        <f t="shared" si="31"/>
        <v>0</v>
      </c>
      <c r="Q76" s="151">
        <f t="shared" si="31"/>
        <v>0</v>
      </c>
      <c r="R76" s="151">
        <f t="shared" si="31"/>
        <v>0</v>
      </c>
      <c r="S76" s="151">
        <f t="shared" si="31"/>
        <v>0</v>
      </c>
      <c r="T76" s="148"/>
      <c r="U76" s="148"/>
      <c r="V76" s="148"/>
      <c r="W76" s="151">
        <f t="shared" si="30"/>
        <v>0</v>
      </c>
      <c r="X76" s="151">
        <f t="shared" si="30"/>
        <v>0</v>
      </c>
      <c r="Y76" s="51"/>
    </row>
    <row r="77" spans="2:25" x14ac:dyDescent="0.35">
      <c r="B77" s="736"/>
      <c r="C77" s="171"/>
      <c r="D77" s="147" t="s">
        <v>41</v>
      </c>
      <c r="F77" s="151">
        <f t="shared" si="31"/>
        <v>23.867878699478801</v>
      </c>
      <c r="G77" s="151">
        <f t="shared" si="31"/>
        <v>25.789474135874521</v>
      </c>
      <c r="H77" s="151">
        <f t="shared" si="31"/>
        <v>27.865776618827233</v>
      </c>
      <c r="I77" s="151">
        <f t="shared" si="31"/>
        <v>30.109241564186213</v>
      </c>
      <c r="J77" s="151">
        <f t="shared" si="31"/>
        <v>32.533327169428546</v>
      </c>
      <c r="K77" s="151">
        <f t="shared" si="31"/>
        <v>35.152575147293788</v>
      </c>
      <c r="L77" s="151">
        <f t="shared" si="31"/>
        <v>37.982697959258324</v>
      </c>
      <c r="M77" s="151">
        <f t="shared" si="31"/>
        <v>40.112067175881315</v>
      </c>
      <c r="N77" s="151">
        <f t="shared" si="31"/>
        <v>42.342834926629216</v>
      </c>
      <c r="O77" s="151">
        <f t="shared" si="31"/>
        <v>43.893636036774815</v>
      </c>
      <c r="P77" s="151">
        <f t="shared" si="31"/>
        <v>45.748632749295126</v>
      </c>
      <c r="Q77" s="151">
        <f t="shared" si="31"/>
        <v>48.212020666564861</v>
      </c>
      <c r="R77" s="151">
        <f t="shared" si="31"/>
        <v>51.755004741282107</v>
      </c>
      <c r="S77" s="151">
        <f t="shared" si="31"/>
        <v>55.661830614918138</v>
      </c>
      <c r="T77" s="148">
        <v>66</v>
      </c>
      <c r="U77" s="148">
        <v>71</v>
      </c>
      <c r="V77" s="148">
        <v>77</v>
      </c>
      <c r="W77" s="151">
        <f t="shared" si="30"/>
        <v>83.157404131064169</v>
      </c>
      <c r="X77" s="151">
        <f t="shared" si="30"/>
        <v>89.353532343639259</v>
      </c>
      <c r="Y77" s="51">
        <f>AVERAGE(T77/$T$82,U77/$U$82,V77/$V$82)</f>
        <v>5.9646196544061439E-3</v>
      </c>
    </row>
    <row r="78" spans="2:25" x14ac:dyDescent="0.35">
      <c r="B78" s="736"/>
      <c r="C78" s="171"/>
      <c r="D78" s="147" t="s">
        <v>117</v>
      </c>
      <c r="F78" s="151">
        <f t="shared" si="31"/>
        <v>0</v>
      </c>
      <c r="G78" s="151">
        <f t="shared" si="31"/>
        <v>0</v>
      </c>
      <c r="H78" s="151">
        <f t="shared" si="31"/>
        <v>0</v>
      </c>
      <c r="I78" s="151">
        <f t="shared" si="31"/>
        <v>0</v>
      </c>
      <c r="J78" s="151">
        <f t="shared" si="31"/>
        <v>0</v>
      </c>
      <c r="K78" s="151">
        <f t="shared" si="31"/>
        <v>0</v>
      </c>
      <c r="L78" s="151">
        <f t="shared" si="31"/>
        <v>0</v>
      </c>
      <c r="M78" s="151">
        <f t="shared" si="31"/>
        <v>0</v>
      </c>
      <c r="N78" s="151">
        <f t="shared" si="31"/>
        <v>0</v>
      </c>
      <c r="O78" s="151">
        <f t="shared" si="31"/>
        <v>0</v>
      </c>
      <c r="P78" s="151">
        <f t="shared" si="31"/>
        <v>0</v>
      </c>
      <c r="Q78" s="151">
        <f t="shared" si="31"/>
        <v>0</v>
      </c>
      <c r="R78" s="151">
        <f t="shared" si="31"/>
        <v>0</v>
      </c>
      <c r="S78" s="151">
        <f t="shared" si="31"/>
        <v>0</v>
      </c>
      <c r="T78" s="148"/>
      <c r="U78" s="148"/>
      <c r="V78" s="148"/>
      <c r="W78" s="151">
        <f t="shared" si="30"/>
        <v>0</v>
      </c>
      <c r="X78" s="151">
        <f t="shared" si="30"/>
        <v>0</v>
      </c>
      <c r="Y78" s="51"/>
    </row>
    <row r="79" spans="2:25" x14ac:dyDescent="0.35">
      <c r="B79" s="736"/>
      <c r="C79" s="171" t="s">
        <v>275</v>
      </c>
      <c r="D79" s="147" t="s">
        <v>136</v>
      </c>
      <c r="F79" s="151">
        <f t="shared" si="31"/>
        <v>0</v>
      </c>
      <c r="G79" s="151">
        <f t="shared" si="31"/>
        <v>0</v>
      </c>
      <c r="H79" s="151">
        <f t="shared" si="31"/>
        <v>0</v>
      </c>
      <c r="I79" s="151">
        <f t="shared" si="31"/>
        <v>0</v>
      </c>
      <c r="J79" s="151">
        <f t="shared" si="31"/>
        <v>0</v>
      </c>
      <c r="K79" s="151">
        <f t="shared" si="31"/>
        <v>0</v>
      </c>
      <c r="L79" s="151">
        <f t="shared" si="31"/>
        <v>0</v>
      </c>
      <c r="M79" s="151">
        <f t="shared" si="31"/>
        <v>0</v>
      </c>
      <c r="N79" s="151">
        <f t="shared" si="31"/>
        <v>0</v>
      </c>
      <c r="O79" s="151">
        <f t="shared" si="31"/>
        <v>0</v>
      </c>
      <c r="P79" s="151">
        <f t="shared" si="31"/>
        <v>0</v>
      </c>
      <c r="Q79" s="151">
        <f t="shared" si="31"/>
        <v>0</v>
      </c>
      <c r="R79" s="151">
        <f t="shared" si="31"/>
        <v>0</v>
      </c>
      <c r="S79" s="151">
        <f t="shared" si="31"/>
        <v>0</v>
      </c>
      <c r="T79" s="148"/>
      <c r="U79" s="148"/>
      <c r="V79" s="148"/>
      <c r="W79" s="151">
        <f t="shared" si="30"/>
        <v>0</v>
      </c>
      <c r="X79" s="151">
        <f t="shared" si="30"/>
        <v>0</v>
      </c>
      <c r="Y79" s="51"/>
    </row>
    <row r="80" spans="2:25" x14ac:dyDescent="0.35">
      <c r="B80" s="736"/>
      <c r="C80" s="171"/>
      <c r="D80" s="147" t="s">
        <v>41</v>
      </c>
      <c r="F80" s="151">
        <f t="shared" si="31"/>
        <v>59.693252136235266</v>
      </c>
      <c r="G80" s="151">
        <f t="shared" si="31"/>
        <v>64.499137164095472</v>
      </c>
      <c r="H80" s="151">
        <f t="shared" si="31"/>
        <v>69.6919424898865</v>
      </c>
      <c r="I80" s="151">
        <f t="shared" si="31"/>
        <v>75.30281894557433</v>
      </c>
      <c r="J80" s="151">
        <f t="shared" si="31"/>
        <v>81.365425306847186</v>
      </c>
      <c r="K80" s="151">
        <f t="shared" si="31"/>
        <v>87.916130206878734</v>
      </c>
      <c r="L80" s="151">
        <f t="shared" si="31"/>
        <v>94.994230306105365</v>
      </c>
      <c r="M80" s="151">
        <f t="shared" si="31"/>
        <v>100.31975483802742</v>
      </c>
      <c r="N80" s="151">
        <f t="shared" si="31"/>
        <v>105.89887577623146</v>
      </c>
      <c r="O80" s="151">
        <f t="shared" si="31"/>
        <v>109.77740904877975</v>
      </c>
      <c r="P80" s="151">
        <f t="shared" si="31"/>
        <v>114.41673154017401</v>
      </c>
      <c r="Q80" s="151">
        <f t="shared" si="31"/>
        <v>120.57763246926031</v>
      </c>
      <c r="R80" s="151">
        <f t="shared" si="31"/>
        <v>129.43858925346674</v>
      </c>
      <c r="S80" s="151">
        <f t="shared" si="31"/>
        <v>139.20950961315566</v>
      </c>
      <c r="T80" s="148">
        <v>172</v>
      </c>
      <c r="U80" s="148">
        <v>177</v>
      </c>
      <c r="V80" s="148">
        <v>185</v>
      </c>
      <c r="W80" s="151">
        <f t="shared" si="30"/>
        <v>207.97557899013549</v>
      </c>
      <c r="X80" s="151">
        <f t="shared" si="30"/>
        <v>223.47201452672812</v>
      </c>
      <c r="Y80" s="51">
        <f>AVERAGE(T80/$T$82,U80/$U$82,V80/$V$82)</f>
        <v>1.4917435663647199E-2</v>
      </c>
    </row>
    <row r="81" spans="2:45" x14ac:dyDescent="0.35">
      <c r="B81" s="736"/>
      <c r="C81" s="171"/>
      <c r="D81" s="147" t="s">
        <v>117</v>
      </c>
      <c r="F81" s="151">
        <f t="shared" si="31"/>
        <v>0</v>
      </c>
      <c r="G81" s="151">
        <f t="shared" si="31"/>
        <v>0</v>
      </c>
      <c r="H81" s="151">
        <f t="shared" si="31"/>
        <v>0</v>
      </c>
      <c r="I81" s="151">
        <f t="shared" si="31"/>
        <v>0</v>
      </c>
      <c r="J81" s="151">
        <f t="shared" si="31"/>
        <v>0</v>
      </c>
      <c r="K81" s="151">
        <f t="shared" si="31"/>
        <v>0</v>
      </c>
      <c r="L81" s="151">
        <f t="shared" si="31"/>
        <v>0</v>
      </c>
      <c r="M81" s="151">
        <f t="shared" si="31"/>
        <v>0</v>
      </c>
      <c r="N81" s="151">
        <f t="shared" si="31"/>
        <v>0</v>
      </c>
      <c r="O81" s="151">
        <f t="shared" si="31"/>
        <v>0</v>
      </c>
      <c r="P81" s="151">
        <f t="shared" si="31"/>
        <v>0</v>
      </c>
      <c r="Q81" s="151">
        <f t="shared" si="31"/>
        <v>0</v>
      </c>
      <c r="R81" s="151">
        <f t="shared" si="31"/>
        <v>0</v>
      </c>
      <c r="S81" s="151">
        <f t="shared" si="31"/>
        <v>0</v>
      </c>
      <c r="T81" s="149"/>
      <c r="U81" s="149"/>
      <c r="V81" s="149"/>
      <c r="W81" s="151">
        <f t="shared" si="30"/>
        <v>0</v>
      </c>
      <c r="X81" s="151">
        <f t="shared" si="30"/>
        <v>0</v>
      </c>
      <c r="Y81" s="69"/>
    </row>
    <row r="82" spans="2:45" ht="15" thickBot="1" x14ac:dyDescent="0.4">
      <c r="B82" s="737"/>
      <c r="C82" s="3" t="s">
        <v>219</v>
      </c>
      <c r="E82" s="151"/>
      <c r="F82" s="151">
        <f t="shared" ref="F82:K82" si="32">G82-G82*(AVERAGE(($V$82-$U$82)/$U$82,($U$82-$T$82)/$T$82,($T$82-$S$82)/$S$82,($S$82-$R$82)/$R$82,($Q$82-$P$82)/$P$82,($P$82-$O$82)/$O$82,($O$82-$N$82)/$N$82,($N$82-$M$82)/$M$82,($M$82-$L$82)/$L$82))</f>
        <v>4001.5759733895657</v>
      </c>
      <c r="G82" s="151">
        <f t="shared" si="32"/>
        <v>4323.7416013313596</v>
      </c>
      <c r="H82" s="151">
        <f t="shared" si="32"/>
        <v>4671.8446830457015</v>
      </c>
      <c r="I82" s="151">
        <f t="shared" si="32"/>
        <v>5047.9734348097309</v>
      </c>
      <c r="J82" s="151">
        <f t="shared" si="32"/>
        <v>5454.3841945388322</v>
      </c>
      <c r="K82" s="151">
        <f t="shared" si="32"/>
        <v>5893.5149572070559</v>
      </c>
      <c r="L82" s="151">
        <v>6368</v>
      </c>
      <c r="M82" s="151">
        <v>6725</v>
      </c>
      <c r="N82" s="151">
        <v>7099</v>
      </c>
      <c r="O82" s="151">
        <v>7359</v>
      </c>
      <c r="P82" s="151">
        <v>7670</v>
      </c>
      <c r="Q82" s="151">
        <v>8083</v>
      </c>
      <c r="R82" s="151">
        <v>8677</v>
      </c>
      <c r="S82" s="151">
        <v>9332</v>
      </c>
      <c r="T82" s="151">
        <f t="shared" ref="T82" si="33">SUM(T63:T81)</f>
        <v>10979</v>
      </c>
      <c r="U82" s="151">
        <f t="shared" ref="U82" si="34">SUM(U63:U81)</f>
        <v>11937</v>
      </c>
      <c r="V82" s="151">
        <f t="shared" ref="V82" si="35">SUM(V63:V81)</f>
        <v>12975</v>
      </c>
      <c r="W82" s="151">
        <f>V82+V82*(AVERAGE(($V$82-$U$82)/$U$82,($U$82-$T$82)/$T$82,($T$82-$S$82)/$S$82,($S$82-$R$82)/$R$82,($Q$82-$P$82)/$P$82,($P$82-$O$82)/$O$82,($O$82-$N$82)/$N$82,($N$82-$M$82)/$M$82,($M$82-$L$82)/$L$82))</f>
        <v>13941.778176859054</v>
      </c>
      <c r="X82" s="151">
        <f>W82+W82*(AVERAGE(($V$82-$U$82)/$U$82,($U$82-$T$82)/$T$82,($T$82-$S$82)/$S$82,($S$82-$R$82)/$R$82,($Q$82-$P$82)/$P$82,($P$82-$O$82)/$O$82,($O$82-$N$82)/$N$82,($N$82-$M$82)/$M$82,($M$82-$L$82)/$L$82))</f>
        <v>14980.591809845346</v>
      </c>
      <c r="Y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</row>
    <row r="83" spans="2:45" ht="15" customHeight="1" x14ac:dyDescent="0.35">
      <c r="B83" s="738" t="s">
        <v>147</v>
      </c>
      <c r="C83" s="170" t="s">
        <v>276</v>
      </c>
      <c r="D83" s="147" t="s">
        <v>136</v>
      </c>
      <c r="F83" s="150">
        <f t="shared" ref="F83:S83" si="36">F43+F63</f>
        <v>91855.200945493954</v>
      </c>
      <c r="G83" s="150">
        <f t="shared" si="36"/>
        <v>95791.581922993559</v>
      </c>
      <c r="H83" s="150">
        <f t="shared" si="36"/>
        <v>99817.081553478522</v>
      </c>
      <c r="I83" s="150">
        <f t="shared" si="36"/>
        <v>103783.85517917469</v>
      </c>
      <c r="J83" s="150">
        <f t="shared" si="36"/>
        <v>109513.30547819742</v>
      </c>
      <c r="K83" s="150">
        <f t="shared" si="36"/>
        <v>114742.3239529219</v>
      </c>
      <c r="L83" s="150">
        <f t="shared" si="36"/>
        <v>119993.58552838635</v>
      </c>
      <c r="M83" s="150">
        <f t="shared" si="36"/>
        <v>125521.67849748231</v>
      </c>
      <c r="N83" s="150">
        <f t="shared" si="36"/>
        <v>132007.58955783042</v>
      </c>
      <c r="O83" s="150">
        <f t="shared" si="36"/>
        <v>137682.16139374694</v>
      </c>
      <c r="P83" s="150">
        <f t="shared" si="36"/>
        <v>144288.79433939737</v>
      </c>
      <c r="Q83" s="150">
        <f t="shared" si="36"/>
        <v>150606.31355452107</v>
      </c>
      <c r="R83" s="150">
        <f t="shared" si="36"/>
        <v>158509.25284301428</v>
      </c>
      <c r="S83" s="150">
        <f t="shared" si="36"/>
        <v>166626.68948945159</v>
      </c>
      <c r="T83" s="150">
        <f t="shared" ref="T83:V101" si="37">T43+T63</f>
        <v>172809</v>
      </c>
      <c r="U83" s="150">
        <f t="shared" si="37"/>
        <v>179682</v>
      </c>
      <c r="V83" s="150">
        <f t="shared" si="37"/>
        <v>196304</v>
      </c>
      <c r="W83" s="150">
        <f t="shared" ref="W83:X83" si="38">W43+W63</f>
        <v>199990.1538665882</v>
      </c>
      <c r="X83" s="150">
        <f t="shared" si="38"/>
        <v>209119.94230810698</v>
      </c>
      <c r="AR83" s="156"/>
    </row>
    <row r="84" spans="2:45" x14ac:dyDescent="0.35">
      <c r="B84" s="739"/>
      <c r="C84" s="170" t="s">
        <v>276</v>
      </c>
      <c r="D84" s="147" t="s">
        <v>41</v>
      </c>
      <c r="F84" s="150">
        <f t="shared" ref="F84:S84" si="39">F44+F64</f>
        <v>8456.158922159846</v>
      </c>
      <c r="G84" s="150">
        <f t="shared" si="39"/>
        <v>8823.2894243660812</v>
      </c>
      <c r="H84" s="150">
        <f t="shared" si="39"/>
        <v>9199.3192072457514</v>
      </c>
      <c r="I84" s="150">
        <f t="shared" si="39"/>
        <v>9570.9065227691208</v>
      </c>
      <c r="J84" s="150">
        <f t="shared" si="39"/>
        <v>10103.299626774766</v>
      </c>
      <c r="K84" s="150">
        <f t="shared" si="39"/>
        <v>10591.341321555121</v>
      </c>
      <c r="L84" s="150">
        <f t="shared" si="39"/>
        <v>11082.514331571911</v>
      </c>
      <c r="M84" s="150">
        <f t="shared" si="39"/>
        <v>11595.089849154174</v>
      </c>
      <c r="N84" s="150">
        <f t="shared" si="39"/>
        <v>12195.06254855362</v>
      </c>
      <c r="O84" s="150">
        <f t="shared" si="39"/>
        <v>12717.864891053987</v>
      </c>
      <c r="P84" s="150">
        <f t="shared" si="39"/>
        <v>13326.800078585045</v>
      </c>
      <c r="Q84" s="150">
        <f t="shared" si="39"/>
        <v>13912.730915012828</v>
      </c>
      <c r="R84" s="150">
        <f t="shared" si="39"/>
        <v>14648.142458109831</v>
      </c>
      <c r="S84" s="150">
        <f t="shared" si="39"/>
        <v>15404.928439522453</v>
      </c>
      <c r="T84" s="150">
        <f t="shared" si="37"/>
        <v>16271</v>
      </c>
      <c r="U84" s="150">
        <f t="shared" si="37"/>
        <v>16819</v>
      </c>
      <c r="V84" s="150">
        <f t="shared" si="37"/>
        <v>17775</v>
      </c>
      <c r="W84" s="150">
        <f t="shared" ref="W84:X84" si="40">W44+W64</f>
        <v>18575.826918883657</v>
      </c>
      <c r="X84" s="150">
        <f t="shared" si="40"/>
        <v>19436.515387101703</v>
      </c>
    </row>
    <row r="85" spans="2:45" x14ac:dyDescent="0.35">
      <c r="B85" s="739"/>
      <c r="C85" s="170" t="s">
        <v>276</v>
      </c>
      <c r="D85" s="147" t="s">
        <v>117</v>
      </c>
      <c r="F85" s="150">
        <f t="shared" ref="F85:S85" si="41">F45+F65</f>
        <v>111.13993557976171</v>
      </c>
      <c r="G85" s="150">
        <f t="shared" si="41"/>
        <v>115.89030293850371</v>
      </c>
      <c r="H85" s="150">
        <f t="shared" si="41"/>
        <v>120.74667752362252</v>
      </c>
      <c r="I85" s="150">
        <f t="shared" si="41"/>
        <v>125.52947067563349</v>
      </c>
      <c r="J85" s="150">
        <f t="shared" si="41"/>
        <v>132.44885062603566</v>
      </c>
      <c r="K85" s="150">
        <f t="shared" si="41"/>
        <v>138.75823141184614</v>
      </c>
      <c r="L85" s="150">
        <f t="shared" si="41"/>
        <v>145.09168513564867</v>
      </c>
      <c r="M85" s="150">
        <f t="shared" si="41"/>
        <v>151.7707899125073</v>
      </c>
      <c r="N85" s="150">
        <f t="shared" si="41"/>
        <v>159.61084618951213</v>
      </c>
      <c r="O85" s="150">
        <f t="shared" si="41"/>
        <v>166.47572137464923</v>
      </c>
      <c r="P85" s="150">
        <f t="shared" si="41"/>
        <v>174.46748258164192</v>
      </c>
      <c r="Q85" s="150">
        <f t="shared" si="41"/>
        <v>182.09996654426226</v>
      </c>
      <c r="R85" s="150">
        <f t="shared" si="41"/>
        <v>191.64147991029208</v>
      </c>
      <c r="S85" s="150">
        <f t="shared" si="41"/>
        <v>201.43825726031338</v>
      </c>
      <c r="T85" s="150">
        <f t="shared" si="37"/>
        <v>218</v>
      </c>
      <c r="U85" s="150">
        <f t="shared" si="37"/>
        <v>221</v>
      </c>
      <c r="V85" s="150">
        <f t="shared" si="37"/>
        <v>223</v>
      </c>
      <c r="W85" s="150">
        <f t="shared" ref="W85:X85" si="42">W45+W65</f>
        <v>241.54558878062409</v>
      </c>
      <c r="X85" s="150">
        <f t="shared" si="42"/>
        <v>252.53919993459115</v>
      </c>
    </row>
    <row r="86" spans="2:45" x14ac:dyDescent="0.35">
      <c r="B86" s="739"/>
      <c r="C86" s="170" t="s">
        <v>276</v>
      </c>
      <c r="D86" s="147" t="s">
        <v>226</v>
      </c>
      <c r="F86" s="150">
        <f t="shared" ref="F86:S86" si="43">F46+F66</f>
        <v>1335.6013743374283</v>
      </c>
      <c r="G86" s="150">
        <f t="shared" si="43"/>
        <v>1392.7376608594313</v>
      </c>
      <c r="H86" s="150">
        <f t="shared" si="43"/>
        <v>1451.1551451509965</v>
      </c>
      <c r="I86" s="150">
        <f t="shared" si="43"/>
        <v>1508.6984716875074</v>
      </c>
      <c r="J86" s="150">
        <f t="shared" si="43"/>
        <v>1591.902445433685</v>
      </c>
      <c r="K86" s="150">
        <f t="shared" si="43"/>
        <v>1667.793869978982</v>
      </c>
      <c r="L86" s="150">
        <f t="shared" si="43"/>
        <v>1743.985932472908</v>
      </c>
      <c r="M86" s="150">
        <f t="shared" si="43"/>
        <v>1824.289038730961</v>
      </c>
      <c r="N86" s="150">
        <f t="shared" si="43"/>
        <v>1918.5354823336793</v>
      </c>
      <c r="O86" s="150">
        <f t="shared" si="43"/>
        <v>2001.036932934499</v>
      </c>
      <c r="P86" s="150">
        <f t="shared" si="43"/>
        <v>2097.0839354635477</v>
      </c>
      <c r="Q86" s="150">
        <f t="shared" si="43"/>
        <v>2188.8512111206032</v>
      </c>
      <c r="R86" s="150">
        <f t="shared" si="43"/>
        <v>2303.5967912441711</v>
      </c>
      <c r="S86" s="150">
        <f t="shared" si="43"/>
        <v>2421.4269991046526</v>
      </c>
      <c r="T86" s="150">
        <f t="shared" si="37"/>
        <v>1832</v>
      </c>
      <c r="U86" s="150">
        <f t="shared" si="37"/>
        <v>2427</v>
      </c>
      <c r="V86" s="150">
        <f t="shared" si="37"/>
        <v>3783</v>
      </c>
      <c r="W86" s="150">
        <f t="shared" ref="W86:X86" si="44">W46+W66</f>
        <v>2904.4501449844179</v>
      </c>
      <c r="X86" s="150">
        <f t="shared" si="44"/>
        <v>3036.7751545770411</v>
      </c>
    </row>
    <row r="87" spans="2:45" x14ac:dyDescent="0.35">
      <c r="B87" s="739"/>
      <c r="C87" s="170" t="s">
        <v>276</v>
      </c>
      <c r="D87" s="147" t="s">
        <v>227</v>
      </c>
      <c r="F87" s="150">
        <f t="shared" ref="F87:S87" si="45">F47+F67</f>
        <v>8.1045121330002683</v>
      </c>
      <c r="G87" s="150">
        <f t="shared" si="45"/>
        <v>8.4509169576413914</v>
      </c>
      <c r="H87" s="150">
        <f t="shared" si="45"/>
        <v>8.8050520085767339</v>
      </c>
      <c r="I87" s="150">
        <f t="shared" si="45"/>
        <v>9.1538213769221475</v>
      </c>
      <c r="J87" s="150">
        <f t="shared" si="45"/>
        <v>9.6583942693603273</v>
      </c>
      <c r="K87" s="150">
        <f t="shared" si="45"/>
        <v>10.118484990698041</v>
      </c>
      <c r="L87" s="150">
        <f t="shared" si="45"/>
        <v>10.580331151401596</v>
      </c>
      <c r="M87" s="150">
        <f t="shared" si="45"/>
        <v>11.067382771678833</v>
      </c>
      <c r="N87" s="150">
        <f t="shared" si="45"/>
        <v>11.639092939486067</v>
      </c>
      <c r="O87" s="150">
        <f t="shared" si="45"/>
        <v>12.139691252228003</v>
      </c>
      <c r="P87" s="150">
        <f t="shared" si="45"/>
        <v>12.722464000189783</v>
      </c>
      <c r="Q87" s="150">
        <f t="shared" si="45"/>
        <v>13.279037643653822</v>
      </c>
      <c r="R87" s="150">
        <f t="shared" si="45"/>
        <v>13.974820940978807</v>
      </c>
      <c r="S87" s="150">
        <f t="shared" si="45"/>
        <v>14.689218519881202</v>
      </c>
      <c r="T87" s="150">
        <f t="shared" si="37"/>
        <v>9</v>
      </c>
      <c r="U87" s="150">
        <f t="shared" si="37"/>
        <v>14</v>
      </c>
      <c r="V87" s="150">
        <f t="shared" si="37"/>
        <v>26</v>
      </c>
      <c r="W87" s="150">
        <f t="shared" ref="W87:X87" si="46">W47+W67</f>
        <v>17.613912989362369</v>
      </c>
      <c r="X87" s="150">
        <f t="shared" si="46"/>
        <v>18.415585714094789</v>
      </c>
    </row>
    <row r="88" spans="2:45" x14ac:dyDescent="0.35">
      <c r="B88" s="739"/>
      <c r="C88" s="170" t="s">
        <v>277</v>
      </c>
      <c r="D88" s="147" t="s">
        <v>136</v>
      </c>
      <c r="F88" s="150">
        <f t="shared" ref="F88:S88" si="47">F48+F68</f>
        <v>106000.86476644714</v>
      </c>
      <c r="G88" s="150">
        <f t="shared" si="47"/>
        <v>110633.41573896588</v>
      </c>
      <c r="H88" s="150">
        <f t="shared" si="47"/>
        <v>115381.97827413744</v>
      </c>
      <c r="I88" s="150">
        <f t="shared" si="47"/>
        <v>120081.03214803609</v>
      </c>
      <c r="J88" s="150">
        <f t="shared" si="47"/>
        <v>126786.44565552984</v>
      </c>
      <c r="K88" s="150">
        <f t="shared" si="47"/>
        <v>132946.91436070128</v>
      </c>
      <c r="L88" s="150">
        <f t="shared" si="47"/>
        <v>139153.58238839565</v>
      </c>
      <c r="M88" s="150">
        <f t="shared" si="47"/>
        <v>145602.36494736429</v>
      </c>
      <c r="N88" s="150">
        <f t="shared" si="47"/>
        <v>153141.70556945121</v>
      </c>
      <c r="O88" s="150">
        <f t="shared" si="47"/>
        <v>159697.79774897988</v>
      </c>
      <c r="P88" s="150">
        <f t="shared" si="47"/>
        <v>167335.69516382285</v>
      </c>
      <c r="Q88" s="150">
        <f t="shared" si="47"/>
        <v>174708.37789167036</v>
      </c>
      <c r="R88" s="150">
        <f t="shared" si="47"/>
        <v>183977.46769034033</v>
      </c>
      <c r="S88" s="150">
        <f t="shared" si="47"/>
        <v>193524.92994986579</v>
      </c>
      <c r="T88" s="150">
        <f t="shared" si="37"/>
        <v>203047</v>
      </c>
      <c r="U88" s="150">
        <f t="shared" si="37"/>
        <v>218103</v>
      </c>
      <c r="V88" s="150">
        <f t="shared" si="37"/>
        <v>218794</v>
      </c>
      <c r="W88" s="150">
        <f t="shared" ref="W88:X88" si="48">W48+W68</f>
        <v>233910.94069689792</v>
      </c>
      <c r="X88" s="150">
        <f t="shared" si="48"/>
        <v>244829.49179452192</v>
      </c>
    </row>
    <row r="89" spans="2:45" hidden="1" x14ac:dyDescent="0.35">
      <c r="B89" s="739"/>
      <c r="C89" s="170" t="s">
        <v>277</v>
      </c>
      <c r="D89" s="147" t="s">
        <v>41</v>
      </c>
      <c r="F89" s="150">
        <f t="shared" ref="F89:S89" si="49">F49+F69</f>
        <v>0</v>
      </c>
      <c r="G89" s="150">
        <f t="shared" si="49"/>
        <v>0</v>
      </c>
      <c r="H89" s="150">
        <f t="shared" si="49"/>
        <v>0</v>
      </c>
      <c r="I89" s="150">
        <f t="shared" si="49"/>
        <v>0</v>
      </c>
      <c r="J89" s="150">
        <f t="shared" si="49"/>
        <v>0</v>
      </c>
      <c r="K89" s="150">
        <f t="shared" si="49"/>
        <v>0</v>
      </c>
      <c r="L89" s="150">
        <f t="shared" si="49"/>
        <v>0</v>
      </c>
      <c r="M89" s="150">
        <f t="shared" si="49"/>
        <v>0</v>
      </c>
      <c r="N89" s="150">
        <f t="shared" si="49"/>
        <v>0</v>
      </c>
      <c r="O89" s="150">
        <f t="shared" si="49"/>
        <v>0</v>
      </c>
      <c r="P89" s="150">
        <f t="shared" si="49"/>
        <v>0</v>
      </c>
      <c r="Q89" s="150">
        <f t="shared" si="49"/>
        <v>0</v>
      </c>
      <c r="R89" s="150">
        <f t="shared" si="49"/>
        <v>0</v>
      </c>
      <c r="S89" s="150">
        <f t="shared" si="49"/>
        <v>0</v>
      </c>
      <c r="T89" s="150">
        <f t="shared" si="37"/>
        <v>0</v>
      </c>
      <c r="U89" s="150">
        <f t="shared" si="37"/>
        <v>0</v>
      </c>
      <c r="V89" s="150">
        <f t="shared" si="37"/>
        <v>0</v>
      </c>
      <c r="W89" s="150">
        <f t="shared" ref="W89:X89" si="50">W49+W69</f>
        <v>0</v>
      </c>
      <c r="X89" s="150">
        <f t="shared" si="50"/>
        <v>0</v>
      </c>
    </row>
    <row r="90" spans="2:45" x14ac:dyDescent="0.35">
      <c r="B90" s="739"/>
      <c r="C90" s="170" t="s">
        <v>279</v>
      </c>
      <c r="D90" s="147" t="s">
        <v>136</v>
      </c>
      <c r="F90" s="150">
        <f t="shared" ref="F90:S90" si="51">F50+F70</f>
        <v>3198.7703521551225</v>
      </c>
      <c r="G90" s="150">
        <f t="shared" si="51"/>
        <v>3335.7700117074032</v>
      </c>
      <c r="H90" s="150">
        <f t="shared" si="51"/>
        <v>3475.8612764894842</v>
      </c>
      <c r="I90" s="150">
        <f t="shared" si="51"/>
        <v>3613.8910071087175</v>
      </c>
      <c r="J90" s="150">
        <f t="shared" si="51"/>
        <v>3813.3293076037789</v>
      </c>
      <c r="K90" s="150">
        <f t="shared" si="51"/>
        <v>3995.3112072939011</v>
      </c>
      <c r="L90" s="150">
        <f t="shared" si="51"/>
        <v>4178.049199818468</v>
      </c>
      <c r="M90" s="150">
        <f t="shared" si="51"/>
        <v>4370.497289055781</v>
      </c>
      <c r="N90" s="150">
        <f t="shared" si="51"/>
        <v>4596.3137906970978</v>
      </c>
      <c r="O90" s="150">
        <f t="shared" si="51"/>
        <v>4793.9184951882553</v>
      </c>
      <c r="P90" s="150">
        <f t="shared" si="51"/>
        <v>5023.975751072303</v>
      </c>
      <c r="Q90" s="150">
        <f t="shared" si="51"/>
        <v>5243.9032337989247</v>
      </c>
      <c r="R90" s="150">
        <f t="shared" si="51"/>
        <v>5518.9812396445268</v>
      </c>
      <c r="S90" s="150">
        <f t="shared" si="51"/>
        <v>5801.5011178367795</v>
      </c>
      <c r="T90" s="150">
        <f t="shared" si="37"/>
        <v>6515</v>
      </c>
      <c r="U90" s="150">
        <f t="shared" si="37"/>
        <v>6368</v>
      </c>
      <c r="V90" s="150">
        <f t="shared" si="37"/>
        <v>6171</v>
      </c>
      <c r="W90" s="150">
        <f t="shared" ref="W90:X90" si="52">W50+W70</f>
        <v>6961.6537932441006</v>
      </c>
      <c r="X90" s="150">
        <f t="shared" si="52"/>
        <v>7279.2450711906395</v>
      </c>
    </row>
    <row r="91" spans="2:45" x14ac:dyDescent="0.35">
      <c r="B91" s="739"/>
      <c r="C91" s="170" t="s">
        <v>279</v>
      </c>
      <c r="D91" s="147" t="s">
        <v>41</v>
      </c>
      <c r="F91" s="150">
        <f t="shared" ref="F91:S91" si="53">F51+F71</f>
        <v>16636.770708335294</v>
      </c>
      <c r="G91" s="150">
        <f t="shared" si="53"/>
        <v>17366.438686691017</v>
      </c>
      <c r="H91" s="150">
        <f t="shared" si="53"/>
        <v>18114.693989366566</v>
      </c>
      <c r="I91" s="150">
        <f t="shared" si="53"/>
        <v>18855.705028879602</v>
      </c>
      <c r="J91" s="150">
        <f t="shared" si="53"/>
        <v>19910.812989229849</v>
      </c>
      <c r="K91" s="150">
        <f t="shared" si="53"/>
        <v>20881.330036630501</v>
      </c>
      <c r="L91" s="150">
        <f t="shared" si="53"/>
        <v>21859.689517869439</v>
      </c>
      <c r="M91" s="150">
        <f t="shared" si="53"/>
        <v>22873.820359210407</v>
      </c>
      <c r="N91" s="150">
        <f t="shared" si="53"/>
        <v>24058.688289371185</v>
      </c>
      <c r="O91" s="150">
        <f t="shared" si="53"/>
        <v>25087.882997948116</v>
      </c>
      <c r="P91" s="150">
        <f t="shared" si="53"/>
        <v>26287.045196847354</v>
      </c>
      <c r="Q91" s="150">
        <f t="shared" si="53"/>
        <v>27446.553318338989</v>
      </c>
      <c r="R91" s="150">
        <f t="shared" si="53"/>
        <v>28905.626779185928</v>
      </c>
      <c r="S91" s="150">
        <f t="shared" si="53"/>
        <v>30409.279181722253</v>
      </c>
      <c r="T91" s="150">
        <f t="shared" si="37"/>
        <v>32731</v>
      </c>
      <c r="U91" s="150">
        <f t="shared" si="37"/>
        <v>32792</v>
      </c>
      <c r="V91" s="150">
        <f t="shared" si="37"/>
        <v>35122</v>
      </c>
      <c r="W91" s="150">
        <f t="shared" ref="W91:X91" si="54">W51+W71</f>
        <v>36802.132476889536</v>
      </c>
      <c r="X91" s="150">
        <f t="shared" si="54"/>
        <v>38526.819981044922</v>
      </c>
    </row>
    <row r="92" spans="2:45" x14ac:dyDescent="0.35">
      <c r="B92" s="739"/>
      <c r="C92" s="170" t="s">
        <v>279</v>
      </c>
      <c r="D92" s="147" t="s">
        <v>117</v>
      </c>
      <c r="F92" s="150">
        <f t="shared" ref="F92:S92" si="55">F52+F72</f>
        <v>9.2655824216358962</v>
      </c>
      <c r="G92" s="150">
        <f t="shared" si="55"/>
        <v>9.7451581546680348</v>
      </c>
      <c r="H92" s="150">
        <f t="shared" si="55"/>
        <v>10.245799854681453</v>
      </c>
      <c r="I92" s="150">
        <f t="shared" si="55"/>
        <v>10.757264260814717</v>
      </c>
      <c r="J92" s="150">
        <f t="shared" si="55"/>
        <v>11.421067377980123</v>
      </c>
      <c r="K92" s="150">
        <f t="shared" si="55"/>
        <v>12.0642443813845</v>
      </c>
      <c r="L92" s="150">
        <f t="shared" si="55"/>
        <v>12.7284929910365</v>
      </c>
      <c r="M92" s="150">
        <f t="shared" si="55"/>
        <v>13.349732781397352</v>
      </c>
      <c r="N92" s="150">
        <f t="shared" si="55"/>
        <v>14.054050140707195</v>
      </c>
      <c r="O92" s="150">
        <f t="shared" si="55"/>
        <v>14.633458371996415</v>
      </c>
      <c r="P92" s="150">
        <f t="shared" si="55"/>
        <v>15.312577369194347</v>
      </c>
      <c r="Q92" s="150">
        <f t="shared" si="55"/>
        <v>16.025280279891245</v>
      </c>
      <c r="R92" s="150">
        <f t="shared" si="55"/>
        <v>16.959196698442838</v>
      </c>
      <c r="S92" s="150">
        <f t="shared" si="55"/>
        <v>17.943034232439576</v>
      </c>
      <c r="T92" s="150">
        <f t="shared" si="37"/>
        <v>19</v>
      </c>
      <c r="U92" s="150">
        <f t="shared" si="37"/>
        <v>21</v>
      </c>
      <c r="V92" s="150">
        <f t="shared" si="37"/>
        <v>22</v>
      </c>
      <c r="W92" s="150">
        <f t="shared" ref="W92:X92" si="56">W52+W72</f>
        <v>23.036733945656145</v>
      </c>
      <c r="X92" s="150">
        <f t="shared" si="56"/>
        <v>24.308700559916645</v>
      </c>
    </row>
    <row r="93" spans="2:45" hidden="1" x14ac:dyDescent="0.35">
      <c r="B93" s="739"/>
      <c r="C93" s="170" t="s">
        <v>278</v>
      </c>
      <c r="D93" s="147" t="s">
        <v>136</v>
      </c>
      <c r="F93" s="150">
        <f t="shared" ref="F93:S93" si="57">F53+F73</f>
        <v>0</v>
      </c>
      <c r="G93" s="150">
        <f t="shared" si="57"/>
        <v>0</v>
      </c>
      <c r="H93" s="150">
        <f t="shared" si="57"/>
        <v>0</v>
      </c>
      <c r="I93" s="150">
        <f t="shared" si="57"/>
        <v>0</v>
      </c>
      <c r="J93" s="150">
        <f t="shared" si="57"/>
        <v>0</v>
      </c>
      <c r="K93" s="150">
        <f t="shared" si="57"/>
        <v>0</v>
      </c>
      <c r="L93" s="150">
        <f t="shared" si="57"/>
        <v>0</v>
      </c>
      <c r="M93" s="150">
        <f t="shared" si="57"/>
        <v>0</v>
      </c>
      <c r="N93" s="150">
        <f t="shared" si="57"/>
        <v>0</v>
      </c>
      <c r="O93" s="150">
        <f t="shared" si="57"/>
        <v>0</v>
      </c>
      <c r="P93" s="150">
        <f t="shared" si="57"/>
        <v>0</v>
      </c>
      <c r="Q93" s="150">
        <f t="shared" si="57"/>
        <v>0</v>
      </c>
      <c r="R93" s="150">
        <f t="shared" si="57"/>
        <v>0</v>
      </c>
      <c r="S93" s="150">
        <f t="shared" si="57"/>
        <v>0</v>
      </c>
      <c r="T93" s="150">
        <f t="shared" si="37"/>
        <v>0</v>
      </c>
      <c r="U93" s="150">
        <f t="shared" si="37"/>
        <v>0</v>
      </c>
      <c r="V93" s="150">
        <f t="shared" si="37"/>
        <v>0</v>
      </c>
      <c r="W93" s="150">
        <f t="shared" ref="W93:X93" si="58">W53+W73</f>
        <v>0</v>
      </c>
      <c r="X93" s="150">
        <f t="shared" si="58"/>
        <v>0</v>
      </c>
    </row>
    <row r="94" spans="2:45" x14ac:dyDescent="0.35">
      <c r="B94" s="739"/>
      <c r="C94" s="170" t="s">
        <v>278</v>
      </c>
      <c r="D94" s="147" t="s">
        <v>41</v>
      </c>
      <c r="F94" s="150">
        <f t="shared" ref="F94:S94" si="59">F54+F74</f>
        <v>15161.366130280003</v>
      </c>
      <c r="G94" s="150">
        <f t="shared" si="59"/>
        <v>15820.563803255915</v>
      </c>
      <c r="H94" s="150">
        <f t="shared" si="59"/>
        <v>16495.85719577664</v>
      </c>
      <c r="I94" s="150">
        <f t="shared" si="59"/>
        <v>17163.379471447053</v>
      </c>
      <c r="J94" s="150">
        <f t="shared" si="59"/>
        <v>18118.921579679612</v>
      </c>
      <c r="K94" s="150">
        <f t="shared" si="59"/>
        <v>18995.290121204845</v>
      </c>
      <c r="L94" s="150">
        <f t="shared" si="59"/>
        <v>19877.49097224461</v>
      </c>
      <c r="M94" s="150">
        <f t="shared" si="59"/>
        <v>20797.243668973246</v>
      </c>
      <c r="N94" s="150">
        <f t="shared" si="59"/>
        <v>21873.537264236533</v>
      </c>
      <c r="O94" s="150">
        <f t="shared" si="59"/>
        <v>22810.970422708837</v>
      </c>
      <c r="P94" s="150">
        <f t="shared" si="59"/>
        <v>23902.90033142181</v>
      </c>
      <c r="Q94" s="150">
        <f t="shared" si="59"/>
        <v>24954.311582591254</v>
      </c>
      <c r="R94" s="150">
        <f t="shared" si="59"/>
        <v>26274.442257088529</v>
      </c>
      <c r="S94" s="150">
        <f t="shared" si="59"/>
        <v>27633.22354530781</v>
      </c>
      <c r="T94" s="150">
        <f t="shared" si="37"/>
        <v>29377</v>
      </c>
      <c r="U94" s="150">
        <f t="shared" si="37"/>
        <v>30085</v>
      </c>
      <c r="V94" s="150">
        <f t="shared" si="37"/>
        <v>31804</v>
      </c>
      <c r="W94" s="150">
        <f t="shared" ref="W94:X94" si="60">W54+W74</f>
        <v>33338.463055680557</v>
      </c>
      <c r="X94" s="150">
        <f t="shared" si="60"/>
        <v>34885.689331449241</v>
      </c>
    </row>
    <row r="95" spans="2:45" hidden="1" x14ac:dyDescent="0.35">
      <c r="B95" s="739"/>
      <c r="C95" s="170" t="s">
        <v>278</v>
      </c>
      <c r="D95" s="147" t="s">
        <v>117</v>
      </c>
      <c r="F95" s="150">
        <f t="shared" ref="F95:S95" si="61">F55+F75</f>
        <v>0</v>
      </c>
      <c r="G95" s="150">
        <f t="shared" si="61"/>
        <v>0</v>
      </c>
      <c r="H95" s="150">
        <f t="shared" si="61"/>
        <v>0</v>
      </c>
      <c r="I95" s="150">
        <f t="shared" si="61"/>
        <v>0</v>
      </c>
      <c r="J95" s="150">
        <f t="shared" si="61"/>
        <v>0</v>
      </c>
      <c r="K95" s="150">
        <f t="shared" si="61"/>
        <v>0</v>
      </c>
      <c r="L95" s="150">
        <f t="shared" si="61"/>
        <v>0</v>
      </c>
      <c r="M95" s="150">
        <f t="shared" si="61"/>
        <v>0</v>
      </c>
      <c r="N95" s="150">
        <f t="shared" si="61"/>
        <v>0</v>
      </c>
      <c r="O95" s="150">
        <f t="shared" si="61"/>
        <v>0</v>
      </c>
      <c r="P95" s="150">
        <f t="shared" si="61"/>
        <v>0</v>
      </c>
      <c r="Q95" s="150">
        <f t="shared" si="61"/>
        <v>0</v>
      </c>
      <c r="R95" s="150">
        <f t="shared" si="61"/>
        <v>0</v>
      </c>
      <c r="S95" s="150">
        <f t="shared" si="61"/>
        <v>0</v>
      </c>
      <c r="T95" s="150">
        <f t="shared" si="37"/>
        <v>0</v>
      </c>
      <c r="U95" s="150">
        <f t="shared" si="37"/>
        <v>0</v>
      </c>
      <c r="V95" s="150">
        <f t="shared" si="37"/>
        <v>0</v>
      </c>
      <c r="W95" s="150">
        <f t="shared" ref="W95:X95" si="62">W55+W75</f>
        <v>0</v>
      </c>
      <c r="X95" s="150">
        <f t="shared" si="62"/>
        <v>0</v>
      </c>
    </row>
    <row r="96" spans="2:45" hidden="1" x14ac:dyDescent="0.35">
      <c r="B96" s="739"/>
      <c r="C96" s="171" t="s">
        <v>274</v>
      </c>
      <c r="D96" s="147" t="s">
        <v>136</v>
      </c>
      <c r="F96" s="150">
        <f t="shared" ref="F96:S96" si="63">F56+F76</f>
        <v>0</v>
      </c>
      <c r="G96" s="150">
        <f t="shared" si="63"/>
        <v>0</v>
      </c>
      <c r="H96" s="150">
        <f t="shared" si="63"/>
        <v>0</v>
      </c>
      <c r="I96" s="150">
        <f t="shared" si="63"/>
        <v>0</v>
      </c>
      <c r="J96" s="150">
        <f t="shared" si="63"/>
        <v>0</v>
      </c>
      <c r="K96" s="150">
        <f t="shared" si="63"/>
        <v>0</v>
      </c>
      <c r="L96" s="150">
        <f t="shared" si="63"/>
        <v>0</v>
      </c>
      <c r="M96" s="150">
        <f t="shared" si="63"/>
        <v>0</v>
      </c>
      <c r="N96" s="150">
        <f t="shared" si="63"/>
        <v>0</v>
      </c>
      <c r="O96" s="150">
        <f t="shared" si="63"/>
        <v>0</v>
      </c>
      <c r="P96" s="150">
        <f t="shared" si="63"/>
        <v>0</v>
      </c>
      <c r="Q96" s="150">
        <f t="shared" si="63"/>
        <v>0</v>
      </c>
      <c r="R96" s="150">
        <f t="shared" si="63"/>
        <v>0</v>
      </c>
      <c r="S96" s="150">
        <f t="shared" si="63"/>
        <v>0</v>
      </c>
      <c r="T96" s="150">
        <f t="shared" si="37"/>
        <v>0</v>
      </c>
      <c r="U96" s="150">
        <f t="shared" si="37"/>
        <v>0</v>
      </c>
      <c r="V96" s="150">
        <f t="shared" si="37"/>
        <v>0</v>
      </c>
      <c r="W96" s="150">
        <f t="shared" ref="W96:X96" si="64">W56+W76</f>
        <v>0</v>
      </c>
      <c r="X96" s="150">
        <f t="shared" si="64"/>
        <v>0</v>
      </c>
    </row>
    <row r="97" spans="2:24" x14ac:dyDescent="0.35">
      <c r="B97" s="739"/>
      <c r="C97" s="171" t="s">
        <v>274</v>
      </c>
      <c r="D97" s="147" t="s">
        <v>41</v>
      </c>
      <c r="F97" s="150">
        <f t="shared" ref="F97:S97" si="65">F57+F77</f>
        <v>4079.1284866631208</v>
      </c>
      <c r="G97" s="150">
        <f t="shared" si="65"/>
        <v>4254.3809151863998</v>
      </c>
      <c r="H97" s="150">
        <f t="shared" si="65"/>
        <v>4433.6560296878688</v>
      </c>
      <c r="I97" s="150">
        <f t="shared" si="65"/>
        <v>4610.4134761666137</v>
      </c>
      <c r="J97" s="150">
        <f t="shared" si="65"/>
        <v>4865.3110655401015</v>
      </c>
      <c r="K97" s="150">
        <f t="shared" si="65"/>
        <v>5098.1462411039365</v>
      </c>
      <c r="L97" s="150">
        <f t="shared" si="65"/>
        <v>5332.0706619692291</v>
      </c>
      <c r="M97" s="150">
        <f t="shared" si="65"/>
        <v>5577.9064033082122</v>
      </c>
      <c r="N97" s="150">
        <f t="shared" si="65"/>
        <v>5866.204201946689</v>
      </c>
      <c r="O97" s="150">
        <f t="shared" si="65"/>
        <v>6118.2397435027606</v>
      </c>
      <c r="P97" s="150">
        <f t="shared" si="65"/>
        <v>6411.6971623501277</v>
      </c>
      <c r="Q97" s="150">
        <f t="shared" si="65"/>
        <v>6692.6537075026326</v>
      </c>
      <c r="R97" s="150">
        <f t="shared" si="65"/>
        <v>7044.3462841767659</v>
      </c>
      <c r="S97" s="150">
        <f t="shared" si="65"/>
        <v>7405.7167442093396</v>
      </c>
      <c r="T97" s="150">
        <f t="shared" si="37"/>
        <v>9787</v>
      </c>
      <c r="U97" s="150">
        <f t="shared" si="37"/>
        <v>7820</v>
      </c>
      <c r="V97" s="150">
        <f t="shared" si="37"/>
        <v>6614</v>
      </c>
      <c r="W97" s="150">
        <f t="shared" ref="W97:X97" si="66">W57+W77</f>
        <v>8896.6438084530364</v>
      </c>
      <c r="X97" s="150">
        <f t="shared" si="66"/>
        <v>9303.9734987771099</v>
      </c>
    </row>
    <row r="98" spans="2:24" hidden="1" x14ac:dyDescent="0.35">
      <c r="B98" s="739"/>
      <c r="C98" s="171" t="s">
        <v>274</v>
      </c>
      <c r="D98" s="147" t="s">
        <v>117</v>
      </c>
      <c r="F98" s="150">
        <f t="shared" ref="F98:S98" si="67">F58+F78</f>
        <v>0</v>
      </c>
      <c r="G98" s="150">
        <f t="shared" si="67"/>
        <v>0</v>
      </c>
      <c r="H98" s="150">
        <f t="shared" si="67"/>
        <v>0</v>
      </c>
      <c r="I98" s="150">
        <f t="shared" si="67"/>
        <v>0</v>
      </c>
      <c r="J98" s="150">
        <f t="shared" si="67"/>
        <v>0</v>
      </c>
      <c r="K98" s="150">
        <f t="shared" si="67"/>
        <v>0</v>
      </c>
      <c r="L98" s="150">
        <f t="shared" si="67"/>
        <v>0</v>
      </c>
      <c r="M98" s="150">
        <f t="shared" si="67"/>
        <v>0</v>
      </c>
      <c r="N98" s="150">
        <f t="shared" si="67"/>
        <v>0</v>
      </c>
      <c r="O98" s="150">
        <f t="shared" si="67"/>
        <v>0</v>
      </c>
      <c r="P98" s="150">
        <f t="shared" si="67"/>
        <v>0</v>
      </c>
      <c r="Q98" s="150">
        <f t="shared" si="67"/>
        <v>0</v>
      </c>
      <c r="R98" s="150">
        <f t="shared" si="67"/>
        <v>0</v>
      </c>
      <c r="S98" s="150">
        <f t="shared" si="67"/>
        <v>0</v>
      </c>
      <c r="T98" s="150">
        <f t="shared" si="37"/>
        <v>0</v>
      </c>
      <c r="U98" s="150">
        <f t="shared" si="37"/>
        <v>0</v>
      </c>
      <c r="V98" s="150">
        <f t="shared" si="37"/>
        <v>0</v>
      </c>
      <c r="W98" s="150">
        <f t="shared" ref="W98:X98" si="68">W58+W78</f>
        <v>0</v>
      </c>
      <c r="X98" s="150">
        <f t="shared" si="68"/>
        <v>0</v>
      </c>
    </row>
    <row r="99" spans="2:24" hidden="1" x14ac:dyDescent="0.35">
      <c r="B99" s="739"/>
      <c r="C99" s="171" t="s">
        <v>275</v>
      </c>
      <c r="D99" s="147" t="s">
        <v>136</v>
      </c>
      <c r="F99" s="150">
        <f t="shared" ref="F99:S99" si="69">F59+F79</f>
        <v>0</v>
      </c>
      <c r="G99" s="150">
        <f t="shared" si="69"/>
        <v>0</v>
      </c>
      <c r="H99" s="150">
        <f t="shared" si="69"/>
        <v>0</v>
      </c>
      <c r="I99" s="150">
        <f t="shared" si="69"/>
        <v>0</v>
      </c>
      <c r="J99" s="150">
        <f t="shared" si="69"/>
        <v>0</v>
      </c>
      <c r="K99" s="150">
        <f t="shared" si="69"/>
        <v>0</v>
      </c>
      <c r="L99" s="150">
        <f t="shared" si="69"/>
        <v>0</v>
      </c>
      <c r="M99" s="150">
        <f t="shared" si="69"/>
        <v>0</v>
      </c>
      <c r="N99" s="150">
        <f t="shared" si="69"/>
        <v>0</v>
      </c>
      <c r="O99" s="150">
        <f t="shared" si="69"/>
        <v>0</v>
      </c>
      <c r="P99" s="150">
        <f t="shared" si="69"/>
        <v>0</v>
      </c>
      <c r="Q99" s="150">
        <f t="shared" si="69"/>
        <v>0</v>
      </c>
      <c r="R99" s="150">
        <f t="shared" si="69"/>
        <v>0</v>
      </c>
      <c r="S99" s="150">
        <f t="shared" si="69"/>
        <v>0</v>
      </c>
      <c r="T99" s="150">
        <f t="shared" si="37"/>
        <v>0</v>
      </c>
      <c r="U99" s="150">
        <f t="shared" si="37"/>
        <v>0</v>
      </c>
      <c r="V99" s="150">
        <f t="shared" si="37"/>
        <v>0</v>
      </c>
      <c r="W99" s="150">
        <f t="shared" ref="W99:X99" si="70">W59+W79</f>
        <v>0</v>
      </c>
      <c r="X99" s="150">
        <f t="shared" si="70"/>
        <v>0</v>
      </c>
    </row>
    <row r="100" spans="2:24" x14ac:dyDescent="0.35">
      <c r="B100" s="739"/>
      <c r="C100" s="171" t="s">
        <v>275</v>
      </c>
      <c r="D100" s="147" t="s">
        <v>41</v>
      </c>
      <c r="F100" s="150">
        <f t="shared" ref="F100:S100" si="71">F60+F80</f>
        <v>1839.5942573832735</v>
      </c>
      <c r="G100" s="150">
        <f t="shared" si="71"/>
        <v>1920.4770592548507</v>
      </c>
      <c r="H100" s="150">
        <f t="shared" si="71"/>
        <v>2003.4444823255451</v>
      </c>
      <c r="I100" s="150">
        <f t="shared" si="71"/>
        <v>2085.6515732269713</v>
      </c>
      <c r="J100" s="150">
        <f t="shared" si="71"/>
        <v>2202.5277342764089</v>
      </c>
      <c r="K100" s="150">
        <f t="shared" si="71"/>
        <v>2310.122885032637</v>
      </c>
      <c r="L100" s="150">
        <f t="shared" si="71"/>
        <v>2418.6309579933422</v>
      </c>
      <c r="M100" s="150">
        <f t="shared" si="71"/>
        <v>2530.9220412550444</v>
      </c>
      <c r="N100" s="150">
        <f t="shared" si="71"/>
        <v>2662.0593063098568</v>
      </c>
      <c r="O100" s="150">
        <f t="shared" si="71"/>
        <v>2775.8785029378546</v>
      </c>
      <c r="P100" s="150">
        <f t="shared" si="71"/>
        <v>2908.5055170885812</v>
      </c>
      <c r="Q100" s="150">
        <f t="shared" si="71"/>
        <v>3036.9003009755193</v>
      </c>
      <c r="R100" s="150">
        <f t="shared" si="71"/>
        <v>3198.5681596459199</v>
      </c>
      <c r="S100" s="150">
        <f t="shared" si="71"/>
        <v>3365.2340229666843</v>
      </c>
      <c r="T100" s="150">
        <f t="shared" si="37"/>
        <v>3416</v>
      </c>
      <c r="U100" s="150">
        <f t="shared" si="37"/>
        <v>3729</v>
      </c>
      <c r="V100" s="150">
        <f t="shared" si="37"/>
        <v>4013</v>
      </c>
      <c r="W100" s="150">
        <f t="shared" ref="W100:X100" si="72">W60+W80</f>
        <v>4076.3171795219714</v>
      </c>
      <c r="X100" s="150">
        <f t="shared" si="72"/>
        <v>4267.8757968671725</v>
      </c>
    </row>
    <row r="101" spans="2:24" hidden="1" x14ac:dyDescent="0.35">
      <c r="B101" s="739"/>
      <c r="C101" s="171" t="s">
        <v>275</v>
      </c>
      <c r="D101" s="147" t="s">
        <v>117</v>
      </c>
      <c r="F101" s="150">
        <f t="shared" ref="F101:S101" si="73">F61+F81</f>
        <v>0</v>
      </c>
      <c r="G101" s="150">
        <f t="shared" si="73"/>
        <v>0</v>
      </c>
      <c r="H101" s="150">
        <f t="shared" si="73"/>
        <v>0</v>
      </c>
      <c r="I101" s="150">
        <f t="shared" si="73"/>
        <v>0</v>
      </c>
      <c r="J101" s="150">
        <f t="shared" si="73"/>
        <v>0</v>
      </c>
      <c r="K101" s="150">
        <f t="shared" si="73"/>
        <v>0</v>
      </c>
      <c r="L101" s="150">
        <f t="shared" si="73"/>
        <v>0</v>
      </c>
      <c r="M101" s="150">
        <f t="shared" si="73"/>
        <v>0</v>
      </c>
      <c r="N101" s="150">
        <f t="shared" si="73"/>
        <v>0</v>
      </c>
      <c r="O101" s="150">
        <f t="shared" si="73"/>
        <v>0</v>
      </c>
      <c r="P101" s="150">
        <f t="shared" si="73"/>
        <v>0</v>
      </c>
      <c r="Q101" s="150">
        <f t="shared" si="73"/>
        <v>0</v>
      </c>
      <c r="R101" s="150">
        <f t="shared" si="73"/>
        <v>0</v>
      </c>
      <c r="S101" s="150">
        <f t="shared" si="73"/>
        <v>0</v>
      </c>
      <c r="T101" s="150">
        <f t="shared" si="37"/>
        <v>0</v>
      </c>
      <c r="U101" s="150">
        <f t="shared" si="37"/>
        <v>0</v>
      </c>
      <c r="V101" s="150">
        <f t="shared" si="37"/>
        <v>0</v>
      </c>
      <c r="W101" s="150">
        <f t="shared" ref="W101:X101" si="74">W61+W81</f>
        <v>0</v>
      </c>
      <c r="X101" s="150">
        <f t="shared" si="74"/>
        <v>0</v>
      </c>
    </row>
    <row r="102" spans="2:24" ht="15" thickBot="1" x14ac:dyDescent="0.4">
      <c r="B102" s="740"/>
      <c r="C102" s="3" t="s">
        <v>219</v>
      </c>
      <c r="E102" s="110"/>
      <c r="F102" s="151">
        <f t="shared" ref="F102:S102" si="75">SUM(F83:F101)</f>
        <v>248691.96597338963</v>
      </c>
      <c r="G102" s="151">
        <f t="shared" si="75"/>
        <v>259472.74160133136</v>
      </c>
      <c r="H102" s="151">
        <f t="shared" si="75"/>
        <v>270512.84468304564</v>
      </c>
      <c r="I102" s="151">
        <f t="shared" si="75"/>
        <v>281418.97343480971</v>
      </c>
      <c r="J102" s="151">
        <f t="shared" si="75"/>
        <v>297059.38419453881</v>
      </c>
      <c r="K102" s="151">
        <f t="shared" si="75"/>
        <v>311389.51495720702</v>
      </c>
      <c r="L102" s="151">
        <f t="shared" si="75"/>
        <v>325807.99999999994</v>
      </c>
      <c r="M102" s="151">
        <f t="shared" si="75"/>
        <v>340870.00000000006</v>
      </c>
      <c r="N102" s="151">
        <f t="shared" si="75"/>
        <v>358505.00000000006</v>
      </c>
      <c r="O102" s="151">
        <f t="shared" si="75"/>
        <v>373878.99999999994</v>
      </c>
      <c r="P102" s="151">
        <f t="shared" si="75"/>
        <v>391785</v>
      </c>
      <c r="Q102" s="151">
        <f t="shared" si="75"/>
        <v>409002</v>
      </c>
      <c r="R102" s="151">
        <f t="shared" si="75"/>
        <v>430603</v>
      </c>
      <c r="S102" s="151">
        <f t="shared" si="75"/>
        <v>452827</v>
      </c>
      <c r="T102" s="151">
        <f t="shared" ref="T102" si="76">SUM(T83:T101)</f>
        <v>476031</v>
      </c>
      <c r="U102" s="151">
        <f t="shared" ref="U102" si="77">SUM(U83:U101)</f>
        <v>498081</v>
      </c>
      <c r="V102" s="151">
        <f t="shared" ref="V102:X102" si="78">SUM(V83:V101)</f>
        <v>520651</v>
      </c>
      <c r="W102" s="151">
        <f t="shared" si="78"/>
        <v>545738.77817685902</v>
      </c>
      <c r="X102" s="151">
        <f t="shared" si="78"/>
        <v>570981.59180984541</v>
      </c>
    </row>
    <row r="105" spans="2:24" x14ac:dyDescent="0.35">
      <c r="D105" t="s">
        <v>87</v>
      </c>
      <c r="E105" s="3">
        <v>1990</v>
      </c>
      <c r="F105" s="3">
        <v>2001</v>
      </c>
      <c r="G105" s="3">
        <v>2002</v>
      </c>
      <c r="H105" s="3">
        <v>2003</v>
      </c>
      <c r="I105" s="3">
        <v>2004</v>
      </c>
      <c r="J105" s="3">
        <v>2005</v>
      </c>
      <c r="K105" s="3">
        <v>2006</v>
      </c>
      <c r="L105" s="3">
        <v>2007</v>
      </c>
      <c r="M105" s="3">
        <v>2008</v>
      </c>
      <c r="N105" s="3">
        <v>2009</v>
      </c>
      <c r="O105" s="3">
        <v>2010</v>
      </c>
      <c r="P105" s="3">
        <v>2011</v>
      </c>
      <c r="Q105" s="3">
        <v>2012</v>
      </c>
      <c r="R105" s="3">
        <v>2013</v>
      </c>
      <c r="S105" s="3">
        <v>2014</v>
      </c>
      <c r="T105" s="3">
        <v>2015</v>
      </c>
      <c r="U105" s="3">
        <v>2016</v>
      </c>
      <c r="V105" s="3"/>
      <c r="W105" s="3"/>
    </row>
    <row r="106" spans="2:24" x14ac:dyDescent="0.35">
      <c r="C106" s="27" t="s">
        <v>287</v>
      </c>
      <c r="D106" s="27" t="s">
        <v>2</v>
      </c>
      <c r="E106" s="44" t="e">
        <f>'Activity Data Rep. Mauritius'!#REF!</f>
        <v>#REF!</v>
      </c>
      <c r="F106" s="223" t="e">
        <f>'Activity Data Rep. Mauritius'!#REF!</f>
        <v>#REF!</v>
      </c>
      <c r="G106" s="223" t="e">
        <f>'Activity Data Rep. Mauritius'!#REF!</f>
        <v>#REF!</v>
      </c>
      <c r="H106" s="223" t="e">
        <f>'Activity Data Rep. Mauritius'!#REF!</f>
        <v>#REF!</v>
      </c>
      <c r="I106" s="223" t="e">
        <f>'Activity Data Rep. Mauritius'!#REF!</f>
        <v>#REF!</v>
      </c>
      <c r="J106" s="223" t="e">
        <f>'Activity Data Rep. Mauritius'!#REF!</f>
        <v>#REF!</v>
      </c>
      <c r="K106" s="223" t="e">
        <f>'Activity Data Rep. Mauritius'!#REF!</f>
        <v>#REF!</v>
      </c>
      <c r="L106" s="223" t="e">
        <f>'Activity Data Rep. Mauritius'!#REF!</f>
        <v>#REF!</v>
      </c>
      <c r="M106" s="223" t="e">
        <f>'Activity Data Rep. Mauritius'!#REF!</f>
        <v>#REF!</v>
      </c>
      <c r="N106" s="223" t="e">
        <f>'Activity Data Rep. Mauritius'!#REF!</f>
        <v>#REF!</v>
      </c>
      <c r="O106" s="223" t="e">
        <f>'Activity Data Rep. Mauritius'!#REF!</f>
        <v>#REF!</v>
      </c>
      <c r="P106" s="223" t="e">
        <f>'Activity Data Rep. Mauritius'!#REF!</f>
        <v>#REF!</v>
      </c>
      <c r="Q106" s="223" t="e">
        <f>'Activity Data Rep. Mauritius'!#REF!</f>
        <v>#REF!</v>
      </c>
      <c r="R106" s="223" t="e">
        <f>'Activity Data Rep. Mauritius'!#REF!</f>
        <v>#REF!</v>
      </c>
      <c r="S106" s="223" t="e">
        <f>'Activity Data Rep. Mauritius'!#REF!</f>
        <v>#REF!</v>
      </c>
      <c r="T106" s="223" t="e">
        <f>'Activity Data Rep. Mauritius'!#REF!</f>
        <v>#REF!</v>
      </c>
      <c r="U106" s="223" t="e">
        <f>'Activity Data Rep. Mauritius'!#REF!</f>
        <v>#REF!</v>
      </c>
      <c r="V106" s="44"/>
      <c r="W106" s="44"/>
    </row>
    <row r="107" spans="2:24" x14ac:dyDescent="0.35">
      <c r="C107" s="27" t="s">
        <v>290</v>
      </c>
      <c r="D107" s="27" t="s">
        <v>2</v>
      </c>
      <c r="E107" s="44" t="e">
        <f>'Activity Data Rep. Mauritius'!#REF!</f>
        <v>#REF!</v>
      </c>
      <c r="F107" s="223" t="e">
        <f>'Activity Data Rep. Mauritius'!#REF!</f>
        <v>#REF!</v>
      </c>
      <c r="G107" s="223" t="e">
        <f>'Activity Data Rep. Mauritius'!#REF!</f>
        <v>#REF!</v>
      </c>
      <c r="H107" s="223" t="e">
        <f>'Activity Data Rep. Mauritius'!#REF!</f>
        <v>#REF!</v>
      </c>
      <c r="I107" s="223" t="e">
        <f>'Activity Data Rep. Mauritius'!#REF!</f>
        <v>#REF!</v>
      </c>
      <c r="J107" s="223" t="e">
        <f>'Activity Data Rep. Mauritius'!#REF!</f>
        <v>#REF!</v>
      </c>
      <c r="K107" s="223" t="e">
        <f>'Activity Data Rep. Mauritius'!#REF!</f>
        <v>#REF!</v>
      </c>
      <c r="L107" s="223" t="e">
        <f>'Activity Data Rep. Mauritius'!#REF!</f>
        <v>#REF!</v>
      </c>
      <c r="M107" s="223" t="e">
        <f>'Activity Data Rep. Mauritius'!#REF!</f>
        <v>#REF!</v>
      </c>
      <c r="N107" s="223" t="e">
        <f>'Activity Data Rep. Mauritius'!#REF!</f>
        <v>#REF!</v>
      </c>
      <c r="O107" s="223" t="e">
        <f>'Activity Data Rep. Mauritius'!#REF!</f>
        <v>#REF!</v>
      </c>
      <c r="P107" s="223" t="e">
        <f>'Activity Data Rep. Mauritius'!#REF!</f>
        <v>#REF!</v>
      </c>
      <c r="Q107" s="223" t="e">
        <f>'Activity Data Rep. Mauritius'!#REF!</f>
        <v>#REF!</v>
      </c>
      <c r="R107" s="223" t="e">
        <f>'Activity Data Rep. Mauritius'!#REF!</f>
        <v>#REF!</v>
      </c>
      <c r="S107" s="223" t="e">
        <f>'Activity Data Rep. Mauritius'!#REF!</f>
        <v>#REF!</v>
      </c>
      <c r="T107" s="223" t="e">
        <f>'Activity Data Rep. Mauritius'!#REF!</f>
        <v>#REF!</v>
      </c>
      <c r="U107" s="223" t="e">
        <f>'Activity Data Rep. Mauritius'!#REF!</f>
        <v>#REF!</v>
      </c>
      <c r="V107" s="44"/>
      <c r="W107" s="44"/>
    </row>
    <row r="108" spans="2:24" x14ac:dyDescent="0.35">
      <c r="C108" s="27" t="s">
        <v>291</v>
      </c>
      <c r="D108" s="27" t="s">
        <v>2</v>
      </c>
      <c r="E108" s="44" t="e">
        <f>'Activity Data Rep. Mauritius'!#REF!</f>
        <v>#REF!</v>
      </c>
      <c r="F108" s="223" t="e">
        <f>'Activity Data Rep. Mauritius'!#REF!</f>
        <v>#REF!</v>
      </c>
      <c r="G108" s="223" t="e">
        <f>'Activity Data Rep. Mauritius'!#REF!</f>
        <v>#REF!</v>
      </c>
      <c r="H108" s="223" t="e">
        <f>'Activity Data Rep. Mauritius'!#REF!</f>
        <v>#REF!</v>
      </c>
      <c r="I108" s="223" t="e">
        <f>'Activity Data Rep. Mauritius'!#REF!</f>
        <v>#REF!</v>
      </c>
      <c r="J108" s="223" t="e">
        <f>'Activity Data Rep. Mauritius'!#REF!</f>
        <v>#REF!</v>
      </c>
      <c r="K108" s="223" t="e">
        <f>'Activity Data Rep. Mauritius'!#REF!</f>
        <v>#REF!</v>
      </c>
      <c r="L108" s="223" t="e">
        <f>'Activity Data Rep. Mauritius'!#REF!</f>
        <v>#REF!</v>
      </c>
      <c r="M108" s="223" t="e">
        <f>'Activity Data Rep. Mauritius'!#REF!</f>
        <v>#REF!</v>
      </c>
      <c r="N108" s="223" t="e">
        <f>'Activity Data Rep. Mauritius'!#REF!</f>
        <v>#REF!</v>
      </c>
      <c r="O108" s="223" t="e">
        <f>'Activity Data Rep. Mauritius'!#REF!</f>
        <v>#REF!</v>
      </c>
      <c r="P108" s="223" t="e">
        <f>'Activity Data Rep. Mauritius'!#REF!</f>
        <v>#REF!</v>
      </c>
      <c r="Q108" s="223" t="e">
        <f>'Activity Data Rep. Mauritius'!#REF!</f>
        <v>#REF!</v>
      </c>
      <c r="R108" s="223" t="e">
        <f>'Activity Data Rep. Mauritius'!#REF!</f>
        <v>#REF!</v>
      </c>
      <c r="S108" s="223" t="e">
        <f>'Activity Data Rep. Mauritius'!#REF!</f>
        <v>#REF!</v>
      </c>
      <c r="T108" s="223" t="e">
        <f>'Activity Data Rep. Mauritius'!#REF!</f>
        <v>#REF!</v>
      </c>
      <c r="U108" s="223" t="e">
        <f>'Activity Data Rep. Mauritius'!#REF!</f>
        <v>#REF!</v>
      </c>
      <c r="V108" s="44"/>
      <c r="W108" s="44"/>
    </row>
    <row r="109" spans="2:24" x14ac:dyDescent="0.35">
      <c r="C109" s="27" t="s">
        <v>294</v>
      </c>
      <c r="D109" s="27" t="s">
        <v>2</v>
      </c>
      <c r="E109" s="44" t="e">
        <f>'Activity Data Rep. Mauritius'!#REF!</f>
        <v>#REF!</v>
      </c>
      <c r="F109" s="223" t="e">
        <f>'Activity Data Rep. Mauritius'!#REF!</f>
        <v>#REF!</v>
      </c>
      <c r="G109" s="223" t="e">
        <f>'Activity Data Rep. Mauritius'!#REF!</f>
        <v>#REF!</v>
      </c>
      <c r="H109" s="223" t="e">
        <f>'Activity Data Rep. Mauritius'!#REF!</f>
        <v>#REF!</v>
      </c>
      <c r="I109" s="223" t="e">
        <f>'Activity Data Rep. Mauritius'!#REF!</f>
        <v>#REF!</v>
      </c>
      <c r="J109" s="223" t="e">
        <f>'Activity Data Rep. Mauritius'!#REF!</f>
        <v>#REF!</v>
      </c>
      <c r="K109" s="223" t="e">
        <f>'Activity Data Rep. Mauritius'!#REF!</f>
        <v>#REF!</v>
      </c>
      <c r="L109" s="223" t="e">
        <f>'Activity Data Rep. Mauritius'!#REF!</f>
        <v>#REF!</v>
      </c>
      <c r="M109" s="223" t="e">
        <f>'Activity Data Rep. Mauritius'!#REF!</f>
        <v>#REF!</v>
      </c>
      <c r="N109" s="223" t="e">
        <f>'Activity Data Rep. Mauritius'!#REF!</f>
        <v>#REF!</v>
      </c>
      <c r="O109" s="223" t="e">
        <f>'Activity Data Rep. Mauritius'!#REF!</f>
        <v>#REF!</v>
      </c>
      <c r="P109" s="223" t="e">
        <f>'Activity Data Rep. Mauritius'!#REF!</f>
        <v>#REF!</v>
      </c>
      <c r="Q109" s="223" t="e">
        <f>'Activity Data Rep. Mauritius'!#REF!</f>
        <v>#REF!</v>
      </c>
      <c r="R109" s="223" t="e">
        <f>'Activity Data Rep. Mauritius'!#REF!</f>
        <v>#REF!</v>
      </c>
      <c r="S109" s="223" t="e">
        <f>'Activity Data Rep. Mauritius'!#REF!</f>
        <v>#REF!</v>
      </c>
      <c r="T109" s="223" t="e">
        <f>'Activity Data Rep. Mauritius'!#REF!</f>
        <v>#REF!</v>
      </c>
      <c r="U109" s="223" t="e">
        <f>'Activity Data Rep. Mauritius'!#REF!</f>
        <v>#REF!</v>
      </c>
      <c r="V109" s="44"/>
      <c r="W109" s="44"/>
    </row>
    <row r="110" spans="2:24" x14ac:dyDescent="0.35">
      <c r="C110" s="27" t="s">
        <v>295</v>
      </c>
      <c r="D110" s="27" t="s">
        <v>2</v>
      </c>
      <c r="E110" s="44" t="e">
        <f>'Activity Data Rep. Mauritius'!#REF!</f>
        <v>#REF!</v>
      </c>
      <c r="F110" s="223" t="e">
        <f>'Activity Data Rep. Mauritius'!#REF!</f>
        <v>#REF!</v>
      </c>
      <c r="G110" s="223" t="e">
        <f>'Activity Data Rep. Mauritius'!#REF!</f>
        <v>#REF!</v>
      </c>
      <c r="H110" s="223" t="e">
        <f>'Activity Data Rep. Mauritius'!#REF!</f>
        <v>#REF!</v>
      </c>
      <c r="I110" s="223" t="e">
        <f>'Activity Data Rep. Mauritius'!#REF!</f>
        <v>#REF!</v>
      </c>
      <c r="J110" s="223" t="e">
        <f>'Activity Data Rep. Mauritius'!#REF!</f>
        <v>#REF!</v>
      </c>
      <c r="K110" s="223" t="e">
        <f>'Activity Data Rep. Mauritius'!#REF!</f>
        <v>#REF!</v>
      </c>
      <c r="L110" s="223" t="e">
        <f>'Activity Data Rep. Mauritius'!#REF!</f>
        <v>#REF!</v>
      </c>
      <c r="M110" s="223" t="e">
        <f>'Activity Data Rep. Mauritius'!#REF!</f>
        <v>#REF!</v>
      </c>
      <c r="N110" s="223" t="e">
        <f>'Activity Data Rep. Mauritius'!#REF!</f>
        <v>#REF!</v>
      </c>
      <c r="O110" s="223" t="e">
        <f>'Activity Data Rep. Mauritius'!#REF!</f>
        <v>#REF!</v>
      </c>
      <c r="P110" s="223" t="e">
        <f>'Activity Data Rep. Mauritius'!#REF!</f>
        <v>#REF!</v>
      </c>
      <c r="Q110" s="223" t="e">
        <f>'Activity Data Rep. Mauritius'!#REF!</f>
        <v>#REF!</v>
      </c>
      <c r="R110" s="223" t="e">
        <f>'Activity Data Rep. Mauritius'!#REF!</f>
        <v>#REF!</v>
      </c>
      <c r="S110" s="223" t="e">
        <f>'Activity Data Rep. Mauritius'!#REF!</f>
        <v>#REF!</v>
      </c>
      <c r="T110" s="223" t="e">
        <f>'Activity Data Rep. Mauritius'!#REF!</f>
        <v>#REF!</v>
      </c>
      <c r="U110" s="223" t="e">
        <f>'Activity Data Rep. Mauritius'!#REF!</f>
        <v>#REF!</v>
      </c>
      <c r="V110" s="44"/>
      <c r="W110" s="44"/>
    </row>
    <row r="111" spans="2:24" x14ac:dyDescent="0.35">
      <c r="C111" s="27" t="s">
        <v>296</v>
      </c>
      <c r="D111" s="27" t="s">
        <v>2</v>
      </c>
      <c r="E111" s="44" t="e">
        <f>'Activity Data Rep. Mauritius'!#REF!</f>
        <v>#REF!</v>
      </c>
      <c r="F111" s="223" t="e">
        <f>'Activity Data Rep. Mauritius'!#REF!</f>
        <v>#REF!</v>
      </c>
      <c r="G111" s="223" t="e">
        <f>'Activity Data Rep. Mauritius'!#REF!</f>
        <v>#REF!</v>
      </c>
      <c r="H111" s="223" t="e">
        <f>'Activity Data Rep. Mauritius'!#REF!</f>
        <v>#REF!</v>
      </c>
      <c r="I111" s="223" t="e">
        <f>'Activity Data Rep. Mauritius'!#REF!</f>
        <v>#REF!</v>
      </c>
      <c r="J111" s="223" t="e">
        <f>'Activity Data Rep. Mauritius'!#REF!</f>
        <v>#REF!</v>
      </c>
      <c r="K111" s="223" t="e">
        <f>'Activity Data Rep. Mauritius'!#REF!</f>
        <v>#REF!</v>
      </c>
      <c r="L111" s="223" t="e">
        <f>'Activity Data Rep. Mauritius'!#REF!</f>
        <v>#REF!</v>
      </c>
      <c r="M111" s="223" t="e">
        <f>'Activity Data Rep. Mauritius'!#REF!</f>
        <v>#REF!</v>
      </c>
      <c r="N111" s="223" t="e">
        <f>'Activity Data Rep. Mauritius'!#REF!</f>
        <v>#REF!</v>
      </c>
      <c r="O111" s="223" t="e">
        <f>'Activity Data Rep. Mauritius'!#REF!</f>
        <v>#REF!</v>
      </c>
      <c r="P111" s="223" t="e">
        <f>'Activity Data Rep. Mauritius'!#REF!</f>
        <v>#REF!</v>
      </c>
      <c r="Q111" s="223" t="e">
        <f>'Activity Data Rep. Mauritius'!#REF!</f>
        <v>#REF!</v>
      </c>
      <c r="R111" s="223" t="e">
        <f>'Activity Data Rep. Mauritius'!#REF!</f>
        <v>#REF!</v>
      </c>
      <c r="S111" s="223" t="e">
        <f>'Activity Data Rep. Mauritius'!#REF!</f>
        <v>#REF!</v>
      </c>
      <c r="T111" s="223" t="e">
        <f>'Activity Data Rep. Mauritius'!#REF!</f>
        <v>#REF!</v>
      </c>
      <c r="U111" s="223" t="e">
        <f>'Activity Data Rep. Mauritius'!#REF!</f>
        <v>#REF!</v>
      </c>
      <c r="V111" s="44"/>
      <c r="W111" s="44"/>
    </row>
    <row r="112" spans="2:24" x14ac:dyDescent="0.35">
      <c r="C112" s="27" t="s">
        <v>297</v>
      </c>
      <c r="D112" s="27" t="s">
        <v>2</v>
      </c>
      <c r="E112" s="44" t="e">
        <f>'Activity Data Rep. Mauritius'!#REF!</f>
        <v>#REF!</v>
      </c>
      <c r="F112" s="223" t="e">
        <f>'Activity Data Rep. Mauritius'!#REF!</f>
        <v>#REF!</v>
      </c>
      <c r="G112" s="223" t="e">
        <f>'Activity Data Rep. Mauritius'!#REF!</f>
        <v>#REF!</v>
      </c>
      <c r="H112" s="223" t="e">
        <f>'Activity Data Rep. Mauritius'!#REF!</f>
        <v>#REF!</v>
      </c>
      <c r="I112" s="223" t="e">
        <f>'Activity Data Rep. Mauritius'!#REF!</f>
        <v>#REF!</v>
      </c>
      <c r="J112" s="223" t="e">
        <f>'Activity Data Rep. Mauritius'!#REF!</f>
        <v>#REF!</v>
      </c>
      <c r="K112" s="223" t="e">
        <f>'Activity Data Rep. Mauritius'!#REF!</f>
        <v>#REF!</v>
      </c>
      <c r="L112" s="223" t="e">
        <f>'Activity Data Rep. Mauritius'!#REF!</f>
        <v>#REF!</v>
      </c>
      <c r="M112" s="223" t="e">
        <f>'Activity Data Rep. Mauritius'!#REF!</f>
        <v>#REF!</v>
      </c>
      <c r="N112" s="223" t="e">
        <f>'Activity Data Rep. Mauritius'!#REF!</f>
        <v>#REF!</v>
      </c>
      <c r="O112" s="223" t="e">
        <f>'Activity Data Rep. Mauritius'!#REF!</f>
        <v>#REF!</v>
      </c>
      <c r="P112" s="223" t="e">
        <f>'Activity Data Rep. Mauritius'!#REF!</f>
        <v>#REF!</v>
      </c>
      <c r="Q112" s="223" t="e">
        <f>'Activity Data Rep. Mauritius'!#REF!</f>
        <v>#REF!</v>
      </c>
      <c r="R112" s="223" t="e">
        <f>'Activity Data Rep. Mauritius'!#REF!</f>
        <v>#REF!</v>
      </c>
      <c r="S112" s="223" t="e">
        <f>'Activity Data Rep. Mauritius'!#REF!</f>
        <v>#REF!</v>
      </c>
      <c r="T112" s="223" t="e">
        <f>'Activity Data Rep. Mauritius'!#REF!</f>
        <v>#REF!</v>
      </c>
      <c r="U112" s="223" t="e">
        <f>'Activity Data Rep. Mauritius'!#REF!</f>
        <v>#REF!</v>
      </c>
      <c r="V112" s="44"/>
      <c r="W112" s="44"/>
    </row>
    <row r="113" spans="2:23" x14ac:dyDescent="0.35">
      <c r="C113" s="27" t="s">
        <v>298</v>
      </c>
      <c r="D113" s="27" t="s">
        <v>2</v>
      </c>
      <c r="E113" s="44" t="e">
        <f>'Activity Data Rep. Mauritius'!#REF!</f>
        <v>#REF!</v>
      </c>
      <c r="F113" s="223" t="e">
        <f>'Activity Data Rep. Mauritius'!#REF!</f>
        <v>#REF!</v>
      </c>
      <c r="G113" s="223" t="e">
        <f>'Activity Data Rep. Mauritius'!#REF!</f>
        <v>#REF!</v>
      </c>
      <c r="H113" s="223" t="e">
        <f>'Activity Data Rep. Mauritius'!#REF!</f>
        <v>#REF!</v>
      </c>
      <c r="I113" s="223" t="e">
        <f>'Activity Data Rep. Mauritius'!#REF!</f>
        <v>#REF!</v>
      </c>
      <c r="J113" s="223" t="e">
        <f>'Activity Data Rep. Mauritius'!#REF!</f>
        <v>#REF!</v>
      </c>
      <c r="K113" s="223" t="e">
        <f>'Activity Data Rep. Mauritius'!#REF!</f>
        <v>#REF!</v>
      </c>
      <c r="L113" s="223" t="e">
        <f>'Activity Data Rep. Mauritius'!#REF!</f>
        <v>#REF!</v>
      </c>
      <c r="M113" s="223" t="e">
        <f>'Activity Data Rep. Mauritius'!#REF!</f>
        <v>#REF!</v>
      </c>
      <c r="N113" s="223" t="e">
        <f>'Activity Data Rep. Mauritius'!#REF!</f>
        <v>#REF!</v>
      </c>
      <c r="O113" s="223" t="e">
        <f>'Activity Data Rep. Mauritius'!#REF!</f>
        <v>#REF!</v>
      </c>
      <c r="P113" s="223" t="e">
        <f>'Activity Data Rep. Mauritius'!#REF!</f>
        <v>#REF!</v>
      </c>
      <c r="Q113" s="223" t="e">
        <f>'Activity Data Rep. Mauritius'!#REF!</f>
        <v>#REF!</v>
      </c>
      <c r="R113" s="223" t="e">
        <f>'Activity Data Rep. Mauritius'!#REF!</f>
        <v>#REF!</v>
      </c>
      <c r="S113" s="223" t="e">
        <f>'Activity Data Rep. Mauritius'!#REF!</f>
        <v>#REF!</v>
      </c>
      <c r="T113" s="223" t="e">
        <f>'Activity Data Rep. Mauritius'!#REF!</f>
        <v>#REF!</v>
      </c>
      <c r="U113" s="223" t="e">
        <f>'Activity Data Rep. Mauritius'!#REF!</f>
        <v>#REF!</v>
      </c>
      <c r="V113" s="44"/>
      <c r="W113" s="44"/>
    </row>
    <row r="114" spans="2:23" x14ac:dyDescent="0.35">
      <c r="C114" s="36" t="s">
        <v>299</v>
      </c>
      <c r="D114" s="27" t="s">
        <v>2</v>
      </c>
      <c r="E114" s="44" t="e">
        <f>'Activity Data Rep. Mauritius'!#REF!</f>
        <v>#REF!</v>
      </c>
      <c r="F114" s="223" t="e">
        <f>'Activity Data Rep. Mauritius'!#REF!</f>
        <v>#REF!</v>
      </c>
      <c r="G114" s="223" t="e">
        <f>'Activity Data Rep. Mauritius'!#REF!</f>
        <v>#REF!</v>
      </c>
      <c r="H114" s="223" t="e">
        <f>'Activity Data Rep. Mauritius'!#REF!</f>
        <v>#REF!</v>
      </c>
      <c r="I114" s="223" t="e">
        <f>'Activity Data Rep. Mauritius'!#REF!</f>
        <v>#REF!</v>
      </c>
      <c r="J114" s="223" t="e">
        <f>'Activity Data Rep. Mauritius'!#REF!</f>
        <v>#REF!</v>
      </c>
      <c r="K114" s="223" t="e">
        <f>'Activity Data Rep. Mauritius'!#REF!</f>
        <v>#REF!</v>
      </c>
      <c r="L114" s="223" t="e">
        <f>'Activity Data Rep. Mauritius'!#REF!</f>
        <v>#REF!</v>
      </c>
      <c r="M114" s="223" t="e">
        <f>'Activity Data Rep. Mauritius'!#REF!</f>
        <v>#REF!</v>
      </c>
      <c r="N114" s="223" t="e">
        <f>'Activity Data Rep. Mauritius'!#REF!</f>
        <v>#REF!</v>
      </c>
      <c r="O114" s="223" t="e">
        <f>'Activity Data Rep. Mauritius'!#REF!</f>
        <v>#REF!</v>
      </c>
      <c r="P114" s="223" t="e">
        <f>'Activity Data Rep. Mauritius'!#REF!</f>
        <v>#REF!</v>
      </c>
      <c r="Q114" s="223" t="e">
        <f>'Activity Data Rep. Mauritius'!#REF!</f>
        <v>#REF!</v>
      </c>
      <c r="R114" s="223" t="e">
        <f>'Activity Data Rep. Mauritius'!#REF!</f>
        <v>#REF!</v>
      </c>
      <c r="S114" s="223" t="e">
        <f>'Activity Data Rep. Mauritius'!#REF!</f>
        <v>#REF!</v>
      </c>
      <c r="T114" s="223" t="e">
        <f>'Activity Data Rep. Mauritius'!#REF!</f>
        <v>#REF!</v>
      </c>
      <c r="U114" s="223" t="e">
        <f>'Activity Data Rep. Mauritius'!#REF!</f>
        <v>#REF!</v>
      </c>
      <c r="V114" s="44"/>
      <c r="W114" s="44"/>
    </row>
    <row r="115" spans="2:23" ht="15" thickBot="1" x14ac:dyDescent="0.4">
      <c r="C115" s="175" t="s">
        <v>300</v>
      </c>
      <c r="D115" s="176" t="s">
        <v>2</v>
      </c>
      <c r="E115" s="177" t="e">
        <f>'Activity Data Rep. Mauritius'!#REF!</f>
        <v>#REF!</v>
      </c>
      <c r="F115" s="483" t="e">
        <f>'Activity Data Rep. Mauritius'!#REF!</f>
        <v>#REF!</v>
      </c>
      <c r="G115" s="483" t="e">
        <f>'Activity Data Rep. Mauritius'!#REF!</f>
        <v>#REF!</v>
      </c>
      <c r="H115" s="483" t="e">
        <f>'Activity Data Rep. Mauritius'!#REF!</f>
        <v>#REF!</v>
      </c>
      <c r="I115" s="483" t="e">
        <f>'Activity Data Rep. Mauritius'!#REF!</f>
        <v>#REF!</v>
      </c>
      <c r="J115" s="483" t="e">
        <f>'Activity Data Rep. Mauritius'!#REF!</f>
        <v>#REF!</v>
      </c>
      <c r="K115" s="483" t="e">
        <f>'Activity Data Rep. Mauritius'!#REF!</f>
        <v>#REF!</v>
      </c>
      <c r="L115" s="483" t="e">
        <f>'Activity Data Rep. Mauritius'!#REF!</f>
        <v>#REF!</v>
      </c>
      <c r="M115" s="483" t="e">
        <f>'Activity Data Rep. Mauritius'!#REF!</f>
        <v>#REF!</v>
      </c>
      <c r="N115" s="483" t="e">
        <f>'Activity Data Rep. Mauritius'!#REF!</f>
        <v>#REF!</v>
      </c>
      <c r="O115" s="483" t="e">
        <f>'Activity Data Rep. Mauritius'!#REF!</f>
        <v>#REF!</v>
      </c>
      <c r="P115" s="483" t="e">
        <f>'Activity Data Rep. Mauritius'!#REF!</f>
        <v>#REF!</v>
      </c>
      <c r="Q115" s="483" t="e">
        <f>'Activity Data Rep. Mauritius'!#REF!</f>
        <v>#REF!</v>
      </c>
      <c r="R115" s="483" t="e">
        <f>'Activity Data Rep. Mauritius'!#REF!</f>
        <v>#REF!</v>
      </c>
      <c r="S115" s="483" t="e">
        <f>'Activity Data Rep. Mauritius'!#REF!</f>
        <v>#REF!</v>
      </c>
      <c r="T115" s="483" t="e">
        <f>'Activity Data Rep. Mauritius'!#REF!</f>
        <v>#REF!</v>
      </c>
      <c r="U115" s="483" t="e">
        <f>'Activity Data Rep. Mauritius'!#REF!</f>
        <v>#REF!</v>
      </c>
      <c r="V115" s="177"/>
      <c r="W115" s="177"/>
    </row>
    <row r="116" spans="2:23" x14ac:dyDescent="0.35">
      <c r="B116" s="732" t="s">
        <v>303</v>
      </c>
      <c r="C116" s="178" t="s">
        <v>136</v>
      </c>
      <c r="D116" s="179" t="s">
        <v>2</v>
      </c>
      <c r="E116" s="138" t="e">
        <f t="shared" ref="E116:U116" si="79">E106+E109+E110</f>
        <v>#REF!</v>
      </c>
      <c r="F116" s="484" t="e">
        <f t="shared" si="79"/>
        <v>#REF!</v>
      </c>
      <c r="G116" s="484" t="e">
        <f t="shared" si="79"/>
        <v>#REF!</v>
      </c>
      <c r="H116" s="484" t="e">
        <f t="shared" si="79"/>
        <v>#REF!</v>
      </c>
      <c r="I116" s="484" t="e">
        <f t="shared" si="79"/>
        <v>#REF!</v>
      </c>
      <c r="J116" s="484" t="e">
        <f t="shared" si="79"/>
        <v>#REF!</v>
      </c>
      <c r="K116" s="484" t="e">
        <f t="shared" si="79"/>
        <v>#REF!</v>
      </c>
      <c r="L116" s="484" t="e">
        <f t="shared" si="79"/>
        <v>#REF!</v>
      </c>
      <c r="M116" s="484" t="e">
        <f t="shared" si="79"/>
        <v>#REF!</v>
      </c>
      <c r="N116" s="484" t="e">
        <f t="shared" si="79"/>
        <v>#REF!</v>
      </c>
      <c r="O116" s="484" t="e">
        <f t="shared" si="79"/>
        <v>#REF!</v>
      </c>
      <c r="P116" s="484" t="e">
        <f t="shared" si="79"/>
        <v>#REF!</v>
      </c>
      <c r="Q116" s="484" t="e">
        <f t="shared" si="79"/>
        <v>#REF!</v>
      </c>
      <c r="R116" s="484" t="e">
        <f t="shared" si="79"/>
        <v>#REF!</v>
      </c>
      <c r="S116" s="484" t="e">
        <f t="shared" si="79"/>
        <v>#REF!</v>
      </c>
      <c r="T116" s="484" t="e">
        <f t="shared" si="79"/>
        <v>#REF!</v>
      </c>
      <c r="U116" s="484" t="e">
        <f t="shared" si="79"/>
        <v>#REF!</v>
      </c>
      <c r="V116" s="138"/>
      <c r="W116" s="140"/>
    </row>
    <row r="117" spans="2:23" x14ac:dyDescent="0.35">
      <c r="B117" s="733"/>
      <c r="C117" s="40" t="s">
        <v>41</v>
      </c>
      <c r="D117" s="27" t="s">
        <v>2</v>
      </c>
      <c r="E117" s="44" t="e">
        <f t="shared" ref="E117:U117" si="80">E107+E111+E113+E114+E115</f>
        <v>#REF!</v>
      </c>
      <c r="F117" s="223" t="e">
        <f t="shared" si="80"/>
        <v>#REF!</v>
      </c>
      <c r="G117" s="223" t="e">
        <f t="shared" si="80"/>
        <v>#REF!</v>
      </c>
      <c r="H117" s="223" t="e">
        <f t="shared" si="80"/>
        <v>#REF!</v>
      </c>
      <c r="I117" s="223" t="e">
        <f t="shared" si="80"/>
        <v>#REF!</v>
      </c>
      <c r="J117" s="223" t="e">
        <f t="shared" si="80"/>
        <v>#REF!</v>
      </c>
      <c r="K117" s="223" t="e">
        <f t="shared" si="80"/>
        <v>#REF!</v>
      </c>
      <c r="L117" s="223" t="e">
        <f t="shared" si="80"/>
        <v>#REF!</v>
      </c>
      <c r="M117" s="223" t="e">
        <f t="shared" si="80"/>
        <v>#REF!</v>
      </c>
      <c r="N117" s="223" t="e">
        <f t="shared" si="80"/>
        <v>#REF!</v>
      </c>
      <c r="O117" s="223" t="e">
        <f t="shared" si="80"/>
        <v>#REF!</v>
      </c>
      <c r="P117" s="223" t="e">
        <f t="shared" si="80"/>
        <v>#REF!</v>
      </c>
      <c r="Q117" s="223" t="e">
        <f t="shared" si="80"/>
        <v>#REF!</v>
      </c>
      <c r="R117" s="223" t="e">
        <f t="shared" si="80"/>
        <v>#REF!</v>
      </c>
      <c r="S117" s="223" t="e">
        <f t="shared" si="80"/>
        <v>#REF!</v>
      </c>
      <c r="T117" s="223" t="e">
        <f t="shared" si="80"/>
        <v>#REF!</v>
      </c>
      <c r="U117" s="223" t="e">
        <f t="shared" si="80"/>
        <v>#REF!</v>
      </c>
      <c r="V117" s="44"/>
      <c r="W117" s="141"/>
    </row>
    <row r="118" spans="2:23" ht="15" thickBot="1" x14ac:dyDescent="0.4">
      <c r="B118" s="734"/>
      <c r="C118" s="180" t="s">
        <v>117</v>
      </c>
      <c r="D118" s="181" t="s">
        <v>2</v>
      </c>
      <c r="E118" s="142" t="e">
        <f t="shared" ref="E118:U118" si="81">E108+E112</f>
        <v>#REF!</v>
      </c>
      <c r="F118" s="482" t="e">
        <f t="shared" si="81"/>
        <v>#REF!</v>
      </c>
      <c r="G118" s="482" t="e">
        <f t="shared" si="81"/>
        <v>#REF!</v>
      </c>
      <c r="H118" s="482" t="e">
        <f t="shared" si="81"/>
        <v>#REF!</v>
      </c>
      <c r="I118" s="482" t="e">
        <f t="shared" si="81"/>
        <v>#REF!</v>
      </c>
      <c r="J118" s="482" t="e">
        <f t="shared" si="81"/>
        <v>#REF!</v>
      </c>
      <c r="K118" s="482" t="e">
        <f t="shared" si="81"/>
        <v>#REF!</v>
      </c>
      <c r="L118" s="482" t="e">
        <f t="shared" si="81"/>
        <v>#REF!</v>
      </c>
      <c r="M118" s="482" t="e">
        <f t="shared" si="81"/>
        <v>#REF!</v>
      </c>
      <c r="N118" s="482" t="e">
        <f t="shared" si="81"/>
        <v>#REF!</v>
      </c>
      <c r="O118" s="482" t="e">
        <f t="shared" si="81"/>
        <v>#REF!</v>
      </c>
      <c r="P118" s="482" t="e">
        <f t="shared" si="81"/>
        <v>#REF!</v>
      </c>
      <c r="Q118" s="482" t="e">
        <f t="shared" si="81"/>
        <v>#REF!</v>
      </c>
      <c r="R118" s="482" t="e">
        <f t="shared" si="81"/>
        <v>#REF!</v>
      </c>
      <c r="S118" s="482" t="e">
        <f t="shared" si="81"/>
        <v>#REF!</v>
      </c>
      <c r="T118" s="482" t="e">
        <f t="shared" si="81"/>
        <v>#REF!</v>
      </c>
      <c r="U118" s="482" t="e">
        <f t="shared" si="81"/>
        <v>#REF!</v>
      </c>
      <c r="V118" s="142"/>
      <c r="W118" s="144"/>
    </row>
    <row r="119" spans="2:23" x14ac:dyDescent="0.35">
      <c r="B119" s="732" t="s">
        <v>302</v>
      </c>
      <c r="C119" s="178" t="s">
        <v>136</v>
      </c>
      <c r="D119" s="179" t="s">
        <v>2</v>
      </c>
      <c r="E119" s="179" t="e">
        <f>'Activity Data Calculations'!#REF!/1000</f>
        <v>#REF!</v>
      </c>
      <c r="F119" s="484">
        <f>'Activity Data Calculations'!G152/1000</f>
        <v>85.042000000000002</v>
      </c>
      <c r="G119" s="484">
        <f>'Activity Data Calculations'!H152/1000</f>
        <v>85.028000000000006</v>
      </c>
      <c r="H119" s="484">
        <f>'Activity Data Calculations'!I152/1000</f>
        <v>86.283999999999992</v>
      </c>
      <c r="I119" s="484">
        <f>'Activity Data Calculations'!J152/1000</f>
        <v>88.010999999999996</v>
      </c>
      <c r="J119" s="484">
        <f>'Activity Data Calculations'!K152/1000</f>
        <v>89.498000000000005</v>
      </c>
      <c r="K119" s="484">
        <f>'Activity Data Calculations'!L152/1000</f>
        <v>86.885999999999981</v>
      </c>
      <c r="L119" s="484">
        <f>'Activity Data Calculations'!M152/1000</f>
        <v>96.462999999999994</v>
      </c>
      <c r="M119" s="484">
        <f>'Activity Data Calculations'!N152/1000</f>
        <v>98.867000000000004</v>
      </c>
      <c r="N119" s="484">
        <f>'Activity Data Calculations'!O152/1000</f>
        <v>108.871</v>
      </c>
      <c r="O119" s="484">
        <f>'Activity Data Calculations'!P152/1000</f>
        <v>115.26600000000001</v>
      </c>
      <c r="P119" s="484">
        <f>'Activity Data Calculations'!Q152/1000</f>
        <v>117.37</v>
      </c>
      <c r="Q119" s="484">
        <f>'Activity Data Calculations'!R152/1000</f>
        <v>123.352</v>
      </c>
      <c r="R119" s="484">
        <f>'Activity Data Calculations'!S152/1000</f>
        <v>128.928</v>
      </c>
      <c r="S119" s="484">
        <f>'Activity Data Calculations'!T152/1000</f>
        <v>137.244</v>
      </c>
      <c r="T119" s="484">
        <f>'Activity Data Calculations'!U152/1000</f>
        <v>147.56470999999999</v>
      </c>
      <c r="U119" s="484">
        <f>'Activity Data Calculations'!V152/1000</f>
        <v>161.833</v>
      </c>
      <c r="V119" s="179"/>
      <c r="W119" s="182"/>
    </row>
    <row r="120" spans="2:23" x14ac:dyDescent="0.35">
      <c r="B120" s="733"/>
      <c r="C120" s="40" t="s">
        <v>41</v>
      </c>
      <c r="D120" s="27" t="s">
        <v>2</v>
      </c>
      <c r="E120" s="27"/>
      <c r="F120" s="223">
        <f>'Activity Data Calculations'!G153/1000</f>
        <v>144.364</v>
      </c>
      <c r="G120" s="223">
        <f>'Activity Data Calculations'!H153/1000</f>
        <v>152.36294099999998</v>
      </c>
      <c r="H120" s="223">
        <f>'Activity Data Calculations'!I153/1000</f>
        <v>160.13813099999999</v>
      </c>
      <c r="I120" s="223">
        <f>'Activity Data Calculations'!J153/1000</f>
        <v>162.97116</v>
      </c>
      <c r="J120" s="223">
        <f>'Activity Data Calculations'!K153/1000</f>
        <v>165.34442999999999</v>
      </c>
      <c r="K120" s="223">
        <f>'Activity Data Calculations'!L153/1000</f>
        <v>172.50399999999999</v>
      </c>
      <c r="L120" s="223">
        <f>'Activity Data Calculations'!M153/1000</f>
        <v>150.71654699999999</v>
      </c>
      <c r="M120" s="223">
        <f>'Activity Data Calculations'!N153/1000</f>
        <v>151.83963</v>
      </c>
      <c r="N120" s="223">
        <f>'Activity Data Calculations'!O153/1000</f>
        <v>152.63105100000001</v>
      </c>
      <c r="O120" s="223">
        <f>'Activity Data Calculations'!P153/1000</f>
        <v>159.47083499999999</v>
      </c>
      <c r="P120" s="223">
        <f>'Activity Data Calculations'!Q153/1000</f>
        <v>159.903783</v>
      </c>
      <c r="Q120" s="223">
        <f>'Activity Data Calculations'!R153/1000</f>
        <v>164.65</v>
      </c>
      <c r="R120" s="223">
        <f>'Activity Data Calculations'!S153/1000</f>
        <v>164.80199999999999</v>
      </c>
      <c r="S120" s="223">
        <f>'Activity Data Calculations'!T153/1000</f>
        <v>165.14</v>
      </c>
      <c r="T120" s="223">
        <f>'Activity Data Calculations'!U153/1000</f>
        <v>166.29349999999999</v>
      </c>
      <c r="U120" s="223">
        <f>'Activity Data Calculations'!V153/1000</f>
        <v>168.54400000000001</v>
      </c>
      <c r="V120" s="27"/>
      <c r="W120" s="97"/>
    </row>
    <row r="121" spans="2:23" ht="15" thickBot="1" x14ac:dyDescent="0.4">
      <c r="B121" s="734"/>
      <c r="C121" s="180" t="s">
        <v>117</v>
      </c>
      <c r="D121" s="181" t="s">
        <v>2</v>
      </c>
      <c r="E121" s="181"/>
      <c r="F121" s="482">
        <f>'Activity Data Calculations'!G154/1000</f>
        <v>0.82</v>
      </c>
      <c r="G121" s="482">
        <f>'Activity Data Calculations'!H154/1000</f>
        <v>1.2160000000000002</v>
      </c>
      <c r="H121" s="482">
        <f>'Activity Data Calculations'!I154/1000</f>
        <v>2.2229999999999999</v>
      </c>
      <c r="I121" s="482">
        <f>'Activity Data Calculations'!J154/1000</f>
        <v>2.6909999999999998</v>
      </c>
      <c r="J121" s="482">
        <f>'Activity Data Calculations'!K154/1000</f>
        <v>6.726</v>
      </c>
      <c r="K121" s="482">
        <f>'Activity Data Calculations'!L154/1000</f>
        <v>6.8869999999999996</v>
      </c>
      <c r="L121" s="482">
        <f>'Activity Data Calculations'!M154/1000</f>
        <v>6.633</v>
      </c>
      <c r="M121" s="482">
        <f>'Activity Data Calculations'!N154/1000</f>
        <v>5.1840000000000002</v>
      </c>
      <c r="N121" s="482">
        <f>'Activity Data Calculations'!O154/1000</f>
        <v>4.5869999999999997</v>
      </c>
      <c r="O121" s="482">
        <f>'Activity Data Calculations'!P154/1000</f>
        <v>4.641</v>
      </c>
      <c r="P121" s="482">
        <f>'Activity Data Calculations'!Q154/1000</f>
        <v>4.5020000000000007</v>
      </c>
      <c r="Q121" s="482">
        <f>'Activity Data Calculations'!R154/1000</f>
        <v>4.3630000000000004</v>
      </c>
      <c r="R121" s="482">
        <f>'Activity Data Calculations'!S154/1000</f>
        <v>4.0679999999999996</v>
      </c>
      <c r="S121" s="482">
        <f>'Activity Data Calculations'!T154/1000</f>
        <v>3.7440000000000002</v>
      </c>
      <c r="T121" s="482">
        <f>'Activity Data Calculations'!U154/1000</f>
        <v>3.19</v>
      </c>
      <c r="U121" s="482">
        <f>'Activity Data Calculations'!V154/1000</f>
        <v>3.4790000000000001</v>
      </c>
      <c r="V121" s="181"/>
      <c r="W121" s="183"/>
    </row>
    <row r="122" spans="2:23" x14ac:dyDescent="0.35">
      <c r="C122" s="178" t="s">
        <v>136</v>
      </c>
      <c r="F122" s="50" t="e">
        <f>ABS(F116-F119)/F116</f>
        <v>#REF!</v>
      </c>
      <c r="G122" s="50" t="e">
        <f t="shared" ref="G122:U122" si="82">ABS(G116-G119)/G116</f>
        <v>#REF!</v>
      </c>
      <c r="H122" s="50" t="e">
        <f t="shared" si="82"/>
        <v>#REF!</v>
      </c>
      <c r="I122" s="50" t="e">
        <f t="shared" si="82"/>
        <v>#REF!</v>
      </c>
      <c r="J122" s="50" t="e">
        <f t="shared" si="82"/>
        <v>#REF!</v>
      </c>
      <c r="K122" s="50" t="e">
        <f t="shared" si="82"/>
        <v>#REF!</v>
      </c>
      <c r="L122" s="50" t="e">
        <f t="shared" si="82"/>
        <v>#REF!</v>
      </c>
      <c r="M122" s="50" t="e">
        <f t="shared" si="82"/>
        <v>#REF!</v>
      </c>
      <c r="N122" s="50" t="e">
        <f t="shared" si="82"/>
        <v>#REF!</v>
      </c>
      <c r="O122" s="50" t="e">
        <f t="shared" si="82"/>
        <v>#REF!</v>
      </c>
      <c r="P122" s="50" t="e">
        <f t="shared" si="82"/>
        <v>#REF!</v>
      </c>
      <c r="Q122" s="50" t="e">
        <f t="shared" si="82"/>
        <v>#REF!</v>
      </c>
      <c r="R122" s="50" t="e">
        <f t="shared" si="82"/>
        <v>#REF!</v>
      </c>
      <c r="S122" s="50" t="e">
        <f t="shared" si="82"/>
        <v>#REF!</v>
      </c>
      <c r="T122" s="50" t="e">
        <f t="shared" si="82"/>
        <v>#REF!</v>
      </c>
      <c r="U122" s="50" t="e">
        <f t="shared" si="82"/>
        <v>#REF!</v>
      </c>
    </row>
    <row r="123" spans="2:23" x14ac:dyDescent="0.35">
      <c r="C123" s="40" t="s">
        <v>41</v>
      </c>
      <c r="F123" s="50" t="e">
        <f t="shared" ref="F123:U124" si="83">ABS(F117-F120)/F117</f>
        <v>#REF!</v>
      </c>
      <c r="G123" s="50" t="e">
        <f t="shared" si="83"/>
        <v>#REF!</v>
      </c>
      <c r="H123" s="50" t="e">
        <f t="shared" si="83"/>
        <v>#REF!</v>
      </c>
      <c r="I123" s="50" t="e">
        <f t="shared" si="83"/>
        <v>#REF!</v>
      </c>
      <c r="J123" s="50" t="e">
        <f t="shared" si="83"/>
        <v>#REF!</v>
      </c>
      <c r="K123" s="50" t="e">
        <f t="shared" si="83"/>
        <v>#REF!</v>
      </c>
      <c r="L123" s="50" t="e">
        <f t="shared" si="83"/>
        <v>#REF!</v>
      </c>
      <c r="M123" s="50" t="e">
        <f t="shared" si="83"/>
        <v>#REF!</v>
      </c>
      <c r="N123" s="50" t="e">
        <f t="shared" si="83"/>
        <v>#REF!</v>
      </c>
      <c r="O123" s="50" t="e">
        <f t="shared" si="83"/>
        <v>#REF!</v>
      </c>
      <c r="P123" s="50" t="e">
        <f t="shared" si="83"/>
        <v>#REF!</v>
      </c>
      <c r="Q123" s="50" t="e">
        <f t="shared" si="83"/>
        <v>#REF!</v>
      </c>
      <c r="R123" s="50" t="e">
        <f t="shared" si="83"/>
        <v>#REF!</v>
      </c>
      <c r="S123" s="50" t="e">
        <f t="shared" si="83"/>
        <v>#REF!</v>
      </c>
      <c r="T123" s="50" t="e">
        <f t="shared" si="83"/>
        <v>#REF!</v>
      </c>
      <c r="U123" s="50" t="e">
        <f t="shared" si="83"/>
        <v>#REF!</v>
      </c>
    </row>
    <row r="124" spans="2:23" ht="15" thickBot="1" x14ac:dyDescent="0.4">
      <c r="C124" s="180" t="s">
        <v>117</v>
      </c>
      <c r="F124" s="50" t="e">
        <f t="shared" si="83"/>
        <v>#REF!</v>
      </c>
      <c r="G124" s="50" t="e">
        <f t="shared" si="83"/>
        <v>#REF!</v>
      </c>
      <c r="H124" s="50" t="e">
        <f t="shared" si="83"/>
        <v>#REF!</v>
      </c>
      <c r="I124" s="50" t="e">
        <f t="shared" si="83"/>
        <v>#REF!</v>
      </c>
      <c r="J124" s="50" t="e">
        <f t="shared" si="83"/>
        <v>#REF!</v>
      </c>
      <c r="K124" s="50" t="e">
        <f t="shared" si="83"/>
        <v>#REF!</v>
      </c>
      <c r="L124" s="50" t="e">
        <f t="shared" si="83"/>
        <v>#REF!</v>
      </c>
      <c r="M124" s="50" t="e">
        <f t="shared" si="83"/>
        <v>#REF!</v>
      </c>
      <c r="N124" s="50" t="e">
        <f t="shared" si="83"/>
        <v>#REF!</v>
      </c>
      <c r="O124" s="50" t="e">
        <f t="shared" si="83"/>
        <v>#REF!</v>
      </c>
      <c r="P124" s="50" t="e">
        <f t="shared" si="83"/>
        <v>#REF!</v>
      </c>
      <c r="Q124" s="50" t="e">
        <f t="shared" si="83"/>
        <v>#REF!</v>
      </c>
      <c r="R124" s="50" t="e">
        <f t="shared" si="83"/>
        <v>#REF!</v>
      </c>
      <c r="S124" s="50" t="e">
        <f t="shared" si="83"/>
        <v>#REF!</v>
      </c>
      <c r="T124" s="50" t="e">
        <f t="shared" si="83"/>
        <v>#REF!</v>
      </c>
      <c r="U124" s="50" t="e">
        <f t="shared" si="83"/>
        <v>#REF!</v>
      </c>
    </row>
    <row r="1048576" spans="4:4" x14ac:dyDescent="0.35">
      <c r="D1048576" s="110"/>
    </row>
  </sheetData>
  <mergeCells count="8">
    <mergeCell ref="N4:N28"/>
    <mergeCell ref="B119:B121"/>
    <mergeCell ref="B116:B118"/>
    <mergeCell ref="B43:B62"/>
    <mergeCell ref="B63:B82"/>
    <mergeCell ref="B83:B102"/>
    <mergeCell ref="H4:H28"/>
    <mergeCell ref="B4:B28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15F33-2805-4538-973A-95F2AA431FD3}">
  <sheetPr>
    <tabColor theme="6" tint="0.39997558519241921"/>
  </sheetPr>
  <dimension ref="B1:J53"/>
  <sheetViews>
    <sheetView showGridLines="0" topLeftCell="A7" zoomScale="70" zoomScaleNormal="70" workbookViewId="0">
      <selection activeCell="D17" sqref="D17:F19"/>
    </sheetView>
  </sheetViews>
  <sheetFormatPr baseColWidth="10" defaultRowHeight="14.5" x14ac:dyDescent="0.35"/>
  <cols>
    <col min="1" max="1" width="3.7265625" customWidth="1"/>
    <col min="2" max="2" width="22.54296875" customWidth="1"/>
    <col min="3" max="3" width="35.81640625" customWidth="1"/>
    <col min="4" max="7" width="11.453125" style="1"/>
    <col min="8" max="8" width="11.453125" style="2"/>
    <col min="9" max="9" width="19.1796875" style="2" bestFit="1" customWidth="1"/>
  </cols>
  <sheetData>
    <row r="1" spans="2:9" ht="15" thickBot="1" x14ac:dyDescent="0.4"/>
    <row r="2" spans="2:9" x14ac:dyDescent="0.35">
      <c r="B2" s="283" t="s">
        <v>11</v>
      </c>
      <c r="C2" s="179" t="s">
        <v>12</v>
      </c>
      <c r="D2" s="234" t="s">
        <v>79</v>
      </c>
      <c r="E2" s="234" t="s">
        <v>80</v>
      </c>
      <c r="F2" s="234" t="s">
        <v>81</v>
      </c>
      <c r="G2" s="234" t="s">
        <v>104</v>
      </c>
      <c r="H2" s="284" t="s">
        <v>13</v>
      </c>
      <c r="I2" s="285" t="s">
        <v>64</v>
      </c>
    </row>
    <row r="3" spans="2:9" x14ac:dyDescent="0.35">
      <c r="B3" s="639" t="s">
        <v>0</v>
      </c>
      <c r="C3" s="27" t="s">
        <v>14</v>
      </c>
      <c r="D3" s="36">
        <v>71900</v>
      </c>
      <c r="E3" s="36">
        <v>3</v>
      </c>
      <c r="F3" s="36">
        <v>0.6</v>
      </c>
      <c r="G3" s="36"/>
      <c r="H3" s="476" t="s">
        <v>100</v>
      </c>
      <c r="I3" s="286" t="s">
        <v>72</v>
      </c>
    </row>
    <row r="4" spans="2:9" x14ac:dyDescent="0.35">
      <c r="B4" s="639"/>
      <c r="C4" s="27" t="s">
        <v>62</v>
      </c>
      <c r="D4" s="36">
        <v>77400</v>
      </c>
      <c r="E4" s="36">
        <v>3</v>
      </c>
      <c r="F4" s="36">
        <v>0.6</v>
      </c>
      <c r="G4" s="36"/>
      <c r="H4" s="476" t="s">
        <v>100</v>
      </c>
      <c r="I4" s="286" t="s">
        <v>72</v>
      </c>
    </row>
    <row r="5" spans="2:9" x14ac:dyDescent="0.35">
      <c r="B5" s="639"/>
      <c r="C5" s="27" t="s">
        <v>63</v>
      </c>
      <c r="D5" s="36">
        <v>74100</v>
      </c>
      <c r="E5" s="36">
        <v>3</v>
      </c>
      <c r="F5" s="36">
        <v>0.6</v>
      </c>
      <c r="G5" s="36"/>
      <c r="H5" s="476" t="s">
        <v>100</v>
      </c>
      <c r="I5" s="286" t="s">
        <v>72</v>
      </c>
    </row>
    <row r="6" spans="2:9" x14ac:dyDescent="0.35">
      <c r="B6" s="639"/>
      <c r="C6" s="27" t="s">
        <v>15</v>
      </c>
      <c r="D6" s="36">
        <v>96100</v>
      </c>
      <c r="E6" s="36">
        <v>1</v>
      </c>
      <c r="F6" s="36">
        <v>1.5</v>
      </c>
      <c r="G6" s="36"/>
      <c r="H6" s="476" t="s">
        <v>100</v>
      </c>
      <c r="I6" s="286" t="s">
        <v>72</v>
      </c>
    </row>
    <row r="7" spans="2:9" x14ac:dyDescent="0.35">
      <c r="B7" s="639"/>
      <c r="C7" s="27" t="s">
        <v>16</v>
      </c>
      <c r="D7" s="36">
        <v>100000</v>
      </c>
      <c r="E7" s="36">
        <v>30</v>
      </c>
      <c r="F7" s="36">
        <v>4</v>
      </c>
      <c r="G7" s="36"/>
      <c r="H7" s="476" t="s">
        <v>100</v>
      </c>
      <c r="I7" s="286" t="s">
        <v>72</v>
      </c>
    </row>
    <row r="8" spans="2:9" x14ac:dyDescent="0.35">
      <c r="B8" s="639" t="s">
        <v>124</v>
      </c>
      <c r="C8" s="27" t="s">
        <v>63</v>
      </c>
      <c r="D8" s="36">
        <v>74100</v>
      </c>
      <c r="E8" s="36">
        <v>3</v>
      </c>
      <c r="F8" s="36">
        <v>0.6</v>
      </c>
      <c r="G8" s="36"/>
      <c r="H8" s="476" t="s">
        <v>100</v>
      </c>
      <c r="I8" s="286" t="s">
        <v>72</v>
      </c>
    </row>
    <row r="9" spans="2:9" x14ac:dyDescent="0.35">
      <c r="B9" s="639"/>
      <c r="C9" s="27" t="s">
        <v>18</v>
      </c>
      <c r="D9" s="36">
        <v>77400</v>
      </c>
      <c r="E9" s="36">
        <v>3</v>
      </c>
      <c r="F9" s="36">
        <v>0.6</v>
      </c>
      <c r="G9" s="36"/>
      <c r="H9" s="476" t="s">
        <v>100</v>
      </c>
      <c r="I9" s="286" t="s">
        <v>72</v>
      </c>
    </row>
    <row r="10" spans="2:9" x14ac:dyDescent="0.35">
      <c r="B10" s="639"/>
      <c r="C10" s="27" t="s">
        <v>125</v>
      </c>
      <c r="D10" s="36">
        <v>63100</v>
      </c>
      <c r="E10" s="36">
        <v>1</v>
      </c>
      <c r="F10" s="36">
        <v>0.1</v>
      </c>
      <c r="G10" s="36"/>
      <c r="H10" s="476" t="s">
        <v>100</v>
      </c>
      <c r="I10" s="286" t="s">
        <v>72</v>
      </c>
    </row>
    <row r="11" spans="2:9" x14ac:dyDescent="0.35">
      <c r="B11" s="639"/>
      <c r="C11" s="27" t="s">
        <v>15</v>
      </c>
      <c r="D11" s="36">
        <v>96100</v>
      </c>
      <c r="E11" s="64">
        <v>10</v>
      </c>
      <c r="F11" s="36">
        <v>1.5</v>
      </c>
      <c r="G11" s="36"/>
      <c r="H11" s="476" t="s">
        <v>100</v>
      </c>
      <c r="I11" s="286" t="s">
        <v>72</v>
      </c>
    </row>
    <row r="12" spans="2:9" s="110" customFormat="1" x14ac:dyDescent="0.35">
      <c r="B12" s="639"/>
      <c r="C12" s="27" t="s">
        <v>136</v>
      </c>
      <c r="D12" s="36">
        <v>69300</v>
      </c>
      <c r="E12" s="390">
        <v>3</v>
      </c>
      <c r="F12" s="36">
        <v>0.6</v>
      </c>
      <c r="G12" s="36"/>
      <c r="H12" s="476" t="s">
        <v>100</v>
      </c>
      <c r="I12" s="286" t="s">
        <v>72</v>
      </c>
    </row>
    <row r="13" spans="2:9" x14ac:dyDescent="0.35">
      <c r="B13" s="639"/>
      <c r="C13" s="27" t="s">
        <v>126</v>
      </c>
      <c r="D13" s="36">
        <v>112000</v>
      </c>
      <c r="E13" s="64">
        <v>30</v>
      </c>
      <c r="F13" s="36">
        <v>4</v>
      </c>
      <c r="G13" s="36"/>
      <c r="H13" s="476" t="s">
        <v>100</v>
      </c>
      <c r="I13" s="286" t="s">
        <v>72</v>
      </c>
    </row>
    <row r="14" spans="2:9" x14ac:dyDescent="0.35">
      <c r="B14" s="639"/>
      <c r="C14" s="27" t="s">
        <v>16</v>
      </c>
      <c r="D14" s="36">
        <v>100000</v>
      </c>
      <c r="E14" s="36">
        <v>30</v>
      </c>
      <c r="F14" s="36">
        <v>4</v>
      </c>
      <c r="G14" s="36"/>
      <c r="H14" s="476" t="s">
        <v>100</v>
      </c>
      <c r="I14" s="286" t="s">
        <v>72</v>
      </c>
    </row>
    <row r="15" spans="2:9" s="110" customFormat="1" x14ac:dyDescent="0.35">
      <c r="B15" s="239" t="s">
        <v>461</v>
      </c>
      <c r="C15" s="27" t="s">
        <v>22</v>
      </c>
      <c r="D15" s="36">
        <v>71500</v>
      </c>
      <c r="E15" s="36">
        <v>0.5</v>
      </c>
      <c r="F15" s="36">
        <v>2</v>
      </c>
      <c r="G15" s="36"/>
      <c r="H15" s="487" t="s">
        <v>100</v>
      </c>
      <c r="I15" s="286" t="s">
        <v>72</v>
      </c>
    </row>
    <row r="16" spans="2:9" x14ac:dyDescent="0.35">
      <c r="B16" s="239" t="s">
        <v>457</v>
      </c>
      <c r="C16" s="27" t="s">
        <v>22</v>
      </c>
      <c r="D16" s="36">
        <v>71500</v>
      </c>
      <c r="E16" s="36">
        <v>0.5</v>
      </c>
      <c r="F16" s="36">
        <v>2</v>
      </c>
      <c r="G16" s="36"/>
      <c r="H16" s="476" t="s">
        <v>100</v>
      </c>
      <c r="I16" s="286" t="s">
        <v>72</v>
      </c>
    </row>
    <row r="17" spans="2:10" x14ac:dyDescent="0.35">
      <c r="B17" s="639" t="s">
        <v>4</v>
      </c>
      <c r="C17" s="27" t="s">
        <v>136</v>
      </c>
      <c r="D17" s="36">
        <v>69300</v>
      </c>
      <c r="E17" s="36">
        <v>33</v>
      </c>
      <c r="F17" s="36">
        <v>3.2</v>
      </c>
      <c r="G17" s="36"/>
      <c r="H17" s="476" t="s">
        <v>100</v>
      </c>
      <c r="I17" s="286" t="s">
        <v>75</v>
      </c>
    </row>
    <row r="18" spans="2:10" x14ac:dyDescent="0.35">
      <c r="B18" s="639"/>
      <c r="C18" s="27" t="s">
        <v>41</v>
      </c>
      <c r="D18" s="36">
        <v>74100</v>
      </c>
      <c r="E18" s="36">
        <v>3.9</v>
      </c>
      <c r="F18" s="36">
        <v>3.9</v>
      </c>
      <c r="G18" s="36"/>
      <c r="H18" s="476" t="s">
        <v>100</v>
      </c>
      <c r="I18" s="286" t="s">
        <v>75</v>
      </c>
    </row>
    <row r="19" spans="2:10" x14ac:dyDescent="0.35">
      <c r="B19" s="639"/>
      <c r="C19" s="27" t="s">
        <v>117</v>
      </c>
      <c r="D19" s="36">
        <v>63100</v>
      </c>
      <c r="E19" s="36">
        <v>62</v>
      </c>
      <c r="F19" s="36">
        <v>0.2</v>
      </c>
      <c r="G19" s="36"/>
      <c r="H19" s="476" t="s">
        <v>100</v>
      </c>
      <c r="I19" s="286" t="s">
        <v>75</v>
      </c>
    </row>
    <row r="20" spans="2:10" s="110" customFormat="1" x14ac:dyDescent="0.35">
      <c r="B20" s="643" t="s">
        <v>459</v>
      </c>
      <c r="C20" s="27" t="s">
        <v>41</v>
      </c>
      <c r="D20" s="36">
        <v>74100</v>
      </c>
      <c r="E20" s="36">
        <v>7</v>
      </c>
      <c r="F20" s="36">
        <v>2</v>
      </c>
      <c r="G20" s="36"/>
      <c r="H20" s="487" t="s">
        <v>100</v>
      </c>
      <c r="I20" s="286" t="s">
        <v>72</v>
      </c>
    </row>
    <row r="21" spans="2:10" s="110" customFormat="1" x14ac:dyDescent="0.35">
      <c r="B21" s="638"/>
      <c r="C21" s="27" t="s">
        <v>58</v>
      </c>
      <c r="D21" s="36">
        <v>77400</v>
      </c>
      <c r="E21" s="36">
        <v>7</v>
      </c>
      <c r="F21" s="36">
        <v>2</v>
      </c>
      <c r="G21" s="36"/>
      <c r="H21" s="487" t="s">
        <v>100</v>
      </c>
      <c r="I21" s="286" t="s">
        <v>72</v>
      </c>
    </row>
    <row r="22" spans="2:10" x14ac:dyDescent="0.35">
      <c r="B22" s="643" t="s">
        <v>6</v>
      </c>
      <c r="C22" s="36" t="s">
        <v>62</v>
      </c>
      <c r="D22" s="36">
        <v>77400</v>
      </c>
      <c r="E22" s="36">
        <v>7</v>
      </c>
      <c r="F22" s="36">
        <v>2</v>
      </c>
      <c r="G22" s="36"/>
      <c r="H22" s="476" t="s">
        <v>100</v>
      </c>
      <c r="I22" s="286" t="s">
        <v>72</v>
      </c>
    </row>
    <row r="23" spans="2:10" ht="15" customHeight="1" x14ac:dyDescent="0.35">
      <c r="B23" s="641"/>
      <c r="C23" s="36" t="s">
        <v>136</v>
      </c>
      <c r="D23" s="36">
        <v>69300</v>
      </c>
      <c r="E23" s="64">
        <v>7</v>
      </c>
      <c r="F23" s="64">
        <v>2</v>
      </c>
      <c r="G23" s="36"/>
      <c r="H23" s="476" t="s">
        <v>100</v>
      </c>
      <c r="I23" s="286" t="s">
        <v>72</v>
      </c>
    </row>
    <row r="24" spans="2:10" x14ac:dyDescent="0.35">
      <c r="B24" s="638"/>
      <c r="C24" s="36" t="s">
        <v>41</v>
      </c>
      <c r="D24" s="36">
        <v>74100</v>
      </c>
      <c r="E24" s="64">
        <v>7</v>
      </c>
      <c r="F24" s="64">
        <v>2</v>
      </c>
      <c r="G24" s="36"/>
      <c r="H24" s="476" t="s">
        <v>100</v>
      </c>
      <c r="I24" s="286" t="s">
        <v>72</v>
      </c>
    </row>
    <row r="25" spans="2:10" x14ac:dyDescent="0.35">
      <c r="B25" s="642" t="s">
        <v>42</v>
      </c>
      <c r="C25" s="36" t="s">
        <v>43</v>
      </c>
      <c r="D25" s="36">
        <v>63100</v>
      </c>
      <c r="E25" s="36">
        <v>5</v>
      </c>
      <c r="F25" s="36">
        <v>0.1</v>
      </c>
      <c r="G25" s="36"/>
      <c r="H25" s="476" t="s">
        <v>100</v>
      </c>
      <c r="I25" s="286" t="s">
        <v>72</v>
      </c>
    </row>
    <row r="26" spans="2:10" x14ac:dyDescent="0.35">
      <c r="B26" s="642"/>
      <c r="C26" s="36" t="s">
        <v>44</v>
      </c>
      <c r="D26" s="36">
        <v>112000</v>
      </c>
      <c r="E26" s="36">
        <v>200</v>
      </c>
      <c r="F26" s="36">
        <v>1</v>
      </c>
      <c r="G26" s="36"/>
      <c r="H26" s="476" t="s">
        <v>100</v>
      </c>
      <c r="I26" s="286" t="s">
        <v>72</v>
      </c>
    </row>
    <row r="27" spans="2:10" x14ac:dyDescent="0.35">
      <c r="B27" s="639" t="s">
        <v>45</v>
      </c>
      <c r="C27" s="36" t="s">
        <v>14</v>
      </c>
      <c r="D27" s="36">
        <v>71900</v>
      </c>
      <c r="E27" s="64">
        <v>10</v>
      </c>
      <c r="F27" s="36">
        <v>0.6</v>
      </c>
      <c r="G27" s="36"/>
      <c r="H27" s="476" t="s">
        <v>100</v>
      </c>
      <c r="I27" s="286" t="s">
        <v>72</v>
      </c>
    </row>
    <row r="28" spans="2:10" x14ac:dyDescent="0.35">
      <c r="B28" s="639"/>
      <c r="C28" s="36" t="s">
        <v>43</v>
      </c>
      <c r="D28" s="36">
        <v>63100</v>
      </c>
      <c r="E28" s="36">
        <v>5</v>
      </c>
      <c r="F28" s="36">
        <v>0.1</v>
      </c>
      <c r="G28" s="36"/>
      <c r="H28" s="476" t="s">
        <v>100</v>
      </c>
      <c r="I28" s="286" t="s">
        <v>72</v>
      </c>
    </row>
    <row r="29" spans="2:10" x14ac:dyDescent="0.35">
      <c r="B29" s="639"/>
      <c r="C29" s="36" t="s">
        <v>46</v>
      </c>
      <c r="D29" s="36">
        <v>112000</v>
      </c>
      <c r="E29" s="36">
        <v>300</v>
      </c>
      <c r="F29" s="36">
        <v>4</v>
      </c>
      <c r="G29" s="36"/>
      <c r="H29" s="476" t="s">
        <v>100</v>
      </c>
      <c r="I29" s="286" t="s">
        <v>72</v>
      </c>
    </row>
    <row r="30" spans="2:10" x14ac:dyDescent="0.35">
      <c r="B30" s="639"/>
      <c r="C30" s="36" t="s">
        <v>44</v>
      </c>
      <c r="D30" s="36">
        <v>112000</v>
      </c>
      <c r="E30" s="36">
        <v>200</v>
      </c>
      <c r="F30" s="36">
        <v>1</v>
      </c>
      <c r="G30" s="36"/>
      <c r="H30" s="476" t="s">
        <v>100</v>
      </c>
      <c r="I30" s="286" t="s">
        <v>72</v>
      </c>
    </row>
    <row r="31" spans="2:10" ht="43.5" x14ac:dyDescent="0.35">
      <c r="B31" s="475" t="s">
        <v>409</v>
      </c>
      <c r="C31" s="36" t="s">
        <v>41</v>
      </c>
      <c r="D31" s="36">
        <f>D18</f>
        <v>74100</v>
      </c>
      <c r="E31" s="36">
        <v>10</v>
      </c>
      <c r="F31" s="36">
        <v>0.6</v>
      </c>
      <c r="G31" s="36"/>
      <c r="H31" s="476" t="s">
        <v>100</v>
      </c>
      <c r="I31" s="286" t="s">
        <v>72</v>
      </c>
      <c r="J31" s="1"/>
    </row>
    <row r="32" spans="2:10" s="110" customFormat="1" x14ac:dyDescent="0.35">
      <c r="B32" s="639" t="s">
        <v>339</v>
      </c>
      <c r="C32" s="36" t="s">
        <v>136</v>
      </c>
      <c r="D32" s="36">
        <v>69300</v>
      </c>
      <c r="E32" s="36">
        <v>10</v>
      </c>
      <c r="F32" s="36">
        <v>0.6</v>
      </c>
      <c r="G32" s="36"/>
      <c r="H32" s="476" t="s">
        <v>100</v>
      </c>
      <c r="I32" s="286" t="s">
        <v>72</v>
      </c>
    </row>
    <row r="33" spans="2:9" s="110" customFormat="1" x14ac:dyDescent="0.35">
      <c r="B33" s="639"/>
      <c r="C33" s="36" t="s">
        <v>41</v>
      </c>
      <c r="D33" s="36">
        <v>74100</v>
      </c>
      <c r="E33" s="36">
        <v>10</v>
      </c>
      <c r="F33" s="36">
        <v>0.6</v>
      </c>
      <c r="G33" s="36"/>
      <c r="H33" s="476" t="s">
        <v>100</v>
      </c>
      <c r="I33" s="286" t="s">
        <v>72</v>
      </c>
    </row>
    <row r="34" spans="2:9" x14ac:dyDescent="0.35">
      <c r="B34" s="475" t="s">
        <v>7</v>
      </c>
      <c r="C34" s="36" t="s">
        <v>48</v>
      </c>
      <c r="D34" s="36">
        <v>0.59</v>
      </c>
      <c r="E34" s="36">
        <v>0</v>
      </c>
      <c r="F34" s="36">
        <v>0</v>
      </c>
      <c r="G34" s="36"/>
      <c r="H34" s="476" t="s">
        <v>138</v>
      </c>
      <c r="I34" s="286" t="s">
        <v>72</v>
      </c>
    </row>
    <row r="35" spans="2:9" ht="29.5" thickBot="1" x14ac:dyDescent="0.4">
      <c r="B35" s="261" t="s">
        <v>8</v>
      </c>
      <c r="C35" s="262" t="s">
        <v>103</v>
      </c>
      <c r="D35" s="287">
        <v>1.06</v>
      </c>
      <c r="E35" s="262">
        <v>0</v>
      </c>
      <c r="F35" s="262">
        <v>0</v>
      </c>
      <c r="G35" s="262"/>
      <c r="H35" s="263" t="s">
        <v>138</v>
      </c>
      <c r="I35" s="288" t="s">
        <v>72</v>
      </c>
    </row>
    <row r="38" spans="2:9" ht="15" thickBot="1" x14ac:dyDescent="0.4">
      <c r="B38" s="222" t="s">
        <v>320</v>
      </c>
    </row>
    <row r="39" spans="2:9" x14ac:dyDescent="0.35">
      <c r="B39" s="289" t="s">
        <v>325</v>
      </c>
      <c r="C39" s="284" t="s">
        <v>64</v>
      </c>
      <c r="D39" s="284" t="s">
        <v>13</v>
      </c>
      <c r="E39" s="285" t="s">
        <v>284</v>
      </c>
    </row>
    <row r="40" spans="2:9" x14ac:dyDescent="0.35">
      <c r="B40" s="239" t="s">
        <v>321</v>
      </c>
      <c r="C40" s="230" t="s">
        <v>72</v>
      </c>
      <c r="D40" s="230" t="s">
        <v>322</v>
      </c>
      <c r="E40" s="286">
        <v>15</v>
      </c>
    </row>
    <row r="41" spans="2:9" x14ac:dyDescent="0.35">
      <c r="B41" s="239" t="s">
        <v>323</v>
      </c>
      <c r="C41" s="230" t="s">
        <v>72</v>
      </c>
      <c r="D41" s="230" t="s">
        <v>106</v>
      </c>
      <c r="E41" s="290">
        <v>0.15</v>
      </c>
    </row>
    <row r="42" spans="2:9" ht="15" thickBot="1" x14ac:dyDescent="0.4">
      <c r="B42" s="291" t="s">
        <v>324</v>
      </c>
      <c r="C42" s="263" t="s">
        <v>72</v>
      </c>
      <c r="D42" s="263" t="s">
        <v>106</v>
      </c>
      <c r="E42" s="292">
        <v>0.25</v>
      </c>
    </row>
    <row r="43" spans="2:9" ht="15" thickBot="1" x14ac:dyDescent="0.4"/>
    <row r="44" spans="2:9" x14ac:dyDescent="0.35">
      <c r="B44" s="283" t="s">
        <v>332</v>
      </c>
      <c r="C44" s="293" t="s">
        <v>333</v>
      </c>
    </row>
    <row r="45" spans="2:9" x14ac:dyDescent="0.35">
      <c r="B45" s="294" t="s">
        <v>49</v>
      </c>
      <c r="C45" s="97">
        <v>2007</v>
      </c>
    </row>
    <row r="46" spans="2:9" x14ac:dyDescent="0.35">
      <c r="B46" s="294" t="s">
        <v>50</v>
      </c>
      <c r="C46" s="97">
        <v>1990</v>
      </c>
    </row>
    <row r="47" spans="2:9" x14ac:dyDescent="0.35">
      <c r="B47" s="294" t="s">
        <v>51</v>
      </c>
      <c r="C47" s="97">
        <v>1990</v>
      </c>
    </row>
    <row r="48" spans="2:9" x14ac:dyDescent="0.35">
      <c r="B48" s="294" t="s">
        <v>52</v>
      </c>
      <c r="C48" s="97">
        <v>1990</v>
      </c>
    </row>
    <row r="49" spans="2:3" x14ac:dyDescent="0.35">
      <c r="B49" s="294" t="s">
        <v>54</v>
      </c>
      <c r="C49" s="97">
        <v>1990</v>
      </c>
    </row>
    <row r="50" spans="2:3" ht="15" thickBot="1" x14ac:dyDescent="0.4">
      <c r="B50" s="295" t="s">
        <v>55</v>
      </c>
      <c r="C50" s="183">
        <v>2013</v>
      </c>
    </row>
    <row r="51" spans="2:3" ht="15" thickBot="1" x14ac:dyDescent="0.4"/>
    <row r="52" spans="2:3" x14ac:dyDescent="0.35">
      <c r="B52" s="283" t="s">
        <v>334</v>
      </c>
      <c r="C52" s="293" t="s">
        <v>333</v>
      </c>
    </row>
    <row r="53" spans="2:3" ht="15" thickBot="1" x14ac:dyDescent="0.4">
      <c r="B53" s="295" t="s">
        <v>52</v>
      </c>
      <c r="C53" s="183">
        <v>2000</v>
      </c>
    </row>
  </sheetData>
  <mergeCells count="8">
    <mergeCell ref="B20:B21"/>
    <mergeCell ref="B32:B33"/>
    <mergeCell ref="B3:B7"/>
    <mergeCell ref="B8:B14"/>
    <mergeCell ref="B17:B19"/>
    <mergeCell ref="B25:B26"/>
    <mergeCell ref="B27:B30"/>
    <mergeCell ref="B22:B24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83650-CF9B-4CF8-A218-DD2932E9FC06}">
  <sheetPr>
    <tabColor theme="6" tint="0.39997558519241921"/>
  </sheetPr>
  <dimension ref="B1:Y31"/>
  <sheetViews>
    <sheetView showGridLines="0" zoomScale="85" zoomScaleNormal="85" workbookViewId="0">
      <selection activeCell="D20" sqref="D20"/>
    </sheetView>
  </sheetViews>
  <sheetFormatPr baseColWidth="10" defaultRowHeight="14.5" x14ac:dyDescent="0.35"/>
  <cols>
    <col min="1" max="1" width="3.7265625" customWidth="1"/>
    <col min="2" max="2" width="22.54296875" customWidth="1"/>
    <col min="3" max="3" width="46.453125" bestFit="1" customWidth="1"/>
    <col min="4" max="4" width="22.54296875" style="2" bestFit="1" customWidth="1"/>
    <col min="6" max="6" width="23.453125" style="2" bestFit="1" customWidth="1"/>
    <col min="7" max="7" width="13.453125" style="2" bestFit="1" customWidth="1"/>
  </cols>
  <sheetData>
    <row r="1" spans="2:25" ht="15" thickBot="1" x14ac:dyDescent="0.4"/>
    <row r="2" spans="2:25" s="3" customFormat="1" ht="15" thickBot="1" x14ac:dyDescent="0.4">
      <c r="B2" s="439" t="s">
        <v>11</v>
      </c>
      <c r="C2" s="440" t="s">
        <v>12</v>
      </c>
      <c r="D2" s="441" t="s">
        <v>20</v>
      </c>
      <c r="E2" s="440" t="s">
        <v>13</v>
      </c>
      <c r="F2" s="441" t="s">
        <v>64</v>
      </c>
      <c r="G2" s="441" t="s">
        <v>372</v>
      </c>
      <c r="H2" s="440">
        <v>2000</v>
      </c>
      <c r="I2" s="440">
        <v>2001</v>
      </c>
      <c r="J2" s="440">
        <v>2002</v>
      </c>
      <c r="K2" s="440">
        <v>2003</v>
      </c>
      <c r="L2" s="440">
        <v>2004</v>
      </c>
      <c r="M2" s="440">
        <v>2005</v>
      </c>
      <c r="N2" s="440">
        <v>2006</v>
      </c>
      <c r="O2" s="440">
        <v>2007</v>
      </c>
      <c r="P2" s="440">
        <v>2008</v>
      </c>
      <c r="Q2" s="440">
        <v>2009</v>
      </c>
      <c r="R2" s="440">
        <v>2010</v>
      </c>
      <c r="S2" s="440">
        <v>2011</v>
      </c>
      <c r="T2" s="440">
        <v>2012</v>
      </c>
      <c r="U2" s="440">
        <v>2013</v>
      </c>
      <c r="V2" s="440">
        <v>2014</v>
      </c>
      <c r="W2" s="440">
        <v>2015</v>
      </c>
      <c r="X2" s="442">
        <v>2016</v>
      </c>
    </row>
    <row r="3" spans="2:25" x14ac:dyDescent="0.35">
      <c r="B3" s="743" t="s">
        <v>389</v>
      </c>
      <c r="C3" s="448" t="s">
        <v>14</v>
      </c>
      <c r="D3" s="443">
        <v>43.54</v>
      </c>
      <c r="E3" s="253" t="s">
        <v>21</v>
      </c>
      <c r="F3" s="427" t="s">
        <v>73</v>
      </c>
      <c r="G3" s="427" t="s">
        <v>373</v>
      </c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99"/>
    </row>
    <row r="4" spans="2:25" x14ac:dyDescent="0.35">
      <c r="B4" s="744"/>
      <c r="C4" s="449" t="s">
        <v>62</v>
      </c>
      <c r="D4" s="444">
        <v>40.19</v>
      </c>
      <c r="E4" s="27" t="s">
        <v>21</v>
      </c>
      <c r="F4" s="428" t="s">
        <v>73</v>
      </c>
      <c r="G4" s="428" t="s">
        <v>373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97"/>
    </row>
    <row r="5" spans="2:25" x14ac:dyDescent="0.35">
      <c r="B5" s="744"/>
      <c r="C5" s="449" t="s">
        <v>63</v>
      </c>
      <c r="D5" s="444">
        <v>43.3</v>
      </c>
      <c r="E5" s="27" t="s">
        <v>21</v>
      </c>
      <c r="F5" s="428" t="s">
        <v>73</v>
      </c>
      <c r="G5" s="428" t="s">
        <v>373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97"/>
    </row>
    <row r="6" spans="2:25" s="110" customFormat="1" x14ac:dyDescent="0.35">
      <c r="B6" s="744"/>
      <c r="C6" s="449" t="s">
        <v>15</v>
      </c>
      <c r="D6" s="444" t="s">
        <v>371</v>
      </c>
      <c r="E6" s="27" t="s">
        <v>21</v>
      </c>
      <c r="F6" s="428" t="s">
        <v>70</v>
      </c>
      <c r="G6" s="428" t="s">
        <v>373</v>
      </c>
      <c r="H6" s="224">
        <f t="shared" ref="H6:M6" si="0">ROUND(H8*$D$24/1000000,2)</f>
        <v>25.57</v>
      </c>
      <c r="I6" s="224">
        <f t="shared" si="0"/>
        <v>25.52</v>
      </c>
      <c r="J6" s="224">
        <f t="shared" si="0"/>
        <v>25.48</v>
      </c>
      <c r="K6" s="224">
        <f t="shared" si="0"/>
        <v>25.43</v>
      </c>
      <c r="L6" s="224">
        <f t="shared" si="0"/>
        <v>25.39</v>
      </c>
      <c r="M6" s="224">
        <f t="shared" si="0"/>
        <v>25.34</v>
      </c>
      <c r="N6" s="224">
        <f>ROUND(N8*$D$24/1000000,2)</f>
        <v>25.3</v>
      </c>
      <c r="O6" s="197">
        <f>O8*$D$24/1000000</f>
        <v>25.33014</v>
      </c>
      <c r="P6" s="197">
        <f>P8*$D$24/1000000</f>
        <v>25.213655177338502</v>
      </c>
      <c r="Q6" s="197">
        <f t="shared" ref="Q6:X6" si="1">Q8*$D$24/1000000</f>
        <v>24.969000146145454</v>
      </c>
      <c r="R6" s="197">
        <f t="shared" si="1"/>
        <v>25.195872837090175</v>
      </c>
      <c r="S6" s="197">
        <f t="shared" si="1"/>
        <v>25.227558193384723</v>
      </c>
      <c r="T6" s="197">
        <f t="shared" si="1"/>
        <v>25.033303410337041</v>
      </c>
      <c r="U6" s="197">
        <f t="shared" si="1"/>
        <v>24.910110563231516</v>
      </c>
      <c r="V6" s="197">
        <f t="shared" si="1"/>
        <v>24.864298308244052</v>
      </c>
      <c r="W6" s="197">
        <f t="shared" si="1"/>
        <v>24.623958979723099</v>
      </c>
      <c r="X6" s="438">
        <f t="shared" si="1"/>
        <v>25.143135675481862</v>
      </c>
      <c r="Y6" s="184"/>
    </row>
    <row r="7" spans="2:25" s="110" customFormat="1" x14ac:dyDescent="0.35">
      <c r="B7" s="744"/>
      <c r="C7" s="449" t="s">
        <v>16</v>
      </c>
      <c r="D7" s="444" t="s">
        <v>371</v>
      </c>
      <c r="E7" s="27" t="s">
        <v>21</v>
      </c>
      <c r="F7" s="428" t="s">
        <v>70</v>
      </c>
      <c r="G7" s="428" t="s">
        <v>373</v>
      </c>
      <c r="H7" s="224">
        <f t="shared" ref="H7:M7" si="2">ROUND(H9*$D$24/1000000,2)</f>
        <v>7.11</v>
      </c>
      <c r="I7" s="224">
        <f t="shared" si="2"/>
        <v>7.1</v>
      </c>
      <c r="J7" s="224">
        <f t="shared" si="2"/>
        <v>7.09</v>
      </c>
      <c r="K7" s="224">
        <f t="shared" si="2"/>
        <v>7.08</v>
      </c>
      <c r="L7" s="224">
        <f t="shared" si="2"/>
        <v>7.07</v>
      </c>
      <c r="M7" s="224">
        <f t="shared" si="2"/>
        <v>7.06</v>
      </c>
      <c r="N7" s="224">
        <f>ROUND(N9*$D$24/1000000,2)</f>
        <v>7.05</v>
      </c>
      <c r="O7" s="197">
        <f>O9*$D$24/1000000</f>
        <v>6.4769796000000008</v>
      </c>
      <c r="P7" s="197">
        <f t="shared" ref="P7:X7" si="3">P9*$D$24/1000000</f>
        <v>7.1832565057499478</v>
      </c>
      <c r="Q7" s="197">
        <f t="shared" si="3"/>
        <v>7.2364892416666438</v>
      </c>
      <c r="R7" s="197">
        <f t="shared" si="3"/>
        <v>7.2514392810968058</v>
      </c>
      <c r="S7" s="197">
        <f t="shared" si="3"/>
        <v>6.9795582651499775</v>
      </c>
      <c r="T7" s="197">
        <f t="shared" si="3"/>
        <v>7.0357373807905326</v>
      </c>
      <c r="U7" s="197">
        <f t="shared" si="3"/>
        <v>7.2372305694108743</v>
      </c>
      <c r="V7" s="197">
        <f t="shared" si="3"/>
        <v>7.2244404912837998</v>
      </c>
      <c r="W7" s="197">
        <f t="shared" si="3"/>
        <v>6.6715942008880766</v>
      </c>
      <c r="X7" s="438">
        <f t="shared" si="3"/>
        <v>6.7083722058925472</v>
      </c>
    </row>
    <row r="8" spans="2:25" x14ac:dyDescent="0.35">
      <c r="B8" s="744"/>
      <c r="C8" s="450" t="s">
        <v>15</v>
      </c>
      <c r="D8" s="445" t="s">
        <v>371</v>
      </c>
      <c r="E8" s="433" t="s">
        <v>345</v>
      </c>
      <c r="F8" s="434" t="s">
        <v>70</v>
      </c>
      <c r="G8" s="434" t="s">
        <v>373</v>
      </c>
      <c r="H8" s="224">
        <f t="shared" ref="H8:M9" si="4">FORECAST(H$2,$O8:$X8,$O$2:$X$2)</f>
        <v>6106.3061467777261</v>
      </c>
      <c r="I8" s="224">
        <f t="shared" si="4"/>
        <v>6095.6145893315224</v>
      </c>
      <c r="J8" s="224">
        <f t="shared" si="4"/>
        <v>6084.9230318853188</v>
      </c>
      <c r="K8" s="224">
        <f t="shared" si="4"/>
        <v>6074.2314744391115</v>
      </c>
      <c r="L8" s="224">
        <f t="shared" si="4"/>
        <v>6063.5399169929078</v>
      </c>
      <c r="M8" s="224">
        <f t="shared" si="4"/>
        <v>6052.8483595467042</v>
      </c>
      <c r="N8" s="224">
        <f>FORECAST(N$2,$O8:$X8,$O$2:$X$2)</f>
        <v>6042.1568021005005</v>
      </c>
      <c r="O8" s="197">
        <v>6050</v>
      </c>
      <c r="P8" s="197">
        <v>6022.1780780879199</v>
      </c>
      <c r="Q8" s="197">
        <v>5963.7432277981879</v>
      </c>
      <c r="R8" s="197">
        <v>6017.9308390871729</v>
      </c>
      <c r="S8" s="197">
        <v>6025.4987564213052</v>
      </c>
      <c r="T8" s="197">
        <v>5979.1017985901026</v>
      </c>
      <c r="U8" s="197">
        <v>5949.6776925650893</v>
      </c>
      <c r="V8" s="197">
        <v>5938.7356234460813</v>
      </c>
      <c r="W8" s="197">
        <v>5881.3315610306436</v>
      </c>
      <c r="X8" s="438">
        <v>6005.3347844372465</v>
      </c>
    </row>
    <row r="9" spans="2:25" x14ac:dyDescent="0.35">
      <c r="B9" s="744"/>
      <c r="C9" s="450" t="s">
        <v>16</v>
      </c>
      <c r="D9" s="445" t="s">
        <v>371</v>
      </c>
      <c r="E9" s="433" t="s">
        <v>345</v>
      </c>
      <c r="F9" s="434" t="s">
        <v>70</v>
      </c>
      <c r="G9" s="434" t="s">
        <v>373</v>
      </c>
      <c r="H9" s="224">
        <f t="shared" si="4"/>
        <v>1697.7756027509922</v>
      </c>
      <c r="I9" s="224">
        <f t="shared" si="4"/>
        <v>1695.5379880653973</v>
      </c>
      <c r="J9" s="224">
        <f t="shared" si="4"/>
        <v>1693.3003733798032</v>
      </c>
      <c r="K9" s="224">
        <f t="shared" si="4"/>
        <v>1691.0627586942092</v>
      </c>
      <c r="L9" s="224">
        <f t="shared" si="4"/>
        <v>1688.8251440086142</v>
      </c>
      <c r="M9" s="224">
        <f t="shared" si="4"/>
        <v>1686.5875293230201</v>
      </c>
      <c r="N9" s="224">
        <f>FORECAST(N$2,$O9:$X9,$O$2:$X$2)</f>
        <v>1684.3499146374261</v>
      </c>
      <c r="O9" s="197">
        <v>1547</v>
      </c>
      <c r="P9" s="197">
        <v>1715.6913408211396</v>
      </c>
      <c r="Q9" s="197">
        <v>1728.4057613610976</v>
      </c>
      <c r="R9" s="197">
        <v>1731.9765169334112</v>
      </c>
      <c r="S9" s="197">
        <v>1667.0388519035962</v>
      </c>
      <c r="T9" s="197">
        <v>1680.4570031505045</v>
      </c>
      <c r="U9" s="197">
        <v>1728.5828244508632</v>
      </c>
      <c r="V9" s="197">
        <v>1725.5279667726663</v>
      </c>
      <c r="W9" s="197">
        <v>1593.4828988459149</v>
      </c>
      <c r="X9" s="438">
        <v>1602.2671744273782</v>
      </c>
    </row>
    <row r="10" spans="2:25" x14ac:dyDescent="0.35">
      <c r="B10" s="744"/>
      <c r="C10" s="451" t="s">
        <v>136</v>
      </c>
      <c r="D10" s="446">
        <v>44.8</v>
      </c>
      <c r="E10" s="430" t="s">
        <v>21</v>
      </c>
      <c r="F10" s="431" t="s">
        <v>73</v>
      </c>
      <c r="G10" s="431" t="s">
        <v>373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97"/>
    </row>
    <row r="11" spans="2:25" x14ac:dyDescent="0.35">
      <c r="B11" s="744"/>
      <c r="C11" s="449" t="s">
        <v>18</v>
      </c>
      <c r="D11" s="444">
        <v>40.19</v>
      </c>
      <c r="E11" s="27" t="s">
        <v>21</v>
      </c>
      <c r="F11" s="428" t="s">
        <v>74</v>
      </c>
      <c r="G11" s="428" t="s">
        <v>373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97"/>
    </row>
    <row r="12" spans="2:25" x14ac:dyDescent="0.35">
      <c r="B12" s="744"/>
      <c r="C12" s="449" t="s">
        <v>125</v>
      </c>
      <c r="D12" s="444">
        <v>47.3</v>
      </c>
      <c r="E12" s="27" t="s">
        <v>21</v>
      </c>
      <c r="F12" s="428" t="s">
        <v>74</v>
      </c>
      <c r="G12" s="428" t="s">
        <v>374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97"/>
    </row>
    <row r="13" spans="2:25" s="110" customFormat="1" x14ac:dyDescent="0.35">
      <c r="B13" s="744"/>
      <c r="C13" s="449" t="s">
        <v>126</v>
      </c>
      <c r="D13" s="444">
        <v>15.6</v>
      </c>
      <c r="E13" s="27" t="s">
        <v>21</v>
      </c>
      <c r="F13" s="428" t="s">
        <v>108</v>
      </c>
      <c r="G13" s="428" t="s">
        <v>374</v>
      </c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238"/>
    </row>
    <row r="14" spans="2:25" x14ac:dyDescent="0.35">
      <c r="B14" s="745"/>
      <c r="C14" s="452" t="s">
        <v>44</v>
      </c>
      <c r="D14" s="444">
        <v>29.5</v>
      </c>
      <c r="E14" s="27" t="s">
        <v>21</v>
      </c>
      <c r="F14" s="428" t="s">
        <v>82</v>
      </c>
      <c r="G14" s="428" t="s">
        <v>374</v>
      </c>
      <c r="H14" s="223"/>
      <c r="I14" s="223"/>
      <c r="J14" s="223"/>
      <c r="K14" s="223"/>
      <c r="L14" s="223"/>
      <c r="M14" s="223"/>
      <c r="N14" s="223"/>
      <c r="O14" s="27"/>
      <c r="P14" s="27"/>
      <c r="Q14" s="27"/>
      <c r="R14" s="27"/>
      <c r="S14" s="27"/>
      <c r="T14" s="27"/>
      <c r="U14" s="27"/>
      <c r="V14" s="27"/>
      <c r="W14" s="27"/>
      <c r="X14" s="97"/>
    </row>
    <row r="15" spans="2:25" s="1" customFormat="1" ht="29" x14ac:dyDescent="0.35">
      <c r="B15" s="490" t="s">
        <v>462</v>
      </c>
      <c r="C15" s="452" t="s">
        <v>22</v>
      </c>
      <c r="D15" s="444">
        <v>44.1</v>
      </c>
      <c r="E15" s="36" t="s">
        <v>21</v>
      </c>
      <c r="F15" s="487" t="s">
        <v>72</v>
      </c>
      <c r="G15" s="487" t="s">
        <v>374</v>
      </c>
      <c r="H15" s="501"/>
      <c r="I15" s="501"/>
      <c r="J15" s="501"/>
      <c r="K15" s="501"/>
      <c r="L15" s="501"/>
      <c r="M15" s="501"/>
      <c r="N15" s="501"/>
      <c r="O15" s="36"/>
      <c r="P15" s="36"/>
      <c r="Q15" s="36"/>
      <c r="R15" s="36"/>
      <c r="S15" s="36"/>
      <c r="T15" s="36"/>
      <c r="U15" s="36"/>
      <c r="V15" s="36"/>
      <c r="W15" s="36"/>
      <c r="X15" s="98"/>
    </row>
    <row r="16" spans="2:25" x14ac:dyDescent="0.35">
      <c r="B16" s="454" t="s">
        <v>391</v>
      </c>
      <c r="C16" s="449" t="s">
        <v>22</v>
      </c>
      <c r="D16" s="444">
        <f>0.04459*1000</f>
        <v>44.589999999999996</v>
      </c>
      <c r="E16" s="27" t="s">
        <v>21</v>
      </c>
      <c r="F16" s="428" t="s">
        <v>73</v>
      </c>
      <c r="G16" s="428" t="s">
        <v>373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97"/>
    </row>
    <row r="17" spans="2:24" s="110" customFormat="1" x14ac:dyDescent="0.35">
      <c r="B17" s="746" t="s">
        <v>463</v>
      </c>
      <c r="C17" s="449" t="s">
        <v>41</v>
      </c>
      <c r="D17" s="444">
        <v>43</v>
      </c>
      <c r="E17" s="27" t="s">
        <v>21</v>
      </c>
      <c r="F17" s="487" t="s">
        <v>73</v>
      </c>
      <c r="G17" s="487" t="s">
        <v>374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97"/>
    </row>
    <row r="18" spans="2:24" s="110" customFormat="1" x14ac:dyDescent="0.35">
      <c r="B18" s="745"/>
      <c r="C18" s="449" t="s">
        <v>58</v>
      </c>
      <c r="D18" s="444">
        <v>40.4</v>
      </c>
      <c r="E18" s="27" t="s">
        <v>21</v>
      </c>
      <c r="F18" s="487" t="s">
        <v>73</v>
      </c>
      <c r="G18" s="487" t="s">
        <v>374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97"/>
    </row>
    <row r="19" spans="2:24" x14ac:dyDescent="0.35">
      <c r="B19" s="741" t="s">
        <v>390</v>
      </c>
      <c r="C19" s="449" t="s">
        <v>136</v>
      </c>
      <c r="D19" s="444">
        <f>0.0448*1000</f>
        <v>44.8</v>
      </c>
      <c r="E19" s="27" t="s">
        <v>21</v>
      </c>
      <c r="F19" s="428" t="s">
        <v>76</v>
      </c>
      <c r="G19" s="428" t="s">
        <v>373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97"/>
    </row>
    <row r="20" spans="2:24" x14ac:dyDescent="0.35">
      <c r="B20" s="741"/>
      <c r="C20" s="449" t="s">
        <v>41</v>
      </c>
      <c r="D20" s="444">
        <f>0.04333*1000</f>
        <v>43.33</v>
      </c>
      <c r="E20" s="27" t="s">
        <v>21</v>
      </c>
      <c r="F20" s="428" t="s">
        <v>76</v>
      </c>
      <c r="G20" s="428" t="s">
        <v>373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97"/>
    </row>
    <row r="21" spans="2:24" ht="15" thickBot="1" x14ac:dyDescent="0.4">
      <c r="B21" s="742"/>
      <c r="C21" s="453" t="s">
        <v>117</v>
      </c>
      <c r="D21" s="447">
        <f>0.04731*1000</f>
        <v>47.309999999999995</v>
      </c>
      <c r="E21" s="181" t="s">
        <v>21</v>
      </c>
      <c r="F21" s="263" t="s">
        <v>76</v>
      </c>
      <c r="G21" s="263" t="s">
        <v>373</v>
      </c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3"/>
    </row>
    <row r="23" spans="2:24" ht="15" thickBot="1" x14ac:dyDescent="0.4"/>
    <row r="24" spans="2:24" ht="15" thickBot="1" x14ac:dyDescent="0.4">
      <c r="C24" s="435" t="s">
        <v>347</v>
      </c>
      <c r="D24" s="436">
        <v>4186.8</v>
      </c>
      <c r="E24" s="437" t="s">
        <v>346</v>
      </c>
    </row>
    <row r="25" spans="2:24" ht="15" thickBot="1" x14ac:dyDescent="0.4"/>
    <row r="26" spans="2:24" ht="15" thickBot="1" x14ac:dyDescent="0.4">
      <c r="C26" s="439" t="s">
        <v>472</v>
      </c>
      <c r="D26" s="441" t="s">
        <v>284</v>
      </c>
      <c r="E26" s="441" t="s">
        <v>13</v>
      </c>
      <c r="F26" s="547" t="s">
        <v>64</v>
      </c>
    </row>
    <row r="27" spans="2:24" s="110" customFormat="1" x14ac:dyDescent="0.35">
      <c r="C27" s="546" t="s">
        <v>480</v>
      </c>
      <c r="D27" s="549">
        <v>40.200000000000003</v>
      </c>
      <c r="E27" s="548" t="s">
        <v>481</v>
      </c>
      <c r="F27" s="265" t="s">
        <v>72</v>
      </c>
      <c r="G27" s="2"/>
    </row>
    <row r="28" spans="2:24" x14ac:dyDescent="0.35">
      <c r="C28" s="239" t="s">
        <v>473</v>
      </c>
      <c r="D28" s="550">
        <v>20</v>
      </c>
      <c r="E28" s="493" t="s">
        <v>474</v>
      </c>
      <c r="F28" s="286" t="s">
        <v>72</v>
      </c>
    </row>
    <row r="29" spans="2:24" s="110" customFormat="1" x14ac:dyDescent="0.35">
      <c r="C29" s="239" t="s">
        <v>478</v>
      </c>
      <c r="D29" s="550">
        <f>44/12</f>
        <v>3.6666666666666665</v>
      </c>
      <c r="E29" s="493" t="s">
        <v>479</v>
      </c>
      <c r="F29" s="286" t="s">
        <v>72</v>
      </c>
      <c r="G29" s="2"/>
    </row>
    <row r="30" spans="2:24" ht="15" thickBot="1" x14ac:dyDescent="0.4">
      <c r="C30" s="291" t="s">
        <v>475</v>
      </c>
      <c r="D30" s="551">
        <v>0.2</v>
      </c>
      <c r="E30" s="263" t="s">
        <v>101</v>
      </c>
      <c r="F30" s="288" t="s">
        <v>72</v>
      </c>
    </row>
    <row r="31" spans="2:24" x14ac:dyDescent="0.35">
      <c r="D31" s="552"/>
      <c r="E31" s="2"/>
    </row>
  </sheetData>
  <mergeCells count="3">
    <mergeCell ref="B19:B21"/>
    <mergeCell ref="B3:B14"/>
    <mergeCell ref="B17:B1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9C36A-404B-4FB0-A9D6-50DAD81F187E}">
  <sheetPr>
    <tabColor theme="6" tint="0.39997558519241921"/>
  </sheetPr>
  <dimension ref="B1:G17"/>
  <sheetViews>
    <sheetView showGridLines="0" workbookViewId="0">
      <selection activeCell="H265" sqref="H265"/>
    </sheetView>
  </sheetViews>
  <sheetFormatPr baseColWidth="10" defaultRowHeight="14.5" x14ac:dyDescent="0.35"/>
  <cols>
    <col min="1" max="2" width="5.7265625" customWidth="1"/>
    <col min="3" max="3" width="21.453125" bestFit="1" customWidth="1"/>
    <col min="6" max="6" width="8.54296875" customWidth="1"/>
    <col min="7" max="7" width="5.54296875" customWidth="1"/>
  </cols>
  <sheetData>
    <row r="1" spans="2:7" ht="15" thickBot="1" x14ac:dyDescent="0.4"/>
    <row r="2" spans="2:7" x14ac:dyDescent="0.35">
      <c r="B2" s="9"/>
      <c r="C2" s="10"/>
      <c r="D2" s="10"/>
      <c r="E2" s="10"/>
      <c r="F2" s="10"/>
      <c r="G2" s="11"/>
    </row>
    <row r="3" spans="2:7" x14ac:dyDescent="0.35">
      <c r="B3" s="12"/>
      <c r="C3" s="23" t="s">
        <v>96</v>
      </c>
      <c r="D3" s="23" t="s">
        <v>408</v>
      </c>
      <c r="E3" s="24"/>
      <c r="F3" s="24"/>
      <c r="G3" s="14"/>
    </row>
    <row r="4" spans="2:7" x14ac:dyDescent="0.35">
      <c r="B4" s="12"/>
      <c r="C4" s="8"/>
      <c r="D4" s="8"/>
      <c r="E4" s="8"/>
      <c r="F4" s="8"/>
      <c r="G4" s="14"/>
    </row>
    <row r="5" spans="2:7" x14ac:dyDescent="0.35">
      <c r="B5" s="12"/>
      <c r="C5" s="13" t="s">
        <v>90</v>
      </c>
      <c r="D5" s="13"/>
      <c r="E5" s="13" t="s">
        <v>91</v>
      </c>
      <c r="F5" s="8"/>
      <c r="G5" s="14"/>
    </row>
    <row r="6" spans="2:7" x14ac:dyDescent="0.35">
      <c r="B6" s="12"/>
      <c r="C6" s="8" t="s">
        <v>92</v>
      </c>
      <c r="D6" s="8" t="s">
        <v>97</v>
      </c>
      <c r="E6" s="8">
        <v>1</v>
      </c>
      <c r="F6" s="8"/>
      <c r="G6" s="14"/>
    </row>
    <row r="7" spans="2:7" x14ac:dyDescent="0.35">
      <c r="B7" s="12"/>
      <c r="C7" s="8" t="s">
        <v>93</v>
      </c>
      <c r="D7" s="8" t="s">
        <v>98</v>
      </c>
      <c r="E7" s="8">
        <v>21</v>
      </c>
      <c r="F7" s="8"/>
      <c r="G7" s="14"/>
    </row>
    <row r="8" spans="2:7" x14ac:dyDescent="0.35">
      <c r="B8" s="12"/>
      <c r="C8" s="8" t="s">
        <v>94</v>
      </c>
      <c r="D8" s="8" t="s">
        <v>99</v>
      </c>
      <c r="E8" s="8">
        <v>310</v>
      </c>
      <c r="F8" s="8"/>
      <c r="G8" s="14"/>
    </row>
    <row r="9" spans="2:7" x14ac:dyDescent="0.35">
      <c r="B9" s="12"/>
      <c r="C9" s="747" t="s">
        <v>95</v>
      </c>
      <c r="D9" s="8" t="s">
        <v>49</v>
      </c>
      <c r="E9" s="8">
        <v>11700</v>
      </c>
      <c r="F9" s="8"/>
      <c r="G9" s="14"/>
    </row>
    <row r="10" spans="2:7" x14ac:dyDescent="0.35">
      <c r="B10" s="12"/>
      <c r="C10" s="747"/>
      <c r="D10" s="8" t="s">
        <v>50</v>
      </c>
      <c r="E10" s="8">
        <v>650</v>
      </c>
      <c r="F10" s="8"/>
      <c r="G10" s="14"/>
    </row>
    <row r="11" spans="2:7" x14ac:dyDescent="0.35">
      <c r="B11" s="12"/>
      <c r="C11" s="747"/>
      <c r="D11" s="8" t="s">
        <v>51</v>
      </c>
      <c r="E11" s="8">
        <v>2800</v>
      </c>
      <c r="F11" s="8"/>
      <c r="G11" s="14"/>
    </row>
    <row r="12" spans="2:7" x14ac:dyDescent="0.35">
      <c r="B12" s="12"/>
      <c r="C12" s="747"/>
      <c r="D12" s="8" t="s">
        <v>52</v>
      </c>
      <c r="E12" s="8">
        <v>1300</v>
      </c>
      <c r="F12" s="8"/>
      <c r="G12" s="14"/>
    </row>
    <row r="13" spans="2:7" x14ac:dyDescent="0.35">
      <c r="B13" s="12"/>
      <c r="C13" s="747"/>
      <c r="D13" s="8" t="s">
        <v>53</v>
      </c>
      <c r="E13" s="8">
        <v>140</v>
      </c>
      <c r="F13" s="8"/>
      <c r="G13" s="14"/>
    </row>
    <row r="14" spans="2:7" x14ac:dyDescent="0.35">
      <c r="B14" s="12"/>
      <c r="C14" s="747"/>
      <c r="D14" s="8" t="s">
        <v>54</v>
      </c>
      <c r="E14" s="84">
        <v>3800</v>
      </c>
      <c r="F14" s="8"/>
      <c r="G14" s="14"/>
    </row>
    <row r="15" spans="2:7" x14ac:dyDescent="0.35">
      <c r="B15" s="12"/>
      <c r="C15" s="747"/>
      <c r="D15" s="8" t="s">
        <v>55</v>
      </c>
      <c r="E15" s="8">
        <v>2900</v>
      </c>
      <c r="F15" s="8"/>
      <c r="G15" s="14"/>
    </row>
    <row r="16" spans="2:7" x14ac:dyDescent="0.35">
      <c r="B16" s="12"/>
      <c r="C16" s="747"/>
      <c r="D16" s="8" t="s">
        <v>56</v>
      </c>
      <c r="E16" s="84">
        <v>6300</v>
      </c>
      <c r="F16" s="8"/>
      <c r="G16" s="14"/>
    </row>
    <row r="17" spans="2:7" ht="15" thickBot="1" x14ac:dyDescent="0.4">
      <c r="B17" s="18"/>
      <c r="C17" s="22"/>
      <c r="D17" s="22"/>
      <c r="E17" s="22"/>
      <c r="F17" s="22"/>
      <c r="G17" s="21"/>
    </row>
  </sheetData>
  <mergeCells count="1">
    <mergeCell ref="C9:C16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B4FB2-CE9D-4742-9B5F-D5943042F076}">
  <sheetPr>
    <tabColor theme="6" tint="0.39997558519241921"/>
  </sheetPr>
  <dimension ref="B1:AJ66"/>
  <sheetViews>
    <sheetView zoomScale="55" zoomScaleNormal="55" workbookViewId="0">
      <pane xSplit="2" ySplit="3" topLeftCell="C4" activePane="bottomRight" state="frozen"/>
      <selection activeCell="H265" sqref="H265"/>
      <selection pane="topRight" activeCell="H265" sqref="H265"/>
      <selection pane="bottomLeft" activeCell="H265" sqref="H265"/>
      <selection pane="bottomRight" activeCell="H265" sqref="H265"/>
    </sheetView>
  </sheetViews>
  <sheetFormatPr baseColWidth="10" defaultRowHeight="14.5" x14ac:dyDescent="0.35"/>
  <cols>
    <col min="1" max="1" width="3.54296875" customWidth="1"/>
    <col min="2" max="2" width="75.1796875" bestFit="1" customWidth="1"/>
    <col min="18" max="18" width="12.1796875" bestFit="1" customWidth="1"/>
  </cols>
  <sheetData>
    <row r="1" spans="2:36" ht="15" thickBot="1" x14ac:dyDescent="0.4"/>
    <row r="2" spans="2:36" s="110" customFormat="1" ht="15" thickBot="1" x14ac:dyDescent="0.4">
      <c r="C2" s="751" t="s">
        <v>175</v>
      </c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4"/>
      <c r="T2" s="751" t="s">
        <v>387</v>
      </c>
      <c r="U2" s="673"/>
      <c r="V2" s="673"/>
      <c r="W2" s="673"/>
      <c r="X2" s="673"/>
      <c r="Y2" s="673"/>
      <c r="Z2" s="673"/>
      <c r="AA2" s="673"/>
      <c r="AB2" s="673"/>
      <c r="AC2" s="673"/>
      <c r="AD2" s="673"/>
      <c r="AE2" s="673"/>
      <c r="AF2" s="673"/>
      <c r="AG2" s="673"/>
      <c r="AH2" s="673"/>
      <c r="AI2" s="673"/>
      <c r="AJ2" s="674"/>
    </row>
    <row r="3" spans="2:36" ht="14.5" customHeight="1" x14ac:dyDescent="0.35">
      <c r="B3" s="309" t="s">
        <v>167</v>
      </c>
      <c r="C3" s="296">
        <v>2000</v>
      </c>
      <c r="D3" s="297">
        <v>2001</v>
      </c>
      <c r="E3" s="297">
        <v>2002</v>
      </c>
      <c r="F3" s="297">
        <v>2003</v>
      </c>
      <c r="G3" s="297">
        <v>2004</v>
      </c>
      <c r="H3" s="297">
        <v>2005</v>
      </c>
      <c r="I3" s="297">
        <v>2006</v>
      </c>
      <c r="J3" s="297">
        <v>2007</v>
      </c>
      <c r="K3" s="297">
        <v>2008</v>
      </c>
      <c r="L3" s="297">
        <v>2009</v>
      </c>
      <c r="M3" s="297">
        <v>2010</v>
      </c>
      <c r="N3" s="297">
        <v>2011</v>
      </c>
      <c r="O3" s="297">
        <v>2012</v>
      </c>
      <c r="P3" s="297">
        <v>2013</v>
      </c>
      <c r="Q3" s="297">
        <v>2014</v>
      </c>
      <c r="R3" s="297">
        <v>2015</v>
      </c>
      <c r="S3" s="298">
        <v>2016</v>
      </c>
      <c r="T3" s="296">
        <v>2000</v>
      </c>
      <c r="U3" s="297">
        <v>2001</v>
      </c>
      <c r="V3" s="297">
        <v>2002</v>
      </c>
      <c r="W3" s="297">
        <v>2003</v>
      </c>
      <c r="X3" s="297">
        <v>2004</v>
      </c>
      <c r="Y3" s="297">
        <v>2005</v>
      </c>
      <c r="Z3" s="297">
        <v>2006</v>
      </c>
      <c r="AA3" s="297">
        <v>2007</v>
      </c>
      <c r="AB3" s="297">
        <v>2008</v>
      </c>
      <c r="AC3" s="297">
        <v>2009</v>
      </c>
      <c r="AD3" s="297">
        <v>2010</v>
      </c>
      <c r="AE3" s="297">
        <v>2011</v>
      </c>
      <c r="AF3" s="297">
        <v>2012</v>
      </c>
      <c r="AG3" s="297">
        <v>2013</v>
      </c>
      <c r="AH3" s="297">
        <v>2014</v>
      </c>
      <c r="AI3" s="297">
        <v>2015</v>
      </c>
      <c r="AJ3" s="298">
        <v>2016</v>
      </c>
    </row>
    <row r="4" spans="2:36" ht="14.5" customHeight="1" x14ac:dyDescent="0.35">
      <c r="B4" s="310" t="s">
        <v>168</v>
      </c>
      <c r="C4" s="299">
        <f>'Emissions GEI'!D83</f>
        <v>2282.7361821953632</v>
      </c>
      <c r="D4" s="106">
        <f>'Emissions GEI'!E83</f>
        <v>2441.5138869373532</v>
      </c>
      <c r="E4" s="106">
        <f>'Emissions GEI'!F83</f>
        <v>2493.8794247820933</v>
      </c>
      <c r="F4" s="106">
        <f>'Emissions GEI'!G83</f>
        <v>2628.1607667632961</v>
      </c>
      <c r="G4" s="106">
        <f>'Emissions GEI'!H83</f>
        <v>2653.64049489733</v>
      </c>
      <c r="H4" s="106">
        <f>'Emissions GEI'!I83</f>
        <v>2839.4263263593766</v>
      </c>
      <c r="I4" s="106">
        <f>'Emissions GEI'!J83</f>
        <v>3202.13630462433</v>
      </c>
      <c r="J4" s="106">
        <f>'Emissions GEI'!K83</f>
        <v>3370.5126644039137</v>
      </c>
      <c r="K4" s="106">
        <f>'Emissions GEI'!L83</f>
        <v>3469.4127835731824</v>
      </c>
      <c r="L4" s="106">
        <f>'Emissions GEI'!M83</f>
        <v>3418.9741764158125</v>
      </c>
      <c r="M4" s="106">
        <f>'Emissions GEI'!N83</f>
        <v>3674.8669205281717</v>
      </c>
      <c r="N4" s="106">
        <f>'Emissions GEI'!O83</f>
        <v>3687.0743471224687</v>
      </c>
      <c r="O4" s="106">
        <f>'Emissions GEI'!P83</f>
        <v>3784.533526054146</v>
      </c>
      <c r="P4" s="106">
        <f>'Emissions GEI'!Q83</f>
        <v>3892.7217443605373</v>
      </c>
      <c r="Q4" s="106">
        <f>'Emissions GEI'!R83</f>
        <v>3952.7106206104113</v>
      </c>
      <c r="R4" s="106">
        <f>'Emissions GEI'!S83</f>
        <v>3999.4038312382772</v>
      </c>
      <c r="S4" s="300">
        <f>'Emissions GEI'!T83</f>
        <v>4127.3114385786957</v>
      </c>
      <c r="T4" s="301">
        <f>SUM(T5:T8)</f>
        <v>2287.1999999999998</v>
      </c>
      <c r="U4" s="56">
        <f t="shared" ref="U4:AJ4" si="0">SUM(U5:U8)</f>
        <v>2474.2000000000003</v>
      </c>
      <c r="V4" s="56">
        <f t="shared" si="0"/>
        <v>2491.4</v>
      </c>
      <c r="W4" s="56">
        <f t="shared" si="0"/>
        <v>2658.6</v>
      </c>
      <c r="X4" s="56">
        <f t="shared" si="0"/>
        <v>2657.3</v>
      </c>
      <c r="Y4" s="56">
        <f t="shared" si="0"/>
        <v>2817.6</v>
      </c>
      <c r="Z4" s="56">
        <f t="shared" si="0"/>
        <v>3267.4399999999996</v>
      </c>
      <c r="AA4" s="56">
        <f t="shared" si="0"/>
        <v>3416.1400000000003</v>
      </c>
      <c r="AB4" s="56">
        <f t="shared" si="0"/>
        <v>3537.23</v>
      </c>
      <c r="AC4" s="56">
        <f t="shared" si="0"/>
        <v>3495.49</v>
      </c>
      <c r="AD4" s="56">
        <f t="shared" si="0"/>
        <v>3728.3599999999997</v>
      </c>
      <c r="AE4" s="56">
        <f t="shared" si="0"/>
        <v>3692.6</v>
      </c>
      <c r="AF4" s="56">
        <f t="shared" si="0"/>
        <v>3815.21</v>
      </c>
      <c r="AG4" s="56">
        <f t="shared" si="0"/>
        <v>3903.6600000000003</v>
      </c>
      <c r="AH4" s="56">
        <f t="shared" si="0"/>
        <v>4025.25</v>
      </c>
      <c r="AI4" s="56">
        <f t="shared" si="0"/>
        <v>4021.7400000000002</v>
      </c>
      <c r="AJ4" s="193">
        <f t="shared" si="0"/>
        <v>4053.29</v>
      </c>
    </row>
    <row r="5" spans="2:36" x14ac:dyDescent="0.35">
      <c r="B5" s="311" t="s">
        <v>150</v>
      </c>
      <c r="C5" s="299">
        <f>'Emissions GEI'!D84</f>
        <v>1159.2564091559998</v>
      </c>
      <c r="D5" s="106">
        <f>'Emissions GEI'!E84</f>
        <v>1268.8150482939998</v>
      </c>
      <c r="E5" s="106">
        <f>'Emissions GEI'!F84</f>
        <v>1289.4180072520001</v>
      </c>
      <c r="F5" s="106">
        <f>'Emissions GEI'!G84</f>
        <v>1381.1958847159999</v>
      </c>
      <c r="G5" s="106">
        <f>'Emissions GEI'!H84</f>
        <v>1396.027794584</v>
      </c>
      <c r="H5" s="106">
        <f>'Emissions GEI'!I84</f>
        <v>1567.1196631539999</v>
      </c>
      <c r="I5" s="106">
        <f>'Emissions GEI'!J84</f>
        <v>1843.7890721439999</v>
      </c>
      <c r="J5" s="106">
        <f>'Emissions GEI'!K84</f>
        <v>1985.1859191957278</v>
      </c>
      <c r="K5" s="106">
        <f>'Emissions GEI'!L84</f>
        <v>2011.2768912173522</v>
      </c>
      <c r="L5" s="106">
        <f>'Emissions GEI'!M84</f>
        <v>1994.8508959286808</v>
      </c>
      <c r="M5" s="106">
        <f>'Emissions GEI'!N84</f>
        <v>2194.6872312669298</v>
      </c>
      <c r="N5" s="106">
        <f>'Emissions GEI'!O84</f>
        <v>2180.1958094747838</v>
      </c>
      <c r="O5" s="106">
        <f>'Emissions GEI'!P84</f>
        <v>2241.0750707048342</v>
      </c>
      <c r="P5" s="106">
        <f>'Emissions GEI'!Q84</f>
        <v>2314.0973632978339</v>
      </c>
      <c r="Q5" s="106">
        <f>'Emissions GEI'!R84</f>
        <v>2394.0837004231335</v>
      </c>
      <c r="R5" s="106">
        <f>'Emissions GEI'!S84</f>
        <v>2339.3397289062182</v>
      </c>
      <c r="S5" s="300">
        <f>'Emissions GEI'!T84</f>
        <v>2397.3682304821773</v>
      </c>
      <c r="T5" s="192">
        <v>1021</v>
      </c>
      <c r="U5" s="27">
        <v>1163</v>
      </c>
      <c r="V5" s="27">
        <v>1159</v>
      </c>
      <c r="W5" s="27">
        <v>1285</v>
      </c>
      <c r="X5" s="27">
        <v>1288</v>
      </c>
      <c r="Y5" s="27">
        <v>1424</v>
      </c>
      <c r="Z5" s="27">
        <v>1775.54</v>
      </c>
      <c r="AA5" s="44">
        <v>1947.7</v>
      </c>
      <c r="AB5" s="44">
        <v>2028.06</v>
      </c>
      <c r="AC5" s="44">
        <v>2024.15</v>
      </c>
      <c r="AD5" s="44">
        <v>2213.48</v>
      </c>
      <c r="AE5" s="44">
        <v>2174.84</v>
      </c>
      <c r="AF5" s="44">
        <v>2270.19</v>
      </c>
      <c r="AG5" s="44">
        <v>2352.83</v>
      </c>
      <c r="AH5" s="44">
        <v>2437.7600000000002</v>
      </c>
      <c r="AI5" s="44">
        <v>2397.16</v>
      </c>
      <c r="AJ5" s="141">
        <v>2421.38</v>
      </c>
    </row>
    <row r="6" spans="2:36" x14ac:dyDescent="0.35">
      <c r="B6" s="311" t="s">
        <v>151</v>
      </c>
      <c r="C6" s="299">
        <f>'Emissions GEI'!D85</f>
        <v>363.71313773466636</v>
      </c>
      <c r="D6" s="106">
        <f>'Emissions GEI'!E85</f>
        <v>385.56745610712716</v>
      </c>
      <c r="E6" s="106">
        <f>'Emissions GEI'!F85</f>
        <v>387.35834413015772</v>
      </c>
      <c r="F6" s="106">
        <f>'Emissions GEI'!G85</f>
        <v>386.80742429105055</v>
      </c>
      <c r="G6" s="106">
        <f>'Emissions GEI'!H85</f>
        <v>363.50440583011709</v>
      </c>
      <c r="H6" s="106">
        <f>'Emissions GEI'!I85</f>
        <v>345.90989862096973</v>
      </c>
      <c r="I6" s="106">
        <f>'Emissions GEI'!J85</f>
        <v>407.83223241143594</v>
      </c>
      <c r="J6" s="106">
        <f>'Emissions GEI'!K85</f>
        <v>406.0376795319599</v>
      </c>
      <c r="K6" s="106">
        <f>'Emissions GEI'!L85</f>
        <v>436.1125529445477</v>
      </c>
      <c r="L6" s="106">
        <f>'Emissions GEI'!M85</f>
        <v>361.69323459028038</v>
      </c>
      <c r="M6" s="106">
        <f>'Emissions GEI'!N85</f>
        <v>367.16979828698317</v>
      </c>
      <c r="N6" s="106">
        <f>'Emissions GEI'!O85</f>
        <v>351.11199876498512</v>
      </c>
      <c r="O6" s="106">
        <f>'Emissions GEI'!P85</f>
        <v>344.33532070293535</v>
      </c>
      <c r="P6" s="106">
        <f>'Emissions GEI'!Q85</f>
        <v>329.85802923629831</v>
      </c>
      <c r="Q6" s="106">
        <f>'Emissions GEI'!R85</f>
        <v>345.33119163569205</v>
      </c>
      <c r="R6" s="106">
        <f>'Emissions GEI'!S85</f>
        <v>348.23942435413068</v>
      </c>
      <c r="S6" s="300">
        <f>'Emissions GEI'!T85</f>
        <v>336.61339452887489</v>
      </c>
      <c r="T6" s="239">
        <v>349.3</v>
      </c>
      <c r="U6" s="27">
        <v>376.2</v>
      </c>
      <c r="V6" s="27">
        <v>376.5</v>
      </c>
      <c r="W6" s="27">
        <v>376.6</v>
      </c>
      <c r="X6" s="27">
        <v>353.9</v>
      </c>
      <c r="Y6" s="27">
        <v>343.8</v>
      </c>
      <c r="Z6" s="27">
        <v>414.9</v>
      </c>
      <c r="AA6" s="27">
        <v>413.58</v>
      </c>
      <c r="AB6" s="27">
        <v>443.75</v>
      </c>
      <c r="AC6" s="27">
        <v>368.39</v>
      </c>
      <c r="AD6" s="27">
        <v>373.18</v>
      </c>
      <c r="AE6" s="27">
        <v>356.04</v>
      </c>
      <c r="AF6" s="27">
        <v>350.46</v>
      </c>
      <c r="AG6" s="27">
        <v>336.55</v>
      </c>
      <c r="AH6" s="27">
        <v>352.49</v>
      </c>
      <c r="AI6" s="27">
        <v>358.17</v>
      </c>
      <c r="AJ6" s="97">
        <v>342.35</v>
      </c>
    </row>
    <row r="7" spans="2:36" x14ac:dyDescent="0.35">
      <c r="B7" s="311" t="s">
        <v>152</v>
      </c>
      <c r="C7" s="299">
        <f>'Emissions GEI'!D86</f>
        <v>563.95159126469719</v>
      </c>
      <c r="D7" s="106">
        <f>'Emissions GEI'!E86</f>
        <v>588.99448176622616</v>
      </c>
      <c r="E7" s="106">
        <f>'Emissions GEI'!F86</f>
        <v>618.85877852593535</v>
      </c>
      <c r="F7" s="106">
        <f>'Emissions GEI'!G86</f>
        <v>644.84316868624558</v>
      </c>
      <c r="G7" s="106">
        <f>'Emissions GEI'!H86</f>
        <v>676.10711063721283</v>
      </c>
      <c r="H7" s="106">
        <f>'Emissions GEI'!I86</f>
        <v>701.99197395440729</v>
      </c>
      <c r="I7" s="106">
        <f>'Emissions GEI'!J86</f>
        <v>734.21008308089426</v>
      </c>
      <c r="J7" s="106">
        <f>'Emissions GEI'!K86</f>
        <v>771.15451258865085</v>
      </c>
      <c r="K7" s="106">
        <f>'Emissions GEI'!L86</f>
        <v>803.77325435711316</v>
      </c>
      <c r="L7" s="106">
        <f>'Emissions GEI'!M86</f>
        <v>834.41403321592838</v>
      </c>
      <c r="M7" s="106">
        <f>'Emissions GEI'!N86</f>
        <v>879.69174570534221</v>
      </c>
      <c r="N7" s="106">
        <f>'Emissions GEI'!O86</f>
        <v>920.0526831029764</v>
      </c>
      <c r="O7" s="106">
        <f>'Emissions GEI'!P86</f>
        <v>968.24525450281965</v>
      </c>
      <c r="P7" s="106">
        <f>'Emissions GEI'!Q86</f>
        <v>1017.271173834336</v>
      </c>
      <c r="Q7" s="106">
        <f>'Emissions GEI'!R86</f>
        <v>978.21087437949984</v>
      </c>
      <c r="R7" s="106">
        <f>'Emissions GEI'!S86</f>
        <v>1066.4887079295295</v>
      </c>
      <c r="S7" s="300">
        <f>'Emissions GEI'!T86</f>
        <v>1146.7278949475576</v>
      </c>
      <c r="T7" s="239">
        <v>720.8</v>
      </c>
      <c r="U7" s="27">
        <v>736.6</v>
      </c>
      <c r="V7" s="27">
        <v>757.8</v>
      </c>
      <c r="W7" s="27">
        <v>781.6</v>
      </c>
      <c r="X7" s="27">
        <v>797.7</v>
      </c>
      <c r="Y7" s="27">
        <v>826.1</v>
      </c>
      <c r="Z7" s="27">
        <v>853.8</v>
      </c>
      <c r="AA7" s="27">
        <v>849.37</v>
      </c>
      <c r="AB7" s="27">
        <v>850.61</v>
      </c>
      <c r="AC7" s="27">
        <v>878.49</v>
      </c>
      <c r="AD7" s="27">
        <v>918.19</v>
      </c>
      <c r="AE7" s="27">
        <v>929.81</v>
      </c>
      <c r="AF7" s="27">
        <v>967.88</v>
      </c>
      <c r="AG7" s="27">
        <v>987.75</v>
      </c>
      <c r="AH7" s="44">
        <v>1001.3</v>
      </c>
      <c r="AI7" s="44">
        <v>1022.84</v>
      </c>
      <c r="AJ7" s="141">
        <v>1044.32</v>
      </c>
    </row>
    <row r="8" spans="2:36" x14ac:dyDescent="0.35">
      <c r="B8" s="311" t="s">
        <v>153</v>
      </c>
      <c r="C8" s="299">
        <f>'Emissions GEI'!D90</f>
        <v>195.81504403999998</v>
      </c>
      <c r="D8" s="106">
        <f>'Emissions GEI'!E90</f>
        <v>198.13690077000001</v>
      </c>
      <c r="E8" s="106">
        <f>'Emissions GEI'!F90</f>
        <v>198.24429487399999</v>
      </c>
      <c r="F8" s="106">
        <f>'Emissions GEI'!G90</f>
        <v>215.31428907</v>
      </c>
      <c r="G8" s="106">
        <f>'Emissions GEI'!H90</f>
        <v>218.001183846</v>
      </c>
      <c r="H8" s="106">
        <f>'Emissions GEI'!I90</f>
        <v>224.40479062999998</v>
      </c>
      <c r="I8" s="106">
        <f>'Emissions GEI'!J90</f>
        <v>216.30491698799997</v>
      </c>
      <c r="J8" s="106">
        <f>'Emissions GEI'!K90</f>
        <v>208.1345530875752</v>
      </c>
      <c r="K8" s="106">
        <f>'Emissions GEI'!L90</f>
        <v>218.25008505416929</v>
      </c>
      <c r="L8" s="106">
        <f>'Emissions GEI'!M90</f>
        <v>228.01601268092338</v>
      </c>
      <c r="M8" s="106">
        <f>'Emissions GEI'!N90</f>
        <v>233.31814526891623</v>
      </c>
      <c r="N8" s="106">
        <f>'Emissions GEI'!O90</f>
        <v>235.71385577972319</v>
      </c>
      <c r="O8" s="106">
        <f>'Emissions GEI'!P90</f>
        <v>230.87788014355709</v>
      </c>
      <c r="P8" s="106">
        <f>'Emissions GEI'!Q90</f>
        <v>230.72514345206883</v>
      </c>
      <c r="Q8" s="106">
        <f>'Emissions GEI'!R90</f>
        <v>234.27900407208628</v>
      </c>
      <c r="R8" s="106">
        <f>'Emissions GEI'!S90</f>
        <v>244.48535049839893</v>
      </c>
      <c r="S8" s="300">
        <f>'Emissions GEI'!T90</f>
        <v>245.73040666008623</v>
      </c>
      <c r="T8" s="239">
        <v>196.1</v>
      </c>
      <c r="U8" s="27">
        <v>198.4</v>
      </c>
      <c r="V8" s="27">
        <v>198.1</v>
      </c>
      <c r="W8" s="27">
        <v>215.4</v>
      </c>
      <c r="X8" s="27">
        <v>217.7</v>
      </c>
      <c r="Y8" s="27">
        <v>223.7</v>
      </c>
      <c r="Z8" s="27">
        <v>223.2</v>
      </c>
      <c r="AA8" s="27">
        <v>205.49</v>
      </c>
      <c r="AB8" s="27">
        <v>214.81</v>
      </c>
      <c r="AC8" s="27">
        <v>224.46</v>
      </c>
      <c r="AD8" s="27">
        <v>223.51</v>
      </c>
      <c r="AE8" s="27">
        <v>231.91</v>
      </c>
      <c r="AF8" s="27">
        <v>226.68</v>
      </c>
      <c r="AG8" s="27">
        <v>226.53</v>
      </c>
      <c r="AH8" s="27">
        <v>233.7</v>
      </c>
      <c r="AI8" s="27">
        <v>243.57</v>
      </c>
      <c r="AJ8" s="97">
        <v>245.24</v>
      </c>
    </row>
    <row r="9" spans="2:36" x14ac:dyDescent="0.35">
      <c r="B9" s="312" t="s">
        <v>169</v>
      </c>
      <c r="C9" s="299">
        <f>'Emissions GEI'!D95</f>
        <v>22.325272830282945</v>
      </c>
      <c r="D9" s="106">
        <f>'Emissions GEI'!E95</f>
        <v>22.921947315103331</v>
      </c>
      <c r="E9" s="106">
        <f>'Emissions GEI'!F95</f>
        <v>23.371101076426267</v>
      </c>
      <c r="F9" s="106">
        <f>'Emissions GEI'!G95</f>
        <v>23.9229148377492</v>
      </c>
      <c r="G9" s="106">
        <f>'Emissions GEI'!H95</f>
        <v>24.166158599072133</v>
      </c>
      <c r="H9" s="106">
        <f>'Emissions GEI'!I95</f>
        <v>24.894972360395069</v>
      </c>
      <c r="I9" s="106">
        <f>'Emissions GEI'!J95</f>
        <v>25.634996121718</v>
      </c>
      <c r="J9" s="106">
        <f>'Emissions GEI'!K95</f>
        <v>25.714809883040935</v>
      </c>
      <c r="K9" s="106">
        <f>'Emissions GEI'!L95</f>
        <v>29.929619941520468</v>
      </c>
      <c r="L9" s="106">
        <f>'Emissions GEI'!M95</f>
        <v>34.805819999999997</v>
      </c>
      <c r="M9" s="106">
        <f>'Emissions GEI'!N95</f>
        <v>37.135859999999994</v>
      </c>
      <c r="N9" s="106">
        <f>'Emissions GEI'!O95</f>
        <v>47.899450000000002</v>
      </c>
      <c r="O9" s="106">
        <f>'Emissions GEI'!P95</f>
        <v>46.536629999999995</v>
      </c>
      <c r="P9" s="106">
        <f>'Emissions GEI'!Q95</f>
        <v>39.616120000000002</v>
      </c>
      <c r="Q9" s="106">
        <f>'Emissions GEI'!R95</f>
        <v>36.1464</v>
      </c>
      <c r="R9" s="106">
        <f>'Emissions GEI'!S95</f>
        <v>31.925600000000003</v>
      </c>
      <c r="S9" s="300">
        <f>'Emissions GEI'!T95</f>
        <v>29.076799999999999</v>
      </c>
      <c r="T9" s="239">
        <v>44.2</v>
      </c>
      <c r="U9" s="27">
        <v>44.1</v>
      </c>
      <c r="V9" s="27">
        <v>43.9</v>
      </c>
      <c r="W9" s="27">
        <v>43.9</v>
      </c>
      <c r="X9" s="27">
        <v>43.5</v>
      </c>
      <c r="Y9" s="27">
        <v>43.5</v>
      </c>
      <c r="Z9" s="27">
        <v>42</v>
      </c>
      <c r="AA9" s="27">
        <v>41.99</v>
      </c>
      <c r="AB9" s="27">
        <v>43.34</v>
      </c>
      <c r="AC9" s="27">
        <v>44.69</v>
      </c>
      <c r="AD9" s="27">
        <v>44.69</v>
      </c>
      <c r="AE9" s="27">
        <v>48.8</v>
      </c>
      <c r="AF9" s="27">
        <v>45</v>
      </c>
      <c r="AG9" s="27">
        <v>37.54</v>
      </c>
      <c r="AH9" s="27">
        <v>37.94</v>
      </c>
      <c r="AI9" s="27">
        <v>32.4</v>
      </c>
      <c r="AJ9" s="97">
        <v>33.75</v>
      </c>
    </row>
    <row r="10" spans="2:36" x14ac:dyDescent="0.35">
      <c r="B10" s="311" t="s">
        <v>154</v>
      </c>
      <c r="C10" s="299">
        <f>'Emissions GEI'!D96</f>
        <v>2.7547100000000002</v>
      </c>
      <c r="D10" s="106">
        <f>'Emissions GEI'!E96</f>
        <v>2.6980699999999995</v>
      </c>
      <c r="E10" s="106">
        <f>'Emissions GEI'!F96</f>
        <v>2.4720999999999997</v>
      </c>
      <c r="F10" s="106">
        <f>'Emissions GEI'!G96</f>
        <v>2.3487900000000002</v>
      </c>
      <c r="G10" s="106">
        <f>'Emissions GEI'!H96</f>
        <v>1.9169099999999999</v>
      </c>
      <c r="H10" s="106">
        <f>'Emissions GEI'!I96</f>
        <v>1.9705999999999999</v>
      </c>
      <c r="I10" s="106">
        <f>'Emissions GEI'!J96</f>
        <v>2.0354999999999999</v>
      </c>
      <c r="J10" s="106">
        <f>'Emissions GEI'!K96</f>
        <v>1.4401899999999999</v>
      </c>
      <c r="K10" s="106">
        <f>'Emissions GEI'!L96</f>
        <v>1.3623099999999999</v>
      </c>
      <c r="L10" s="106">
        <f>'Emissions GEI'!M96</f>
        <v>1.9458199999999999</v>
      </c>
      <c r="M10" s="106">
        <f>'Emissions GEI'!N96</f>
        <v>2.1558599999999997</v>
      </c>
      <c r="N10" s="106">
        <f>'Emissions GEI'!O96</f>
        <v>1.36585</v>
      </c>
      <c r="O10" s="106">
        <f>'Emissions GEI'!P96</f>
        <v>1.79183</v>
      </c>
      <c r="P10" s="106">
        <f>'Emissions GEI'!Q96</f>
        <v>1.2909199999999998</v>
      </c>
      <c r="Q10" s="106">
        <f>'Emissions GEI'!R96</f>
        <v>0.8024</v>
      </c>
      <c r="R10" s="106">
        <f>'Emissions GEI'!S96</f>
        <v>0</v>
      </c>
      <c r="S10" s="300">
        <f>'Emissions GEI'!T96</f>
        <v>0</v>
      </c>
      <c r="T10" s="239">
        <f>T11</f>
        <v>2.57</v>
      </c>
      <c r="U10" s="27">
        <f t="shared" ref="U10:AG10" si="1">U11</f>
        <v>2.52</v>
      </c>
      <c r="V10" s="27">
        <f t="shared" si="1"/>
        <v>2.31</v>
      </c>
      <c r="W10" s="27">
        <f t="shared" si="1"/>
        <v>2.19</v>
      </c>
      <c r="X10" s="27">
        <f t="shared" si="1"/>
        <v>1.79</v>
      </c>
      <c r="Y10" s="27">
        <f t="shared" si="1"/>
        <v>1.84</v>
      </c>
      <c r="Z10" s="27">
        <f t="shared" si="1"/>
        <v>1.53</v>
      </c>
      <c r="AA10" s="27">
        <f t="shared" si="1"/>
        <v>1.49</v>
      </c>
      <c r="AB10" s="27">
        <f t="shared" si="1"/>
        <v>1.49</v>
      </c>
      <c r="AC10" s="27">
        <f t="shared" si="1"/>
        <v>1.49</v>
      </c>
      <c r="AD10" s="27">
        <f t="shared" si="1"/>
        <v>1.49</v>
      </c>
      <c r="AE10" s="27">
        <f t="shared" si="1"/>
        <v>1.49</v>
      </c>
      <c r="AF10" s="27">
        <f t="shared" si="1"/>
        <v>1.49</v>
      </c>
      <c r="AG10" s="27">
        <f t="shared" si="1"/>
        <v>1.49</v>
      </c>
      <c r="AH10" s="27"/>
      <c r="AI10" s="27"/>
      <c r="AJ10" s="97"/>
    </row>
    <row r="11" spans="2:36" x14ac:dyDescent="0.35">
      <c r="B11" s="311" t="s">
        <v>155</v>
      </c>
      <c r="C11" s="299">
        <f>'Emissions GEI'!D97</f>
        <v>2.7547100000000002</v>
      </c>
      <c r="D11" s="106">
        <f>'Emissions GEI'!E97</f>
        <v>2.6980699999999995</v>
      </c>
      <c r="E11" s="106">
        <f>'Emissions GEI'!F97</f>
        <v>2.4720999999999997</v>
      </c>
      <c r="F11" s="106">
        <f>'Emissions GEI'!G97</f>
        <v>2.3487900000000002</v>
      </c>
      <c r="G11" s="106">
        <f>'Emissions GEI'!H97</f>
        <v>1.9169099999999999</v>
      </c>
      <c r="H11" s="106">
        <f>'Emissions GEI'!I97</f>
        <v>1.9705999999999999</v>
      </c>
      <c r="I11" s="106">
        <f>'Emissions GEI'!J97</f>
        <v>2.0354999999999999</v>
      </c>
      <c r="J11" s="106">
        <f>'Emissions GEI'!K97</f>
        <v>1.4401899999999999</v>
      </c>
      <c r="K11" s="106">
        <f>'Emissions GEI'!L97</f>
        <v>1.3623099999999999</v>
      </c>
      <c r="L11" s="106">
        <f>'Emissions GEI'!M97</f>
        <v>1.9458199999999999</v>
      </c>
      <c r="M11" s="106">
        <f>'Emissions GEI'!N97</f>
        <v>2.1558599999999997</v>
      </c>
      <c r="N11" s="106">
        <f>'Emissions GEI'!O97</f>
        <v>1.36585</v>
      </c>
      <c r="O11" s="106">
        <f>'Emissions GEI'!P97</f>
        <v>1.79183</v>
      </c>
      <c r="P11" s="106">
        <f>'Emissions GEI'!Q97</f>
        <v>1.2909199999999998</v>
      </c>
      <c r="Q11" s="106">
        <f>'Emissions GEI'!R97</f>
        <v>0.8024</v>
      </c>
      <c r="R11" s="106">
        <f>'Emissions GEI'!S97</f>
        <v>0</v>
      </c>
      <c r="S11" s="300">
        <f>'Emissions GEI'!T97</f>
        <v>0</v>
      </c>
      <c r="T11" s="239">
        <v>2.57</v>
      </c>
      <c r="U11" s="27">
        <v>2.52</v>
      </c>
      <c r="V11" s="27">
        <v>2.31</v>
      </c>
      <c r="W11" s="27">
        <v>2.19</v>
      </c>
      <c r="X11" s="27">
        <v>1.79</v>
      </c>
      <c r="Y11" s="27">
        <v>1.84</v>
      </c>
      <c r="Z11" s="27">
        <v>1.53</v>
      </c>
      <c r="AA11" s="27">
        <v>1.49</v>
      </c>
      <c r="AB11" s="27">
        <v>1.49</v>
      </c>
      <c r="AC11" s="27">
        <v>1.49</v>
      </c>
      <c r="AD11" s="27">
        <v>1.49</v>
      </c>
      <c r="AE11" s="27">
        <v>1.49</v>
      </c>
      <c r="AF11" s="27">
        <v>1.49</v>
      </c>
      <c r="AG11" s="27">
        <v>1.49</v>
      </c>
      <c r="AH11" s="27"/>
      <c r="AI11" s="27"/>
      <c r="AJ11" s="97"/>
    </row>
    <row r="12" spans="2:36" x14ac:dyDescent="0.35">
      <c r="B12" s="313" t="s">
        <v>156</v>
      </c>
      <c r="C12" s="299">
        <f>'Emissions GEI'!D98</f>
        <v>19.570562830282945</v>
      </c>
      <c r="D12" s="106">
        <f>'Emissions GEI'!E98</f>
        <v>20.22387731510333</v>
      </c>
      <c r="E12" s="106">
        <f>'Emissions GEI'!F98</f>
        <v>20.899001076426266</v>
      </c>
      <c r="F12" s="106">
        <f>'Emissions GEI'!G98</f>
        <v>21.574124837749199</v>
      </c>
      <c r="G12" s="106">
        <f>'Emissions GEI'!H98</f>
        <v>22.249248599072132</v>
      </c>
      <c r="H12" s="106">
        <f>'Emissions GEI'!I98</f>
        <v>22.924372360395068</v>
      </c>
      <c r="I12" s="106">
        <f>'Emissions GEI'!J98</f>
        <v>23.599496121718001</v>
      </c>
      <c r="J12" s="106">
        <f>'Emissions GEI'!K98</f>
        <v>24.274619883040934</v>
      </c>
      <c r="K12" s="106">
        <f>'Emissions GEI'!L98</f>
        <v>28.567309941520467</v>
      </c>
      <c r="L12" s="106">
        <f>'Emissions GEI'!M98</f>
        <v>32.86</v>
      </c>
      <c r="M12" s="106">
        <f>'Emissions GEI'!N98</f>
        <v>34.979999999999997</v>
      </c>
      <c r="N12" s="106">
        <f>'Emissions GEI'!O98</f>
        <v>37.1</v>
      </c>
      <c r="O12" s="106">
        <f>'Emissions GEI'!P98</f>
        <v>34.131999999999998</v>
      </c>
      <c r="P12" s="106">
        <f>'Emissions GEI'!Q98</f>
        <v>28.302</v>
      </c>
      <c r="Q12" s="106">
        <f>'Emissions GEI'!R98</f>
        <v>26.5</v>
      </c>
      <c r="R12" s="106">
        <f>'Emissions GEI'!S98</f>
        <v>25.44</v>
      </c>
      <c r="S12" s="300">
        <f>'Emissions GEI'!T98</f>
        <v>21.411999999999999</v>
      </c>
      <c r="T12" s="239">
        <f>T13</f>
        <v>41.56</v>
      </c>
      <c r="U12" s="27">
        <f t="shared" ref="U12:AG12" si="2">U13</f>
        <v>41.59</v>
      </c>
      <c r="V12" s="27">
        <f t="shared" si="2"/>
        <v>41.62</v>
      </c>
      <c r="W12" s="27">
        <f t="shared" si="2"/>
        <v>41.66</v>
      </c>
      <c r="X12" s="27">
        <f t="shared" si="2"/>
        <v>41.69</v>
      </c>
      <c r="Y12" s="27">
        <f t="shared" si="2"/>
        <v>41.72</v>
      </c>
      <c r="Z12" s="27">
        <f t="shared" si="2"/>
        <v>40.5</v>
      </c>
      <c r="AA12" s="27">
        <f t="shared" si="2"/>
        <v>40.5</v>
      </c>
      <c r="AB12" s="27">
        <f t="shared" si="2"/>
        <v>41.85</v>
      </c>
      <c r="AC12" s="27">
        <f t="shared" si="2"/>
        <v>43.2</v>
      </c>
      <c r="AD12" s="27">
        <f t="shared" si="2"/>
        <v>43.2</v>
      </c>
      <c r="AE12" s="27">
        <f t="shared" si="2"/>
        <v>47.25</v>
      </c>
      <c r="AF12" s="27">
        <f t="shared" si="2"/>
        <v>43.47</v>
      </c>
      <c r="AG12" s="27">
        <f t="shared" si="2"/>
        <v>36.049999999999997</v>
      </c>
      <c r="AH12" s="27"/>
      <c r="AI12" s="27"/>
      <c r="AJ12" s="97"/>
    </row>
    <row r="13" spans="2:36" x14ac:dyDescent="0.35">
      <c r="B13" s="311" t="s">
        <v>157</v>
      </c>
      <c r="C13" s="299">
        <f>'Emissions GEI'!D99</f>
        <v>19.570562830282945</v>
      </c>
      <c r="D13" s="106">
        <f>'Emissions GEI'!E99</f>
        <v>20.22387731510333</v>
      </c>
      <c r="E13" s="106">
        <f>'Emissions GEI'!F99</f>
        <v>20.899001076426266</v>
      </c>
      <c r="F13" s="106">
        <f>'Emissions GEI'!G99</f>
        <v>21.574124837749199</v>
      </c>
      <c r="G13" s="106">
        <f>'Emissions GEI'!H99</f>
        <v>22.249248599072132</v>
      </c>
      <c r="H13" s="106">
        <f>'Emissions GEI'!I99</f>
        <v>22.924372360395068</v>
      </c>
      <c r="I13" s="106">
        <f>'Emissions GEI'!J99</f>
        <v>23.599496121718001</v>
      </c>
      <c r="J13" s="106">
        <f>'Emissions GEI'!K99</f>
        <v>24.274619883040934</v>
      </c>
      <c r="K13" s="106">
        <f>'Emissions GEI'!L99</f>
        <v>28.567309941520467</v>
      </c>
      <c r="L13" s="106">
        <f>'Emissions GEI'!M99</f>
        <v>32.86</v>
      </c>
      <c r="M13" s="106">
        <f>'Emissions GEI'!N99</f>
        <v>34.979999999999997</v>
      </c>
      <c r="N13" s="106">
        <f>'Emissions GEI'!O99</f>
        <v>37.1</v>
      </c>
      <c r="O13" s="106">
        <f>'Emissions GEI'!P99</f>
        <v>34.131999999999998</v>
      </c>
      <c r="P13" s="106">
        <f>'Emissions GEI'!Q99</f>
        <v>28.302</v>
      </c>
      <c r="Q13" s="106">
        <f>'Emissions GEI'!R99</f>
        <v>26.5</v>
      </c>
      <c r="R13" s="106">
        <f>'Emissions GEI'!S99</f>
        <v>25.44</v>
      </c>
      <c r="S13" s="300">
        <f>'Emissions GEI'!T99</f>
        <v>21.411999999999999</v>
      </c>
      <c r="T13" s="239">
        <v>41.56</v>
      </c>
      <c r="U13" s="27">
        <v>41.59</v>
      </c>
      <c r="V13" s="27">
        <v>41.62</v>
      </c>
      <c r="W13" s="27">
        <v>41.66</v>
      </c>
      <c r="X13" s="27">
        <v>41.69</v>
      </c>
      <c r="Y13" s="27">
        <v>41.72</v>
      </c>
      <c r="Z13" s="27">
        <v>40.5</v>
      </c>
      <c r="AA13" s="27">
        <v>40.5</v>
      </c>
      <c r="AB13" s="27">
        <v>41.85</v>
      </c>
      <c r="AC13" s="27">
        <v>43.2</v>
      </c>
      <c r="AD13" s="27">
        <v>43.2</v>
      </c>
      <c r="AE13" s="27">
        <v>47.25</v>
      </c>
      <c r="AF13" s="27">
        <v>43.47</v>
      </c>
      <c r="AG13" s="27">
        <v>36.049999999999997</v>
      </c>
      <c r="AH13" s="27"/>
      <c r="AI13" s="27"/>
      <c r="AJ13" s="97"/>
    </row>
    <row r="14" spans="2:36" ht="15" hidden="1" customHeight="1" x14ac:dyDescent="0.35">
      <c r="B14" s="311" t="s">
        <v>158</v>
      </c>
      <c r="C14" s="299" t="e">
        <f>'Emissions GEI'!#REF!</f>
        <v>#REF!</v>
      </c>
      <c r="D14" s="106" t="e">
        <f>'Emissions GEI'!#REF!</f>
        <v>#REF!</v>
      </c>
      <c r="E14" s="106" t="e">
        <f>'Emissions GEI'!#REF!</f>
        <v>#REF!</v>
      </c>
      <c r="F14" s="106" t="e">
        <f>'Emissions GEI'!#REF!</f>
        <v>#REF!</v>
      </c>
      <c r="G14" s="106" t="e">
        <f>'Emissions GEI'!#REF!</f>
        <v>#REF!</v>
      </c>
      <c r="H14" s="106" t="e">
        <f>'Emissions GEI'!#REF!</f>
        <v>#REF!</v>
      </c>
      <c r="I14" s="106" t="e">
        <f>'Emissions GEI'!#REF!</f>
        <v>#REF!</v>
      </c>
      <c r="J14" s="106" t="e">
        <f>'Emissions GEI'!#REF!</f>
        <v>#REF!</v>
      </c>
      <c r="K14" s="106" t="e">
        <f>'Emissions GEI'!#REF!</f>
        <v>#REF!</v>
      </c>
      <c r="L14" s="106" t="e">
        <f>'Emissions GEI'!#REF!</f>
        <v>#REF!</v>
      </c>
      <c r="M14" s="106" t="e">
        <f>'Emissions GEI'!#REF!</f>
        <v>#REF!</v>
      </c>
      <c r="N14" s="106" t="e">
        <f>'Emissions GEI'!#REF!</f>
        <v>#REF!</v>
      </c>
      <c r="O14" s="106" t="e">
        <f>'Emissions GEI'!#REF!</f>
        <v>#REF!</v>
      </c>
      <c r="P14" s="106" t="e">
        <f>'Emissions GEI'!#REF!</f>
        <v>#REF!</v>
      </c>
      <c r="Q14" s="106" t="e">
        <f>'Emissions GEI'!#REF!</f>
        <v>#REF!</v>
      </c>
      <c r="R14" s="106" t="e">
        <f>'Emissions GEI'!#REF!</f>
        <v>#REF!</v>
      </c>
      <c r="S14" s="300" t="e">
        <f>'Emissions GEI'!#REF!</f>
        <v>#REF!</v>
      </c>
      <c r="T14" s="239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97"/>
    </row>
    <row r="15" spans="2:36" ht="15" hidden="1" customHeight="1" x14ac:dyDescent="0.35">
      <c r="B15" s="311" t="s">
        <v>159</v>
      </c>
      <c r="C15" s="299" t="e">
        <f>'Emissions GEI'!#REF!</f>
        <v>#REF!</v>
      </c>
      <c r="D15" s="106" t="e">
        <f>'Emissions GEI'!#REF!</f>
        <v>#REF!</v>
      </c>
      <c r="E15" s="106" t="e">
        <f>'Emissions GEI'!#REF!</f>
        <v>#REF!</v>
      </c>
      <c r="F15" s="106" t="e">
        <f>'Emissions GEI'!#REF!</f>
        <v>#REF!</v>
      </c>
      <c r="G15" s="106" t="e">
        <f>'Emissions GEI'!#REF!</f>
        <v>#REF!</v>
      </c>
      <c r="H15" s="106" t="e">
        <f>'Emissions GEI'!#REF!</f>
        <v>#REF!</v>
      </c>
      <c r="I15" s="106" t="e">
        <f>'Emissions GEI'!#REF!</f>
        <v>#REF!</v>
      </c>
      <c r="J15" s="106" t="e">
        <f>'Emissions GEI'!#REF!</f>
        <v>#REF!</v>
      </c>
      <c r="K15" s="106" t="e">
        <f>'Emissions GEI'!#REF!</f>
        <v>#REF!</v>
      </c>
      <c r="L15" s="106" t="e">
        <f>'Emissions GEI'!#REF!</f>
        <v>#REF!</v>
      </c>
      <c r="M15" s="106" t="e">
        <f>'Emissions GEI'!#REF!</f>
        <v>#REF!</v>
      </c>
      <c r="N15" s="106" t="e">
        <f>'Emissions GEI'!#REF!</f>
        <v>#REF!</v>
      </c>
      <c r="O15" s="106" t="e">
        <f>'Emissions GEI'!#REF!</f>
        <v>#REF!</v>
      </c>
      <c r="P15" s="106" t="e">
        <f>'Emissions GEI'!#REF!</f>
        <v>#REF!</v>
      </c>
      <c r="Q15" s="106" t="e">
        <f>'Emissions GEI'!#REF!</f>
        <v>#REF!</v>
      </c>
      <c r="R15" s="106" t="e">
        <f>'Emissions GEI'!#REF!</f>
        <v>#REF!</v>
      </c>
      <c r="S15" s="300" t="e">
        <f>'Emissions GEI'!#REF!</f>
        <v>#REF!</v>
      </c>
      <c r="T15" s="239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97"/>
    </row>
    <row r="16" spans="2:36" x14ac:dyDescent="0.35">
      <c r="B16" s="310" t="s">
        <v>170</v>
      </c>
      <c r="C16" s="301">
        <f>'Emissions GEI'!U83</f>
        <v>0.19476724357045491</v>
      </c>
      <c r="D16" s="56">
        <f>'Emissions GEI'!V83</f>
        <v>0.20290337799103586</v>
      </c>
      <c r="E16" s="56">
        <f>'Emissions GEI'!W83</f>
        <v>0.20875711157580998</v>
      </c>
      <c r="F16" s="56">
        <f>'Emissions GEI'!X83</f>
        <v>0.22049955734905544</v>
      </c>
      <c r="G16" s="56">
        <f>'Emissions GEI'!Y83</f>
        <v>0.22849163217030977</v>
      </c>
      <c r="H16" s="56">
        <f>'Emissions GEI'!Z83</f>
        <v>0.23646610353472713</v>
      </c>
      <c r="I16" s="56">
        <f>'Emissions GEI'!AA83</f>
        <v>0.2465615423722082</v>
      </c>
      <c r="J16" s="56">
        <f>'Emissions GEI'!AB83</f>
        <v>0.25227373095664629</v>
      </c>
      <c r="K16" s="56">
        <f>'Emissions GEI'!AC83</f>
        <v>0.26400172773636876</v>
      </c>
      <c r="L16" s="56">
        <f>'Emissions GEI'!AD83</f>
        <v>0.26890144912747682</v>
      </c>
      <c r="M16" s="56">
        <f>'Emissions GEI'!AE83</f>
        <v>0.28240918593265218</v>
      </c>
      <c r="N16" s="56">
        <f>'Emissions GEI'!AF83</f>
        <v>0.29192059113754254</v>
      </c>
      <c r="O16" s="56">
        <f>'Emissions GEI'!AG83</f>
        <v>0.30237120951726915</v>
      </c>
      <c r="P16" s="56">
        <f>'Emissions GEI'!AH83</f>
        <v>0.31360283374620074</v>
      </c>
      <c r="Q16" s="56">
        <f>'Emissions GEI'!AI83</f>
        <v>0.29797949530206197</v>
      </c>
      <c r="R16" s="56">
        <f>'Emissions GEI'!AJ83</f>
        <v>0.33991673877527767</v>
      </c>
      <c r="S16" s="193">
        <f>'Emissions GEI'!AK83</f>
        <v>0.363373459610281</v>
      </c>
      <c r="T16" s="239">
        <f>SUM(T17:T20)</f>
        <v>0.47</v>
      </c>
      <c r="U16" s="27">
        <f t="shared" ref="U16:AJ16" si="3">SUM(U17:U20)</f>
        <v>0.47</v>
      </c>
      <c r="V16" s="27">
        <f t="shared" si="3"/>
        <v>0.42999999999999994</v>
      </c>
      <c r="W16" s="27">
        <f t="shared" si="3"/>
        <v>0.43999999999999995</v>
      </c>
      <c r="X16" s="27">
        <f t="shared" si="3"/>
        <v>0.44</v>
      </c>
      <c r="Y16" s="27">
        <f t="shared" si="3"/>
        <v>0.43999999999999995</v>
      </c>
      <c r="Z16" s="27">
        <f t="shared" si="3"/>
        <v>0.79</v>
      </c>
      <c r="AA16" s="27">
        <f t="shared" si="3"/>
        <v>0.85</v>
      </c>
      <c r="AB16" s="27">
        <f t="shared" si="3"/>
        <v>0.79999999999999993</v>
      </c>
      <c r="AC16" s="27">
        <f t="shared" si="3"/>
        <v>0.79999999999999993</v>
      </c>
      <c r="AD16" s="27">
        <f t="shared" si="3"/>
        <v>0.82</v>
      </c>
      <c r="AE16" s="27">
        <f t="shared" si="3"/>
        <v>0.82</v>
      </c>
      <c r="AF16" s="27">
        <f t="shared" si="3"/>
        <v>0.82</v>
      </c>
      <c r="AG16" s="27">
        <f t="shared" si="3"/>
        <v>0.84</v>
      </c>
      <c r="AH16" s="27">
        <f t="shared" si="3"/>
        <v>0.83</v>
      </c>
      <c r="AI16" s="27">
        <f t="shared" si="3"/>
        <v>0.92999999999999994</v>
      </c>
      <c r="AJ16" s="97">
        <f t="shared" si="3"/>
        <v>0.89</v>
      </c>
    </row>
    <row r="17" spans="2:36" x14ac:dyDescent="0.35">
      <c r="B17" s="311" t="s">
        <v>150</v>
      </c>
      <c r="C17" s="301">
        <f>'Emissions GEI'!U84</f>
        <v>2.9150723769999998E-2</v>
      </c>
      <c r="D17" s="56">
        <f>'Emissions GEI'!V84</f>
        <v>3.0221395009999995E-2</v>
      </c>
      <c r="E17" s="56">
        <f>'Emissions GEI'!W84</f>
        <v>3.0129302959999996E-2</v>
      </c>
      <c r="F17" s="56">
        <f>'Emissions GEI'!X84</f>
        <v>3.3748903489999996E-2</v>
      </c>
      <c r="G17" s="56">
        <f>'Emissions GEI'!Y84</f>
        <v>3.5942935409999995E-2</v>
      </c>
      <c r="H17" s="56">
        <f>'Emissions GEI'!Z84</f>
        <v>3.7394975329999997E-2</v>
      </c>
      <c r="I17" s="56">
        <f>'Emissions GEI'!AA84</f>
        <v>3.959264623E-2</v>
      </c>
      <c r="J17" s="56">
        <f>'Emissions GEI'!AB84</f>
        <v>3.8827794421980005E-2</v>
      </c>
      <c r="K17" s="56">
        <f>'Emissions GEI'!AC84</f>
        <v>3.6095544645406263E-2</v>
      </c>
      <c r="L17" s="56">
        <f>'Emissions GEI'!AD84</f>
        <v>3.8318720287954099E-2</v>
      </c>
      <c r="M17" s="56">
        <f>'Emissions GEI'!AE84</f>
        <v>4.0984418832017991E-2</v>
      </c>
      <c r="N17" s="56">
        <f>'Emissions GEI'!AF84</f>
        <v>4.2112986960101809E-2</v>
      </c>
      <c r="O17" s="56">
        <f>'Emissions GEI'!AG84</f>
        <v>4.2625977621944158E-2</v>
      </c>
      <c r="P17" s="56">
        <f>'Emissions GEI'!AH84</f>
        <v>4.3333883207573705E-2</v>
      </c>
      <c r="Q17" s="56">
        <f>'Emissions GEI'!AI84</f>
        <v>4.4620550041562269E-2</v>
      </c>
      <c r="R17" s="56">
        <f>'Emissions GEI'!AJ84</f>
        <v>4.4768283792355548E-2</v>
      </c>
      <c r="S17" s="193">
        <f>'Emissions GEI'!AK84</f>
        <v>4.4892645649242342E-2</v>
      </c>
      <c r="T17" s="239">
        <v>0.03</v>
      </c>
      <c r="U17" s="27">
        <v>0.03</v>
      </c>
      <c r="V17" s="27">
        <v>0.03</v>
      </c>
      <c r="W17" s="27">
        <v>0.03</v>
      </c>
      <c r="X17" s="27">
        <v>0.04</v>
      </c>
      <c r="Y17" s="27">
        <v>0.03</v>
      </c>
      <c r="Z17" s="27">
        <v>0.4</v>
      </c>
      <c r="AA17" s="27">
        <v>0.4</v>
      </c>
      <c r="AB17" s="27">
        <v>0.4</v>
      </c>
      <c r="AC17" s="27">
        <v>0.4</v>
      </c>
      <c r="AD17" s="27">
        <v>0.4</v>
      </c>
      <c r="AE17" s="27">
        <v>0.4</v>
      </c>
      <c r="AF17" s="27">
        <v>0.4</v>
      </c>
      <c r="AG17" s="27">
        <v>0.41</v>
      </c>
      <c r="AH17" s="27">
        <v>0.4</v>
      </c>
      <c r="AI17" s="27">
        <v>0.48</v>
      </c>
      <c r="AJ17" s="97">
        <v>0.44</v>
      </c>
    </row>
    <row r="18" spans="2:36" x14ac:dyDescent="0.35">
      <c r="B18" s="311" t="s">
        <v>151</v>
      </c>
      <c r="C18" s="301">
        <f>'Emissions GEI'!U85</f>
        <v>1.7781309458223999E-2</v>
      </c>
      <c r="D18" s="56">
        <f>'Emissions GEI'!V85</f>
        <v>1.9041513670283998E-2</v>
      </c>
      <c r="E18" s="56">
        <f>'Emissions GEI'!W85</f>
        <v>1.9131216304374799E-2</v>
      </c>
      <c r="F18" s="56">
        <f>'Emissions GEI'!X85</f>
        <v>1.9658019960443199E-2</v>
      </c>
      <c r="G18" s="56">
        <f>'Emissions GEI'!Y85</f>
        <v>1.8012479969676476E-2</v>
      </c>
      <c r="H18" s="56">
        <f>'Emissions GEI'!Z85</f>
        <v>1.7061768419212156E-2</v>
      </c>
      <c r="I18" s="56">
        <f>'Emissions GEI'!AA85</f>
        <v>1.9263836188519994E-2</v>
      </c>
      <c r="J18" s="56">
        <f>'Emissions GEI'!AB85</f>
        <v>1.8912453416658603E-2</v>
      </c>
      <c r="K18" s="56">
        <f>'Emissions GEI'!AC85</f>
        <v>2.3427129543365923E-2</v>
      </c>
      <c r="L18" s="56">
        <f>'Emissions GEI'!AD85</f>
        <v>1.7320838709362265E-2</v>
      </c>
      <c r="M18" s="56">
        <f>'Emissions GEI'!AE85</f>
        <v>1.8067755112433338E-2</v>
      </c>
      <c r="N18" s="56">
        <f>'Emissions GEI'!AF85</f>
        <v>1.7329650708743823E-2</v>
      </c>
      <c r="O18" s="56">
        <f>'Emissions GEI'!AG85</f>
        <v>1.7234478780793927E-2</v>
      </c>
      <c r="P18" s="56">
        <f>'Emissions GEI'!AH85</f>
        <v>1.6922683322164924E-2</v>
      </c>
      <c r="Q18" s="56">
        <f>'Emissions GEI'!AI85</f>
        <v>1.8097110047047147E-2</v>
      </c>
      <c r="R18" s="56">
        <f>'Emissions GEI'!AJ85</f>
        <v>1.8949810420157618E-2</v>
      </c>
      <c r="S18" s="193">
        <f>'Emissions GEI'!AK85</f>
        <v>1.8103799178561971E-2</v>
      </c>
      <c r="T18" s="239">
        <v>0.14000000000000001</v>
      </c>
      <c r="U18" s="27">
        <v>0.14000000000000001</v>
      </c>
      <c r="V18" s="27">
        <v>0.12</v>
      </c>
      <c r="W18" s="27">
        <v>0.13</v>
      </c>
      <c r="X18" s="27">
        <v>0.13</v>
      </c>
      <c r="Y18" s="27">
        <v>0.12</v>
      </c>
      <c r="Z18" s="27">
        <v>0.18</v>
      </c>
      <c r="AA18" s="27">
        <v>0.16</v>
      </c>
      <c r="AB18" s="27">
        <v>0.11</v>
      </c>
      <c r="AC18" s="27">
        <v>0.1</v>
      </c>
      <c r="AD18" s="27">
        <v>0.11</v>
      </c>
      <c r="AE18" s="27">
        <v>0.1</v>
      </c>
      <c r="AF18" s="27">
        <v>0.09</v>
      </c>
      <c r="AG18" s="27">
        <v>0.09</v>
      </c>
      <c r="AH18" s="27">
        <v>0.08</v>
      </c>
      <c r="AI18" s="27">
        <v>0.09</v>
      </c>
      <c r="AJ18" s="97">
        <v>7.0000000000000007E-2</v>
      </c>
    </row>
    <row r="19" spans="2:36" x14ac:dyDescent="0.35">
      <c r="B19" s="311" t="s">
        <v>152</v>
      </c>
      <c r="C19" s="301">
        <f>'Emissions GEI'!U86</f>
        <v>0.12798697634223091</v>
      </c>
      <c r="D19" s="56">
        <f>'Emissions GEI'!V86</f>
        <v>0.13355041831075187</v>
      </c>
      <c r="E19" s="56">
        <f>'Emissions GEI'!W86</f>
        <v>0.13961718271143517</v>
      </c>
      <c r="F19" s="56">
        <f>'Emissions GEI'!X86</f>
        <v>0.14529116689861227</v>
      </c>
      <c r="G19" s="56">
        <f>'Emissions GEI'!Y86</f>
        <v>0.15293096139063331</v>
      </c>
      <c r="H19" s="56">
        <f>'Emissions GEI'!Z86</f>
        <v>0.15967341628551496</v>
      </c>
      <c r="I19" s="56">
        <f>'Emissions GEI'!AA86</f>
        <v>0.16699178425368819</v>
      </c>
      <c r="J19" s="56">
        <f>'Emissions GEI'!AB86</f>
        <v>0.17495872735808893</v>
      </c>
      <c r="K19" s="56">
        <f>'Emissions GEI'!AC86</f>
        <v>0.18336665261625346</v>
      </c>
      <c r="L19" s="56">
        <f>'Emissions GEI'!AD86</f>
        <v>0.19100354238057246</v>
      </c>
      <c r="M19" s="56">
        <f>'Emissions GEI'!AE86</f>
        <v>0.20056821607416642</v>
      </c>
      <c r="N19" s="56">
        <f>'Emissions GEI'!AF86</f>
        <v>0.20950788789676408</v>
      </c>
      <c r="O19" s="56">
        <f>'Emissions GEI'!AG86</f>
        <v>0.22048580950382857</v>
      </c>
      <c r="P19" s="56">
        <f>'Emissions GEI'!AH86</f>
        <v>0.23173869168328776</v>
      </c>
      <c r="Q19" s="56">
        <f>'Emissions GEI'!AI86</f>
        <v>0.21348420599011259</v>
      </c>
      <c r="R19" s="56">
        <f>'Emissions GEI'!AJ86</f>
        <v>0.25345222056115491</v>
      </c>
      <c r="S19" s="193">
        <f>'Emissions GEI'!AK86</f>
        <v>0.27770500335913667</v>
      </c>
      <c r="T19" s="239">
        <v>0.2</v>
      </c>
      <c r="U19" s="27">
        <v>0.2</v>
      </c>
      <c r="V19" s="27">
        <v>0.18</v>
      </c>
      <c r="W19" s="27">
        <v>0.18</v>
      </c>
      <c r="X19" s="27">
        <v>0.16</v>
      </c>
      <c r="Y19" s="27">
        <v>0.18</v>
      </c>
      <c r="Z19" s="27">
        <v>0.11</v>
      </c>
      <c r="AA19" s="27">
        <v>0.19</v>
      </c>
      <c r="AB19" s="27">
        <v>0.19</v>
      </c>
      <c r="AC19" s="27">
        <v>0.2</v>
      </c>
      <c r="AD19" s="27">
        <v>0.21</v>
      </c>
      <c r="AE19" s="27">
        <v>0.22</v>
      </c>
      <c r="AF19" s="27">
        <v>0.23</v>
      </c>
      <c r="AG19" s="27">
        <v>0.24</v>
      </c>
      <c r="AH19" s="27">
        <v>0.26</v>
      </c>
      <c r="AI19" s="27">
        <v>0.27</v>
      </c>
      <c r="AJ19" s="97">
        <v>0.28999999999999998</v>
      </c>
    </row>
    <row r="20" spans="2:36" x14ac:dyDescent="0.35">
      <c r="B20" s="311" t="s">
        <v>153</v>
      </c>
      <c r="C20" s="301">
        <f>'Emissions GEI'!U90</f>
        <v>1.9848234000000003E-2</v>
      </c>
      <c r="D20" s="56">
        <f>'Emissions GEI'!V90</f>
        <v>2.0090050999999998E-2</v>
      </c>
      <c r="E20" s="56">
        <f>'Emissions GEI'!W90</f>
        <v>1.9879409600000002E-2</v>
      </c>
      <c r="F20" s="56">
        <f>'Emissions GEI'!X90</f>
        <v>2.1801466999999998E-2</v>
      </c>
      <c r="G20" s="56">
        <f>'Emissions GEI'!Y90</f>
        <v>2.1605255399999999E-2</v>
      </c>
      <c r="H20" s="56">
        <f>'Emissions GEI'!Z90</f>
        <v>2.2335943500000004E-2</v>
      </c>
      <c r="I20" s="56">
        <f>'Emissions GEI'!AA90</f>
        <v>2.0713275699999999E-2</v>
      </c>
      <c r="J20" s="56">
        <f>'Emissions GEI'!AB90</f>
        <v>1.9574755759918745E-2</v>
      </c>
      <c r="K20" s="56">
        <f>'Emissions GEI'!AC90</f>
        <v>2.1112400931343141E-2</v>
      </c>
      <c r="L20" s="56">
        <f>'Emissions GEI'!AD90</f>
        <v>2.2258347749588021E-2</v>
      </c>
      <c r="M20" s="56">
        <f>'Emissions GEI'!AE90</f>
        <v>2.2788795914034432E-2</v>
      </c>
      <c r="N20" s="56">
        <f>'Emissions GEI'!AF90</f>
        <v>2.2970065571932839E-2</v>
      </c>
      <c r="O20" s="56">
        <f>'Emissions GEI'!AG90</f>
        <v>2.2024943610702515E-2</v>
      </c>
      <c r="P20" s="56">
        <f>'Emissions GEI'!AH90</f>
        <v>2.1546558533174338E-2</v>
      </c>
      <c r="Q20" s="56">
        <f>'Emissions GEI'!AI90</f>
        <v>2.1713774223340004E-2</v>
      </c>
      <c r="R20" s="56">
        <f>'Emissions GEI'!AJ90</f>
        <v>2.2679021501609616E-2</v>
      </c>
      <c r="S20" s="193">
        <f>'Emissions GEI'!AK90</f>
        <v>2.2602953423339997E-2</v>
      </c>
      <c r="T20" s="239">
        <v>0.1</v>
      </c>
      <c r="U20" s="27">
        <v>0.1</v>
      </c>
      <c r="V20" s="27">
        <v>0.1</v>
      </c>
      <c r="W20" s="27">
        <v>0.1</v>
      </c>
      <c r="X20" s="27">
        <v>0.11</v>
      </c>
      <c r="Y20" s="27">
        <v>0.11</v>
      </c>
      <c r="Z20" s="27">
        <v>0.1</v>
      </c>
      <c r="AA20" s="27">
        <v>0.1</v>
      </c>
      <c r="AB20" s="27">
        <v>0.1</v>
      </c>
      <c r="AC20" s="27">
        <v>0.1</v>
      </c>
      <c r="AD20" s="27">
        <v>0.1</v>
      </c>
      <c r="AE20" s="27">
        <v>0.1</v>
      </c>
      <c r="AF20" s="27">
        <v>0.1</v>
      </c>
      <c r="AG20" s="27">
        <v>0.1</v>
      </c>
      <c r="AH20" s="27">
        <v>0.09</v>
      </c>
      <c r="AI20" s="27">
        <v>0.09</v>
      </c>
      <c r="AJ20" s="97">
        <v>0.09</v>
      </c>
    </row>
    <row r="21" spans="2:36" x14ac:dyDescent="0.35">
      <c r="B21" s="312" t="s">
        <v>171</v>
      </c>
      <c r="C21" s="301">
        <f>'Emissions GEI'!U95</f>
        <v>0</v>
      </c>
      <c r="D21" s="56">
        <f>'Emissions GEI'!V95</f>
        <v>0</v>
      </c>
      <c r="E21" s="56">
        <f>'Emissions GEI'!W95</f>
        <v>0</v>
      </c>
      <c r="F21" s="56">
        <f>'Emissions GEI'!X95</f>
        <v>0</v>
      </c>
      <c r="G21" s="56">
        <f>'Emissions GEI'!Y95</f>
        <v>0</v>
      </c>
      <c r="H21" s="56">
        <f>'Emissions GEI'!Z95</f>
        <v>0</v>
      </c>
      <c r="I21" s="56">
        <f>'Emissions GEI'!AA95</f>
        <v>0</v>
      </c>
      <c r="J21" s="56">
        <f>'Emissions GEI'!AB95</f>
        <v>0</v>
      </c>
      <c r="K21" s="56">
        <f>'Emissions GEI'!AC95</f>
        <v>0</v>
      </c>
      <c r="L21" s="56">
        <f>'Emissions GEI'!AD95</f>
        <v>0</v>
      </c>
      <c r="M21" s="56">
        <f>'Emissions GEI'!AE95</f>
        <v>0</v>
      </c>
      <c r="N21" s="56">
        <f>'Emissions GEI'!AF95</f>
        <v>0</v>
      </c>
      <c r="O21" s="56">
        <f>'Emissions GEI'!AG95</f>
        <v>0</v>
      </c>
      <c r="P21" s="56">
        <f>'Emissions GEI'!AH95</f>
        <v>0</v>
      </c>
      <c r="Q21" s="56">
        <f>'Emissions GEI'!AI95</f>
        <v>0</v>
      </c>
      <c r="R21" s="56">
        <f>'Emissions GEI'!AJ95</f>
        <v>0</v>
      </c>
      <c r="S21" s="193">
        <f>'Emissions GEI'!AK95</f>
        <v>0</v>
      </c>
      <c r="T21" s="239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97"/>
    </row>
    <row r="22" spans="2:36" ht="15" hidden="1" customHeight="1" x14ac:dyDescent="0.35">
      <c r="B22" s="311" t="s">
        <v>154</v>
      </c>
      <c r="C22" s="301">
        <f>'Emissions GEI'!U96</f>
        <v>0</v>
      </c>
      <c r="D22" s="56">
        <f>'Emissions GEI'!V96</f>
        <v>0</v>
      </c>
      <c r="E22" s="56">
        <f>'Emissions GEI'!W96</f>
        <v>0</v>
      </c>
      <c r="F22" s="56">
        <f>'Emissions GEI'!X96</f>
        <v>0</v>
      </c>
      <c r="G22" s="56">
        <f>'Emissions GEI'!Y96</f>
        <v>0</v>
      </c>
      <c r="H22" s="56">
        <f>'Emissions GEI'!Z96</f>
        <v>0</v>
      </c>
      <c r="I22" s="56">
        <f>'Emissions GEI'!AA96</f>
        <v>0</v>
      </c>
      <c r="J22" s="56">
        <f>'Emissions GEI'!AB96</f>
        <v>0</v>
      </c>
      <c r="K22" s="56">
        <f>'Emissions GEI'!AC96</f>
        <v>0</v>
      </c>
      <c r="L22" s="56">
        <f>'Emissions GEI'!AD96</f>
        <v>0</v>
      </c>
      <c r="M22" s="56">
        <f>'Emissions GEI'!AE96</f>
        <v>0</v>
      </c>
      <c r="N22" s="56">
        <f>'Emissions GEI'!AF96</f>
        <v>0</v>
      </c>
      <c r="O22" s="56">
        <f>'Emissions GEI'!AG96</f>
        <v>0</v>
      </c>
      <c r="P22" s="56">
        <f>'Emissions GEI'!AH96</f>
        <v>0</v>
      </c>
      <c r="Q22" s="56">
        <f>'Emissions GEI'!AI96</f>
        <v>0</v>
      </c>
      <c r="R22" s="56">
        <f>'Emissions GEI'!AJ96</f>
        <v>0</v>
      </c>
      <c r="S22" s="193">
        <f>'Emissions GEI'!AK96</f>
        <v>0</v>
      </c>
      <c r="T22" s="239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97"/>
    </row>
    <row r="23" spans="2:36" ht="15" hidden="1" customHeight="1" x14ac:dyDescent="0.35">
      <c r="B23" s="311" t="s">
        <v>155</v>
      </c>
      <c r="C23" s="301">
        <f>'Emissions GEI'!U97</f>
        <v>0</v>
      </c>
      <c r="D23" s="56">
        <f>'Emissions GEI'!V97</f>
        <v>0</v>
      </c>
      <c r="E23" s="56">
        <f>'Emissions GEI'!W97</f>
        <v>0</v>
      </c>
      <c r="F23" s="56">
        <f>'Emissions GEI'!X97</f>
        <v>0</v>
      </c>
      <c r="G23" s="56">
        <f>'Emissions GEI'!Y97</f>
        <v>0</v>
      </c>
      <c r="H23" s="56">
        <f>'Emissions GEI'!Z97</f>
        <v>0</v>
      </c>
      <c r="I23" s="56">
        <f>'Emissions GEI'!AA97</f>
        <v>0</v>
      </c>
      <c r="J23" s="56">
        <f>'Emissions GEI'!AB97</f>
        <v>0</v>
      </c>
      <c r="K23" s="56">
        <f>'Emissions GEI'!AC97</f>
        <v>0</v>
      </c>
      <c r="L23" s="56">
        <f>'Emissions GEI'!AD97</f>
        <v>0</v>
      </c>
      <c r="M23" s="56">
        <f>'Emissions GEI'!AE97</f>
        <v>0</v>
      </c>
      <c r="N23" s="56">
        <f>'Emissions GEI'!AF97</f>
        <v>0</v>
      </c>
      <c r="O23" s="56">
        <f>'Emissions GEI'!AG97</f>
        <v>0</v>
      </c>
      <c r="P23" s="56">
        <f>'Emissions GEI'!AH97</f>
        <v>0</v>
      </c>
      <c r="Q23" s="56">
        <f>'Emissions GEI'!AI97</f>
        <v>0</v>
      </c>
      <c r="R23" s="56">
        <f>'Emissions GEI'!AJ97</f>
        <v>0</v>
      </c>
      <c r="S23" s="193">
        <f>'Emissions GEI'!AK97</f>
        <v>0</v>
      </c>
      <c r="T23" s="239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97"/>
    </row>
    <row r="24" spans="2:36" ht="15" hidden="1" customHeight="1" x14ac:dyDescent="0.35">
      <c r="B24" s="313" t="s">
        <v>156</v>
      </c>
      <c r="C24" s="301">
        <f>'Emissions GEI'!U98</f>
        <v>0</v>
      </c>
      <c r="D24" s="56">
        <f>'Emissions GEI'!V98</f>
        <v>0</v>
      </c>
      <c r="E24" s="56">
        <f>'Emissions GEI'!W98</f>
        <v>0</v>
      </c>
      <c r="F24" s="56">
        <f>'Emissions GEI'!X98</f>
        <v>0</v>
      </c>
      <c r="G24" s="56">
        <f>'Emissions GEI'!Y98</f>
        <v>0</v>
      </c>
      <c r="H24" s="56">
        <f>'Emissions GEI'!Z98</f>
        <v>0</v>
      </c>
      <c r="I24" s="56">
        <f>'Emissions GEI'!AA98</f>
        <v>0</v>
      </c>
      <c r="J24" s="56">
        <f>'Emissions GEI'!AB98</f>
        <v>0</v>
      </c>
      <c r="K24" s="56">
        <f>'Emissions GEI'!AC98</f>
        <v>0</v>
      </c>
      <c r="L24" s="56">
        <f>'Emissions GEI'!AD98</f>
        <v>0</v>
      </c>
      <c r="M24" s="56">
        <f>'Emissions GEI'!AE98</f>
        <v>0</v>
      </c>
      <c r="N24" s="56">
        <f>'Emissions GEI'!AF98</f>
        <v>0</v>
      </c>
      <c r="O24" s="56">
        <f>'Emissions GEI'!AG98</f>
        <v>0</v>
      </c>
      <c r="P24" s="56">
        <f>'Emissions GEI'!AH98</f>
        <v>0</v>
      </c>
      <c r="Q24" s="56">
        <f>'Emissions GEI'!AI98</f>
        <v>0</v>
      </c>
      <c r="R24" s="56">
        <f>'Emissions GEI'!AJ98</f>
        <v>0</v>
      </c>
      <c r="S24" s="193">
        <f>'Emissions GEI'!AK98</f>
        <v>0</v>
      </c>
      <c r="T24" s="239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97"/>
    </row>
    <row r="25" spans="2:36" ht="15" hidden="1" customHeight="1" x14ac:dyDescent="0.35">
      <c r="B25" s="311" t="s">
        <v>157</v>
      </c>
      <c r="C25" s="301">
        <f>'Emissions GEI'!U99</f>
        <v>0</v>
      </c>
      <c r="D25" s="56">
        <f>'Emissions GEI'!V99</f>
        <v>0</v>
      </c>
      <c r="E25" s="56">
        <f>'Emissions GEI'!W99</f>
        <v>0</v>
      </c>
      <c r="F25" s="56">
        <f>'Emissions GEI'!X99</f>
        <v>0</v>
      </c>
      <c r="G25" s="56">
        <f>'Emissions GEI'!Y99</f>
        <v>0</v>
      </c>
      <c r="H25" s="56">
        <f>'Emissions GEI'!Z99</f>
        <v>0</v>
      </c>
      <c r="I25" s="56">
        <f>'Emissions GEI'!AA99</f>
        <v>0</v>
      </c>
      <c r="J25" s="56">
        <f>'Emissions GEI'!AB99</f>
        <v>0</v>
      </c>
      <c r="K25" s="56">
        <f>'Emissions GEI'!AC99</f>
        <v>0</v>
      </c>
      <c r="L25" s="56">
        <f>'Emissions GEI'!AD99</f>
        <v>0</v>
      </c>
      <c r="M25" s="56">
        <f>'Emissions GEI'!AE99</f>
        <v>0</v>
      </c>
      <c r="N25" s="56">
        <f>'Emissions GEI'!AF99</f>
        <v>0</v>
      </c>
      <c r="O25" s="56">
        <f>'Emissions GEI'!AG99</f>
        <v>0</v>
      </c>
      <c r="P25" s="56">
        <f>'Emissions GEI'!AH99</f>
        <v>0</v>
      </c>
      <c r="Q25" s="56">
        <f>'Emissions GEI'!AI99</f>
        <v>0</v>
      </c>
      <c r="R25" s="56">
        <f>'Emissions GEI'!AJ99</f>
        <v>0</v>
      </c>
      <c r="S25" s="193">
        <f>'Emissions GEI'!AK99</f>
        <v>0</v>
      </c>
      <c r="T25" s="239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97"/>
    </row>
    <row r="26" spans="2:36" ht="15" hidden="1" customHeight="1" x14ac:dyDescent="0.35">
      <c r="B26" s="311" t="s">
        <v>158</v>
      </c>
      <c r="C26" s="301" t="e">
        <f>'Emissions GEI'!#REF!</f>
        <v>#REF!</v>
      </c>
      <c r="D26" s="56" t="e">
        <f>'Emissions GEI'!#REF!</f>
        <v>#REF!</v>
      </c>
      <c r="E26" s="56" t="e">
        <f>'Emissions GEI'!#REF!</f>
        <v>#REF!</v>
      </c>
      <c r="F26" s="56" t="e">
        <f>'Emissions GEI'!#REF!</f>
        <v>#REF!</v>
      </c>
      <c r="G26" s="56" t="e">
        <f>'Emissions GEI'!#REF!</f>
        <v>#REF!</v>
      </c>
      <c r="H26" s="56" t="e">
        <f>'Emissions GEI'!#REF!</f>
        <v>#REF!</v>
      </c>
      <c r="I26" s="56" t="e">
        <f>'Emissions GEI'!#REF!</f>
        <v>#REF!</v>
      </c>
      <c r="J26" s="56" t="e">
        <f>'Emissions GEI'!#REF!</f>
        <v>#REF!</v>
      </c>
      <c r="K26" s="56" t="e">
        <f>'Emissions GEI'!#REF!</f>
        <v>#REF!</v>
      </c>
      <c r="L26" s="56" t="e">
        <f>'Emissions GEI'!#REF!</f>
        <v>#REF!</v>
      </c>
      <c r="M26" s="56" t="e">
        <f>'Emissions GEI'!#REF!</f>
        <v>#REF!</v>
      </c>
      <c r="N26" s="56" t="e">
        <f>'Emissions GEI'!#REF!</f>
        <v>#REF!</v>
      </c>
      <c r="O26" s="56" t="e">
        <f>'Emissions GEI'!#REF!</f>
        <v>#REF!</v>
      </c>
      <c r="P26" s="56" t="e">
        <f>'Emissions GEI'!#REF!</f>
        <v>#REF!</v>
      </c>
      <c r="Q26" s="56" t="e">
        <f>'Emissions GEI'!#REF!</f>
        <v>#REF!</v>
      </c>
      <c r="R26" s="56" t="e">
        <f>'Emissions GEI'!#REF!</f>
        <v>#REF!</v>
      </c>
      <c r="S26" s="193" t="e">
        <f>'Emissions GEI'!#REF!</f>
        <v>#REF!</v>
      </c>
      <c r="T26" s="239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97"/>
    </row>
    <row r="27" spans="2:36" ht="15" hidden="1" customHeight="1" x14ac:dyDescent="0.35">
      <c r="B27" s="311" t="s">
        <v>159</v>
      </c>
      <c r="C27" s="301" t="e">
        <f>'Emissions GEI'!#REF!</f>
        <v>#REF!</v>
      </c>
      <c r="D27" s="56" t="e">
        <f>'Emissions GEI'!#REF!</f>
        <v>#REF!</v>
      </c>
      <c r="E27" s="56" t="e">
        <f>'Emissions GEI'!#REF!</f>
        <v>#REF!</v>
      </c>
      <c r="F27" s="56" t="e">
        <f>'Emissions GEI'!#REF!</f>
        <v>#REF!</v>
      </c>
      <c r="G27" s="56" t="e">
        <f>'Emissions GEI'!#REF!</f>
        <v>#REF!</v>
      </c>
      <c r="H27" s="56" t="e">
        <f>'Emissions GEI'!#REF!</f>
        <v>#REF!</v>
      </c>
      <c r="I27" s="56" t="e">
        <f>'Emissions GEI'!#REF!</f>
        <v>#REF!</v>
      </c>
      <c r="J27" s="56" t="e">
        <f>'Emissions GEI'!#REF!</f>
        <v>#REF!</v>
      </c>
      <c r="K27" s="56" t="e">
        <f>'Emissions GEI'!#REF!</f>
        <v>#REF!</v>
      </c>
      <c r="L27" s="56" t="e">
        <f>'Emissions GEI'!#REF!</f>
        <v>#REF!</v>
      </c>
      <c r="M27" s="56" t="e">
        <f>'Emissions GEI'!#REF!</f>
        <v>#REF!</v>
      </c>
      <c r="N27" s="56" t="e">
        <f>'Emissions GEI'!#REF!</f>
        <v>#REF!</v>
      </c>
      <c r="O27" s="56" t="e">
        <f>'Emissions GEI'!#REF!</f>
        <v>#REF!</v>
      </c>
      <c r="P27" s="56" t="e">
        <f>'Emissions GEI'!#REF!</f>
        <v>#REF!</v>
      </c>
      <c r="Q27" s="56" t="e">
        <f>'Emissions GEI'!#REF!</f>
        <v>#REF!</v>
      </c>
      <c r="R27" s="56" t="e">
        <f>'Emissions GEI'!#REF!</f>
        <v>#REF!</v>
      </c>
      <c r="S27" s="193" t="e">
        <f>'Emissions GEI'!#REF!</f>
        <v>#REF!</v>
      </c>
      <c r="T27" s="239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97"/>
    </row>
    <row r="28" spans="2:36" x14ac:dyDescent="0.35">
      <c r="B28" s="310" t="s">
        <v>172</v>
      </c>
      <c r="C28" s="301">
        <f>'Emissions GEI'!AL83</f>
        <v>4.4795909477482909E-2</v>
      </c>
      <c r="D28" s="56">
        <f>'Emissions GEI'!AM83</f>
        <v>4.7933685553603625E-2</v>
      </c>
      <c r="E28" s="56">
        <f>'Emissions GEI'!AN83</f>
        <v>4.9695917734098795E-2</v>
      </c>
      <c r="F28" s="56">
        <f>'Emissions GEI'!AO83</f>
        <v>5.1805446182652731E-2</v>
      </c>
      <c r="G28" s="56">
        <f>'Emissions GEI'!AP83</f>
        <v>5.2796917069244532E-2</v>
      </c>
      <c r="H28" s="56">
        <f>'Emissions GEI'!AQ83</f>
        <v>5.6800210557058334E-2</v>
      </c>
      <c r="I28" s="56">
        <f>'Emissions GEI'!AR83</f>
        <v>6.3148188342748962E-2</v>
      </c>
      <c r="J28" s="56">
        <f>'Emissions GEI'!AS83</f>
        <v>6.7591541422841614E-2</v>
      </c>
      <c r="K28" s="56">
        <f>'Emissions GEI'!AT83</f>
        <v>7.1285488409399148E-2</v>
      </c>
      <c r="L28" s="56">
        <f>'Emissions GEI'!AU83</f>
        <v>7.1041932159492838E-2</v>
      </c>
      <c r="M28" s="56">
        <f>'Emissions GEI'!AV83</f>
        <v>7.6230469940926818E-2</v>
      </c>
      <c r="N28" s="56">
        <f>'Emissions GEI'!AW83</f>
        <v>7.7432530596332177E-2</v>
      </c>
      <c r="O28" s="56">
        <f>'Emissions GEI'!AX83</f>
        <v>8.0665201722086938E-2</v>
      </c>
      <c r="P28" s="56">
        <f>'Emissions GEI'!AY83</f>
        <v>8.4079168560239434E-2</v>
      </c>
      <c r="Q28" s="56">
        <f>'Emissions GEI'!AZ83</f>
        <v>8.3575090067018507E-2</v>
      </c>
      <c r="R28" s="56">
        <f>'Emissions GEI'!BA83</f>
        <v>8.653290533153804E-2</v>
      </c>
      <c r="S28" s="193">
        <f>'Emissions GEI'!BB83</f>
        <v>9.1094651918214517E-2</v>
      </c>
      <c r="T28" s="239">
        <f>SUM(T29:T32)</f>
        <v>5.9000000000000004E-2</v>
      </c>
      <c r="U28" s="27">
        <f t="shared" ref="U28:AJ28" si="4">SUM(U29:U32)</f>
        <v>6.5000000000000002E-2</v>
      </c>
      <c r="V28" s="27">
        <f t="shared" si="4"/>
        <v>6.8000000000000005E-2</v>
      </c>
      <c r="W28" s="27">
        <f t="shared" si="4"/>
        <v>7.9000000000000015E-2</v>
      </c>
      <c r="X28" s="27">
        <f t="shared" si="4"/>
        <v>8.500000000000002E-2</v>
      </c>
      <c r="Y28" s="27">
        <f t="shared" si="4"/>
        <v>9.2000000000000012E-2</v>
      </c>
      <c r="Z28" s="27">
        <f t="shared" si="4"/>
        <v>0.14100000000000001</v>
      </c>
      <c r="AA28" s="27">
        <f t="shared" si="4"/>
        <v>0.13900000000000001</v>
      </c>
      <c r="AB28" s="27">
        <f t="shared" si="4"/>
        <v>0.13300000000000001</v>
      </c>
      <c r="AC28" s="27">
        <f t="shared" si="4"/>
        <v>0.13300000000000001</v>
      </c>
      <c r="AD28" s="27">
        <f t="shared" si="4"/>
        <v>0.14000000000000001</v>
      </c>
      <c r="AE28" s="27">
        <f t="shared" si="4"/>
        <v>0.13900000000000001</v>
      </c>
      <c r="AF28" s="27">
        <f t="shared" si="4"/>
        <v>0.14000000000000001</v>
      </c>
      <c r="AG28" s="27">
        <f t="shared" si="4"/>
        <v>0.14300000000000002</v>
      </c>
      <c r="AH28" s="27">
        <f t="shared" si="4"/>
        <v>0.14200000000000002</v>
      </c>
      <c r="AI28" s="27">
        <f t="shared" si="4"/>
        <v>0.14899999999999999</v>
      </c>
      <c r="AJ28" s="97">
        <f t="shared" si="4"/>
        <v>0.13700000000000001</v>
      </c>
    </row>
    <row r="29" spans="2:36" x14ac:dyDescent="0.35">
      <c r="B29" s="311" t="s">
        <v>150</v>
      </c>
      <c r="C29" s="301">
        <f>'Emissions GEI'!AL84</f>
        <v>1.3426378074E-2</v>
      </c>
      <c r="D29" s="56">
        <f>'Emissions GEI'!AM84</f>
        <v>1.5113801178E-2</v>
      </c>
      <c r="E29" s="56">
        <f>'Emissions GEI'!AN84</f>
        <v>1.5528672456000002E-2</v>
      </c>
      <c r="F29" s="56">
        <f>'Emissions GEI'!AO84</f>
        <v>1.6243532082000002E-2</v>
      </c>
      <c r="G29" s="56">
        <f>'Emissions GEI'!AP84</f>
        <v>1.5939666977999999E-2</v>
      </c>
      <c r="H29" s="56">
        <f>'Emissions GEI'!AQ84</f>
        <v>1.8701510916000003E-2</v>
      </c>
      <c r="I29" s="56">
        <f>'Emissions GEI'!AR84</f>
        <v>2.3139495005999999E-2</v>
      </c>
      <c r="J29" s="56">
        <f>'Emissions GEI'!AS84</f>
        <v>2.5963278591419996E-2</v>
      </c>
      <c r="K29" s="56">
        <f>'Emissions GEI'!AT84</f>
        <v>2.7205179158019399E-2</v>
      </c>
      <c r="L29" s="56">
        <f>'Emissions GEI'!AU84</f>
        <v>2.6300188784371344E-2</v>
      </c>
      <c r="M29" s="56">
        <f>'Emissions GEI'!AV84</f>
        <v>2.9259718848027E-2</v>
      </c>
      <c r="N29" s="56">
        <f>'Emissions GEI'!AW84</f>
        <v>2.8667362179152715E-2</v>
      </c>
      <c r="O29" s="56">
        <f>'Emissions GEI'!AX84</f>
        <v>2.9650902908916244E-2</v>
      </c>
      <c r="P29" s="56">
        <f>'Emissions GEI'!AY84</f>
        <v>3.0791167121360572E-2</v>
      </c>
      <c r="Q29" s="56">
        <f>'Emissions GEI'!AZ84</f>
        <v>3.1913809301343403E-2</v>
      </c>
      <c r="R29" s="56">
        <f>'Emissions GEI'!BA84</f>
        <v>3.0860420962283315E-2</v>
      </c>
      <c r="S29" s="193">
        <f>'Emissions GEI'!BB84</f>
        <v>3.1898823038100169E-2</v>
      </c>
      <c r="T29" s="239">
        <v>8.0000000000000002E-3</v>
      </c>
      <c r="U29" s="27">
        <v>1.4E-2</v>
      </c>
      <c r="V29" s="27">
        <v>1.4999999999999999E-2</v>
      </c>
      <c r="W29" s="27">
        <v>1.6E-2</v>
      </c>
      <c r="X29" s="27">
        <v>1.6E-2</v>
      </c>
      <c r="Y29" s="27">
        <v>1.7000000000000001E-2</v>
      </c>
      <c r="Z29" s="27">
        <v>7.0999999999999994E-2</v>
      </c>
      <c r="AA29" s="27">
        <v>7.3999999999999996E-2</v>
      </c>
      <c r="AB29" s="27">
        <v>7.4999999999999997E-2</v>
      </c>
      <c r="AC29" s="27">
        <v>7.4999999999999997E-2</v>
      </c>
      <c r="AD29" s="27">
        <v>7.8E-2</v>
      </c>
      <c r="AE29" s="27">
        <v>7.6999999999999999E-2</v>
      </c>
      <c r="AF29" s="27">
        <v>7.8E-2</v>
      </c>
      <c r="AG29" s="27">
        <v>0.08</v>
      </c>
      <c r="AH29" s="27">
        <v>0.08</v>
      </c>
      <c r="AI29" s="27">
        <v>8.8999999999999996E-2</v>
      </c>
      <c r="AJ29" s="97">
        <v>8.5000000000000006E-2</v>
      </c>
    </row>
    <row r="30" spans="2:36" x14ac:dyDescent="0.35">
      <c r="B30" s="311" t="s">
        <v>151</v>
      </c>
      <c r="C30" s="301">
        <f>'Emissions GEI'!AL85</f>
        <v>3.2256986818327989E-3</v>
      </c>
      <c r="D30" s="56">
        <f>'Emissions GEI'!AM85</f>
        <v>3.4617377350567996E-3</v>
      </c>
      <c r="E30" s="56">
        <f>'Emissions GEI'!AN85</f>
        <v>3.4795410174589592E-3</v>
      </c>
      <c r="F30" s="56">
        <f>'Emissions GEI'!AO85</f>
        <v>3.5485744855766402E-3</v>
      </c>
      <c r="G30" s="56">
        <f>'Emissions GEI'!AP85</f>
        <v>3.2817317106872954E-3</v>
      </c>
      <c r="H30" s="56">
        <f>'Emissions GEI'!AQ85</f>
        <v>3.1000632918104314E-3</v>
      </c>
      <c r="I30" s="56">
        <f>'Emissions GEI'!AR85</f>
        <v>3.5595703004839994E-3</v>
      </c>
      <c r="J30" s="56">
        <f>'Emissions GEI'!AS85</f>
        <v>3.5100264497077197E-3</v>
      </c>
      <c r="K30" s="56">
        <f>'Emissions GEI'!AT85</f>
        <v>4.1363464660381594E-3</v>
      </c>
      <c r="L30" s="56">
        <f>'Emissions GEI'!AU85</f>
        <v>3.1707048073401274E-3</v>
      </c>
      <c r="M30" s="56">
        <f>'Emissions GEI'!AV85</f>
        <v>3.2765966600406091E-3</v>
      </c>
      <c r="N30" s="56">
        <f>'Emissions GEI'!AW85</f>
        <v>3.1354153431048097E-3</v>
      </c>
      <c r="O30" s="56">
        <f>'Emissions GEI'!AX85</f>
        <v>3.0998852023200732E-3</v>
      </c>
      <c r="P30" s="56">
        <f>'Emissions GEI'!AY85</f>
        <v>3.0161195028775806E-3</v>
      </c>
      <c r="Q30" s="56">
        <f>'Emissions GEI'!AZ85</f>
        <v>3.204744512027115E-3</v>
      </c>
      <c r="R30" s="56">
        <f>'Emissions GEI'!BA85</f>
        <v>3.3140091259697174E-3</v>
      </c>
      <c r="S30" s="193">
        <f>'Emissions GEI'!BB85</f>
        <v>3.1764597969662594E-3</v>
      </c>
      <c r="T30" s="239">
        <v>0.02</v>
      </c>
      <c r="U30" s="27">
        <v>0.02</v>
      </c>
      <c r="V30" s="27">
        <v>0.02</v>
      </c>
      <c r="W30" s="27">
        <v>0.02</v>
      </c>
      <c r="X30" s="27">
        <v>0.02</v>
      </c>
      <c r="Y30" s="27">
        <v>0.02</v>
      </c>
      <c r="Z30" s="27">
        <v>2.5000000000000001E-2</v>
      </c>
      <c r="AA30" s="27">
        <v>2.1999999999999999E-2</v>
      </c>
      <c r="AB30" s="27">
        <v>1.4999999999999999E-2</v>
      </c>
      <c r="AC30" s="27">
        <v>1.4E-2</v>
      </c>
      <c r="AD30" s="27">
        <v>1.6E-2</v>
      </c>
      <c r="AE30" s="27">
        <v>1.4999999999999999E-2</v>
      </c>
      <c r="AF30" s="27">
        <v>1.2999999999999999E-2</v>
      </c>
      <c r="AG30" s="27">
        <v>1.2999999999999999E-2</v>
      </c>
      <c r="AH30" s="27">
        <v>1.2E-2</v>
      </c>
      <c r="AI30" s="27">
        <v>1.2999999999999999E-2</v>
      </c>
      <c r="AJ30" s="97">
        <v>1.0999999999999999E-2</v>
      </c>
    </row>
    <row r="31" spans="2:36" x14ac:dyDescent="0.35">
      <c r="B31" s="311" t="s">
        <v>152</v>
      </c>
      <c r="C31" s="301">
        <f>'Emissions GEI'!AL86</f>
        <v>2.7348934281650118E-2</v>
      </c>
      <c r="D31" s="56">
        <f>'Emissions GEI'!AM86</f>
        <v>2.8552901580546828E-2</v>
      </c>
      <c r="E31" s="56">
        <f>'Emissions GEI'!AN86</f>
        <v>2.9907225404639835E-2</v>
      </c>
      <c r="F31" s="56">
        <f>'Emissions GEI'!AO86</f>
        <v>3.114332527507609E-2</v>
      </c>
      <c r="G31" s="56">
        <f>'Emissions GEI'!AP86</f>
        <v>3.2744899936557235E-2</v>
      </c>
      <c r="H31" s="56">
        <f>'Emissions GEI'!AQ86</f>
        <v>3.41332865992479E-2</v>
      </c>
      <c r="I31" s="56">
        <f>'Emissions GEI'!AR86</f>
        <v>3.5708037594264962E-2</v>
      </c>
      <c r="J31" s="56">
        <f>'Emissions GEI'!AS86</f>
        <v>3.7445272936118768E-2</v>
      </c>
      <c r="K31" s="56">
        <f>'Emissions GEI'!AT86</f>
        <v>3.9173755209461002E-2</v>
      </c>
      <c r="L31" s="56">
        <f>'Emissions GEI'!AU86</f>
        <v>4.0744599222806079E-2</v>
      </c>
      <c r="M31" s="56">
        <f>'Emissions GEI'!AV86</f>
        <v>4.2846975318017136E-2</v>
      </c>
      <c r="N31" s="56">
        <f>'Emissions GEI'!AW86</f>
        <v>4.4780363139758694E-2</v>
      </c>
      <c r="O31" s="56">
        <f>'Emissions GEI'!AX86</f>
        <v>4.7134473614208472E-2</v>
      </c>
      <c r="P31" s="56">
        <f>'Emissions GEI'!AY86</f>
        <v>4.9542109784010822E-2</v>
      </c>
      <c r="Q31" s="56">
        <f>'Emissions GEI'!AZ86</f>
        <v>4.7735149780247586E-2</v>
      </c>
      <c r="R31" s="56">
        <f>'Emissions GEI'!BA86</f>
        <v>5.1603642223188431E-2</v>
      </c>
      <c r="S31" s="193">
        <f>'Emissions GEI'!BB86</f>
        <v>5.5281800197747685E-2</v>
      </c>
      <c r="T31" s="239">
        <v>2.5000000000000001E-2</v>
      </c>
      <c r="U31" s="27">
        <v>2.5000000000000001E-2</v>
      </c>
      <c r="V31" s="27">
        <v>2.7E-2</v>
      </c>
      <c r="W31" s="27">
        <v>3.5999999999999997E-2</v>
      </c>
      <c r="X31" s="27">
        <v>4.2000000000000003E-2</v>
      </c>
      <c r="Y31" s="27">
        <v>4.8000000000000001E-2</v>
      </c>
      <c r="Z31" s="27">
        <v>4.2999999999999997E-2</v>
      </c>
      <c r="AA31" s="27">
        <v>4.1000000000000002E-2</v>
      </c>
      <c r="AB31" s="27">
        <v>4.1000000000000002E-2</v>
      </c>
      <c r="AC31" s="27">
        <v>4.2000000000000003E-2</v>
      </c>
      <c r="AD31" s="27">
        <v>4.3999999999999997E-2</v>
      </c>
      <c r="AE31" s="27">
        <v>4.4999999999999998E-2</v>
      </c>
      <c r="AF31" s="27">
        <v>4.7E-2</v>
      </c>
      <c r="AG31" s="27">
        <v>4.8000000000000001E-2</v>
      </c>
      <c r="AH31" s="27">
        <v>4.8000000000000001E-2</v>
      </c>
      <c r="AI31" s="27">
        <v>4.4999999999999998E-2</v>
      </c>
      <c r="AJ31" s="97">
        <v>3.9E-2</v>
      </c>
    </row>
    <row r="32" spans="2:36" x14ac:dyDescent="0.35">
      <c r="B32" s="311" t="s">
        <v>153</v>
      </c>
      <c r="C32" s="302">
        <f>'Emissions GEI'!AL87</f>
        <v>1.3345419208784465E-4</v>
      </c>
      <c r="D32" s="126">
        <f>'Emissions GEI'!AM90</f>
        <v>8.0524505999999998E-4</v>
      </c>
      <c r="E32" s="126">
        <f>'Emissions GEI'!AN90</f>
        <v>7.8047885599999997E-4</v>
      </c>
      <c r="F32" s="126">
        <f>'Emissions GEI'!AO90</f>
        <v>8.7001433999999984E-4</v>
      </c>
      <c r="G32" s="126">
        <f>'Emissions GEI'!AP90</f>
        <v>8.3061844399999994E-4</v>
      </c>
      <c r="H32" s="126">
        <f>'Emissions GEI'!AQ90</f>
        <v>8.6534974999999989E-4</v>
      </c>
      <c r="I32" s="126">
        <f>'Emissions GEI'!AR90</f>
        <v>7.410854419999998E-4</v>
      </c>
      <c r="J32" s="126">
        <f>'Emissions GEI'!AS90</f>
        <v>6.7296344559512476E-4</v>
      </c>
      <c r="K32" s="126">
        <f>'Emissions GEI'!AT90</f>
        <v>7.7020757588058841E-4</v>
      </c>
      <c r="L32" s="126">
        <f>'Emissions GEI'!AU90</f>
        <v>8.2643934497528141E-4</v>
      </c>
      <c r="M32" s="126">
        <f>'Emissions GEI'!AV90</f>
        <v>8.4717911484206575E-4</v>
      </c>
      <c r="N32" s="126">
        <f>'Emissions GEI'!AW90</f>
        <v>8.4938993431597049E-4</v>
      </c>
      <c r="O32" s="126">
        <f>'Emissions GEI'!AX90</f>
        <v>7.7993999664215108E-4</v>
      </c>
      <c r="P32" s="126">
        <f>'Emissions GEI'!AY90</f>
        <v>7.2855181199046035E-4</v>
      </c>
      <c r="Q32" s="126">
        <f>'Emissions GEI'!AZ90</f>
        <v>7.2010937340040004E-4</v>
      </c>
      <c r="R32" s="126">
        <f>'Emissions GEI'!BA90</f>
        <v>7.5348497009657697E-4</v>
      </c>
      <c r="S32" s="303">
        <f>'Emissions GEI'!BB90</f>
        <v>7.3618772540040003E-4</v>
      </c>
      <c r="T32" s="239">
        <v>6.0000000000000001E-3</v>
      </c>
      <c r="U32" s="27">
        <v>6.0000000000000001E-3</v>
      </c>
      <c r="V32" s="27">
        <v>6.0000000000000001E-3</v>
      </c>
      <c r="W32" s="27">
        <v>7.0000000000000001E-3</v>
      </c>
      <c r="X32" s="27">
        <v>7.0000000000000001E-3</v>
      </c>
      <c r="Y32" s="27">
        <v>7.0000000000000001E-3</v>
      </c>
      <c r="Z32" s="27">
        <v>2E-3</v>
      </c>
      <c r="AA32" s="27">
        <v>2E-3</v>
      </c>
      <c r="AB32" s="27">
        <v>2E-3</v>
      </c>
      <c r="AC32" s="27">
        <v>2E-3</v>
      </c>
      <c r="AD32" s="27">
        <v>2E-3</v>
      </c>
      <c r="AE32" s="27">
        <v>2E-3</v>
      </c>
      <c r="AF32" s="27">
        <v>2E-3</v>
      </c>
      <c r="AG32" s="27">
        <v>2E-3</v>
      </c>
      <c r="AH32" s="27">
        <v>2E-3</v>
      </c>
      <c r="AI32" s="27">
        <v>2E-3</v>
      </c>
      <c r="AJ32" s="97">
        <v>2E-3</v>
      </c>
    </row>
    <row r="33" spans="2:36" x14ac:dyDescent="0.35">
      <c r="B33" s="312" t="s">
        <v>173</v>
      </c>
      <c r="C33" s="301">
        <f>'Emissions GEI'!AL95</f>
        <v>0</v>
      </c>
      <c r="D33" s="56">
        <f>'Emissions GEI'!AM95</f>
        <v>0</v>
      </c>
      <c r="E33" s="56">
        <f>'Emissions GEI'!AN95</f>
        <v>0</v>
      </c>
      <c r="F33" s="56">
        <f>'Emissions GEI'!AO95</f>
        <v>0</v>
      </c>
      <c r="G33" s="56">
        <f>'Emissions GEI'!AP95</f>
        <v>0</v>
      </c>
      <c r="H33" s="56">
        <f>'Emissions GEI'!AQ95</f>
        <v>0</v>
      </c>
      <c r="I33" s="56">
        <f>'Emissions GEI'!AR95</f>
        <v>0</v>
      </c>
      <c r="J33" s="56">
        <f>'Emissions GEI'!AS95</f>
        <v>0</v>
      </c>
      <c r="K33" s="56">
        <f>'Emissions GEI'!AT95</f>
        <v>0</v>
      </c>
      <c r="L33" s="56">
        <f>'Emissions GEI'!AU95</f>
        <v>0</v>
      </c>
      <c r="M33" s="56">
        <f>'Emissions GEI'!AV95</f>
        <v>0</v>
      </c>
      <c r="N33" s="56">
        <f>'Emissions GEI'!AW95</f>
        <v>0</v>
      </c>
      <c r="O33" s="56">
        <f>'Emissions GEI'!AX95</f>
        <v>0</v>
      </c>
      <c r="P33" s="56">
        <f>'Emissions GEI'!AY95</f>
        <v>0</v>
      </c>
      <c r="Q33" s="56">
        <f>'Emissions GEI'!AZ95</f>
        <v>0</v>
      </c>
      <c r="R33" s="56">
        <f>'Emissions GEI'!BA95</f>
        <v>0</v>
      </c>
      <c r="S33" s="193">
        <f>'Emissions GEI'!BB95</f>
        <v>0</v>
      </c>
      <c r="T33" s="239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97"/>
    </row>
    <row r="34" spans="2:36" ht="15" hidden="1" customHeight="1" x14ac:dyDescent="0.35">
      <c r="B34" s="311" t="s">
        <v>154</v>
      </c>
      <c r="C34" s="301">
        <f>'Emissions GEI'!AL96</f>
        <v>0</v>
      </c>
      <c r="D34" s="56">
        <f>'Emissions GEI'!AM96</f>
        <v>0</v>
      </c>
      <c r="E34" s="56">
        <f>'Emissions GEI'!AN96</f>
        <v>0</v>
      </c>
      <c r="F34" s="56">
        <f>'Emissions GEI'!AO96</f>
        <v>0</v>
      </c>
      <c r="G34" s="56">
        <f>'Emissions GEI'!AP96</f>
        <v>0</v>
      </c>
      <c r="H34" s="56">
        <f>'Emissions GEI'!AQ96</f>
        <v>0</v>
      </c>
      <c r="I34" s="56">
        <f>'Emissions GEI'!AR96</f>
        <v>0</v>
      </c>
      <c r="J34" s="56">
        <f>'Emissions GEI'!AS96</f>
        <v>0</v>
      </c>
      <c r="K34" s="56">
        <f>'Emissions GEI'!AT96</f>
        <v>0</v>
      </c>
      <c r="L34" s="56">
        <f>'Emissions GEI'!AU96</f>
        <v>0</v>
      </c>
      <c r="M34" s="56">
        <f>'Emissions GEI'!AV96</f>
        <v>0</v>
      </c>
      <c r="N34" s="56">
        <f>'Emissions GEI'!AW96</f>
        <v>0</v>
      </c>
      <c r="O34" s="56">
        <f>'Emissions GEI'!AX96</f>
        <v>0</v>
      </c>
      <c r="P34" s="56">
        <f>'Emissions GEI'!AY96</f>
        <v>0</v>
      </c>
      <c r="Q34" s="56">
        <f>'Emissions GEI'!AZ96</f>
        <v>0</v>
      </c>
      <c r="R34" s="56">
        <f>'Emissions GEI'!BA96</f>
        <v>0</v>
      </c>
      <c r="S34" s="193">
        <f>'Emissions GEI'!BB96</f>
        <v>0</v>
      </c>
      <c r="T34" s="239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97"/>
    </row>
    <row r="35" spans="2:36" ht="15" hidden="1" customHeight="1" x14ac:dyDescent="0.35">
      <c r="B35" s="311" t="s">
        <v>155</v>
      </c>
      <c r="C35" s="301">
        <f>'Emissions GEI'!AL97</f>
        <v>0</v>
      </c>
      <c r="D35" s="56">
        <f>'Emissions GEI'!AM97</f>
        <v>0</v>
      </c>
      <c r="E35" s="56">
        <f>'Emissions GEI'!AN97</f>
        <v>0</v>
      </c>
      <c r="F35" s="56">
        <f>'Emissions GEI'!AO97</f>
        <v>0</v>
      </c>
      <c r="G35" s="56">
        <f>'Emissions GEI'!AP97</f>
        <v>0</v>
      </c>
      <c r="H35" s="56">
        <f>'Emissions GEI'!AQ97</f>
        <v>0</v>
      </c>
      <c r="I35" s="56">
        <f>'Emissions GEI'!AR97</f>
        <v>0</v>
      </c>
      <c r="J35" s="56">
        <f>'Emissions GEI'!AS97</f>
        <v>0</v>
      </c>
      <c r="K35" s="56">
        <f>'Emissions GEI'!AT97</f>
        <v>0</v>
      </c>
      <c r="L35" s="56">
        <f>'Emissions GEI'!AU97</f>
        <v>0</v>
      </c>
      <c r="M35" s="56">
        <f>'Emissions GEI'!AV97</f>
        <v>0</v>
      </c>
      <c r="N35" s="56">
        <f>'Emissions GEI'!AW97</f>
        <v>0</v>
      </c>
      <c r="O35" s="56">
        <f>'Emissions GEI'!AX97</f>
        <v>0</v>
      </c>
      <c r="P35" s="56">
        <f>'Emissions GEI'!AY97</f>
        <v>0</v>
      </c>
      <c r="Q35" s="56">
        <f>'Emissions GEI'!AZ97</f>
        <v>0</v>
      </c>
      <c r="R35" s="56">
        <f>'Emissions GEI'!BA97</f>
        <v>0</v>
      </c>
      <c r="S35" s="193">
        <f>'Emissions GEI'!BB97</f>
        <v>0</v>
      </c>
      <c r="T35" s="239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97"/>
    </row>
    <row r="36" spans="2:36" ht="15" hidden="1" customHeight="1" x14ac:dyDescent="0.35">
      <c r="B36" s="313" t="s">
        <v>156</v>
      </c>
      <c r="C36" s="301">
        <f>'Emissions GEI'!AL98</f>
        <v>0</v>
      </c>
      <c r="D36" s="56">
        <f>'Emissions GEI'!AM98</f>
        <v>0</v>
      </c>
      <c r="E36" s="56">
        <f>'Emissions GEI'!AN98</f>
        <v>0</v>
      </c>
      <c r="F36" s="56">
        <f>'Emissions GEI'!AO98</f>
        <v>0</v>
      </c>
      <c r="G36" s="56">
        <f>'Emissions GEI'!AP98</f>
        <v>0</v>
      </c>
      <c r="H36" s="56">
        <f>'Emissions GEI'!AQ98</f>
        <v>0</v>
      </c>
      <c r="I36" s="56">
        <f>'Emissions GEI'!AR98</f>
        <v>0</v>
      </c>
      <c r="J36" s="56">
        <f>'Emissions GEI'!AS98</f>
        <v>0</v>
      </c>
      <c r="K36" s="56">
        <f>'Emissions GEI'!AT98</f>
        <v>0</v>
      </c>
      <c r="L36" s="56">
        <f>'Emissions GEI'!AU98</f>
        <v>0</v>
      </c>
      <c r="M36" s="56">
        <f>'Emissions GEI'!AV98</f>
        <v>0</v>
      </c>
      <c r="N36" s="56">
        <f>'Emissions GEI'!AW98</f>
        <v>0</v>
      </c>
      <c r="O36" s="56">
        <f>'Emissions GEI'!AX98</f>
        <v>0</v>
      </c>
      <c r="P36" s="56">
        <f>'Emissions GEI'!AY98</f>
        <v>0</v>
      </c>
      <c r="Q36" s="56">
        <f>'Emissions GEI'!AZ98</f>
        <v>0</v>
      </c>
      <c r="R36" s="56">
        <f>'Emissions GEI'!BA98</f>
        <v>0</v>
      </c>
      <c r="S36" s="193">
        <f>'Emissions GEI'!BB98</f>
        <v>0</v>
      </c>
      <c r="T36" s="239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97"/>
    </row>
    <row r="37" spans="2:36" ht="15" hidden="1" customHeight="1" x14ac:dyDescent="0.35">
      <c r="B37" s="311" t="s">
        <v>157</v>
      </c>
      <c r="C37" s="301">
        <f>'Emissions GEI'!AL99</f>
        <v>0</v>
      </c>
      <c r="D37" s="56">
        <f>'Emissions GEI'!AM99</f>
        <v>0</v>
      </c>
      <c r="E37" s="56">
        <f>'Emissions GEI'!AN99</f>
        <v>0</v>
      </c>
      <c r="F37" s="56">
        <f>'Emissions GEI'!AO99</f>
        <v>0</v>
      </c>
      <c r="G37" s="56">
        <f>'Emissions GEI'!AP99</f>
        <v>0</v>
      </c>
      <c r="H37" s="56">
        <f>'Emissions GEI'!AQ99</f>
        <v>0</v>
      </c>
      <c r="I37" s="56">
        <f>'Emissions GEI'!AR99</f>
        <v>0</v>
      </c>
      <c r="J37" s="56">
        <f>'Emissions GEI'!AS99</f>
        <v>0</v>
      </c>
      <c r="K37" s="56">
        <f>'Emissions GEI'!AT99</f>
        <v>0</v>
      </c>
      <c r="L37" s="56">
        <f>'Emissions GEI'!AU99</f>
        <v>0</v>
      </c>
      <c r="M37" s="56">
        <f>'Emissions GEI'!AV99</f>
        <v>0</v>
      </c>
      <c r="N37" s="56">
        <f>'Emissions GEI'!AW99</f>
        <v>0</v>
      </c>
      <c r="O37" s="56">
        <f>'Emissions GEI'!AX99</f>
        <v>0</v>
      </c>
      <c r="P37" s="56">
        <f>'Emissions GEI'!AY99</f>
        <v>0</v>
      </c>
      <c r="Q37" s="56">
        <f>'Emissions GEI'!AZ99</f>
        <v>0</v>
      </c>
      <c r="R37" s="56">
        <f>'Emissions GEI'!BA99</f>
        <v>0</v>
      </c>
      <c r="S37" s="193">
        <f>'Emissions GEI'!BB99</f>
        <v>0</v>
      </c>
      <c r="T37" s="239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97"/>
    </row>
    <row r="38" spans="2:36" ht="15" hidden="1" customHeight="1" x14ac:dyDescent="0.35">
      <c r="B38" s="311" t="s">
        <v>158</v>
      </c>
      <c r="C38" s="301" t="e">
        <f>'Emissions GEI'!#REF!</f>
        <v>#REF!</v>
      </c>
      <c r="D38" s="56" t="e">
        <f>'Emissions GEI'!#REF!</f>
        <v>#REF!</v>
      </c>
      <c r="E38" s="56" t="e">
        <f>'Emissions GEI'!#REF!</f>
        <v>#REF!</v>
      </c>
      <c r="F38" s="56" t="e">
        <f>'Emissions GEI'!#REF!</f>
        <v>#REF!</v>
      </c>
      <c r="G38" s="56" t="e">
        <f>'Emissions GEI'!#REF!</f>
        <v>#REF!</v>
      </c>
      <c r="H38" s="56" t="e">
        <f>'Emissions GEI'!#REF!</f>
        <v>#REF!</v>
      </c>
      <c r="I38" s="56" t="e">
        <f>'Emissions GEI'!#REF!</f>
        <v>#REF!</v>
      </c>
      <c r="J38" s="56" t="e">
        <f>'Emissions GEI'!#REF!</f>
        <v>#REF!</v>
      </c>
      <c r="K38" s="56" t="e">
        <f>'Emissions GEI'!#REF!</f>
        <v>#REF!</v>
      </c>
      <c r="L38" s="56" t="e">
        <f>'Emissions GEI'!#REF!</f>
        <v>#REF!</v>
      </c>
      <c r="M38" s="56" t="e">
        <f>'Emissions GEI'!#REF!</f>
        <v>#REF!</v>
      </c>
      <c r="N38" s="56" t="e">
        <f>'Emissions GEI'!#REF!</f>
        <v>#REF!</v>
      </c>
      <c r="O38" s="56" t="e">
        <f>'Emissions GEI'!#REF!</f>
        <v>#REF!</v>
      </c>
      <c r="P38" s="56" t="e">
        <f>'Emissions GEI'!#REF!</f>
        <v>#REF!</v>
      </c>
      <c r="Q38" s="56" t="e">
        <f>'Emissions GEI'!#REF!</f>
        <v>#REF!</v>
      </c>
      <c r="R38" s="56" t="e">
        <f>'Emissions GEI'!#REF!</f>
        <v>#REF!</v>
      </c>
      <c r="S38" s="193" t="e">
        <f>'Emissions GEI'!#REF!</f>
        <v>#REF!</v>
      </c>
      <c r="T38" s="239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97"/>
    </row>
    <row r="39" spans="2:36" ht="15" hidden="1" customHeight="1" x14ac:dyDescent="0.35">
      <c r="B39" s="311" t="s">
        <v>159</v>
      </c>
      <c r="C39" s="301" t="e">
        <f>'Emissions GEI'!#REF!</f>
        <v>#REF!</v>
      </c>
      <c r="D39" s="56" t="e">
        <f>'Emissions GEI'!#REF!</f>
        <v>#REF!</v>
      </c>
      <c r="E39" s="56" t="e">
        <f>'Emissions GEI'!#REF!</f>
        <v>#REF!</v>
      </c>
      <c r="F39" s="56" t="e">
        <f>'Emissions GEI'!#REF!</f>
        <v>#REF!</v>
      </c>
      <c r="G39" s="56" t="e">
        <f>'Emissions GEI'!#REF!</f>
        <v>#REF!</v>
      </c>
      <c r="H39" s="56" t="e">
        <f>'Emissions GEI'!#REF!</f>
        <v>#REF!</v>
      </c>
      <c r="I39" s="56" t="e">
        <f>'Emissions GEI'!#REF!</f>
        <v>#REF!</v>
      </c>
      <c r="J39" s="56" t="e">
        <f>'Emissions GEI'!#REF!</f>
        <v>#REF!</v>
      </c>
      <c r="K39" s="56" t="e">
        <f>'Emissions GEI'!#REF!</f>
        <v>#REF!</v>
      </c>
      <c r="L39" s="56" t="e">
        <f>'Emissions GEI'!#REF!</f>
        <v>#REF!</v>
      </c>
      <c r="M39" s="56" t="e">
        <f>'Emissions GEI'!#REF!</f>
        <v>#REF!</v>
      </c>
      <c r="N39" s="56" t="e">
        <f>'Emissions GEI'!#REF!</f>
        <v>#REF!</v>
      </c>
      <c r="O39" s="56" t="e">
        <f>'Emissions GEI'!#REF!</f>
        <v>#REF!</v>
      </c>
      <c r="P39" s="56" t="e">
        <f>'Emissions GEI'!#REF!</f>
        <v>#REF!</v>
      </c>
      <c r="Q39" s="56" t="e">
        <f>'Emissions GEI'!#REF!</f>
        <v>#REF!</v>
      </c>
      <c r="R39" s="56" t="e">
        <f>'Emissions GEI'!#REF!</f>
        <v>#REF!</v>
      </c>
      <c r="S39" s="193" t="e">
        <f>'Emissions GEI'!#REF!</f>
        <v>#REF!</v>
      </c>
      <c r="T39" s="239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97"/>
    </row>
    <row r="40" spans="2:36" x14ac:dyDescent="0.35">
      <c r="B40" s="310" t="s">
        <v>165</v>
      </c>
      <c r="C40" s="301">
        <f>'Emissions CO2eq.'!D83</f>
        <v>2324.1446465615627</v>
      </c>
      <c r="D40" s="56">
        <f>'Emissions CO2eq.'!E83</f>
        <v>2484.3633645543819</v>
      </c>
      <c r="E40" s="56">
        <f>'Emissions CO2eq.'!F83</f>
        <v>2536.9438607832558</v>
      </c>
      <c r="F40" s="56">
        <f>'Emissions CO2eq.'!G83</f>
        <v>2671.4531609332485</v>
      </c>
      <c r="G40" s="56">
        <f>'Emissions CO2eq.'!H83</f>
        <v>2697.823977618872</v>
      </c>
      <c r="H40" s="56">
        <f>'Emissions CO2eq.'!I83</f>
        <v>2883.828507572799</v>
      </c>
      <c r="I40" s="56">
        <f>'Emissions CO2eq.'!J83</f>
        <v>3250.1161598761591</v>
      </c>
      <c r="J40" s="56">
        <f>'Emissions CO2eq.'!K83</f>
        <v>3417.319088075315</v>
      </c>
      <c r="K40" s="56">
        <f>'Emissions CO2eq.'!L83</f>
        <v>3519.1478747593042</v>
      </c>
      <c r="L40" s="56">
        <f>'Emissions CO2eq.'!M83</f>
        <v>3466.8935203263295</v>
      </c>
      <c r="M40" s="56">
        <f>'Emissions CO2eq.'!N83</f>
        <v>3725.1370944073283</v>
      </c>
      <c r="N40" s="56">
        <f>'Emissions CO2eq.'!O83</f>
        <v>3736.9384153525084</v>
      </c>
      <c r="O40" s="56">
        <f>'Emissions CO2eq.'!P83</f>
        <v>3834.7887024259244</v>
      </c>
      <c r="P40" s="56">
        <f>'Emissions CO2eq.'!Q83</f>
        <v>3944.7702000196323</v>
      </c>
      <c r="Q40" s="56">
        <f>'Emissions CO2eq.'!R83</f>
        <v>4003.1146606648044</v>
      </c>
      <c r="R40" s="56">
        <f>'Emissions CO2eq.'!S83</f>
        <v>4048.4173646813315</v>
      </c>
      <c r="S40" s="193">
        <f>'Emissions CO2eq.'!T83</f>
        <v>4176.9472149981566</v>
      </c>
      <c r="T40" s="192">
        <f>T4*'Global Warming Potential GWP'!$E$6+Comparissons!T16*'Global Warming Potential GWP'!$E$7+Comparissons!T28*'Global Warming Potential GWP'!$E$8</f>
        <v>2315.3599999999997</v>
      </c>
      <c r="U40" s="44">
        <f>U4*'Global Warming Potential GWP'!$E$6+Comparissons!U16*'Global Warming Potential GWP'!$E$7+Comparissons!U28*'Global Warming Potential GWP'!$E$8</f>
        <v>2504.2200000000003</v>
      </c>
      <c r="V40" s="44">
        <f>V4*'Global Warming Potential GWP'!$E$6+Comparissons!V16*'Global Warming Potential GWP'!$E$7+Comparissons!V28*'Global Warming Potential GWP'!$E$8</f>
        <v>2521.5100000000002</v>
      </c>
      <c r="W40" s="44">
        <f>W4*'Global Warming Potential GWP'!$E$6+Comparissons!W16*'Global Warming Potential GWP'!$E$7+Comparissons!W28*'Global Warming Potential GWP'!$E$8</f>
        <v>2692.3299999999995</v>
      </c>
      <c r="X40" s="44">
        <f>X4*'Global Warming Potential GWP'!$E$6+Comparissons!X16*'Global Warming Potential GWP'!$E$7+Comparissons!X28*'Global Warming Potential GWP'!$E$8</f>
        <v>2692.89</v>
      </c>
      <c r="Y40" s="44">
        <f>Y4*'Global Warming Potential GWP'!$E$6+Comparissons!Y16*'Global Warming Potential GWP'!$E$7+Comparissons!Y28*'Global Warming Potential GWP'!$E$8</f>
        <v>2855.3599999999997</v>
      </c>
      <c r="Z40" s="44">
        <f>Z4*'Global Warming Potential GWP'!$E$6+Comparissons!Z16*'Global Warming Potential GWP'!$E$7+Comparissons!Z28*'Global Warming Potential GWP'!$E$8</f>
        <v>3327.74</v>
      </c>
      <c r="AA40" s="44">
        <f>AA4*'Global Warming Potential GWP'!$E$6+Comparissons!AA16*'Global Warming Potential GWP'!$E$7+Comparissons!AA28*'Global Warming Potential GWP'!$E$8</f>
        <v>3477.0800000000004</v>
      </c>
      <c r="AB40" s="44">
        <f>AB4*'Global Warming Potential GWP'!$E$6+Comparissons!AB16*'Global Warming Potential GWP'!$E$7+Comparissons!AB28*'Global Warming Potential GWP'!$E$8</f>
        <v>3595.26</v>
      </c>
      <c r="AC40" s="44">
        <f>AC4*'Global Warming Potential GWP'!$E$6+Comparissons!AC16*'Global Warming Potential GWP'!$E$7+Comparissons!AC28*'Global Warming Potential GWP'!$E$8</f>
        <v>3553.52</v>
      </c>
      <c r="AD40" s="44">
        <f>AD4*'Global Warming Potential GWP'!$E$6+Comparissons!AD16*'Global Warming Potential GWP'!$E$7+Comparissons!AD28*'Global Warming Potential GWP'!$E$8</f>
        <v>3788.9799999999996</v>
      </c>
      <c r="AE40" s="44">
        <f>AE4*'Global Warming Potential GWP'!$E$6+Comparissons!AE16*'Global Warming Potential GWP'!$E$7+Comparissons!AE28*'Global Warming Potential GWP'!$E$8</f>
        <v>3752.91</v>
      </c>
      <c r="AF40" s="44">
        <f>AF4*'Global Warming Potential GWP'!$E$6+Comparissons!AF16*'Global Warming Potential GWP'!$E$7+Comparissons!AF28*'Global Warming Potential GWP'!$E$8</f>
        <v>3875.83</v>
      </c>
      <c r="AG40" s="44">
        <f>AG4*'Global Warming Potential GWP'!$E$6+Comparissons!AG16*'Global Warming Potential GWP'!$E$7+Comparissons!AG28*'Global Warming Potential GWP'!$E$8</f>
        <v>3965.63</v>
      </c>
      <c r="AH40" s="44">
        <f>AH4*'Global Warming Potential GWP'!$E$6+Comparissons!AH16*'Global Warming Potential GWP'!$E$7+Comparissons!AH28*'Global Warming Potential GWP'!$E$8</f>
        <v>4086.7</v>
      </c>
      <c r="AI40" s="44">
        <f>AI4*'Global Warming Potential GWP'!$E$6+Comparissons!AI16*'Global Warming Potential GWP'!$E$7+Comparissons!AI28*'Global Warming Potential GWP'!$E$8</f>
        <v>4087.4600000000005</v>
      </c>
      <c r="AJ40" s="141">
        <f>AJ4*'Global Warming Potential GWP'!$E$6+Comparissons!AJ16*'Global Warming Potential GWP'!$E$7+Comparissons!AJ28*'Global Warming Potential GWP'!$E$8</f>
        <v>4114.45</v>
      </c>
    </row>
    <row r="41" spans="2:36" x14ac:dyDescent="0.35">
      <c r="B41" s="311" t="s">
        <v>150</v>
      </c>
      <c r="C41" s="301">
        <f>'Emissions CO2eq.'!D84</f>
        <v>1178.4061063613099</v>
      </c>
      <c r="D41" s="56">
        <f>'Emissions CO2eq.'!E84</f>
        <v>1288.8626659119898</v>
      </c>
      <c r="E41" s="56">
        <f>'Emissions CO2eq.'!F84</f>
        <v>1310.3005011934199</v>
      </c>
      <c r="F41" s="56">
        <f>'Emissions CO2eq.'!G84</f>
        <v>1400.82584978711</v>
      </c>
      <c r="G41" s="56">
        <f>'Emissions CO2eq.'!H84</f>
        <v>1415.9085036841898</v>
      </c>
      <c r="H41" s="56">
        <f>'Emissions CO2eq.'!I84</f>
        <v>1587.1896978407945</v>
      </c>
      <c r="I41" s="56">
        <f>'Emissions CO2eq.'!J84</f>
        <v>1866.7430373599504</v>
      </c>
      <c r="J41" s="56">
        <f>'Emissions CO2eq.'!K84</f>
        <v>2007.5820614474637</v>
      </c>
      <c r="K41" s="56">
        <f>'Emissions CO2eq.'!L84</f>
        <v>2037.2660099691734</v>
      </c>
      <c r="L41" s="56">
        <f>'Emissions CO2eq.'!M84</f>
        <v>2018.9191138806914</v>
      </c>
      <c r="M41" s="56">
        <f>'Emissions CO2eq.'!N84</f>
        <v>2219.6497974532685</v>
      </c>
      <c r="N41" s="56">
        <f>'Emissions CO2eq.'!O84</f>
        <v>2204.4674169626501</v>
      </c>
      <c r="O41" s="56">
        <f>'Emissions CO2eq.'!P84</f>
        <v>2265.2554418766299</v>
      </c>
      <c r="P41" s="56">
        <f>'Emissions CO2eq.'!Q84</f>
        <v>2339.2437806019884</v>
      </c>
      <c r="Q41" s="56">
        <f>'Emissions CO2eq.'!R84</f>
        <v>2418.9198789977681</v>
      </c>
      <c r="R41" s="56">
        <f>'Emissions CO2eq.'!S84</f>
        <v>2360.7174073732699</v>
      </c>
      <c r="S41" s="193">
        <f>'Emissions CO2eq.'!T84</f>
        <v>2418.2769844539207</v>
      </c>
      <c r="T41" s="192">
        <f>T5*'Global Warming Potential GWP'!$E$6+Comparissons!T17*'Global Warming Potential GWP'!$E$7+Comparissons!T29*'Global Warming Potential GWP'!$E$8</f>
        <v>1024.1099999999999</v>
      </c>
      <c r="U41" s="44">
        <f>U5*'Global Warming Potential GWP'!$E$6+Comparissons!U17*'Global Warming Potential GWP'!$E$7+Comparissons!U29*'Global Warming Potential GWP'!$E$8</f>
        <v>1167.97</v>
      </c>
      <c r="V41" s="44">
        <f>V5*'Global Warming Potential GWP'!$E$6+Comparissons!V17*'Global Warming Potential GWP'!$E$7+Comparissons!V29*'Global Warming Potential GWP'!$E$8</f>
        <v>1164.2800000000002</v>
      </c>
      <c r="W41" s="44">
        <f>W5*'Global Warming Potential GWP'!$E$6+Comparissons!W17*'Global Warming Potential GWP'!$E$7+Comparissons!W29*'Global Warming Potential GWP'!$E$8</f>
        <v>1290.5900000000001</v>
      </c>
      <c r="X41" s="44">
        <f>X5*'Global Warming Potential GWP'!$E$6+Comparissons!X17*'Global Warming Potential GWP'!$E$7+Comparissons!X29*'Global Warming Potential GWP'!$E$8</f>
        <v>1293.8</v>
      </c>
      <c r="Y41" s="44">
        <f>Y5*'Global Warming Potential GWP'!$E$6+Comparissons!Y17*'Global Warming Potential GWP'!$E$7+Comparissons!Y29*'Global Warming Potential GWP'!$E$8</f>
        <v>1429.9</v>
      </c>
      <c r="Z41" s="44">
        <f>Z5*'Global Warming Potential GWP'!$E$6+Comparissons!Z17*'Global Warming Potential GWP'!$E$7+Comparissons!Z29*'Global Warming Potential GWP'!$E$8</f>
        <v>1805.95</v>
      </c>
      <c r="AA41" s="44">
        <f>AA5*'Global Warming Potential GWP'!$E$6+Comparissons!AA17*'Global Warming Potential GWP'!$E$7+Comparissons!AA29*'Global Warming Potential GWP'!$E$8</f>
        <v>1979.0400000000002</v>
      </c>
      <c r="AB41" s="44">
        <f>AB5*'Global Warming Potential GWP'!$E$6+Comparissons!AB17*'Global Warming Potential GWP'!$E$7+Comparissons!AB29*'Global Warming Potential GWP'!$E$8</f>
        <v>2059.71</v>
      </c>
      <c r="AC41" s="44">
        <f>AC5*'Global Warming Potential GWP'!$E$6+Comparissons!AC17*'Global Warming Potential GWP'!$E$7+Comparissons!AC29*'Global Warming Potential GWP'!$E$8</f>
        <v>2055.8000000000002</v>
      </c>
      <c r="AD41" s="44">
        <f>AD5*'Global Warming Potential GWP'!$E$6+Comparissons!AD17*'Global Warming Potential GWP'!$E$7+Comparissons!AD29*'Global Warming Potential GWP'!$E$8</f>
        <v>2246.06</v>
      </c>
      <c r="AE41" s="44">
        <f>AE5*'Global Warming Potential GWP'!$E$6+Comparissons!AE17*'Global Warming Potential GWP'!$E$7+Comparissons!AE29*'Global Warming Potential GWP'!$E$8</f>
        <v>2207.11</v>
      </c>
      <c r="AF41" s="44">
        <f>AF5*'Global Warming Potential GWP'!$E$6+Comparissons!AF17*'Global Warming Potential GWP'!$E$7+Comparissons!AF29*'Global Warming Potential GWP'!$E$8</f>
        <v>2302.77</v>
      </c>
      <c r="AG41" s="44">
        <f>AG5*'Global Warming Potential GWP'!$E$6+Comparissons!AG17*'Global Warming Potential GWP'!$E$7+Comparissons!AG29*'Global Warming Potential GWP'!$E$8</f>
        <v>2386.2400000000002</v>
      </c>
      <c r="AH41" s="44">
        <f>AH5*'Global Warming Potential GWP'!$E$6+Comparissons!AH17*'Global Warming Potential GWP'!$E$7+Comparissons!AH29*'Global Warming Potential GWP'!$E$8</f>
        <v>2470.9600000000005</v>
      </c>
      <c r="AI41" s="44">
        <f>AI5*'Global Warming Potential GWP'!$E$6+Comparissons!AI17*'Global Warming Potential GWP'!$E$7+Comparissons!AI29*'Global Warming Potential GWP'!$E$8</f>
        <v>2434.83</v>
      </c>
      <c r="AJ41" s="141">
        <f>AJ5*'Global Warming Potential GWP'!$E$6+Comparissons!AJ17*'Global Warming Potential GWP'!$E$7+Comparissons!AJ29*'Global Warming Potential GWP'!$E$8</f>
        <v>2456.9699999999998</v>
      </c>
    </row>
    <row r="42" spans="2:36" x14ac:dyDescent="0.35">
      <c r="B42" s="311" t="s">
        <v>151</v>
      </c>
      <c r="C42" s="301">
        <f>'Emissions CO2eq.'!D85</f>
        <v>372.20092308465735</v>
      </c>
      <c r="D42" s="56">
        <f>'Emissions CO2eq.'!E85</f>
        <v>394.10775759207081</v>
      </c>
      <c r="E42" s="56">
        <f>'Emissions CO2eq.'!F85</f>
        <v>394.750797880562</v>
      </c>
      <c r="F42" s="56">
        <f>'Emissions CO2eq.'!G85</f>
        <v>395.11746970234856</v>
      </c>
      <c r="G42" s="56">
        <f>'Emissions CO2eq.'!H85</f>
        <v>371.79472004089337</v>
      </c>
      <c r="H42" s="56">
        <f>'Emissions CO2eq.'!I85</f>
        <v>353.55691741383441</v>
      </c>
      <c r="I42" s="56">
        <f>'Emissions CO2eq.'!J85</f>
        <v>415.49319267504495</v>
      </c>
      <c r="J42" s="56">
        <f>'Emissions CO2eq.'!K85</f>
        <v>412.41712441481548</v>
      </c>
      <c r="K42" s="56">
        <f>'Emissions CO2eq.'!L85</f>
        <v>441.14248042189286</v>
      </c>
      <c r="L42" s="56">
        <f>'Emissions CO2eq.'!M85</f>
        <v>366.15004601504097</v>
      </c>
      <c r="M42" s="56">
        <f>'Emissions CO2eq.'!N85</f>
        <v>372.21341358586267</v>
      </c>
      <c r="N42" s="56">
        <f>'Emissions CO2eq.'!O85</f>
        <v>355.67786204235318</v>
      </c>
      <c r="O42" s="56">
        <f>'Emissions CO2eq.'!P85</f>
        <v>348.50336453614892</v>
      </c>
      <c r="P42" s="56">
        <f>'Emissions CO2eq.'!Q85</f>
        <v>333.95731106553285</v>
      </c>
      <c r="Q42" s="56">
        <f>'Emissions CO2eq.'!R85</f>
        <v>349.14824224133673</v>
      </c>
      <c r="R42" s="56">
        <f>'Emissions CO2eq.'!S85</f>
        <v>352.16844480889631</v>
      </c>
      <c r="S42" s="193">
        <f>'Emissions CO2eq.'!T85</f>
        <v>340.00252513938403</v>
      </c>
      <c r="T42" s="192">
        <f>T6*'Global Warming Potential GWP'!$E$6+Comparissons!T18*'Global Warming Potential GWP'!$E$7+Comparissons!T30*'Global Warming Potential GWP'!$E$8</f>
        <v>358.44</v>
      </c>
      <c r="U42" s="44">
        <f>U6*'Global Warming Potential GWP'!$E$6+Comparissons!U18*'Global Warming Potential GWP'!$E$7+Comparissons!U30*'Global Warming Potential GWP'!$E$8</f>
        <v>385.34</v>
      </c>
      <c r="V42" s="44">
        <f>V6*'Global Warming Potential GWP'!$E$6+Comparissons!V18*'Global Warming Potential GWP'!$E$7+Comparissons!V30*'Global Warming Potential GWP'!$E$8</f>
        <v>385.21999999999997</v>
      </c>
      <c r="W42" s="44">
        <f>W6*'Global Warming Potential GWP'!$E$6+Comparissons!W18*'Global Warming Potential GWP'!$E$7+Comparissons!W30*'Global Warming Potential GWP'!$E$8</f>
        <v>385.53000000000003</v>
      </c>
      <c r="X42" s="44">
        <f>X6*'Global Warming Potential GWP'!$E$6+Comparissons!X18*'Global Warming Potential GWP'!$E$7+Comparissons!X30*'Global Warming Potential GWP'!$E$8</f>
        <v>362.83</v>
      </c>
      <c r="Y42" s="44">
        <f>Y6*'Global Warming Potential GWP'!$E$6+Comparissons!Y18*'Global Warming Potential GWP'!$E$7+Comparissons!Y30*'Global Warming Potential GWP'!$E$8</f>
        <v>352.52</v>
      </c>
      <c r="Z42" s="44">
        <f>Z6*'Global Warming Potential GWP'!$E$6+Comparissons!Z18*'Global Warming Potential GWP'!$E$7+Comparissons!Z30*'Global Warming Potential GWP'!$E$8</f>
        <v>426.42999999999995</v>
      </c>
      <c r="AA42" s="44">
        <f>AA6*'Global Warming Potential GWP'!$E$6+Comparissons!AA18*'Global Warming Potential GWP'!$E$7+Comparissons!AA30*'Global Warming Potential GWP'!$E$8</f>
        <v>423.76</v>
      </c>
      <c r="AB42" s="44">
        <f>AB6*'Global Warming Potential GWP'!$E$6+Comparissons!AB18*'Global Warming Potential GWP'!$E$7+Comparissons!AB30*'Global Warming Potential GWP'!$E$8</f>
        <v>450.71</v>
      </c>
      <c r="AC42" s="44">
        <f>AC6*'Global Warming Potential GWP'!$E$6+Comparissons!AC18*'Global Warming Potential GWP'!$E$7+Comparissons!AC30*'Global Warming Potential GWP'!$E$8</f>
        <v>374.83</v>
      </c>
      <c r="AD42" s="44">
        <f>AD6*'Global Warming Potential GWP'!$E$6+Comparissons!AD18*'Global Warming Potential GWP'!$E$7+Comparissons!AD30*'Global Warming Potential GWP'!$E$8</f>
        <v>380.45</v>
      </c>
      <c r="AE42" s="44">
        <f>AE6*'Global Warming Potential GWP'!$E$6+Comparissons!AE18*'Global Warming Potential GWP'!$E$7+Comparissons!AE30*'Global Warming Potential GWP'!$E$8</f>
        <v>362.79</v>
      </c>
      <c r="AF42" s="44">
        <f>AF6*'Global Warming Potential GWP'!$E$6+Comparissons!AF18*'Global Warming Potential GWP'!$E$7+Comparissons!AF30*'Global Warming Potential GWP'!$E$8</f>
        <v>356.37999999999994</v>
      </c>
      <c r="AG42" s="44">
        <f>AG6*'Global Warming Potential GWP'!$E$6+Comparissons!AG18*'Global Warming Potential GWP'!$E$7+Comparissons!AG30*'Global Warming Potential GWP'!$E$8</f>
        <v>342.46999999999997</v>
      </c>
      <c r="AH42" s="44">
        <f>AH6*'Global Warming Potential GWP'!$E$6+Comparissons!AH18*'Global Warming Potential GWP'!$E$7+Comparissons!AH30*'Global Warming Potential GWP'!$E$8</f>
        <v>357.89000000000004</v>
      </c>
      <c r="AI42" s="44">
        <f>AI6*'Global Warming Potential GWP'!$E$6+Comparissons!AI18*'Global Warming Potential GWP'!$E$7+Comparissons!AI30*'Global Warming Potential GWP'!$E$8</f>
        <v>364.09</v>
      </c>
      <c r="AJ42" s="141">
        <f>AJ6*'Global Warming Potential GWP'!$E$6+Comparissons!AJ18*'Global Warming Potential GWP'!$E$7+Comparissons!AJ30*'Global Warming Potential GWP'!$E$8</f>
        <v>347.23000000000008</v>
      </c>
    </row>
    <row r="43" spans="2:36" x14ac:dyDescent="0.35">
      <c r="B43" s="311" t="s">
        <v>152</v>
      </c>
      <c r="C43" s="301">
        <f>'Emissions CO2eq.'!D93</f>
        <v>575.11748739519544</v>
      </c>
      <c r="D43" s="56">
        <f>'Emissions CO2eq.'!E93</f>
        <v>600.65044004072126</v>
      </c>
      <c r="E43" s="56">
        <f>'Emissions CO2eq.'!F93</f>
        <v>631.06197923831394</v>
      </c>
      <c r="F43" s="56">
        <f>'Emissions CO2eq.'!G93</f>
        <v>657.54871402638992</v>
      </c>
      <c r="G43" s="56">
        <f>'Emissions CO2eq.'!H93</f>
        <v>689.46957980674892</v>
      </c>
      <c r="H43" s="56">
        <f>'Emissions CO2eq.'!I93</f>
        <v>715.92643454217023</v>
      </c>
      <c r="I43" s="56">
        <f>'Emissions CO2eq.'!J93</f>
        <v>748.7864022044439</v>
      </c>
      <c r="J43" s="56">
        <f>'Emissions CO2eq.'!K93</f>
        <v>786.43668047336757</v>
      </c>
      <c r="K43" s="56">
        <f>'Emissions CO2eq.'!L93</f>
        <v>819.76781817698748</v>
      </c>
      <c r="L43" s="56">
        <f>'Emissions CO2eq.'!M93</f>
        <v>851.05593336499021</v>
      </c>
      <c r="M43" s="56">
        <f>'Emissions CO2eq.'!N93</f>
        <v>897.18624059148499</v>
      </c>
      <c r="N43" s="56">
        <f>'Emissions CO2eq.'!O93</f>
        <v>938.33426132213356</v>
      </c>
      <c r="O43" s="56">
        <f>'Emissions CO2eq.'!P93</f>
        <v>987.48714332280463</v>
      </c>
      <c r="P43" s="56">
        <f>'Emissions CO2eq.'!Q93</f>
        <v>1037.4957403927285</v>
      </c>
      <c r="Q43" s="56">
        <f>'Emissions CO2eq.'!R93</f>
        <v>997.49193913716897</v>
      </c>
      <c r="R43" s="56">
        <f>'Emissions CO2eq.'!S93</f>
        <v>1087.8083336505024</v>
      </c>
      <c r="S43" s="193">
        <f>'Emissions CO2eq.'!T93</f>
        <v>1169.6970580794014</v>
      </c>
      <c r="T43" s="192">
        <f>T7*'Global Warming Potential GWP'!$E$6+Comparissons!T19*'Global Warming Potential GWP'!$E$7+Comparissons!T31*'Global Warming Potential GWP'!$E$8</f>
        <v>732.75</v>
      </c>
      <c r="U43" s="44">
        <f>U7*'Global Warming Potential GWP'!$E$6+Comparissons!U19*'Global Warming Potential GWP'!$E$7+Comparissons!U31*'Global Warming Potential GWP'!$E$8</f>
        <v>748.55000000000007</v>
      </c>
      <c r="V43" s="44">
        <f>V7*'Global Warming Potential GWP'!$E$6+Comparissons!V19*'Global Warming Potential GWP'!$E$7+Comparissons!V31*'Global Warming Potential GWP'!$E$8</f>
        <v>769.94999999999993</v>
      </c>
      <c r="W43" s="44">
        <f>W7*'Global Warming Potential GWP'!$E$6+Comparissons!W19*'Global Warming Potential GWP'!$E$7+Comparissons!W31*'Global Warming Potential GWP'!$E$8</f>
        <v>796.54</v>
      </c>
      <c r="X43" s="44">
        <f>X7*'Global Warming Potential GWP'!$E$6+Comparissons!X19*'Global Warming Potential GWP'!$E$7+Comparissons!X31*'Global Warming Potential GWP'!$E$8</f>
        <v>814.08</v>
      </c>
      <c r="Y43" s="44">
        <f>Y7*'Global Warming Potential GWP'!$E$6+Comparissons!Y19*'Global Warming Potential GWP'!$E$7+Comparissons!Y31*'Global Warming Potential GWP'!$E$8</f>
        <v>844.76</v>
      </c>
      <c r="Z43" s="44">
        <f>Z7*'Global Warming Potential GWP'!$E$6+Comparissons!Z19*'Global Warming Potential GWP'!$E$7+Comparissons!Z31*'Global Warming Potential GWP'!$E$8</f>
        <v>869.43999999999994</v>
      </c>
      <c r="AA43" s="44">
        <f>AA7*'Global Warming Potential GWP'!$E$6+Comparissons!AA19*'Global Warming Potential GWP'!$E$7+Comparissons!AA31*'Global Warming Potential GWP'!$E$8</f>
        <v>866.07</v>
      </c>
      <c r="AB43" s="44">
        <f>AB7*'Global Warming Potential GWP'!$E$6+Comparissons!AB19*'Global Warming Potential GWP'!$E$7+Comparissons!AB31*'Global Warming Potential GWP'!$E$8</f>
        <v>867.31000000000006</v>
      </c>
      <c r="AC43" s="44">
        <f>AC7*'Global Warming Potential GWP'!$E$6+Comparissons!AC19*'Global Warming Potential GWP'!$E$7+Comparissons!AC31*'Global Warming Potential GWP'!$E$8</f>
        <v>895.71</v>
      </c>
      <c r="AD43" s="44">
        <f>AD7*'Global Warming Potential GWP'!$E$6+Comparissons!AD19*'Global Warming Potential GWP'!$E$7+Comparissons!AD31*'Global Warming Potential GWP'!$E$8</f>
        <v>936.24</v>
      </c>
      <c r="AE43" s="44">
        <f>AE7*'Global Warming Potential GWP'!$E$6+Comparissons!AE19*'Global Warming Potential GWP'!$E$7+Comparissons!AE31*'Global Warming Potential GWP'!$E$8</f>
        <v>948.38</v>
      </c>
      <c r="AF43" s="44">
        <f>AF7*'Global Warming Potential GWP'!$E$6+Comparissons!AF19*'Global Warming Potential GWP'!$E$7+Comparissons!AF31*'Global Warming Potential GWP'!$E$8</f>
        <v>987.28000000000009</v>
      </c>
      <c r="AG43" s="44">
        <f>AG7*'Global Warming Potential GWP'!$E$6+Comparissons!AG19*'Global Warming Potential GWP'!$E$7+Comparissons!AG31*'Global Warming Potential GWP'!$E$8</f>
        <v>1007.67</v>
      </c>
      <c r="AH43" s="44">
        <f>AH7*'Global Warming Potential GWP'!$E$6+Comparissons!AH19*'Global Warming Potential GWP'!$E$7+Comparissons!AH31*'Global Warming Potential GWP'!$E$8</f>
        <v>1021.64</v>
      </c>
      <c r="AI43" s="44">
        <f>AI7*'Global Warming Potential GWP'!$E$6+Comparissons!AI19*'Global Warming Potential GWP'!$E$7+Comparissons!AI31*'Global Warming Potential GWP'!$E$8</f>
        <v>1042.46</v>
      </c>
      <c r="AJ43" s="141">
        <f>AJ7*'Global Warming Potential GWP'!$E$6+Comparissons!AJ19*'Global Warming Potential GWP'!$E$7+Comparissons!AJ31*'Global Warming Potential GWP'!$E$8</f>
        <v>1062.4999999999998</v>
      </c>
    </row>
    <row r="44" spans="2:36" x14ac:dyDescent="0.35">
      <c r="B44" s="311" t="s">
        <v>153</v>
      </c>
      <c r="C44" s="301">
        <f>'Emissions CO2eq.'!D97</f>
        <v>198.42012972039998</v>
      </c>
      <c r="D44" s="56">
        <f>'Emissions CO2eq.'!E97</f>
        <v>200.74250100960003</v>
      </c>
      <c r="E44" s="56">
        <f>'Emissions CO2eq.'!F97</f>
        <v>200.83058247096</v>
      </c>
      <c r="F44" s="56">
        <f>'Emissions CO2eq.'!G97</f>
        <v>217.96112741739998</v>
      </c>
      <c r="G44" s="56">
        <f>'Emissions CO2eq.'!H97</f>
        <v>220.65117408704</v>
      </c>
      <c r="H44" s="56">
        <f>'Emissions CO2eq.'!I97</f>
        <v>227.15545777600002</v>
      </c>
      <c r="I44" s="56">
        <f>'Emissions CO2eq.'!J97</f>
        <v>219.09352763671995</v>
      </c>
      <c r="J44" s="56">
        <f>'Emissions CO2eq.'!K97</f>
        <v>210.88322173966799</v>
      </c>
      <c r="K44" s="56">
        <f>'Emissions CO2eq.'!L97</f>
        <v>220.97156619125047</v>
      </c>
      <c r="L44" s="56">
        <f>'Emissions CO2eq.'!M97</f>
        <v>230.76842706560703</v>
      </c>
      <c r="M44" s="56">
        <f>'Emissions CO2eq.'!N97</f>
        <v>236.08764277671196</v>
      </c>
      <c r="N44" s="56">
        <f>'Emissions CO2eq.'!O97</f>
        <v>238.45887502537173</v>
      </c>
      <c r="O44" s="56">
        <f>'Emissions CO2eq.'!P97</f>
        <v>233.5427526903409</v>
      </c>
      <c r="P44" s="56">
        <f>'Emissions CO2eq.'!Q97</f>
        <v>233.30167375698255</v>
      </c>
      <c r="Q44" s="56">
        <f>'Emissions CO2eq.'!R97</f>
        <v>236.74701333253054</v>
      </c>
      <c r="R44" s="56">
        <f>'Emissions CO2eq.'!S97</f>
        <v>246.87072595066269</v>
      </c>
      <c r="S44" s="193">
        <f>'Emissions CO2eq.'!T97</f>
        <v>248.0972569878505</v>
      </c>
      <c r="T44" s="192">
        <f>T8*'Global Warming Potential GWP'!$E$6+Comparissons!T20*'Global Warming Potential GWP'!$E$7+Comparissons!T32*'Global Warming Potential GWP'!$E$8</f>
        <v>200.06</v>
      </c>
      <c r="U44" s="44">
        <f>U8*'Global Warming Potential GWP'!$E$6+Comparissons!U20*'Global Warming Potential GWP'!$E$7+Comparissons!U32*'Global Warming Potential GWP'!$E$8</f>
        <v>202.36</v>
      </c>
      <c r="V44" s="44">
        <f>V8*'Global Warming Potential GWP'!$E$6+Comparissons!V20*'Global Warming Potential GWP'!$E$7+Comparissons!V32*'Global Warming Potential GWP'!$E$8</f>
        <v>202.06</v>
      </c>
      <c r="W44" s="44">
        <f>W8*'Global Warming Potential GWP'!$E$6+Comparissons!W20*'Global Warming Potential GWP'!$E$7+Comparissons!W32*'Global Warming Potential GWP'!$E$8</f>
        <v>219.67</v>
      </c>
      <c r="X44" s="44">
        <f>X8*'Global Warming Potential GWP'!$E$6+Comparissons!X20*'Global Warming Potential GWP'!$E$7+Comparissons!X32*'Global Warming Potential GWP'!$E$8</f>
        <v>222.17999999999998</v>
      </c>
      <c r="Y44" s="44">
        <f>Y8*'Global Warming Potential GWP'!$E$6+Comparissons!Y20*'Global Warming Potential GWP'!$E$7+Comparissons!Y32*'Global Warming Potential GWP'!$E$8</f>
        <v>228.17999999999998</v>
      </c>
      <c r="Z44" s="44">
        <f>Z8*'Global Warming Potential GWP'!$E$6+Comparissons!Z20*'Global Warming Potential GWP'!$E$7+Comparissons!Z32*'Global Warming Potential GWP'!$E$8</f>
        <v>225.92</v>
      </c>
      <c r="AA44" s="44">
        <f>AA8*'Global Warming Potential GWP'!$E$6+Comparissons!AA20*'Global Warming Potential GWP'!$E$7+Comparissons!AA32*'Global Warming Potential GWP'!$E$8</f>
        <v>208.21</v>
      </c>
      <c r="AB44" s="44">
        <f>AB8*'Global Warming Potential GWP'!$E$6+Comparissons!AB20*'Global Warming Potential GWP'!$E$7+Comparissons!AB32*'Global Warming Potential GWP'!$E$8</f>
        <v>217.53</v>
      </c>
      <c r="AC44" s="44">
        <f>AC8*'Global Warming Potential GWP'!$E$6+Comparissons!AC20*'Global Warming Potential GWP'!$E$7+Comparissons!AC32*'Global Warming Potential GWP'!$E$8</f>
        <v>227.18</v>
      </c>
      <c r="AD44" s="44">
        <f>AD8*'Global Warming Potential GWP'!$E$6+Comparissons!AD20*'Global Warming Potential GWP'!$E$7+Comparissons!AD32*'Global Warming Potential GWP'!$E$8</f>
        <v>226.23</v>
      </c>
      <c r="AE44" s="44">
        <f>AE8*'Global Warming Potential GWP'!$E$6+Comparissons!AE20*'Global Warming Potential GWP'!$E$7+Comparissons!AE32*'Global Warming Potential GWP'!$E$8</f>
        <v>234.63</v>
      </c>
      <c r="AF44" s="44">
        <f>AF8*'Global Warming Potential GWP'!$E$6+Comparissons!AF20*'Global Warming Potential GWP'!$E$7+Comparissons!AF32*'Global Warming Potential GWP'!$E$8</f>
        <v>229.4</v>
      </c>
      <c r="AG44" s="44">
        <f>AG8*'Global Warming Potential GWP'!$E$6+Comparissons!AG20*'Global Warming Potential GWP'!$E$7+Comparissons!AG32*'Global Warming Potential GWP'!$E$8</f>
        <v>229.25</v>
      </c>
      <c r="AH44" s="44">
        <f>AH8*'Global Warming Potential GWP'!$E$6+Comparissons!AH20*'Global Warming Potential GWP'!$E$7+Comparissons!AH32*'Global Warming Potential GWP'!$E$8</f>
        <v>236.20999999999998</v>
      </c>
      <c r="AI44" s="44">
        <f>AI8*'Global Warming Potential GWP'!$E$6+Comparissons!AI20*'Global Warming Potential GWP'!$E$7+Comparissons!AI32*'Global Warming Potential GWP'!$E$8</f>
        <v>246.07999999999998</v>
      </c>
      <c r="AJ44" s="141">
        <f>AJ8*'Global Warming Potential GWP'!$E$6+Comparissons!AJ20*'Global Warming Potential GWP'!$E$7+Comparissons!AJ32*'Global Warming Potential GWP'!$E$8</f>
        <v>247.75</v>
      </c>
    </row>
    <row r="45" spans="2:36" x14ac:dyDescent="0.35">
      <c r="B45" s="312" t="s">
        <v>166</v>
      </c>
      <c r="C45" s="301">
        <f ca="1">'Emissions CO2eq.'!D104</f>
        <v>71.136090493857395</v>
      </c>
      <c r="D45" s="56">
        <f ca="1">'Emissions CO2eq.'!E104</f>
        <v>74.167067329141616</v>
      </c>
      <c r="E45" s="56">
        <f ca="1">'Emissions CO2eq.'!F104</f>
        <v>76.741853088358809</v>
      </c>
      <c r="F45" s="56">
        <f ca="1">'Emissions CO2eq.'!G104</f>
        <v>79.388829047891861</v>
      </c>
      <c r="G45" s="56">
        <f ca="1">'Emissions CO2eq.'!H104</f>
        <v>81.683485677693398</v>
      </c>
      <c r="H45" s="56">
        <f ca="1">'Emissions CO2eq.'!I104</f>
        <v>113.51488537722314</v>
      </c>
      <c r="I45" s="56">
        <f ca="1">'Emissions CO2eq.'!J104</f>
        <v>108.35071124852188</v>
      </c>
      <c r="J45" s="56">
        <f ca="1">'Emissions CO2eq.'!K104</f>
        <v>113.65856367832421</v>
      </c>
      <c r="K45" s="56">
        <f ca="1">'Emissions CO2eq.'!L104</f>
        <v>119.60512949938627</v>
      </c>
      <c r="L45" s="56">
        <f ca="1">'Emissions CO2eq.'!M104</f>
        <v>138.88517782906871</v>
      </c>
      <c r="M45" s="56">
        <f ca="1">'Emissions CO2eq.'!N104</f>
        <v>147.18669392232562</v>
      </c>
      <c r="N45" s="56">
        <f ca="1">'Emissions CO2eq.'!O104</f>
        <v>194.44532707660198</v>
      </c>
      <c r="O45" s="56">
        <f ca="1">'Emissions CO2eq.'!P104</f>
        <v>216.38933623233379</v>
      </c>
      <c r="P45" s="56">
        <f ca="1">'Emissions CO2eq.'!Q104</f>
        <v>306.89431874289073</v>
      </c>
      <c r="Q45" s="56">
        <f ca="1">'Emissions CO2eq.'!R104</f>
        <v>309.96902476830292</v>
      </c>
      <c r="R45" s="56">
        <f ca="1">'Emissions CO2eq.'!S104</f>
        <v>313.98779371987439</v>
      </c>
      <c r="S45" s="193">
        <f ca="1">'Emissions CO2eq.'!T104</f>
        <v>328.28921140651346</v>
      </c>
      <c r="T45" s="239">
        <f>T9*'Global Warming Potential GWP'!$E$6+Comparissons!T50</f>
        <v>44.2</v>
      </c>
      <c r="U45" s="27">
        <f>U9*'Global Warming Potential GWP'!$E$6+Comparissons!U50</f>
        <v>44.1</v>
      </c>
      <c r="V45" s="27">
        <f>V9*'Global Warming Potential GWP'!$E$6+Comparissons!V50</f>
        <v>43.9</v>
      </c>
      <c r="W45" s="27">
        <f>W9*'Global Warming Potential GWP'!$E$6+Comparissons!W50</f>
        <v>43.9</v>
      </c>
      <c r="X45" s="27">
        <f>X9*'Global Warming Potential GWP'!$E$6+Comparissons!X50</f>
        <v>43.5</v>
      </c>
      <c r="Y45" s="27">
        <f>Y9*'Global Warming Potential GWP'!$E$6+Comparissons!Y50</f>
        <v>43.5</v>
      </c>
      <c r="Z45" s="27">
        <f>Z9*'Global Warming Potential GWP'!$E$6+Comparissons!Z50</f>
        <v>42.9</v>
      </c>
      <c r="AA45" s="27">
        <f>AA9*'Global Warming Potential GWP'!$E$6+Comparissons!AA50</f>
        <v>44.79</v>
      </c>
      <c r="AB45" s="27">
        <f>AB9*'Global Warming Potential GWP'!$E$6+Comparissons!AB50</f>
        <v>47.14</v>
      </c>
      <c r="AC45" s="27">
        <f>AC9*'Global Warming Potential GWP'!$E$6+Comparissons!AC50</f>
        <v>49.29</v>
      </c>
      <c r="AD45" s="27">
        <f>AD9*'Global Warming Potential GWP'!$E$6+Comparissons!AD50</f>
        <v>49.89</v>
      </c>
      <c r="AE45" s="27">
        <f>AE9*'Global Warming Potential GWP'!$E$6+Comparissons!AE50</f>
        <v>54.5</v>
      </c>
      <c r="AF45" s="27">
        <f>AF9*'Global Warming Potential GWP'!$E$6+Comparissons!AF50</f>
        <v>51</v>
      </c>
      <c r="AG45" s="27">
        <f>AG9*'Global Warming Potential GWP'!$E$6+Comparissons!AG50</f>
        <v>43.74</v>
      </c>
      <c r="AH45" s="27">
        <f>AH9*'Global Warming Potential GWP'!$E$6+Comparissons!AH50</f>
        <v>44.86</v>
      </c>
      <c r="AI45" s="27">
        <f>AI9*'Global Warming Potential GWP'!$E$6+Comparissons!AI50</f>
        <v>40.17</v>
      </c>
      <c r="AJ45" s="97">
        <f>AJ9*'Global Warming Potential GWP'!$E$6+Comparissons!AJ50</f>
        <v>42.67</v>
      </c>
    </row>
    <row r="46" spans="2:36" x14ac:dyDescent="0.35">
      <c r="B46" s="311" t="s">
        <v>154</v>
      </c>
      <c r="C46" s="301">
        <f>'Emissions CO2eq.'!D105</f>
        <v>2.7547100000000002</v>
      </c>
      <c r="D46" s="56">
        <f>'Emissions CO2eq.'!E105</f>
        <v>2.6980699999999995</v>
      </c>
      <c r="E46" s="56">
        <f>'Emissions CO2eq.'!F105</f>
        <v>2.4720999999999997</v>
      </c>
      <c r="F46" s="56">
        <f>'Emissions CO2eq.'!G105</f>
        <v>2.3487900000000002</v>
      </c>
      <c r="G46" s="56">
        <f>'Emissions CO2eq.'!H105</f>
        <v>1.9169099999999999</v>
      </c>
      <c r="H46" s="56">
        <f>'Emissions CO2eq.'!I105</f>
        <v>1.9705999999999999</v>
      </c>
      <c r="I46" s="56">
        <f>'Emissions CO2eq.'!J105</f>
        <v>2.0354999999999999</v>
      </c>
      <c r="J46" s="56">
        <f>'Emissions CO2eq.'!K105</f>
        <v>1.4401899999999999</v>
      </c>
      <c r="K46" s="56">
        <f>'Emissions CO2eq.'!L105</f>
        <v>1.3623099999999999</v>
      </c>
      <c r="L46" s="56">
        <f>'Emissions CO2eq.'!M105</f>
        <v>1.9458199999999999</v>
      </c>
      <c r="M46" s="56">
        <f>'Emissions CO2eq.'!N105</f>
        <v>2.1558599999999997</v>
      </c>
      <c r="N46" s="56">
        <f>'Emissions CO2eq.'!O105</f>
        <v>1.36585</v>
      </c>
      <c r="O46" s="56">
        <f>'Emissions CO2eq.'!P105</f>
        <v>1.79183</v>
      </c>
      <c r="P46" s="56">
        <f>'Emissions CO2eq.'!Q105</f>
        <v>1.2909199999999998</v>
      </c>
      <c r="Q46" s="56">
        <f>'Emissions CO2eq.'!R105</f>
        <v>0.8024</v>
      </c>
      <c r="R46" s="56">
        <f>'Emissions CO2eq.'!S105</f>
        <v>0</v>
      </c>
      <c r="S46" s="193">
        <f>'Emissions CO2eq.'!T105</f>
        <v>0</v>
      </c>
      <c r="T46" s="239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97"/>
    </row>
    <row r="47" spans="2:36" x14ac:dyDescent="0.35">
      <c r="B47" s="311" t="s">
        <v>155</v>
      </c>
      <c r="C47" s="301">
        <f>'Emissions CO2eq.'!D106</f>
        <v>2.7547100000000002</v>
      </c>
      <c r="D47" s="56">
        <f>'Emissions CO2eq.'!E106</f>
        <v>2.6980699999999995</v>
      </c>
      <c r="E47" s="56">
        <f>'Emissions CO2eq.'!F106</f>
        <v>2.4720999999999997</v>
      </c>
      <c r="F47" s="56">
        <f>'Emissions CO2eq.'!G106</f>
        <v>2.3487900000000002</v>
      </c>
      <c r="G47" s="56">
        <f>'Emissions CO2eq.'!H106</f>
        <v>1.9169099999999999</v>
      </c>
      <c r="H47" s="56">
        <f>'Emissions CO2eq.'!I106</f>
        <v>1.9705999999999999</v>
      </c>
      <c r="I47" s="56">
        <f>'Emissions CO2eq.'!J106</f>
        <v>2.0354999999999999</v>
      </c>
      <c r="J47" s="56">
        <f>'Emissions CO2eq.'!K106</f>
        <v>1.4401899999999999</v>
      </c>
      <c r="K47" s="56">
        <f>'Emissions CO2eq.'!L106</f>
        <v>1.3623099999999999</v>
      </c>
      <c r="L47" s="56">
        <f>'Emissions CO2eq.'!M106</f>
        <v>1.9458199999999999</v>
      </c>
      <c r="M47" s="56">
        <f>'Emissions CO2eq.'!N106</f>
        <v>2.1558599999999997</v>
      </c>
      <c r="N47" s="56">
        <f>'Emissions CO2eq.'!O106</f>
        <v>1.36585</v>
      </c>
      <c r="O47" s="56">
        <f>'Emissions CO2eq.'!P106</f>
        <v>1.79183</v>
      </c>
      <c r="P47" s="56">
        <f>'Emissions CO2eq.'!Q106</f>
        <v>1.2909199999999998</v>
      </c>
      <c r="Q47" s="56">
        <f>'Emissions CO2eq.'!R106</f>
        <v>0.8024</v>
      </c>
      <c r="R47" s="56">
        <f>'Emissions CO2eq.'!S106</f>
        <v>0</v>
      </c>
      <c r="S47" s="193">
        <f>'Emissions CO2eq.'!T106</f>
        <v>0</v>
      </c>
      <c r="T47" s="239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97"/>
    </row>
    <row r="48" spans="2:36" x14ac:dyDescent="0.35">
      <c r="B48" s="313" t="s">
        <v>156</v>
      </c>
      <c r="C48" s="301">
        <f>'Emissions CO2eq.'!D107</f>
        <v>19.570562830282945</v>
      </c>
      <c r="D48" s="56">
        <f>'Emissions CO2eq.'!E107</f>
        <v>20.22387731510333</v>
      </c>
      <c r="E48" s="56">
        <f>'Emissions CO2eq.'!F107</f>
        <v>20.899001076426266</v>
      </c>
      <c r="F48" s="56">
        <f>'Emissions CO2eq.'!G107</f>
        <v>21.574124837749199</v>
      </c>
      <c r="G48" s="56">
        <f>'Emissions CO2eq.'!H107</f>
        <v>22.249248599072132</v>
      </c>
      <c r="H48" s="56">
        <f>'Emissions CO2eq.'!I107</f>
        <v>22.924372360395068</v>
      </c>
      <c r="I48" s="56">
        <f>'Emissions CO2eq.'!J107</f>
        <v>23.599496121718001</v>
      </c>
      <c r="J48" s="56">
        <f>'Emissions CO2eq.'!K107</f>
        <v>24.274619883040934</v>
      </c>
      <c r="K48" s="56">
        <f>'Emissions CO2eq.'!L107</f>
        <v>28.567309941520467</v>
      </c>
      <c r="L48" s="56">
        <f>'Emissions CO2eq.'!M107</f>
        <v>32.86</v>
      </c>
      <c r="M48" s="56">
        <f>'Emissions CO2eq.'!N107</f>
        <v>34.979999999999997</v>
      </c>
      <c r="N48" s="56">
        <f>'Emissions CO2eq.'!O107</f>
        <v>37.1</v>
      </c>
      <c r="O48" s="56">
        <f>'Emissions CO2eq.'!P107</f>
        <v>34.131999999999998</v>
      </c>
      <c r="P48" s="56">
        <f>'Emissions CO2eq.'!Q107</f>
        <v>28.302</v>
      </c>
      <c r="Q48" s="56">
        <f>'Emissions CO2eq.'!R107</f>
        <v>26.5</v>
      </c>
      <c r="R48" s="56">
        <f>'Emissions CO2eq.'!S107</f>
        <v>25.44</v>
      </c>
      <c r="S48" s="193">
        <f>'Emissions CO2eq.'!T107</f>
        <v>21.411999999999999</v>
      </c>
      <c r="T48" s="239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97"/>
    </row>
    <row r="49" spans="2:36" x14ac:dyDescent="0.35">
      <c r="B49" s="311" t="s">
        <v>157</v>
      </c>
      <c r="C49" s="301">
        <f>'Emissions CO2eq.'!D108</f>
        <v>19.570562830282945</v>
      </c>
      <c r="D49" s="56">
        <f>'Emissions CO2eq.'!E108</f>
        <v>20.22387731510333</v>
      </c>
      <c r="E49" s="56">
        <f>'Emissions CO2eq.'!F108</f>
        <v>20.899001076426266</v>
      </c>
      <c r="F49" s="56">
        <f>'Emissions CO2eq.'!G108</f>
        <v>21.574124837749199</v>
      </c>
      <c r="G49" s="56">
        <f>'Emissions CO2eq.'!H108</f>
        <v>22.249248599072132</v>
      </c>
      <c r="H49" s="56">
        <f>'Emissions CO2eq.'!I108</f>
        <v>22.924372360395068</v>
      </c>
      <c r="I49" s="56">
        <f>'Emissions CO2eq.'!J108</f>
        <v>23.599496121718001</v>
      </c>
      <c r="J49" s="56">
        <f>'Emissions CO2eq.'!K108</f>
        <v>24.274619883040934</v>
      </c>
      <c r="K49" s="56">
        <f>'Emissions CO2eq.'!L108</f>
        <v>28.567309941520467</v>
      </c>
      <c r="L49" s="56">
        <f>'Emissions CO2eq.'!M108</f>
        <v>32.86</v>
      </c>
      <c r="M49" s="56">
        <f>'Emissions CO2eq.'!N108</f>
        <v>34.979999999999997</v>
      </c>
      <c r="N49" s="56">
        <f>'Emissions CO2eq.'!O108</f>
        <v>37.1</v>
      </c>
      <c r="O49" s="56">
        <f>'Emissions CO2eq.'!P108</f>
        <v>34.131999999999998</v>
      </c>
      <c r="P49" s="56">
        <f>'Emissions CO2eq.'!Q108</f>
        <v>28.302</v>
      </c>
      <c r="Q49" s="56">
        <f>'Emissions CO2eq.'!R108</f>
        <v>26.5</v>
      </c>
      <c r="R49" s="56">
        <f>'Emissions CO2eq.'!S108</f>
        <v>25.44</v>
      </c>
      <c r="S49" s="193">
        <f>'Emissions CO2eq.'!T108</f>
        <v>21.411999999999999</v>
      </c>
      <c r="T49" s="239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97"/>
    </row>
    <row r="50" spans="2:36" x14ac:dyDescent="0.35">
      <c r="B50" s="311" t="s">
        <v>158</v>
      </c>
      <c r="C50" s="301">
        <f ca="1">'Emissions CO2eq.'!D111</f>
        <v>48.810817663574454</v>
      </c>
      <c r="D50" s="56">
        <f ca="1">'Emissions CO2eq.'!E111</f>
        <v>51.245120014038285</v>
      </c>
      <c r="E50" s="56">
        <f ca="1">'Emissions CO2eq.'!F111</f>
        <v>53.370752011932538</v>
      </c>
      <c r="F50" s="56">
        <f ca="1">'Emissions CO2eq.'!G111</f>
        <v>55.465914210142664</v>
      </c>
      <c r="G50" s="56">
        <f ca="1">'Emissions CO2eq.'!H111</f>
        <v>57.517327078621264</v>
      </c>
      <c r="H50" s="56">
        <f ca="1">'Emissions CO2eq.'!I111</f>
        <v>88.619913016828065</v>
      </c>
      <c r="I50" s="56">
        <f ca="1">'Emissions CO2eq.'!J111</f>
        <v>82.715715126803872</v>
      </c>
      <c r="J50" s="56">
        <f ca="1">'Emissions CO2eq.'!K111</f>
        <v>87.943753795283271</v>
      </c>
      <c r="K50" s="56">
        <f ca="1">'Emissions CO2eq.'!L111</f>
        <v>89.675509557865794</v>
      </c>
      <c r="L50" s="56">
        <f ca="1">'Emissions CO2eq.'!M111</f>
        <v>104.07935782906873</v>
      </c>
      <c r="M50" s="56">
        <f ca="1">'Emissions CO2eq.'!N111</f>
        <v>110.05083392232561</v>
      </c>
      <c r="N50" s="56">
        <f ca="1">'Emissions CO2eq.'!O111</f>
        <v>146.54587707660198</v>
      </c>
      <c r="O50" s="56">
        <f ca="1">'Emissions CO2eq.'!P111</f>
        <v>169.85270623233379</v>
      </c>
      <c r="P50" s="56">
        <f ca="1">'Emissions CO2eq.'!Q111</f>
        <v>267.27819874289071</v>
      </c>
      <c r="Q50" s="56">
        <f ca="1">'Emissions CO2eq.'!R111</f>
        <v>273.82262476830289</v>
      </c>
      <c r="R50" s="56">
        <f ca="1">'Emissions CO2eq.'!S111</f>
        <v>282.06219371987436</v>
      </c>
      <c r="S50" s="193">
        <f ca="1">'Emissions CO2eq.'!T111</f>
        <v>299.21241140651347</v>
      </c>
      <c r="T50" s="239"/>
      <c r="U50" s="27"/>
      <c r="V50" s="27"/>
      <c r="W50" s="27"/>
      <c r="X50" s="27"/>
      <c r="Y50" s="27"/>
      <c r="Z50" s="27">
        <v>0.9</v>
      </c>
      <c r="AA50" s="27">
        <v>2.8</v>
      </c>
      <c r="AB50" s="27">
        <v>3.8</v>
      </c>
      <c r="AC50" s="27">
        <v>4.5999999999999996</v>
      </c>
      <c r="AD50" s="27">
        <v>5.2</v>
      </c>
      <c r="AE50" s="27">
        <v>5.7</v>
      </c>
      <c r="AF50" s="27">
        <v>6</v>
      </c>
      <c r="AG50" s="27">
        <v>6.2</v>
      </c>
      <c r="AH50" s="27">
        <v>6.92</v>
      </c>
      <c r="AI50" s="27">
        <v>7.77</v>
      </c>
      <c r="AJ50" s="97">
        <v>8.92</v>
      </c>
    </row>
    <row r="51" spans="2:36" ht="15" thickBot="1" x14ac:dyDescent="0.4">
      <c r="B51" s="314" t="s">
        <v>159</v>
      </c>
      <c r="C51" s="304">
        <f ca="1">'Emissions CO2eq.'!D112+'Emissions CO2eq.'!D113</f>
        <v>48.810817663574454</v>
      </c>
      <c r="D51" s="143">
        <f ca="1">'Emissions CO2eq.'!E112+'Emissions CO2eq.'!E113</f>
        <v>51.245120014038285</v>
      </c>
      <c r="E51" s="143">
        <f ca="1">'Emissions CO2eq.'!F112+'Emissions CO2eq.'!F113</f>
        <v>53.370752011932538</v>
      </c>
      <c r="F51" s="143">
        <f ca="1">'Emissions CO2eq.'!G112+'Emissions CO2eq.'!G113</f>
        <v>55.465914210142664</v>
      </c>
      <c r="G51" s="143">
        <f ca="1">'Emissions CO2eq.'!H112+'Emissions CO2eq.'!H113</f>
        <v>57.517327078621264</v>
      </c>
      <c r="H51" s="143">
        <f ca="1">'Emissions CO2eq.'!I112+'Emissions CO2eq.'!I113</f>
        <v>88.619913016828065</v>
      </c>
      <c r="I51" s="143">
        <f ca="1">'Emissions CO2eq.'!J112+'Emissions CO2eq.'!J113</f>
        <v>82.715715126803872</v>
      </c>
      <c r="J51" s="143">
        <f ca="1">'Emissions CO2eq.'!K112+'Emissions CO2eq.'!K113</f>
        <v>87.943753795283271</v>
      </c>
      <c r="K51" s="143">
        <f ca="1">'Emissions CO2eq.'!L112+'Emissions CO2eq.'!L113</f>
        <v>89.675509557865794</v>
      </c>
      <c r="L51" s="143">
        <f ca="1">'Emissions CO2eq.'!M112+'Emissions CO2eq.'!M113</f>
        <v>104.07935782906873</v>
      </c>
      <c r="M51" s="143">
        <f ca="1">'Emissions CO2eq.'!N112+'Emissions CO2eq.'!N113</f>
        <v>110.05083392232561</v>
      </c>
      <c r="N51" s="143">
        <f ca="1">'Emissions CO2eq.'!O112+'Emissions CO2eq.'!O113</f>
        <v>146.54587707660198</v>
      </c>
      <c r="O51" s="143">
        <f ca="1">'Emissions CO2eq.'!P112+'Emissions CO2eq.'!P113</f>
        <v>169.85270623233379</v>
      </c>
      <c r="P51" s="143">
        <f ca="1">'Emissions CO2eq.'!Q112+'Emissions CO2eq.'!Q113</f>
        <v>267.27819874289071</v>
      </c>
      <c r="Q51" s="143">
        <f ca="1">'Emissions CO2eq.'!R112+'Emissions CO2eq.'!R113</f>
        <v>273.82262476830289</v>
      </c>
      <c r="R51" s="143">
        <f ca="1">'Emissions CO2eq.'!S112+'Emissions CO2eq.'!S113</f>
        <v>282.06219371987436</v>
      </c>
      <c r="S51" s="194">
        <f ca="1">'Emissions CO2eq.'!T112+'Emissions CO2eq.'!T113</f>
        <v>299.21241140651347</v>
      </c>
      <c r="T51" s="29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3"/>
    </row>
    <row r="52" spans="2:36" ht="15" thickBot="1" x14ac:dyDescent="0.4"/>
    <row r="53" spans="2:36" s="110" customFormat="1" ht="15" thickBot="1" x14ac:dyDescent="0.4">
      <c r="C53" s="748" t="s">
        <v>176</v>
      </c>
      <c r="D53" s="749"/>
      <c r="E53" s="749"/>
      <c r="F53" s="749"/>
      <c r="G53" s="749"/>
      <c r="H53" s="749"/>
      <c r="I53" s="749"/>
      <c r="J53" s="749"/>
      <c r="K53" s="749"/>
      <c r="L53" s="749"/>
      <c r="M53" s="749"/>
      <c r="N53" s="749"/>
      <c r="O53" s="749"/>
      <c r="P53" s="749"/>
      <c r="Q53" s="749"/>
      <c r="R53" s="749"/>
      <c r="S53" s="750"/>
    </row>
    <row r="54" spans="2:36" x14ac:dyDescent="0.35">
      <c r="B54" s="309" t="s">
        <v>167</v>
      </c>
      <c r="C54" s="315">
        <v>2000</v>
      </c>
      <c r="D54" s="297">
        <v>2001</v>
      </c>
      <c r="E54" s="297">
        <v>2002</v>
      </c>
      <c r="F54" s="297">
        <v>2003</v>
      </c>
      <c r="G54" s="297">
        <v>2004</v>
      </c>
      <c r="H54" s="297">
        <v>2005</v>
      </c>
      <c r="I54" s="297">
        <v>2006</v>
      </c>
      <c r="J54" s="297">
        <v>2007</v>
      </c>
      <c r="K54" s="297">
        <v>2008</v>
      </c>
      <c r="L54" s="297">
        <v>2009</v>
      </c>
      <c r="M54" s="297">
        <v>2010</v>
      </c>
      <c r="N54" s="297">
        <v>2011</v>
      </c>
      <c r="O54" s="297">
        <v>2012</v>
      </c>
      <c r="P54" s="297">
        <v>2013</v>
      </c>
      <c r="Q54" s="297">
        <v>2014</v>
      </c>
      <c r="R54" s="297">
        <v>2015</v>
      </c>
      <c r="S54" s="298">
        <v>2016</v>
      </c>
    </row>
    <row r="55" spans="2:36" x14ac:dyDescent="0.35">
      <c r="B55" s="310" t="s">
        <v>165</v>
      </c>
      <c r="C55" s="316">
        <f t="shared" ref="C55:L60" si="5">C40-T40</f>
        <v>8.7846465615630223</v>
      </c>
      <c r="D55" s="109">
        <f t="shared" si="5"/>
        <v>-19.856635445618394</v>
      </c>
      <c r="E55" s="109">
        <f t="shared" si="5"/>
        <v>15.433860783255568</v>
      </c>
      <c r="F55" s="109">
        <f t="shared" si="5"/>
        <v>-20.876839066751018</v>
      </c>
      <c r="G55" s="109">
        <f t="shared" si="5"/>
        <v>4.9339776188721771</v>
      </c>
      <c r="H55" s="109">
        <f t="shared" si="5"/>
        <v>28.468507572799354</v>
      </c>
      <c r="I55" s="109">
        <f t="shared" si="5"/>
        <v>-77.623840123840637</v>
      </c>
      <c r="J55" s="109">
        <f t="shared" si="5"/>
        <v>-59.760911924685388</v>
      </c>
      <c r="K55" s="109">
        <f t="shared" si="5"/>
        <v>-76.112125240696059</v>
      </c>
      <c r="L55" s="109">
        <f t="shared" si="5"/>
        <v>-86.626479673670474</v>
      </c>
      <c r="M55" s="109">
        <f t="shared" ref="M55:S60" si="6">M40-AD40</f>
        <v>-63.842905592671286</v>
      </c>
      <c r="N55" s="109">
        <f t="shared" si="6"/>
        <v>-15.971584647491454</v>
      </c>
      <c r="O55" s="109">
        <f t="shared" si="6"/>
        <v>-41.041297574075543</v>
      </c>
      <c r="P55" s="109">
        <f t="shared" si="6"/>
        <v>-20.859799980367825</v>
      </c>
      <c r="Q55" s="109">
        <f t="shared" si="6"/>
        <v>-83.585339335195386</v>
      </c>
      <c r="R55" s="109">
        <f t="shared" si="6"/>
        <v>-39.042635318668999</v>
      </c>
      <c r="S55" s="305">
        <f t="shared" si="6"/>
        <v>62.497214998156778</v>
      </c>
    </row>
    <row r="56" spans="2:36" x14ac:dyDescent="0.35">
      <c r="B56" s="311" t="s">
        <v>150</v>
      </c>
      <c r="C56" s="316">
        <f t="shared" si="5"/>
        <v>154.29610636130997</v>
      </c>
      <c r="D56" s="109">
        <f t="shared" si="5"/>
        <v>120.89266591198975</v>
      </c>
      <c r="E56" s="109">
        <f t="shared" si="5"/>
        <v>146.0205011934197</v>
      </c>
      <c r="F56" s="109">
        <f t="shared" si="5"/>
        <v>110.23584978710983</v>
      </c>
      <c r="G56" s="109">
        <f t="shared" si="5"/>
        <v>122.10850368418983</v>
      </c>
      <c r="H56" s="109">
        <f t="shared" si="5"/>
        <v>157.28969784079436</v>
      </c>
      <c r="I56" s="109">
        <f t="shared" si="5"/>
        <v>60.793037359950404</v>
      </c>
      <c r="J56" s="109">
        <f t="shared" si="5"/>
        <v>28.542061447463539</v>
      </c>
      <c r="K56" s="109">
        <f t="shared" si="5"/>
        <v>-22.443990030826626</v>
      </c>
      <c r="L56" s="109">
        <f t="shared" si="5"/>
        <v>-36.880886119308798</v>
      </c>
      <c r="M56" s="109">
        <f t="shared" si="6"/>
        <v>-26.410202546731398</v>
      </c>
      <c r="N56" s="109">
        <f t="shared" si="6"/>
        <v>-2.6425830373500503</v>
      </c>
      <c r="O56" s="109">
        <f t="shared" si="6"/>
        <v>-37.51455812337008</v>
      </c>
      <c r="P56" s="109">
        <f t="shared" si="6"/>
        <v>-46.996219398011817</v>
      </c>
      <c r="Q56" s="109">
        <f t="shared" si="6"/>
        <v>-52.040121002232354</v>
      </c>
      <c r="R56" s="109">
        <f t="shared" si="6"/>
        <v>-74.11259262673002</v>
      </c>
      <c r="S56" s="305">
        <f t="shared" si="6"/>
        <v>-38.693015546079096</v>
      </c>
    </row>
    <row r="57" spans="2:36" x14ac:dyDescent="0.35">
      <c r="B57" s="311" t="s">
        <v>151</v>
      </c>
      <c r="C57" s="316">
        <f t="shared" si="5"/>
        <v>13.76092308465735</v>
      </c>
      <c r="D57" s="109">
        <f t="shared" si="5"/>
        <v>8.7677575920708364</v>
      </c>
      <c r="E57" s="109">
        <f t="shared" si="5"/>
        <v>9.5307978805620337</v>
      </c>
      <c r="F57" s="109">
        <f t="shared" si="5"/>
        <v>9.5874697023485282</v>
      </c>
      <c r="G57" s="109">
        <f t="shared" si="5"/>
        <v>8.9647200408933827</v>
      </c>
      <c r="H57" s="109">
        <f t="shared" si="5"/>
        <v>1.0369174138344306</v>
      </c>
      <c r="I57" s="109">
        <f t="shared" si="5"/>
        <v>-10.936807324954998</v>
      </c>
      <c r="J57" s="109">
        <f t="shared" si="5"/>
        <v>-11.342875585184515</v>
      </c>
      <c r="K57" s="109">
        <f t="shared" si="5"/>
        <v>-9.5675195781071238</v>
      </c>
      <c r="L57" s="109">
        <f t="shared" si="5"/>
        <v>-8.6799539849590133</v>
      </c>
      <c r="M57" s="109">
        <f t="shared" si="6"/>
        <v>-8.2365864141373208</v>
      </c>
      <c r="N57" s="109">
        <f t="shared" si="6"/>
        <v>-7.1121379576468371</v>
      </c>
      <c r="O57" s="109">
        <f t="shared" si="6"/>
        <v>-7.8766354638510165</v>
      </c>
      <c r="P57" s="109">
        <f t="shared" si="6"/>
        <v>-8.5126889344671213</v>
      </c>
      <c r="Q57" s="109">
        <f t="shared" si="6"/>
        <v>-8.7417577586633115</v>
      </c>
      <c r="R57" s="109">
        <f t="shared" si="6"/>
        <v>-11.921555191103664</v>
      </c>
      <c r="S57" s="305">
        <f t="shared" si="6"/>
        <v>-7.2274748606160415</v>
      </c>
    </row>
    <row r="58" spans="2:36" x14ac:dyDescent="0.35">
      <c r="B58" s="311" t="s">
        <v>152</v>
      </c>
      <c r="C58" s="316">
        <f t="shared" si="5"/>
        <v>-157.63251260480456</v>
      </c>
      <c r="D58" s="109">
        <f t="shared" si="5"/>
        <v>-147.8995599592788</v>
      </c>
      <c r="E58" s="109">
        <f t="shared" si="5"/>
        <v>-138.88802076168599</v>
      </c>
      <c r="F58" s="109">
        <f t="shared" si="5"/>
        <v>-138.99128597361005</v>
      </c>
      <c r="G58" s="109">
        <f t="shared" si="5"/>
        <v>-124.61042019325112</v>
      </c>
      <c r="H58" s="109">
        <f t="shared" si="5"/>
        <v>-128.83356545782976</v>
      </c>
      <c r="I58" s="109">
        <f t="shared" si="5"/>
        <v>-120.65359779555604</v>
      </c>
      <c r="J58" s="109">
        <f t="shared" si="5"/>
        <v>-79.633319526632476</v>
      </c>
      <c r="K58" s="109">
        <f t="shared" si="5"/>
        <v>-47.542181823012584</v>
      </c>
      <c r="L58" s="109">
        <f t="shared" si="5"/>
        <v>-44.654066635009826</v>
      </c>
      <c r="M58" s="109">
        <f t="shared" si="6"/>
        <v>-39.05375940851502</v>
      </c>
      <c r="N58" s="109">
        <f t="shared" si="6"/>
        <v>-10.045738677866439</v>
      </c>
      <c r="O58" s="109">
        <f t="shared" si="6"/>
        <v>0.20714332280454073</v>
      </c>
      <c r="P58" s="109">
        <f t="shared" si="6"/>
        <v>29.825740392728562</v>
      </c>
      <c r="Q58" s="109">
        <f t="shared" si="6"/>
        <v>-24.148060862831016</v>
      </c>
      <c r="R58" s="109">
        <f t="shared" si="6"/>
        <v>45.348333650502354</v>
      </c>
      <c r="S58" s="305">
        <f t="shared" si="6"/>
        <v>107.19705807940159</v>
      </c>
    </row>
    <row r="59" spans="2:36" x14ac:dyDescent="0.35">
      <c r="B59" s="311" t="s">
        <v>153</v>
      </c>
      <c r="C59" s="316">
        <f t="shared" si="5"/>
        <v>-1.639870279600018</v>
      </c>
      <c r="D59" s="109">
        <f t="shared" si="5"/>
        <v>-1.6174989903999801</v>
      </c>
      <c r="E59" s="109">
        <f t="shared" si="5"/>
        <v>-1.2294175290400062</v>
      </c>
      <c r="F59" s="109">
        <f t="shared" si="5"/>
        <v>-1.7088725826000086</v>
      </c>
      <c r="G59" s="109">
        <f t="shared" si="5"/>
        <v>-1.5288259129599737</v>
      </c>
      <c r="H59" s="109">
        <f t="shared" si="5"/>
        <v>-1.0245422239999584</v>
      </c>
      <c r="I59" s="109">
        <f t="shared" si="5"/>
        <v>-6.8264723632800326</v>
      </c>
      <c r="J59" s="109">
        <f t="shared" si="5"/>
        <v>2.67322173966798</v>
      </c>
      <c r="K59" s="109">
        <f t="shared" si="5"/>
        <v>3.4415661912504731</v>
      </c>
      <c r="L59" s="109">
        <f t="shared" si="5"/>
        <v>3.5884270656070214</v>
      </c>
      <c r="M59" s="109">
        <f t="shared" si="6"/>
        <v>9.8576427767119696</v>
      </c>
      <c r="N59" s="109">
        <f t="shared" si="6"/>
        <v>3.8288750253717296</v>
      </c>
      <c r="O59" s="109">
        <f t="shared" si="6"/>
        <v>4.1427526903408989</v>
      </c>
      <c r="P59" s="109">
        <f t="shared" si="6"/>
        <v>4.0516737569825523</v>
      </c>
      <c r="Q59" s="109">
        <f t="shared" si="6"/>
        <v>0.53701333253056305</v>
      </c>
      <c r="R59" s="109">
        <f t="shared" si="6"/>
        <v>0.79072595066270424</v>
      </c>
      <c r="S59" s="305">
        <f t="shared" si="6"/>
        <v>0.34725698785049985</v>
      </c>
    </row>
    <row r="60" spans="2:36" x14ac:dyDescent="0.35">
      <c r="B60" s="312" t="s">
        <v>166</v>
      </c>
      <c r="C60" s="316">
        <f t="shared" ca="1" si="5"/>
        <v>26.936090493857392</v>
      </c>
      <c r="D60" s="109">
        <f t="shared" ca="1" si="5"/>
        <v>30.067067329141615</v>
      </c>
      <c r="E60" s="109">
        <f t="shared" ca="1" si="5"/>
        <v>32.84185308835881</v>
      </c>
      <c r="F60" s="109">
        <f t="shared" ca="1" si="5"/>
        <v>35.488829047891862</v>
      </c>
      <c r="G60" s="109">
        <f t="shared" ca="1" si="5"/>
        <v>38.183485677693398</v>
      </c>
      <c r="H60" s="109">
        <f t="shared" ca="1" si="5"/>
        <v>70.014885377223138</v>
      </c>
      <c r="I60" s="109">
        <f t="shared" ca="1" si="5"/>
        <v>65.450711248521884</v>
      </c>
      <c r="J60" s="109">
        <f t="shared" ca="1" si="5"/>
        <v>68.868563678324222</v>
      </c>
      <c r="K60" s="109">
        <f t="shared" ca="1" si="5"/>
        <v>72.465129499386265</v>
      </c>
      <c r="L60" s="109">
        <f t="shared" ca="1" si="5"/>
        <v>89.595177829068717</v>
      </c>
      <c r="M60" s="109">
        <f t="shared" ca="1" si="6"/>
        <v>97.296693922325616</v>
      </c>
      <c r="N60" s="109">
        <f t="shared" ca="1" si="6"/>
        <v>139.94532707660198</v>
      </c>
      <c r="O60" s="109">
        <f t="shared" ca="1" si="6"/>
        <v>165.38933623233379</v>
      </c>
      <c r="P60" s="109">
        <f t="shared" ca="1" si="6"/>
        <v>263.15431874289072</v>
      </c>
      <c r="Q60" s="109">
        <f t="shared" ca="1" si="6"/>
        <v>265.1090247683029</v>
      </c>
      <c r="R60" s="109">
        <f t="shared" ca="1" si="6"/>
        <v>273.81779371987437</v>
      </c>
      <c r="S60" s="305">
        <f t="shared" ca="1" si="6"/>
        <v>285.61921140651344</v>
      </c>
    </row>
    <row r="61" spans="2:36" x14ac:dyDescent="0.35">
      <c r="B61" s="310" t="s">
        <v>165</v>
      </c>
      <c r="C61" s="317">
        <f>C55/C40</f>
        <v>3.7797331480892973E-3</v>
      </c>
      <c r="D61" s="108">
        <f t="shared" ref="D61:S61" si="7">D55/D40</f>
        <v>-7.9926454112641699E-3</v>
      </c>
      <c r="E61" s="108">
        <f t="shared" si="7"/>
        <v>6.0836430091482279E-3</v>
      </c>
      <c r="F61" s="108">
        <f t="shared" si="7"/>
        <v>-7.814787611495266E-3</v>
      </c>
      <c r="G61" s="108">
        <f t="shared" si="7"/>
        <v>1.8288730694828201E-3</v>
      </c>
      <c r="H61" s="108">
        <f t="shared" si="7"/>
        <v>9.8717754880508265E-3</v>
      </c>
      <c r="I61" s="108">
        <f t="shared" si="7"/>
        <v>-2.3883404870919559E-2</v>
      </c>
      <c r="J61" s="108">
        <f t="shared" si="7"/>
        <v>-1.7487659297962609E-2</v>
      </c>
      <c r="K61" s="108">
        <f t="shared" si="7"/>
        <v>-2.1627998580736489E-2</v>
      </c>
      <c r="L61" s="108">
        <f t="shared" si="7"/>
        <v>-2.4986772499870878E-2</v>
      </c>
      <c r="M61" s="108">
        <f t="shared" si="7"/>
        <v>-1.7138404298870168E-2</v>
      </c>
      <c r="N61" s="108">
        <f t="shared" si="7"/>
        <v>-4.2739758787233963E-3</v>
      </c>
      <c r="O61" s="108">
        <f t="shared" si="7"/>
        <v>-1.0702362179202318E-2</v>
      </c>
      <c r="P61" s="108">
        <f t="shared" si="7"/>
        <v>-5.2879632837076317E-3</v>
      </c>
      <c r="Q61" s="108">
        <f t="shared" si="7"/>
        <v>-2.088007624575865E-2</v>
      </c>
      <c r="R61" s="108">
        <f t="shared" si="7"/>
        <v>-9.6439254656102424E-3</v>
      </c>
      <c r="S61" s="306">
        <f t="shared" si="7"/>
        <v>1.4962414361797091E-2</v>
      </c>
    </row>
    <row r="62" spans="2:36" x14ac:dyDescent="0.35">
      <c r="B62" s="311" t="s">
        <v>150</v>
      </c>
      <c r="C62" s="317">
        <f t="shared" ref="C62:S62" si="8">C56/C41</f>
        <v>0.13093627530304175</v>
      </c>
      <c r="D62" s="108">
        <f t="shared" si="8"/>
        <v>9.3797942255117603E-2</v>
      </c>
      <c r="E62" s="108">
        <f t="shared" si="8"/>
        <v>0.11144046809142211</v>
      </c>
      <c r="F62" s="108">
        <f t="shared" si="8"/>
        <v>7.8693472000008341E-2</v>
      </c>
      <c r="G62" s="108">
        <f t="shared" si="8"/>
        <v>8.6240391498789551E-2</v>
      </c>
      <c r="H62" s="108">
        <f t="shared" si="8"/>
        <v>9.909949519882251E-2</v>
      </c>
      <c r="I62" s="108">
        <f t="shared" si="8"/>
        <v>3.2566366202135259E-2</v>
      </c>
      <c r="J62" s="108">
        <f t="shared" si="8"/>
        <v>1.421713313521279E-2</v>
      </c>
      <c r="K62" s="108">
        <f t="shared" si="8"/>
        <v>-1.1016720409116448E-2</v>
      </c>
      <c r="L62" s="108">
        <f t="shared" si="8"/>
        <v>-1.8267639285665944E-2</v>
      </c>
      <c r="M62" s="108">
        <f t="shared" si="8"/>
        <v>-1.1898364587527879E-2</v>
      </c>
      <c r="N62" s="108">
        <f t="shared" si="8"/>
        <v>-1.1987398938248055E-3</v>
      </c>
      <c r="O62" s="108">
        <f t="shared" si="8"/>
        <v>-1.6560851120742254E-2</v>
      </c>
      <c r="P62" s="108">
        <f t="shared" si="8"/>
        <v>-2.0090347054772403E-2</v>
      </c>
      <c r="Q62" s="108">
        <f t="shared" si="8"/>
        <v>-2.151378450111963E-2</v>
      </c>
      <c r="R62" s="108">
        <f t="shared" si="8"/>
        <v>-3.1394097571887623E-2</v>
      </c>
      <c r="S62" s="306">
        <f t="shared" si="8"/>
        <v>-1.6000241409408481E-2</v>
      </c>
    </row>
    <row r="63" spans="2:36" x14ac:dyDescent="0.35">
      <c r="B63" s="311" t="s">
        <v>151</v>
      </c>
      <c r="C63" s="317">
        <f t="shared" ref="C63:S63" si="9">C57/C42</f>
        <v>3.6971759689933437E-2</v>
      </c>
      <c r="D63" s="108">
        <f t="shared" si="9"/>
        <v>2.2247107353684931E-2</v>
      </c>
      <c r="E63" s="108">
        <f t="shared" si="9"/>
        <v>2.4143834367741354E-2</v>
      </c>
      <c r="F63" s="108">
        <f t="shared" si="9"/>
        <v>2.4264859029318544E-2</v>
      </c>
      <c r="G63" s="108">
        <f t="shared" si="9"/>
        <v>2.4112015468932321E-2</v>
      </c>
      <c r="H63" s="108">
        <f t="shared" si="9"/>
        <v>2.932816083529573E-3</v>
      </c>
      <c r="I63" s="108">
        <f t="shared" si="9"/>
        <v>-2.6322470542877504E-2</v>
      </c>
      <c r="J63" s="108">
        <f t="shared" si="9"/>
        <v>-2.7503405929807309E-2</v>
      </c>
      <c r="K63" s="108">
        <f t="shared" si="9"/>
        <v>-2.1688048652573861E-2</v>
      </c>
      <c r="L63" s="108">
        <f t="shared" si="9"/>
        <v>-2.3706002715079413E-2</v>
      </c>
      <c r="M63" s="108">
        <f t="shared" si="9"/>
        <v>-2.2128666279882185E-2</v>
      </c>
      <c r="N63" s="108">
        <f t="shared" si="9"/>
        <v>-1.9996009638631775E-2</v>
      </c>
      <c r="O63" s="108">
        <f t="shared" si="9"/>
        <v>-2.2601318280914339E-2</v>
      </c>
      <c r="P63" s="108">
        <f t="shared" si="9"/>
        <v>-2.5490350569976492E-2</v>
      </c>
      <c r="Q63" s="108">
        <f t="shared" si="9"/>
        <v>-2.503738155044433E-2</v>
      </c>
      <c r="R63" s="108">
        <f t="shared" si="9"/>
        <v>-3.3851855175647205E-2</v>
      </c>
      <c r="S63" s="306">
        <f t="shared" si="9"/>
        <v>-2.1257121127712619E-2</v>
      </c>
    </row>
    <row r="64" spans="2:36" x14ac:dyDescent="0.35">
      <c r="B64" s="311" t="s">
        <v>152</v>
      </c>
      <c r="C64" s="317">
        <f t="shared" ref="C64:S64" si="10">C58/C43</f>
        <v>-0.27408749700647939</v>
      </c>
      <c r="D64" s="108">
        <f t="shared" si="10"/>
        <v>-0.24623233431619881</v>
      </c>
      <c r="E64" s="108">
        <f t="shared" si="10"/>
        <v>-0.22008618064634883</v>
      </c>
      <c r="F64" s="108">
        <f t="shared" si="10"/>
        <v>-0.21137792989133852</v>
      </c>
      <c r="G64" s="108">
        <f t="shared" si="10"/>
        <v>-0.18073374640862053</v>
      </c>
      <c r="H64" s="108">
        <f t="shared" si="10"/>
        <v>-0.17995363663337546</v>
      </c>
      <c r="I64" s="108">
        <f t="shared" si="10"/>
        <v>-0.16113219663224271</v>
      </c>
      <c r="J64" s="108">
        <f t="shared" si="10"/>
        <v>-0.10125839944126212</v>
      </c>
      <c r="K64" s="108">
        <f t="shared" si="10"/>
        <v>-5.7994691629561203E-2</v>
      </c>
      <c r="L64" s="108">
        <f t="shared" si="10"/>
        <v>-5.2469015119196813E-2</v>
      </c>
      <c r="M64" s="108">
        <f t="shared" si="10"/>
        <v>-4.3529155532711E-2</v>
      </c>
      <c r="N64" s="108">
        <f t="shared" si="10"/>
        <v>-1.0705927612311388E-2</v>
      </c>
      <c r="O64" s="108">
        <f t="shared" si="10"/>
        <v>2.0976812124107484E-4</v>
      </c>
      <c r="P64" s="108">
        <f t="shared" si="10"/>
        <v>2.8747819611710863E-2</v>
      </c>
      <c r="Q64" s="108">
        <f t="shared" si="10"/>
        <v>-2.4208777951347758E-2</v>
      </c>
      <c r="R64" s="108">
        <f t="shared" si="10"/>
        <v>4.1687797608905008E-2</v>
      </c>
      <c r="S64" s="306">
        <f t="shared" si="10"/>
        <v>9.1645146355600088E-2</v>
      </c>
    </row>
    <row r="65" spans="2:19" x14ac:dyDescent="0.35">
      <c r="B65" s="311" t="s">
        <v>153</v>
      </c>
      <c r="C65" s="317">
        <f t="shared" ref="C65:S65" si="11">C59/C44</f>
        <v>-8.2646366672111879E-3</v>
      </c>
      <c r="D65" s="108">
        <f t="shared" si="11"/>
        <v>-8.0575811413380119E-3</v>
      </c>
      <c r="E65" s="108">
        <f t="shared" si="11"/>
        <v>-6.121664907374251E-3</v>
      </c>
      <c r="F65" s="108">
        <f t="shared" si="11"/>
        <v>-7.840263091168009E-3</v>
      </c>
      <c r="G65" s="108">
        <f t="shared" si="11"/>
        <v>-6.9287005577269196E-3</v>
      </c>
      <c r="H65" s="108">
        <f t="shared" si="11"/>
        <v>-4.510313043018621E-3</v>
      </c>
      <c r="I65" s="108">
        <f t="shared" si="11"/>
        <v>-3.1157800218539727E-2</v>
      </c>
      <c r="J65" s="108">
        <f t="shared" si="11"/>
        <v>1.2676313068509689E-2</v>
      </c>
      <c r="K65" s="108">
        <f t="shared" si="11"/>
        <v>1.5574701535453679E-2</v>
      </c>
      <c r="L65" s="108">
        <f t="shared" si="11"/>
        <v>1.5549904773527959E-2</v>
      </c>
      <c r="M65" s="108">
        <f t="shared" si="11"/>
        <v>4.175416663393592E-2</v>
      </c>
      <c r="N65" s="108">
        <f t="shared" si="11"/>
        <v>1.6056752028895307E-2</v>
      </c>
      <c r="O65" s="108">
        <f t="shared" si="11"/>
        <v>1.7738733669179017E-2</v>
      </c>
      <c r="P65" s="108">
        <f t="shared" si="11"/>
        <v>1.7366672479182284E-2</v>
      </c>
      <c r="Q65" s="108">
        <f t="shared" si="11"/>
        <v>2.2683003471570045E-3</v>
      </c>
      <c r="R65" s="108">
        <f t="shared" si="11"/>
        <v>3.2029960118508806E-3</v>
      </c>
      <c r="S65" s="306">
        <f t="shared" si="11"/>
        <v>1.3996808834831466E-3</v>
      </c>
    </row>
    <row r="66" spans="2:19" ht="15" thickBot="1" x14ac:dyDescent="0.4">
      <c r="B66" s="319" t="s">
        <v>166</v>
      </c>
      <c r="C66" s="318">
        <f t="shared" ref="C66:S66" ca="1" si="12">C60/C45</f>
        <v>0.3786557611875413</v>
      </c>
      <c r="D66" s="307">
        <f t="shared" ca="1" si="12"/>
        <v>0.40539647058860728</v>
      </c>
      <c r="E66" s="307">
        <f t="shared" ca="1" si="12"/>
        <v>0.42795230720511079</v>
      </c>
      <c r="F66" s="307">
        <f t="shared" ca="1" si="12"/>
        <v>0.44702547541648435</v>
      </c>
      <c r="G66" s="307">
        <f t="shared" ca="1" si="12"/>
        <v>0.46745661452741805</v>
      </c>
      <c r="H66" s="307">
        <f t="shared" ca="1" si="12"/>
        <v>0.61679034555296908</v>
      </c>
      <c r="I66" s="307">
        <f t="shared" ca="1" si="12"/>
        <v>0.60406351277564652</v>
      </c>
      <c r="J66" s="307">
        <f t="shared" ca="1" si="12"/>
        <v>0.60592498664012351</v>
      </c>
      <c r="K66" s="307">
        <f t="shared" ca="1" si="12"/>
        <v>0.6058697465793732</v>
      </c>
      <c r="L66" s="307">
        <f t="shared" ca="1" si="12"/>
        <v>0.64510251727032331</v>
      </c>
      <c r="M66" s="307">
        <f t="shared" ca="1" si="12"/>
        <v>0.66104272967549438</v>
      </c>
      <c r="N66" s="307">
        <f t="shared" ca="1" si="12"/>
        <v>0.71971555799574627</v>
      </c>
      <c r="O66" s="307">
        <f t="shared" ca="1" si="12"/>
        <v>0.76431370931679321</v>
      </c>
      <c r="P66" s="307">
        <f t="shared" ca="1" si="12"/>
        <v>0.85747536748425635</v>
      </c>
      <c r="Q66" s="307">
        <f t="shared" ca="1" si="12"/>
        <v>0.85527586172995129</v>
      </c>
      <c r="R66" s="307">
        <f t="shared" ca="1" si="12"/>
        <v>0.87206509041610114</v>
      </c>
      <c r="S66" s="308">
        <f t="shared" ca="1" si="12"/>
        <v>0.87002314265160952</v>
      </c>
    </row>
  </sheetData>
  <mergeCells count="3">
    <mergeCell ref="C53:S53"/>
    <mergeCell ref="C2:S2"/>
    <mergeCell ref="T2:AJ2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39FA6-0B54-43FE-AE08-E2BD9CCF558C}">
  <sheetPr>
    <tabColor theme="6" tint="0.39997558519241921"/>
  </sheetPr>
  <dimension ref="B2:S37"/>
  <sheetViews>
    <sheetView zoomScale="55" zoomScaleNormal="55" workbookViewId="0">
      <pane xSplit="2" ySplit="2" topLeftCell="C3" activePane="bottomRight" state="frozen"/>
      <selection activeCell="H265" sqref="H265"/>
      <selection pane="topRight" activeCell="H265" sqref="H265"/>
      <selection pane="bottomLeft" activeCell="H265" sqref="H265"/>
      <selection pane="bottomRight" activeCell="C22" sqref="C21:P22"/>
    </sheetView>
  </sheetViews>
  <sheetFormatPr baseColWidth="10" defaultRowHeight="14.5" x14ac:dyDescent="0.35"/>
  <cols>
    <col min="1" max="1" width="4.26953125" customWidth="1"/>
    <col min="2" max="2" width="17.08984375" bestFit="1" customWidth="1"/>
    <col min="17" max="19" width="10.90625" hidden="1" customWidth="1"/>
  </cols>
  <sheetData>
    <row r="2" spans="2:19" x14ac:dyDescent="0.35">
      <c r="C2">
        <v>2000</v>
      </c>
      <c r="D2">
        <v>2001</v>
      </c>
      <c r="E2" s="110">
        <v>2002</v>
      </c>
      <c r="F2" s="110">
        <v>2003</v>
      </c>
      <c r="G2" s="110">
        <v>2004</v>
      </c>
      <c r="H2" s="110">
        <v>2005</v>
      </c>
      <c r="I2" s="110">
        <v>2006</v>
      </c>
      <c r="J2" s="110">
        <v>2007</v>
      </c>
      <c r="K2" s="110">
        <v>2008</v>
      </c>
      <c r="L2" s="110">
        <v>2009</v>
      </c>
      <c r="M2" s="110">
        <v>2010</v>
      </c>
      <c r="N2" s="110">
        <v>2011</v>
      </c>
      <c r="O2" s="110">
        <v>2012</v>
      </c>
      <c r="P2" s="110">
        <v>2013</v>
      </c>
      <c r="Q2" s="110">
        <v>2014</v>
      </c>
      <c r="R2" s="110">
        <v>2015</v>
      </c>
      <c r="S2" s="110">
        <v>2016</v>
      </c>
    </row>
    <row r="3" spans="2:19" s="110" customFormat="1" x14ac:dyDescent="0.35">
      <c r="B3" s="110" t="s">
        <v>430</v>
      </c>
      <c r="C3" s="69">
        <f>C6+C9+C12+C15+C18</f>
        <v>2324.1446465615627</v>
      </c>
      <c r="D3" s="69">
        <f t="shared" ref="D3:S3" si="0">D6+D9+D12+D15+D18</f>
        <v>2484.3633645543819</v>
      </c>
      <c r="E3" s="69">
        <f t="shared" si="0"/>
        <v>2536.9438607832558</v>
      </c>
      <c r="F3" s="69">
        <f t="shared" si="0"/>
        <v>2671.4531609332485</v>
      </c>
      <c r="G3" s="69">
        <f t="shared" si="0"/>
        <v>2697.823977618872</v>
      </c>
      <c r="H3" s="69">
        <f t="shared" si="0"/>
        <v>2883.828507572799</v>
      </c>
      <c r="I3" s="69">
        <f t="shared" si="0"/>
        <v>3250.1161598761591</v>
      </c>
      <c r="J3" s="69">
        <f t="shared" si="0"/>
        <v>3417.319088075315</v>
      </c>
      <c r="K3" s="69">
        <f t="shared" si="0"/>
        <v>3519.1478747593042</v>
      </c>
      <c r="L3" s="69">
        <f t="shared" si="0"/>
        <v>3466.8935203263295</v>
      </c>
      <c r="M3" s="69">
        <f t="shared" si="0"/>
        <v>3725.1370944073283</v>
      </c>
      <c r="N3" s="69">
        <f t="shared" si="0"/>
        <v>3736.9384153525084</v>
      </c>
      <c r="O3" s="69">
        <f t="shared" si="0"/>
        <v>3834.7887024259244</v>
      </c>
      <c r="P3" s="69">
        <f t="shared" si="0"/>
        <v>3944.7702000196323</v>
      </c>
      <c r="Q3" s="69">
        <f t="shared" si="0"/>
        <v>4002.7275636751997</v>
      </c>
      <c r="R3" s="69">
        <f t="shared" si="0"/>
        <v>4052.7550202591333</v>
      </c>
      <c r="S3" s="69">
        <f t="shared" si="0"/>
        <v>4180.8306593747811</v>
      </c>
    </row>
    <row r="4" spans="2:19" s="110" customFormat="1" x14ac:dyDescent="0.35">
      <c r="B4" s="110" t="s">
        <v>440</v>
      </c>
      <c r="C4" s="69">
        <f>C7+C10+C13+C16+C19</f>
        <v>2315.1999999999998</v>
      </c>
      <c r="D4" s="69">
        <f t="shared" ref="D4:P4" si="1">D7+D10+D13+D16+D19</f>
        <v>2504.3000000000002</v>
      </c>
      <c r="E4" s="69">
        <f t="shared" si="1"/>
        <v>2521.6</v>
      </c>
      <c r="F4" s="69">
        <f t="shared" si="1"/>
        <v>2692.2</v>
      </c>
      <c r="G4" s="69">
        <f t="shared" si="1"/>
        <v>2692.7</v>
      </c>
      <c r="H4" s="69">
        <f t="shared" si="1"/>
        <v>2855.2</v>
      </c>
      <c r="I4" s="69">
        <f t="shared" si="1"/>
        <v>3327.8999999999996</v>
      </c>
      <c r="J4" s="69">
        <f t="shared" si="1"/>
        <v>3477.1</v>
      </c>
      <c r="K4" s="69">
        <f t="shared" si="1"/>
        <v>3595.3</v>
      </c>
      <c r="L4" s="69">
        <f t="shared" si="1"/>
        <v>3553.3999999999996</v>
      </c>
      <c r="M4" s="69">
        <f t="shared" si="1"/>
        <v>3789</v>
      </c>
      <c r="N4" s="69">
        <f t="shared" si="1"/>
        <v>3752.6</v>
      </c>
      <c r="O4" s="69">
        <f t="shared" si="1"/>
        <v>3875.8</v>
      </c>
      <c r="P4" s="69">
        <f t="shared" si="1"/>
        <v>3964.8</v>
      </c>
      <c r="Q4" s="69"/>
      <c r="R4" s="69"/>
      <c r="S4" s="69"/>
    </row>
    <row r="5" spans="2:19" s="110" customFormat="1" x14ac:dyDescent="0.35">
      <c r="B5" s="110" t="s">
        <v>441</v>
      </c>
      <c r="C5" s="50">
        <f>(C3-C4)/C3</f>
        <v>3.8485756791411252E-3</v>
      </c>
      <c r="D5" s="50">
        <f t="shared" ref="D5:P5" si="2">(D3-D4)/D3</f>
        <v>-8.024846819939457E-3</v>
      </c>
      <c r="E5" s="50">
        <f t="shared" si="2"/>
        <v>6.0481672536965856E-3</v>
      </c>
      <c r="F5" s="50">
        <f t="shared" si="2"/>
        <v>-7.7661249578127129E-3</v>
      </c>
      <c r="G5" s="50">
        <f t="shared" si="2"/>
        <v>1.8993001994869615E-3</v>
      </c>
      <c r="H5" s="50">
        <f t="shared" si="2"/>
        <v>9.9272572892674035E-3</v>
      </c>
      <c r="I5" s="50">
        <f t="shared" si="2"/>
        <v>-2.3932633880631618E-2</v>
      </c>
      <c r="J5" s="50">
        <f t="shared" si="2"/>
        <v>-1.7493511838941097E-2</v>
      </c>
      <c r="K5" s="50">
        <f t="shared" si="2"/>
        <v>-2.1639364968687066E-2</v>
      </c>
      <c r="L5" s="50">
        <f t="shared" si="2"/>
        <v>-2.4952159380287948E-2</v>
      </c>
      <c r="M5" s="50">
        <f t="shared" si="2"/>
        <v>-1.7143773228789679E-2</v>
      </c>
      <c r="N5" s="50">
        <f t="shared" si="2"/>
        <v>-4.1910202702695968E-3</v>
      </c>
      <c r="O5" s="50">
        <f t="shared" si="2"/>
        <v>-1.0694539062382147E-2</v>
      </c>
      <c r="P5" s="50">
        <f t="shared" si="2"/>
        <v>-5.077558125000086E-3</v>
      </c>
      <c r="Q5" s="69"/>
      <c r="R5" s="69"/>
      <c r="S5" s="69"/>
    </row>
    <row r="6" spans="2:19" x14ac:dyDescent="0.35">
      <c r="B6" t="s">
        <v>421</v>
      </c>
      <c r="C6" s="69">
        <f>'Emissions CO2eq.'!D84</f>
        <v>1178.4061063613099</v>
      </c>
      <c r="D6" s="69">
        <f>'Emissions CO2eq.'!E84</f>
        <v>1288.8626659119898</v>
      </c>
      <c r="E6" s="69">
        <f>'Emissions CO2eq.'!F84</f>
        <v>1310.3005011934199</v>
      </c>
      <c r="F6" s="69">
        <f>'Emissions CO2eq.'!G84</f>
        <v>1400.82584978711</v>
      </c>
      <c r="G6" s="69">
        <f>'Emissions CO2eq.'!H84</f>
        <v>1415.9085036841898</v>
      </c>
      <c r="H6" s="69">
        <f>'Emissions CO2eq.'!I84</f>
        <v>1587.1896978407945</v>
      </c>
      <c r="I6" s="69">
        <f>'Emissions CO2eq.'!J84</f>
        <v>1866.7430373599504</v>
      </c>
      <c r="J6" s="69">
        <f>'Emissions CO2eq.'!K84</f>
        <v>2007.5820614474637</v>
      </c>
      <c r="K6" s="69">
        <f>'Emissions CO2eq.'!L84</f>
        <v>2037.2660099691734</v>
      </c>
      <c r="L6" s="69">
        <f>'Emissions CO2eq.'!M84</f>
        <v>2018.9191138806914</v>
      </c>
      <c r="M6" s="69">
        <f>'Emissions CO2eq.'!N84</f>
        <v>2219.6497974532685</v>
      </c>
      <c r="N6" s="69">
        <f>'Emissions CO2eq.'!O84</f>
        <v>2204.4674169626501</v>
      </c>
      <c r="O6" s="69">
        <f>'Emissions CO2eq.'!P84</f>
        <v>2265.2554418766299</v>
      </c>
      <c r="P6" s="69">
        <f>'Emissions CO2eq.'!Q84</f>
        <v>2339.2437806019884</v>
      </c>
      <c r="Q6" s="69">
        <v>2418.5327819682702</v>
      </c>
      <c r="R6" s="69">
        <v>2365.0550613394971</v>
      </c>
      <c r="S6" s="69">
        <v>2422.1604287906525</v>
      </c>
    </row>
    <row r="7" spans="2:19" s="110" customFormat="1" x14ac:dyDescent="0.35">
      <c r="B7" s="110" t="s">
        <v>431</v>
      </c>
      <c r="C7" s="69">
        <v>1024</v>
      </c>
      <c r="D7" s="69">
        <v>1167.9000000000001</v>
      </c>
      <c r="E7" s="69">
        <v>1164.2</v>
      </c>
      <c r="F7" s="69">
        <v>1290.7</v>
      </c>
      <c r="G7" s="69">
        <v>1293.7</v>
      </c>
      <c r="H7" s="69">
        <v>1429.9</v>
      </c>
      <c r="I7" s="69">
        <v>1806</v>
      </c>
      <c r="J7" s="69">
        <v>1979.1</v>
      </c>
      <c r="K7" s="69">
        <v>2059.8000000000002</v>
      </c>
      <c r="L7" s="69">
        <v>2055.6999999999998</v>
      </c>
      <c r="M7" s="69">
        <v>2246</v>
      </c>
      <c r="N7" s="69">
        <v>2207.1</v>
      </c>
      <c r="O7" s="69">
        <v>2302.9</v>
      </c>
      <c r="P7" s="69">
        <v>2386</v>
      </c>
      <c r="Q7" s="69"/>
      <c r="R7" s="69"/>
      <c r="S7" s="69"/>
    </row>
    <row r="8" spans="2:19" s="110" customFormat="1" x14ac:dyDescent="0.35">
      <c r="B8" s="110" t="s">
        <v>442</v>
      </c>
      <c r="C8" s="50">
        <f>(C6-C7)/C6</f>
        <v>0.13102962173039484</v>
      </c>
      <c r="D8" s="50">
        <f t="shared" ref="D8" si="3">(D6-D7)/D6</f>
        <v>9.3852253704934024E-2</v>
      </c>
      <c r="E8" s="50">
        <f t="shared" ref="E8" si="4">(E6-E7)/E6</f>
        <v>0.1115015227883617</v>
      </c>
      <c r="F8" s="50">
        <f t="shared" ref="F8" si="5">(F6-F7)/F6</f>
        <v>7.8614946892824875E-2</v>
      </c>
      <c r="G8" s="50">
        <f t="shared" ref="G8" si="6">(G6-G7)/G6</f>
        <v>8.6311017531290737E-2</v>
      </c>
      <c r="H8" s="50">
        <f t="shared" ref="H8" si="7">(H6-H7)/H6</f>
        <v>9.909949519882251E-2</v>
      </c>
      <c r="I8" s="50">
        <f t="shared" ref="I8" si="8">(I6-I7)/I6</f>
        <v>3.2539581583685216E-2</v>
      </c>
      <c r="J8" s="50">
        <f t="shared" ref="J8" si="9">(J6-J7)/J6</f>
        <v>1.4187246436605584E-2</v>
      </c>
      <c r="K8" s="50">
        <f t="shared" ref="K8" si="10">(K6-K7)/K6</f>
        <v>-1.1060897261603919E-2</v>
      </c>
      <c r="L8" s="50">
        <f t="shared" ref="L8" si="11">(L6-L7)/L6</f>
        <v>-1.8218107831278876E-2</v>
      </c>
      <c r="M8" s="50">
        <f t="shared" ref="M8" si="12">(M6-M7)/M6</f>
        <v>-1.1871333296344563E-2</v>
      </c>
      <c r="N8" s="50">
        <f t="shared" ref="N8" si="13">(N6-N7)/N6</f>
        <v>-1.1942036507743201E-3</v>
      </c>
      <c r="O8" s="50">
        <f t="shared" ref="O8" si="14">(O6-O7)/O6</f>
        <v>-1.6618239792058023E-2</v>
      </c>
      <c r="P8" s="50">
        <f t="shared" ref="P8" si="15">(P6-P7)/P6</f>
        <v>-1.9987749795781946E-2</v>
      </c>
      <c r="Q8" s="69"/>
      <c r="R8" s="69"/>
      <c r="S8" s="69"/>
    </row>
    <row r="9" spans="2:19" s="110" customFormat="1" x14ac:dyDescent="0.35">
      <c r="B9" s="110" t="s">
        <v>422</v>
      </c>
      <c r="C9" s="69">
        <f>'Emissions CO2eq.'!D85</f>
        <v>372.20092308465735</v>
      </c>
      <c r="D9" s="69">
        <f>'Emissions CO2eq.'!E85</f>
        <v>394.10775759207081</v>
      </c>
      <c r="E9" s="69">
        <f>'Emissions CO2eq.'!F85</f>
        <v>394.750797880562</v>
      </c>
      <c r="F9" s="69">
        <f>'Emissions CO2eq.'!G85</f>
        <v>395.11746970234856</v>
      </c>
      <c r="G9" s="69">
        <f>'Emissions CO2eq.'!H85</f>
        <v>371.79472004089337</v>
      </c>
      <c r="H9" s="69">
        <f>'Emissions CO2eq.'!I85</f>
        <v>353.55691741383441</v>
      </c>
      <c r="I9" s="69">
        <f>'Emissions CO2eq.'!J85</f>
        <v>415.49319267504495</v>
      </c>
      <c r="J9" s="69">
        <f>'Emissions CO2eq.'!K85</f>
        <v>412.41712441481548</v>
      </c>
      <c r="K9" s="69">
        <f>'Emissions CO2eq.'!L85</f>
        <v>441.14248042189286</v>
      </c>
      <c r="L9" s="69">
        <f>'Emissions CO2eq.'!M85</f>
        <v>366.15004601504097</v>
      </c>
      <c r="M9" s="69">
        <f>'Emissions CO2eq.'!N85</f>
        <v>372.21341358586267</v>
      </c>
      <c r="N9" s="69">
        <f>'Emissions CO2eq.'!O85</f>
        <v>355.67786204235318</v>
      </c>
      <c r="O9" s="69">
        <f>'Emissions CO2eq.'!P85</f>
        <v>348.50336453614892</v>
      </c>
      <c r="P9" s="69">
        <f>'Emissions CO2eq.'!Q85</f>
        <v>333.95731106553285</v>
      </c>
      <c r="Q9" s="69">
        <f>'Emissions CO2eq.'!R85</f>
        <v>349.14824224133673</v>
      </c>
      <c r="R9" s="69">
        <f>'Emissions CO2eq.'!S85</f>
        <v>352.16844480889631</v>
      </c>
      <c r="S9" s="69">
        <f>'Emissions CO2eq.'!T85</f>
        <v>340.00252513938403</v>
      </c>
    </row>
    <row r="10" spans="2:19" s="110" customFormat="1" x14ac:dyDescent="0.35">
      <c r="B10" s="110" t="s">
        <v>432</v>
      </c>
      <c r="C10" s="69">
        <v>358.4</v>
      </c>
      <c r="D10" s="69">
        <v>385.3</v>
      </c>
      <c r="E10" s="69">
        <v>385.2</v>
      </c>
      <c r="F10" s="69">
        <v>385.5</v>
      </c>
      <c r="G10" s="69">
        <v>362.8</v>
      </c>
      <c r="H10" s="69">
        <v>352.5</v>
      </c>
      <c r="I10" s="69">
        <v>426.6</v>
      </c>
      <c r="J10" s="69">
        <v>423.8</v>
      </c>
      <c r="K10" s="69">
        <v>450.8</v>
      </c>
      <c r="L10" s="69">
        <v>374.7</v>
      </c>
      <c r="M10" s="69">
        <v>380.4</v>
      </c>
      <c r="N10" s="69">
        <v>362.7</v>
      </c>
      <c r="O10" s="69">
        <v>356.5</v>
      </c>
      <c r="P10" s="69">
        <v>342.3</v>
      </c>
      <c r="Q10" s="69"/>
      <c r="R10" s="69"/>
      <c r="S10" s="69"/>
    </row>
    <row r="11" spans="2:19" s="110" customFormat="1" x14ac:dyDescent="0.35">
      <c r="B11" s="110" t="s">
        <v>443</v>
      </c>
      <c r="C11" s="50">
        <f>(C9-C10)/C9</f>
        <v>3.7079228526035499E-2</v>
      </c>
      <c r="D11" s="50">
        <f t="shared" ref="D11" si="16">(D9-D10)/D9</f>
        <v>2.2348602437781615E-2</v>
      </c>
      <c r="E11" s="50">
        <f t="shared" ref="E11" si="17">(E9-E10)/E9</f>
        <v>2.419449924317001E-2</v>
      </c>
      <c r="F11" s="50">
        <f t="shared" ref="F11" si="18">(F9-F10)/F9</f>
        <v>2.4340785816414617E-2</v>
      </c>
      <c r="G11" s="50">
        <f t="shared" ref="G11" si="19">(G9-G10)/G9</f>
        <v>2.4192705157039439E-2</v>
      </c>
      <c r="H11" s="50">
        <f t="shared" ref="H11" si="20">(H9-H10)/H9</f>
        <v>2.989384061738785E-3</v>
      </c>
      <c r="I11" s="50">
        <f t="shared" ref="I11" si="21">(I9-I10)/I9</f>
        <v>-2.6731622853907133E-2</v>
      </c>
      <c r="J11" s="50">
        <f t="shared" ref="J11" si="22">(J9-J10)/J9</f>
        <v>-2.7600395112923257E-2</v>
      </c>
      <c r="K11" s="50">
        <f t="shared" ref="K11" si="23">(K9-K10)/K9</f>
        <v>-2.1892064370837853E-2</v>
      </c>
      <c r="L11" s="50">
        <f t="shared" ref="L11" si="24">(L9-L10)/L9</f>
        <v>-2.3350957013420111E-2</v>
      </c>
      <c r="M11" s="50">
        <f t="shared" ref="M11" si="25">(M9-M10)/M9</f>
        <v>-2.1994334742718284E-2</v>
      </c>
      <c r="N11" s="50">
        <f t="shared" ref="N11" si="26">(N9-N10)/N9</f>
        <v>-1.9742971680398336E-2</v>
      </c>
      <c r="O11" s="50">
        <f t="shared" ref="O11" si="27">(O9-O10)/O9</f>
        <v>-2.2945647811734735E-2</v>
      </c>
      <c r="P11" s="50">
        <f t="shared" ref="P11" si="28">(P9-P10)/P9</f>
        <v>-2.498130347213769E-2</v>
      </c>
      <c r="Q11" s="69"/>
      <c r="R11" s="69"/>
      <c r="S11" s="69"/>
    </row>
    <row r="12" spans="2:19" s="110" customFormat="1" x14ac:dyDescent="0.35">
      <c r="B12" s="110" t="s">
        <v>423</v>
      </c>
      <c r="C12" s="69">
        <f>'Emissions CO2eq.'!D93</f>
        <v>575.11748739519544</v>
      </c>
      <c r="D12" s="69">
        <f>'Emissions CO2eq.'!E93</f>
        <v>600.65044004072126</v>
      </c>
      <c r="E12" s="69">
        <f>'Emissions CO2eq.'!F93</f>
        <v>631.06197923831394</v>
      </c>
      <c r="F12" s="69">
        <f>'Emissions CO2eq.'!G93</f>
        <v>657.54871402638992</v>
      </c>
      <c r="G12" s="69">
        <f>'Emissions CO2eq.'!H93</f>
        <v>689.46957980674892</v>
      </c>
      <c r="H12" s="69">
        <f>'Emissions CO2eq.'!I93</f>
        <v>715.92643454217023</v>
      </c>
      <c r="I12" s="69">
        <f>'Emissions CO2eq.'!J93</f>
        <v>748.7864022044439</v>
      </c>
      <c r="J12" s="69">
        <f>'Emissions CO2eq.'!K93</f>
        <v>786.43668047336757</v>
      </c>
      <c r="K12" s="69">
        <f>'Emissions CO2eq.'!L93</f>
        <v>819.76781817698748</v>
      </c>
      <c r="L12" s="69">
        <f>'Emissions CO2eq.'!M93</f>
        <v>851.05593336499021</v>
      </c>
      <c r="M12" s="69">
        <f>'Emissions CO2eq.'!N93</f>
        <v>897.18624059148499</v>
      </c>
      <c r="N12" s="69">
        <f>'Emissions CO2eq.'!O93</f>
        <v>938.33426132213356</v>
      </c>
      <c r="O12" s="69">
        <f>'Emissions CO2eq.'!P93</f>
        <v>987.48714332280463</v>
      </c>
      <c r="P12" s="69">
        <f>'Emissions CO2eq.'!Q93</f>
        <v>1037.4957403927285</v>
      </c>
      <c r="Q12" s="69">
        <f>'Emissions CO2eq.'!R93</f>
        <v>997.49193913716897</v>
      </c>
      <c r="R12" s="69">
        <f>'Emissions CO2eq.'!S93</f>
        <v>1087.8083336505024</v>
      </c>
      <c r="S12" s="69">
        <f>'Emissions CO2eq.'!T93</f>
        <v>1169.6970580794014</v>
      </c>
    </row>
    <row r="13" spans="2:19" s="110" customFormat="1" x14ac:dyDescent="0.35">
      <c r="B13" s="110" t="s">
        <v>433</v>
      </c>
      <c r="C13" s="69">
        <v>732.8</v>
      </c>
      <c r="D13" s="69">
        <v>748.6</v>
      </c>
      <c r="E13" s="69">
        <v>770</v>
      </c>
      <c r="F13" s="69">
        <v>796.4</v>
      </c>
      <c r="G13" s="69">
        <v>814.1</v>
      </c>
      <c r="H13" s="69">
        <v>844.6</v>
      </c>
      <c r="I13" s="69">
        <v>869.3</v>
      </c>
      <c r="J13" s="69">
        <v>866</v>
      </c>
      <c r="K13" s="69">
        <v>867.2</v>
      </c>
      <c r="L13" s="69">
        <v>895.8</v>
      </c>
      <c r="M13" s="69">
        <v>936.4</v>
      </c>
      <c r="N13" s="69">
        <v>948.2</v>
      </c>
      <c r="O13" s="69">
        <v>987.1</v>
      </c>
      <c r="P13" s="69">
        <v>1007.4</v>
      </c>
      <c r="Q13" s="69"/>
      <c r="R13" s="69"/>
      <c r="S13" s="69"/>
    </row>
    <row r="14" spans="2:19" s="110" customFormat="1" x14ac:dyDescent="0.35">
      <c r="B14" s="110" t="s">
        <v>444</v>
      </c>
      <c r="C14" s="50">
        <f>(C12-C13)/C12</f>
        <v>-0.27417443576437805</v>
      </c>
      <c r="D14" s="50">
        <f t="shared" ref="D14" si="29">(D12-D13)/D12</f>
        <v>-0.24631557740846485</v>
      </c>
      <c r="E14" s="50">
        <f t="shared" ref="E14" si="30">(E12-E13)/E12</f>
        <v>-0.2201654121666195</v>
      </c>
      <c r="F14" s="50">
        <f t="shared" ref="F14" si="31">(F12-F13)/F12</f>
        <v>-0.21116501790928519</v>
      </c>
      <c r="G14" s="50">
        <f t="shared" ref="G14" si="32">(G12-G13)/G12</f>
        <v>-0.18076275421489038</v>
      </c>
      <c r="H14" s="50">
        <f t="shared" ref="H14" si="33">(H12-H13)/H12</f>
        <v>-0.17973014998407708</v>
      </c>
      <c r="I14" s="50">
        <f t="shared" ref="I14" si="34">(I12-I13)/I12</f>
        <v>-0.1609452274250191</v>
      </c>
      <c r="J14" s="50">
        <f t="shared" ref="J14" si="35">(J12-J13)/J12</f>
        <v>-0.1011693903681376</v>
      </c>
      <c r="K14" s="50">
        <f t="shared" ref="K14" si="36">(K12-K13)/K12</f>
        <v>-5.7860507293995757E-2</v>
      </c>
      <c r="L14" s="50">
        <f t="shared" ref="L14" si="37">(L12-L13)/L12</f>
        <v>-5.2574766100385639E-2</v>
      </c>
      <c r="M14" s="50">
        <f t="shared" ref="M14" si="38">(M12-M13)/M12</f>
        <v>-4.370749085793231E-2</v>
      </c>
      <c r="N14" s="50">
        <f t="shared" ref="N14" si="39">(N12-N13)/N12</f>
        <v>-1.0514098317123629E-2</v>
      </c>
      <c r="O14" s="50">
        <f t="shared" ref="O14" si="40">(O12-O13)/O12</f>
        <v>3.9204897544478629E-4</v>
      </c>
      <c r="P14" s="50">
        <f t="shared" ref="P14" si="41">(P12-P13)/P12</f>
        <v>2.9008061644027812E-2</v>
      </c>
      <c r="Q14" s="69"/>
      <c r="R14" s="69"/>
      <c r="S14" s="69"/>
    </row>
    <row r="15" spans="2:19" x14ac:dyDescent="0.35">
      <c r="B15" s="110" t="s">
        <v>424</v>
      </c>
      <c r="C15" s="69">
        <f>'Emissions CO2eq.'!D97</f>
        <v>198.42012972039998</v>
      </c>
      <c r="D15" s="69">
        <f>'Emissions CO2eq.'!E97</f>
        <v>200.74250100960003</v>
      </c>
      <c r="E15" s="69">
        <f>'Emissions CO2eq.'!F97</f>
        <v>200.83058247096</v>
      </c>
      <c r="F15" s="69">
        <f>'Emissions CO2eq.'!G97</f>
        <v>217.96112741739998</v>
      </c>
      <c r="G15" s="69">
        <f>'Emissions CO2eq.'!H97</f>
        <v>220.65117408704</v>
      </c>
      <c r="H15" s="69">
        <f>'Emissions CO2eq.'!I97</f>
        <v>227.15545777600002</v>
      </c>
      <c r="I15" s="69">
        <f>'Emissions CO2eq.'!J97</f>
        <v>219.09352763671995</v>
      </c>
      <c r="J15" s="69">
        <f>'Emissions CO2eq.'!K97</f>
        <v>210.88322173966799</v>
      </c>
      <c r="K15" s="69">
        <f>'Emissions CO2eq.'!L97</f>
        <v>220.97156619125047</v>
      </c>
      <c r="L15" s="69">
        <f>'Emissions CO2eq.'!M97</f>
        <v>230.76842706560703</v>
      </c>
      <c r="M15" s="69">
        <f>'Emissions CO2eq.'!N97</f>
        <v>236.08764277671196</v>
      </c>
      <c r="N15" s="69">
        <f>'Emissions CO2eq.'!O97</f>
        <v>238.45887502537173</v>
      </c>
      <c r="O15" s="69">
        <f>'Emissions CO2eq.'!P97</f>
        <v>233.5427526903409</v>
      </c>
      <c r="P15" s="69">
        <f>'Emissions CO2eq.'!Q97</f>
        <v>233.30167375698255</v>
      </c>
      <c r="Q15" s="69">
        <v>236.74701337242368</v>
      </c>
      <c r="R15" s="69">
        <v>246.87072756223745</v>
      </c>
      <c r="S15" s="69">
        <v>248.09725702774364</v>
      </c>
    </row>
    <row r="16" spans="2:19" s="110" customFormat="1" x14ac:dyDescent="0.35">
      <c r="B16" s="110" t="s">
        <v>434</v>
      </c>
      <c r="C16" s="69">
        <v>200</v>
      </c>
      <c r="D16" s="69">
        <v>202.5</v>
      </c>
      <c r="E16" s="69">
        <v>202.2</v>
      </c>
      <c r="F16" s="69">
        <v>219.6</v>
      </c>
      <c r="G16" s="69">
        <v>222.1</v>
      </c>
      <c r="H16" s="69">
        <v>228.2</v>
      </c>
      <c r="I16" s="69">
        <v>226</v>
      </c>
      <c r="J16" s="69">
        <v>208.2</v>
      </c>
      <c r="K16" s="69">
        <v>217.5</v>
      </c>
      <c r="L16" s="69">
        <v>227.2</v>
      </c>
      <c r="M16" s="69">
        <v>226.2</v>
      </c>
      <c r="N16" s="69">
        <v>234.6</v>
      </c>
      <c r="O16" s="69">
        <v>229.3</v>
      </c>
      <c r="P16" s="69">
        <v>229.1</v>
      </c>
      <c r="Q16" s="69"/>
      <c r="R16" s="69"/>
      <c r="S16" s="69"/>
    </row>
    <row r="17" spans="2:19" s="110" customFormat="1" x14ac:dyDescent="0.35">
      <c r="B17" s="110" t="s">
        <v>445</v>
      </c>
      <c r="C17" s="50">
        <f>(C15-C16)/C15</f>
        <v>-7.962247992813332E-3</v>
      </c>
      <c r="D17" s="50">
        <f t="shared" ref="D17" si="42">(D15-D16)/D15</f>
        <v>-8.754992000004614E-3</v>
      </c>
      <c r="E17" s="50">
        <f t="shared" ref="E17" si="43">(E15-E16)/E15</f>
        <v>-6.8187698914731259E-3</v>
      </c>
      <c r="F17" s="50">
        <f t="shared" ref="F17" si="44">(F15-F16)/F15</f>
        <v>-7.5191049065439141E-3</v>
      </c>
      <c r="G17" s="50">
        <f t="shared" ref="G17" si="45">(G15-G16)/G15</f>
        <v>-6.5661373385145598E-3</v>
      </c>
      <c r="H17" s="50">
        <f t="shared" ref="H17" si="46">(H15-H16)/H15</f>
        <v>-4.598358473209131E-3</v>
      </c>
      <c r="I17" s="50">
        <f t="shared" ref="I17" si="47">(I15-I16)/I15</f>
        <v>-3.1522941082639831E-2</v>
      </c>
      <c r="J17" s="50">
        <f t="shared" ref="J17" si="48">(J15-J16)/J15</f>
        <v>1.2723732677891246E-2</v>
      </c>
      <c r="K17" s="50">
        <f t="shared" ref="K17" si="49">(K15-K16)/K15</f>
        <v>1.5710465609162765E-2</v>
      </c>
      <c r="L17" s="50">
        <f t="shared" ref="L17" si="50">(L15-L16)/L15</f>
        <v>1.5463237805024959E-2</v>
      </c>
      <c r="M17" s="50">
        <f t="shared" ref="M17" si="51">(M15-M16)/M15</f>
        <v>4.1881238087770438E-2</v>
      </c>
      <c r="N17" s="50">
        <f t="shared" ref="N17" si="52">(N15-N16)/N15</f>
        <v>1.6182559885687422E-2</v>
      </c>
      <c r="O17" s="50">
        <f t="shared" ref="O17" si="53">(O15-O16)/O15</f>
        <v>1.8166920794868105E-2</v>
      </c>
      <c r="P17" s="50">
        <f t="shared" ref="P17" si="54">(P15-P16)/P15</f>
        <v>1.800961685923955E-2</v>
      </c>
      <c r="Q17" s="69"/>
      <c r="R17" s="69"/>
      <c r="S17" s="69"/>
    </row>
    <row r="18" spans="2:19" s="110" customFormat="1" x14ac:dyDescent="0.35">
      <c r="B18" s="110" t="s">
        <v>425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0.77169420239999997</v>
      </c>
      <c r="Q18" s="69">
        <v>0.80758695600000008</v>
      </c>
      <c r="R18" s="69">
        <v>0.85245289799999979</v>
      </c>
      <c r="S18" s="69">
        <v>0.87339033759999996</v>
      </c>
    </row>
    <row r="19" spans="2:19" s="110" customFormat="1" x14ac:dyDescent="0.35">
      <c r="B19" s="110" t="s">
        <v>435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</row>
    <row r="20" spans="2:19" s="110" customFormat="1" x14ac:dyDescent="0.35">
      <c r="B20" s="110" t="s">
        <v>446</v>
      </c>
      <c r="C20" s="50" t="e">
        <f>(C18-C19)/C18</f>
        <v>#DIV/0!</v>
      </c>
      <c r="D20" s="50" t="e">
        <f t="shared" ref="D20" si="55">(D18-D19)/D18</f>
        <v>#DIV/0!</v>
      </c>
      <c r="E20" s="50" t="e">
        <f t="shared" ref="E20" si="56">(E18-E19)/E18</f>
        <v>#DIV/0!</v>
      </c>
      <c r="F20" s="50" t="e">
        <f t="shared" ref="F20" si="57">(F18-F19)/F18</f>
        <v>#DIV/0!</v>
      </c>
      <c r="G20" s="50" t="e">
        <f t="shared" ref="G20" si="58">(G18-G19)/G18</f>
        <v>#DIV/0!</v>
      </c>
      <c r="H20" s="50" t="e">
        <f t="shared" ref="H20" si="59">(H18-H19)/H18</f>
        <v>#DIV/0!</v>
      </c>
      <c r="I20" s="50" t="e">
        <f t="shared" ref="I20" si="60">(I18-I19)/I18</f>
        <v>#DIV/0!</v>
      </c>
      <c r="J20" s="50" t="e">
        <f t="shared" ref="J20" si="61">(J18-J19)/J18</f>
        <v>#DIV/0!</v>
      </c>
      <c r="K20" s="50" t="e">
        <f t="shared" ref="K20" si="62">(K18-K19)/K18</f>
        <v>#DIV/0!</v>
      </c>
      <c r="L20" s="50" t="e">
        <f t="shared" ref="L20" si="63">(L18-L19)/L18</f>
        <v>#DIV/0!</v>
      </c>
      <c r="M20" s="50" t="e">
        <f t="shared" ref="M20" si="64">(M18-M19)/M18</f>
        <v>#DIV/0!</v>
      </c>
      <c r="N20" s="50" t="e">
        <f t="shared" ref="N20" si="65">(N18-N19)/N18</f>
        <v>#DIV/0!</v>
      </c>
      <c r="O20" s="50" t="e">
        <f t="shared" ref="O20" si="66">(O18-O19)/O18</f>
        <v>#DIV/0!</v>
      </c>
      <c r="P20" s="50">
        <f t="shared" ref="P20" si="67">(P18-P19)/P18</f>
        <v>1</v>
      </c>
      <c r="Q20" s="69"/>
      <c r="R20" s="69"/>
      <c r="S20" s="69"/>
    </row>
    <row r="21" spans="2:19" s="110" customFormat="1" x14ac:dyDescent="0.35">
      <c r="B21" s="110" t="s">
        <v>426</v>
      </c>
      <c r="C21" s="69">
        <f ca="1">C24+C27+C30+C33</f>
        <v>71.136090493857395</v>
      </c>
      <c r="D21" s="69">
        <f t="shared" ref="D21:P21" ca="1" si="68">D24+D27+D30+D33</f>
        <v>74.167067329141616</v>
      </c>
      <c r="E21" s="69">
        <f t="shared" ca="1" si="68"/>
        <v>76.741853088358809</v>
      </c>
      <c r="F21" s="69">
        <f t="shared" ca="1" si="68"/>
        <v>79.388829047891861</v>
      </c>
      <c r="G21" s="69">
        <f t="shared" ca="1" si="68"/>
        <v>81.683485677693398</v>
      </c>
      <c r="H21" s="69">
        <f t="shared" ca="1" si="68"/>
        <v>113.51488537722314</v>
      </c>
      <c r="I21" s="69">
        <f t="shared" ca="1" si="68"/>
        <v>108.35071124852188</v>
      </c>
      <c r="J21" s="69">
        <f t="shared" ca="1" si="68"/>
        <v>113.65856367832421</v>
      </c>
      <c r="K21" s="69">
        <f t="shared" ca="1" si="68"/>
        <v>119.60512949938627</v>
      </c>
      <c r="L21" s="69">
        <f t="shared" ca="1" si="68"/>
        <v>138.88517782906871</v>
      </c>
      <c r="M21" s="69">
        <f t="shared" ca="1" si="68"/>
        <v>147.18669392232562</v>
      </c>
      <c r="N21" s="69">
        <f t="shared" ca="1" si="68"/>
        <v>194.44532707660198</v>
      </c>
      <c r="O21" s="69">
        <f t="shared" ca="1" si="68"/>
        <v>216.38933623233379</v>
      </c>
      <c r="P21" s="69">
        <f t="shared" ca="1" si="68"/>
        <v>306.89431874289073</v>
      </c>
      <c r="Q21" s="69">
        <v>291.94038648789234</v>
      </c>
      <c r="R21" s="69">
        <v>294.47044249682239</v>
      </c>
      <c r="S21" s="69">
        <v>303.51614849414767</v>
      </c>
    </row>
    <row r="22" spans="2:19" s="110" customFormat="1" x14ac:dyDescent="0.35">
      <c r="B22" s="110" t="s">
        <v>439</v>
      </c>
      <c r="C22" s="69">
        <f>C25+C28+C34</f>
        <v>44.2</v>
      </c>
      <c r="D22" s="69">
        <f t="shared" ref="D22:S22" si="69">D25+D28+D34</f>
        <v>44.1</v>
      </c>
      <c r="E22" s="69">
        <f t="shared" si="69"/>
        <v>43.9</v>
      </c>
      <c r="F22" s="69">
        <f t="shared" si="69"/>
        <v>43.900000000000006</v>
      </c>
      <c r="G22" s="69">
        <f t="shared" si="69"/>
        <v>43.5</v>
      </c>
      <c r="H22" s="69">
        <f t="shared" si="69"/>
        <v>43.5</v>
      </c>
      <c r="I22" s="69">
        <f t="shared" si="69"/>
        <v>42.9</v>
      </c>
      <c r="J22" s="69">
        <f t="shared" si="69"/>
        <v>44.8</v>
      </c>
      <c r="K22" s="69">
        <f t="shared" si="69"/>
        <v>47.199999999999996</v>
      </c>
      <c r="L22" s="69">
        <f t="shared" si="69"/>
        <v>49.300000000000004</v>
      </c>
      <c r="M22" s="69">
        <f t="shared" si="69"/>
        <v>49.900000000000006</v>
      </c>
      <c r="N22" s="69">
        <f t="shared" si="69"/>
        <v>54.5</v>
      </c>
      <c r="O22" s="69">
        <f t="shared" si="69"/>
        <v>51</v>
      </c>
      <c r="P22" s="69">
        <f t="shared" si="69"/>
        <v>43.7</v>
      </c>
      <c r="Q22" s="69">
        <f t="shared" si="69"/>
        <v>0</v>
      </c>
      <c r="R22" s="69">
        <f t="shared" si="69"/>
        <v>0</v>
      </c>
      <c r="S22" s="69">
        <f t="shared" si="69"/>
        <v>0</v>
      </c>
    </row>
    <row r="23" spans="2:19" s="110" customFormat="1" x14ac:dyDescent="0.35">
      <c r="B23" s="110" t="s">
        <v>447</v>
      </c>
      <c r="C23" s="50">
        <f ca="1">(C21-C22)/C21</f>
        <v>0.3786557611875413</v>
      </c>
      <c r="D23" s="50">
        <f t="shared" ref="D23" ca="1" si="70">(D21-D22)/D21</f>
        <v>0.40539647058860728</v>
      </c>
      <c r="E23" s="50">
        <f t="shared" ref="E23" ca="1" si="71">(E21-E22)/E21</f>
        <v>0.42795230720511079</v>
      </c>
      <c r="F23" s="50">
        <f t="shared" ref="F23" ca="1" si="72">(F21-F22)/F21</f>
        <v>0.44702547541648424</v>
      </c>
      <c r="G23" s="50">
        <f t="shared" ref="G23" ca="1" si="73">(G21-G22)/G21</f>
        <v>0.46745661452741805</v>
      </c>
      <c r="H23" s="50">
        <f t="shared" ref="H23" ca="1" si="74">(H21-H22)/H21</f>
        <v>0.61679034555296908</v>
      </c>
      <c r="I23" s="50">
        <f t="shared" ref="I23" ca="1" si="75">(I21-I22)/I21</f>
        <v>0.60406351277564652</v>
      </c>
      <c r="J23" s="50">
        <f t="shared" ref="J23" ca="1" si="76">(J21-J22)/J21</f>
        <v>0.60583700382847805</v>
      </c>
      <c r="K23" s="50">
        <f t="shared" ref="K23" ca="1" si="77">(K21-K22)/K21</f>
        <v>0.60536809585376361</v>
      </c>
      <c r="L23" s="50">
        <f t="shared" ref="L23" ca="1" si="78">(L21-L22)/L21</f>
        <v>0.64503051534645828</v>
      </c>
      <c r="M23" s="50">
        <f t="shared" ref="M23" ca="1" si="79">(M21-M22)/M21</f>
        <v>0.66097478875139637</v>
      </c>
      <c r="N23" s="50">
        <f t="shared" ref="N23" ca="1" si="80">(N21-N22)/N21</f>
        <v>0.71971555799574627</v>
      </c>
      <c r="O23" s="50">
        <f t="shared" ref="O23" ca="1" si="81">(O21-O22)/O21</f>
        <v>0.76431370931679321</v>
      </c>
      <c r="P23" s="50">
        <f t="shared" ref="P23" ca="1" si="82">(P21-P22)/P21</f>
        <v>0.85760570551124837</v>
      </c>
      <c r="Q23" s="69"/>
      <c r="R23" s="69"/>
      <c r="S23" s="69"/>
    </row>
    <row r="24" spans="2:19" s="110" customFormat="1" x14ac:dyDescent="0.35">
      <c r="B24" s="110" t="s">
        <v>427</v>
      </c>
      <c r="C24" s="69">
        <f>'Emissions CO2eq.'!D105</f>
        <v>2.7547100000000002</v>
      </c>
      <c r="D24" s="69">
        <f>'Emissions CO2eq.'!E105</f>
        <v>2.6980699999999995</v>
      </c>
      <c r="E24" s="69">
        <f>'Emissions CO2eq.'!F105</f>
        <v>2.4720999999999997</v>
      </c>
      <c r="F24" s="69">
        <f>'Emissions CO2eq.'!G105</f>
        <v>2.3487900000000002</v>
      </c>
      <c r="G24" s="69">
        <f>'Emissions CO2eq.'!H105</f>
        <v>1.9169099999999999</v>
      </c>
      <c r="H24" s="69">
        <f>'Emissions CO2eq.'!I105</f>
        <v>1.9705999999999999</v>
      </c>
      <c r="I24" s="69">
        <f>'Emissions CO2eq.'!J105</f>
        <v>2.0354999999999999</v>
      </c>
      <c r="J24" s="69">
        <f>'Emissions CO2eq.'!K105</f>
        <v>1.4401899999999999</v>
      </c>
      <c r="K24" s="69">
        <f>'Emissions CO2eq.'!L105</f>
        <v>1.3623099999999999</v>
      </c>
      <c r="L24" s="69">
        <f>'Emissions CO2eq.'!M105</f>
        <v>1.9458199999999999</v>
      </c>
      <c r="M24" s="69">
        <f>'Emissions CO2eq.'!N105</f>
        <v>2.1558599999999997</v>
      </c>
      <c r="N24" s="69">
        <f>'Emissions CO2eq.'!O105</f>
        <v>1.36585</v>
      </c>
      <c r="O24" s="69">
        <f>'Emissions CO2eq.'!P105</f>
        <v>1.79183</v>
      </c>
      <c r="P24" s="69">
        <f>'Emissions CO2eq.'!Q105</f>
        <v>1.2909199999999998</v>
      </c>
      <c r="Q24" s="69">
        <v>0.8024</v>
      </c>
      <c r="R24" s="69">
        <v>0</v>
      </c>
      <c r="S24" s="69">
        <v>0</v>
      </c>
    </row>
    <row r="25" spans="2:19" s="110" customFormat="1" x14ac:dyDescent="0.35">
      <c r="B25" s="110" t="s">
        <v>436</v>
      </c>
      <c r="C25" s="69">
        <v>2.6</v>
      </c>
      <c r="D25" s="69">
        <v>2.5</v>
      </c>
      <c r="E25" s="69">
        <v>2.2999999999999998</v>
      </c>
      <c r="F25" s="69">
        <v>2.2000000000000002</v>
      </c>
      <c r="G25" s="69">
        <v>1.8</v>
      </c>
      <c r="H25" s="69">
        <v>1.8</v>
      </c>
      <c r="I25" s="69">
        <v>1.5</v>
      </c>
      <c r="J25" s="69">
        <v>1.5</v>
      </c>
      <c r="K25" s="69">
        <v>1.5</v>
      </c>
      <c r="L25" s="69">
        <v>1.5</v>
      </c>
      <c r="M25" s="69">
        <v>1.5</v>
      </c>
      <c r="N25" s="69">
        <v>1.5</v>
      </c>
      <c r="O25" s="69">
        <v>1.5</v>
      </c>
      <c r="P25" s="69">
        <v>1.5</v>
      </c>
      <c r="Q25" s="69"/>
      <c r="R25" s="69"/>
      <c r="S25" s="69"/>
    </row>
    <row r="26" spans="2:19" s="110" customFormat="1" x14ac:dyDescent="0.35">
      <c r="B26" s="110" t="s">
        <v>448</v>
      </c>
      <c r="C26" s="50">
        <f>(C24-C25)/C24</f>
        <v>5.6161991643403519E-2</v>
      </c>
      <c r="D26" s="50">
        <f t="shared" ref="D26" si="83">(D24-D25)/D24</f>
        <v>7.3411735055057714E-2</v>
      </c>
      <c r="E26" s="50">
        <f t="shared" ref="E26" si="84">(E24-E25)/E24</f>
        <v>6.9616924881679518E-2</v>
      </c>
      <c r="F26" s="50">
        <f t="shared" ref="F26" si="85">(F24-F25)/F24</f>
        <v>6.3347510846010063E-2</v>
      </c>
      <c r="G26" s="50">
        <f t="shared" ref="G26" si="86">(G24-G25)/G24</f>
        <v>6.0988778815906773E-2</v>
      </c>
      <c r="H26" s="50">
        <f t="shared" ref="H26" si="87">(H24-H25)/H24</f>
        <v>8.6572617476910516E-2</v>
      </c>
      <c r="I26" s="50">
        <f t="shared" ref="I26" si="88">(I24-I25)/I24</f>
        <v>0.26308032424465727</v>
      </c>
      <c r="J26" s="50">
        <f t="shared" ref="J26" si="89">(J24-J25)/J24</f>
        <v>-4.1529242669370116E-2</v>
      </c>
      <c r="K26" s="50">
        <f t="shared" ref="K26" si="90">(K24-K25)/K24</f>
        <v>-0.10107097503505083</v>
      </c>
      <c r="L26" s="50">
        <f t="shared" ref="L26" si="91">(L24-L25)/L24</f>
        <v>0.22911677339116665</v>
      </c>
      <c r="M26" s="50">
        <f t="shared" ref="M26" si="92">(M24-M25)/M24</f>
        <v>0.30422198101917552</v>
      </c>
      <c r="N26" s="50">
        <f t="shared" ref="N26" si="93">(N24-N25)/N24</f>
        <v>-9.8217227367573295E-2</v>
      </c>
      <c r="O26" s="50">
        <f t="shared" ref="O26" si="94">(O24-O25)/O24</f>
        <v>0.16286701305369372</v>
      </c>
      <c r="P26" s="50">
        <f t="shared" ref="P26" si="95">(P24-P25)/P24</f>
        <v>-0.1619620115886346</v>
      </c>
      <c r="Q26" s="69"/>
      <c r="R26" s="69"/>
      <c r="S26" s="69"/>
    </row>
    <row r="27" spans="2:19" x14ac:dyDescent="0.35">
      <c r="B27" t="s">
        <v>428</v>
      </c>
      <c r="C27" s="69">
        <f>'Emissions CO2eq.'!D107</f>
        <v>19.570562830282945</v>
      </c>
      <c r="D27" s="69">
        <f>'Emissions CO2eq.'!E107</f>
        <v>20.22387731510333</v>
      </c>
      <c r="E27" s="69">
        <f>'Emissions CO2eq.'!F107</f>
        <v>20.899001076426266</v>
      </c>
      <c r="F27" s="69">
        <f>'Emissions CO2eq.'!G107</f>
        <v>21.574124837749199</v>
      </c>
      <c r="G27" s="69">
        <f>'Emissions CO2eq.'!H107</f>
        <v>22.249248599072132</v>
      </c>
      <c r="H27" s="69">
        <f>'Emissions CO2eq.'!I107</f>
        <v>22.924372360395068</v>
      </c>
      <c r="I27" s="69">
        <f>'Emissions CO2eq.'!J107</f>
        <v>23.599496121718001</v>
      </c>
      <c r="J27" s="69">
        <f>'Emissions CO2eq.'!K107</f>
        <v>24.274619883040934</v>
      </c>
      <c r="K27" s="69">
        <f>'Emissions CO2eq.'!L107</f>
        <v>28.567309941520467</v>
      </c>
      <c r="L27" s="69">
        <f>'Emissions CO2eq.'!M107</f>
        <v>32.86</v>
      </c>
      <c r="M27" s="69">
        <f>'Emissions CO2eq.'!N107</f>
        <v>34.979999999999997</v>
      </c>
      <c r="N27" s="69">
        <f>'Emissions CO2eq.'!O107</f>
        <v>37.1</v>
      </c>
      <c r="O27" s="69">
        <f>'Emissions CO2eq.'!P107</f>
        <v>34.131999999999998</v>
      </c>
      <c r="P27" s="69">
        <f>'Emissions CO2eq.'!Q107</f>
        <v>28.302</v>
      </c>
      <c r="Q27" s="69">
        <v>26.5</v>
      </c>
      <c r="R27" s="69">
        <v>25.44</v>
      </c>
      <c r="S27" s="69">
        <v>21.411999999999999</v>
      </c>
    </row>
    <row r="28" spans="2:19" s="110" customFormat="1" x14ac:dyDescent="0.35">
      <c r="B28" s="110" t="s">
        <v>437</v>
      </c>
      <c r="C28" s="69">
        <v>41.6</v>
      </c>
      <c r="D28" s="69">
        <v>41.6</v>
      </c>
      <c r="E28" s="69">
        <v>41.6</v>
      </c>
      <c r="F28" s="69">
        <v>41.7</v>
      </c>
      <c r="G28" s="69">
        <v>41.7</v>
      </c>
      <c r="H28" s="69">
        <v>41.7</v>
      </c>
      <c r="I28" s="69">
        <v>40.5</v>
      </c>
      <c r="J28" s="69">
        <v>40.5</v>
      </c>
      <c r="K28" s="69">
        <v>41.9</v>
      </c>
      <c r="L28" s="69">
        <v>43.2</v>
      </c>
      <c r="M28" s="69">
        <v>43.2</v>
      </c>
      <c r="N28" s="69">
        <v>47.3</v>
      </c>
      <c r="O28" s="69">
        <v>43.5</v>
      </c>
      <c r="P28" s="69">
        <v>36</v>
      </c>
      <c r="Q28" s="69"/>
      <c r="R28" s="69"/>
      <c r="S28" s="69"/>
    </row>
    <row r="29" spans="2:19" s="110" customFormat="1" x14ac:dyDescent="0.35">
      <c r="B29" s="110" t="s">
        <v>449</v>
      </c>
      <c r="C29" s="50">
        <f>(C27-C28)/C27</f>
        <v>-1.1256414728977195</v>
      </c>
      <c r="D29" s="50">
        <f t="shared" ref="D29" si="96">(D27-D28)/D27</f>
        <v>-1.0569745035455114</v>
      </c>
      <c r="E29" s="50">
        <f t="shared" ref="E29" si="97">(E27-E28)/E27</f>
        <v>-0.99052575995721281</v>
      </c>
      <c r="F29" s="50">
        <f t="shared" ref="F29" si="98">(F27-F28)/F27</f>
        <v>-0.93287098844610705</v>
      </c>
      <c r="G29" s="50">
        <f t="shared" ref="G29" si="99">(G27-G28)/G27</f>
        <v>-0.87422059735262392</v>
      </c>
      <c r="H29" s="50">
        <f t="shared" ref="H29" si="100">(H27-H28)/H27</f>
        <v>-0.81902471938740418</v>
      </c>
      <c r="I29" s="50">
        <f t="shared" ref="I29" si="101">(I27-I28)/I27</f>
        <v>-0.7161383357981489</v>
      </c>
      <c r="J29" s="50">
        <f t="shared" ref="J29" si="102">(J27-J28)/J27</f>
        <v>-0.66840923545396735</v>
      </c>
      <c r="K29" s="50">
        <f t="shared" ref="K29" si="103">(K27-K28)/K27</f>
        <v>-0.46671142945459682</v>
      </c>
      <c r="L29" s="50">
        <f t="shared" ref="L29" si="104">(L27-L28)/L27</f>
        <v>-0.31466828971393801</v>
      </c>
      <c r="M29" s="50">
        <f t="shared" ref="M29" si="105">(M27-M28)/M27</f>
        <v>-0.23499142367066914</v>
      </c>
      <c r="N29" s="50">
        <f t="shared" ref="N29" si="106">(N27-N28)/N27</f>
        <v>-0.27493261455525592</v>
      </c>
      <c r="O29" s="50">
        <f t="shared" ref="O29" si="107">(O27-O28)/O27</f>
        <v>-0.274463846243994</v>
      </c>
      <c r="P29" s="50">
        <f t="shared" ref="P29" si="108">(P27-P28)/P27</f>
        <v>-0.27199491202035192</v>
      </c>
      <c r="Q29" s="69"/>
      <c r="R29" s="69"/>
      <c r="S29" s="69"/>
    </row>
    <row r="30" spans="2:19" s="110" customFormat="1" x14ac:dyDescent="0.35">
      <c r="B30" s="110" t="s">
        <v>498</v>
      </c>
      <c r="C30" s="69">
        <f>'Emissions CO2eq.'!D109</f>
        <v>0</v>
      </c>
      <c r="D30" s="69">
        <f>'Emissions CO2eq.'!E109</f>
        <v>0</v>
      </c>
      <c r="E30" s="69">
        <f>'Emissions CO2eq.'!F109</f>
        <v>0</v>
      </c>
      <c r="F30" s="69">
        <f>'Emissions CO2eq.'!G109</f>
        <v>0</v>
      </c>
      <c r="G30" s="69">
        <f>'Emissions CO2eq.'!H109</f>
        <v>0</v>
      </c>
      <c r="H30" s="69">
        <f>'Emissions CO2eq.'!I109</f>
        <v>0</v>
      </c>
      <c r="I30" s="69">
        <f>'Emissions CO2eq.'!J109</f>
        <v>0</v>
      </c>
      <c r="J30" s="69">
        <f>'Emissions CO2eq.'!K109</f>
        <v>0</v>
      </c>
      <c r="K30" s="69">
        <f>'Emissions CO2eq.'!L109</f>
        <v>0</v>
      </c>
      <c r="L30" s="69">
        <f>'Emissions CO2eq.'!M109</f>
        <v>0</v>
      </c>
      <c r="M30" s="69">
        <f>'Emissions CO2eq.'!N109</f>
        <v>0</v>
      </c>
      <c r="N30" s="69">
        <f>'Emissions CO2eq.'!O109</f>
        <v>9.4336000000000002</v>
      </c>
      <c r="O30" s="69">
        <f>'Emissions CO2eq.'!P109</f>
        <v>10.6128</v>
      </c>
      <c r="P30" s="69">
        <f>'Emissions CO2eq.'!Q109</f>
        <v>10.023200000000001</v>
      </c>
      <c r="Q30" s="69">
        <f>'Emissions CO2eq.'!R109</f>
        <v>8.8439999999999994</v>
      </c>
      <c r="R30" s="69">
        <f>'Emissions CO2eq.'!S109</f>
        <v>6.4856000000000007</v>
      </c>
      <c r="S30" s="69">
        <f>'Emissions CO2eq.'!T109</f>
        <v>7.6648000000000005</v>
      </c>
    </row>
    <row r="31" spans="2:19" s="110" customFormat="1" x14ac:dyDescent="0.35">
      <c r="B31" s="110" t="s">
        <v>499</v>
      </c>
    </row>
    <row r="32" spans="2:19" s="110" customFormat="1" x14ac:dyDescent="0.35">
      <c r="B32" s="110" t="s">
        <v>500</v>
      </c>
      <c r="C32" s="50" t="e">
        <f>(C30-C31)/C30</f>
        <v>#DIV/0!</v>
      </c>
      <c r="D32" s="50" t="e">
        <f t="shared" ref="D32:P32" si="109">(D30-D31)/D30</f>
        <v>#DIV/0!</v>
      </c>
      <c r="E32" s="50" t="e">
        <f t="shared" si="109"/>
        <v>#DIV/0!</v>
      </c>
      <c r="F32" s="50" t="e">
        <f t="shared" si="109"/>
        <v>#DIV/0!</v>
      </c>
      <c r="G32" s="50" t="e">
        <f t="shared" si="109"/>
        <v>#DIV/0!</v>
      </c>
      <c r="H32" s="50" t="e">
        <f t="shared" si="109"/>
        <v>#DIV/0!</v>
      </c>
      <c r="I32" s="50" t="e">
        <f t="shared" si="109"/>
        <v>#DIV/0!</v>
      </c>
      <c r="J32" s="50" t="e">
        <f t="shared" si="109"/>
        <v>#DIV/0!</v>
      </c>
      <c r="K32" s="50" t="e">
        <f t="shared" si="109"/>
        <v>#DIV/0!</v>
      </c>
      <c r="L32" s="50" t="e">
        <f t="shared" si="109"/>
        <v>#DIV/0!</v>
      </c>
      <c r="M32" s="50" t="e">
        <f t="shared" si="109"/>
        <v>#DIV/0!</v>
      </c>
      <c r="N32" s="50">
        <f t="shared" si="109"/>
        <v>1</v>
      </c>
      <c r="O32" s="50">
        <f t="shared" si="109"/>
        <v>1</v>
      </c>
      <c r="P32" s="50">
        <f t="shared" si="109"/>
        <v>1</v>
      </c>
    </row>
    <row r="33" spans="2:19" s="110" customFormat="1" x14ac:dyDescent="0.35">
      <c r="B33" s="110" t="s">
        <v>429</v>
      </c>
      <c r="C33" s="69">
        <f ca="1">'Emissions CO2eq.'!D111</f>
        <v>48.810817663574454</v>
      </c>
      <c r="D33" s="69">
        <f ca="1">'Emissions CO2eq.'!E111</f>
        <v>51.245120014038285</v>
      </c>
      <c r="E33" s="69">
        <f ca="1">'Emissions CO2eq.'!F111</f>
        <v>53.370752011932538</v>
      </c>
      <c r="F33" s="69">
        <f ca="1">'Emissions CO2eq.'!G111</f>
        <v>55.465914210142664</v>
      </c>
      <c r="G33" s="69">
        <f ca="1">'Emissions CO2eq.'!H111</f>
        <v>57.517327078621264</v>
      </c>
      <c r="H33" s="69">
        <f ca="1">'Emissions CO2eq.'!I111</f>
        <v>88.619913016828065</v>
      </c>
      <c r="I33" s="69">
        <f ca="1">'Emissions CO2eq.'!J111</f>
        <v>82.715715126803872</v>
      </c>
      <c r="J33" s="69">
        <f ca="1">'Emissions CO2eq.'!K111</f>
        <v>87.943753795283271</v>
      </c>
      <c r="K33" s="69">
        <f ca="1">'Emissions CO2eq.'!L111</f>
        <v>89.675509557865794</v>
      </c>
      <c r="L33" s="69">
        <f ca="1">'Emissions CO2eq.'!M111</f>
        <v>104.07935782906873</v>
      </c>
      <c r="M33" s="69">
        <f ca="1">'Emissions CO2eq.'!N111</f>
        <v>110.05083392232561</v>
      </c>
      <c r="N33" s="69">
        <f ca="1">'Emissions CO2eq.'!O111</f>
        <v>146.54587707660198</v>
      </c>
      <c r="O33" s="69">
        <f ca="1">'Emissions CO2eq.'!P111</f>
        <v>169.85270623233379</v>
      </c>
      <c r="P33" s="69">
        <f ca="1">'Emissions CO2eq.'!Q111</f>
        <v>267.27819874289071</v>
      </c>
      <c r="Q33" s="69">
        <v>264.63798648789236</v>
      </c>
      <c r="R33" s="69">
        <v>269.03044249682239</v>
      </c>
      <c r="S33" s="69">
        <v>282.10414849414769</v>
      </c>
    </row>
    <row r="34" spans="2:19" s="110" customFormat="1" x14ac:dyDescent="0.35">
      <c r="B34" s="110" t="s">
        <v>438</v>
      </c>
      <c r="I34" s="110">
        <v>0.9</v>
      </c>
      <c r="J34" s="110">
        <v>2.8</v>
      </c>
      <c r="K34" s="110">
        <v>3.8</v>
      </c>
      <c r="L34" s="110">
        <v>4.5999999999999996</v>
      </c>
      <c r="M34" s="110">
        <v>5.2</v>
      </c>
      <c r="N34" s="110">
        <v>5.7</v>
      </c>
      <c r="O34" s="110">
        <v>6</v>
      </c>
      <c r="P34" s="110">
        <v>6.2</v>
      </c>
    </row>
    <row r="35" spans="2:19" x14ac:dyDescent="0.35">
      <c r="B35" t="s">
        <v>450</v>
      </c>
      <c r="C35" s="50">
        <f ca="1">(C33-C34)/C33</f>
        <v>1</v>
      </c>
      <c r="D35" s="50">
        <f t="shared" ref="D35" ca="1" si="110">(D33-D34)/D33</f>
        <v>1</v>
      </c>
      <c r="E35" s="50">
        <f t="shared" ref="E35" ca="1" si="111">(E33-E34)/E33</f>
        <v>1</v>
      </c>
      <c r="F35" s="50">
        <f t="shared" ref="F35" ca="1" si="112">(F33-F34)/F33</f>
        <v>1</v>
      </c>
      <c r="G35" s="50">
        <f t="shared" ref="G35" ca="1" si="113">(G33-G34)/G33</f>
        <v>1</v>
      </c>
      <c r="H35" s="50">
        <f t="shared" ref="H35" ca="1" si="114">(H33-H34)/H33</f>
        <v>1</v>
      </c>
      <c r="I35" s="50">
        <f t="shared" ref="I35" ca="1" si="115">(I33-I34)/I33</f>
        <v>0.98911935901635739</v>
      </c>
      <c r="J35" s="50">
        <f t="shared" ref="J35" ca="1" si="116">(J33-J34)/J33</f>
        <v>0.96816146822072346</v>
      </c>
      <c r="K35" s="50">
        <f t="shared" ref="K35" ca="1" si="117">(K33-K34)/K33</f>
        <v>0.95762499684991553</v>
      </c>
      <c r="L35" s="50">
        <f t="shared" ref="L35" ca="1" si="118">(L33-L34)/L33</f>
        <v>0.95580295559130324</v>
      </c>
      <c r="M35" s="50">
        <f t="shared" ref="M35" ca="1" si="119">(M33-M34)/M33</f>
        <v>0.95274910861947504</v>
      </c>
      <c r="N35" s="50">
        <f t="shared" ref="N35" ca="1" si="120">(N33-N34)/N33</f>
        <v>0.96110433050927457</v>
      </c>
      <c r="O35" s="50">
        <f t="shared" ref="O35" ca="1" si="121">(O33-O34)/O33</f>
        <v>0.96467527581342816</v>
      </c>
      <c r="P35" s="50">
        <f t="shared" ref="P35" ca="1" si="122">(P33-P34)/P33</f>
        <v>0.97680319596150789</v>
      </c>
    </row>
    <row r="36" spans="2:19" s="110" customFormat="1" x14ac:dyDescent="0.35"/>
    <row r="37" spans="2:19" s="110" customFormat="1" x14ac:dyDescent="0.35"/>
  </sheetData>
  <phoneticPr fontId="38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7E6E5-B68A-4BB5-9C81-39DF3B977D3A}">
  <sheetPr>
    <tabColor theme="6" tint="0.39997558519241921"/>
  </sheetPr>
  <dimension ref="B2:V52"/>
  <sheetViews>
    <sheetView zoomScale="55" zoomScaleNormal="55" workbookViewId="0">
      <pane xSplit="5" ySplit="2" topLeftCell="F3" activePane="bottomRight" state="frozen"/>
      <selection activeCell="H265" sqref="H265"/>
      <selection pane="topRight" activeCell="H265" sqref="H265"/>
      <selection pane="bottomLeft" activeCell="H265" sqref="H265"/>
      <selection pane="bottomRight" activeCell="H265" sqref="H265"/>
    </sheetView>
  </sheetViews>
  <sheetFormatPr baseColWidth="10" defaultRowHeight="14.5" x14ac:dyDescent="0.35"/>
  <cols>
    <col min="1" max="1" width="3.36328125" customWidth="1"/>
    <col min="2" max="2" width="16.90625" style="110" customWidth="1"/>
    <col min="3" max="3" width="19.81640625" customWidth="1"/>
    <col min="4" max="4" width="8.54296875" style="2" customWidth="1"/>
    <col min="5" max="5" width="17" style="2" bestFit="1" customWidth="1"/>
    <col min="6" max="21" width="10.90625" customWidth="1"/>
  </cols>
  <sheetData>
    <row r="2" spans="2:22" x14ac:dyDescent="0.35">
      <c r="B2" s="3" t="s">
        <v>485</v>
      </c>
      <c r="C2" s="72" t="s">
        <v>119</v>
      </c>
      <c r="D2" s="72" t="s">
        <v>13</v>
      </c>
      <c r="E2" s="72" t="s">
        <v>64</v>
      </c>
      <c r="F2" s="72">
        <v>2000</v>
      </c>
      <c r="G2" s="72">
        <v>2001</v>
      </c>
      <c r="H2" s="72">
        <v>2002</v>
      </c>
      <c r="I2" s="72">
        <v>2003</v>
      </c>
      <c r="J2" s="72">
        <v>2004</v>
      </c>
      <c r="K2" s="72">
        <v>2005</v>
      </c>
      <c r="L2" s="72">
        <v>2006</v>
      </c>
      <c r="M2" s="72">
        <v>2007</v>
      </c>
      <c r="N2" s="72">
        <v>2008</v>
      </c>
      <c r="O2" s="72">
        <v>2009</v>
      </c>
      <c r="P2" s="72">
        <v>2010</v>
      </c>
      <c r="Q2" s="72">
        <v>2011</v>
      </c>
      <c r="R2" s="72">
        <v>2012</v>
      </c>
      <c r="S2" s="72">
        <v>2013</v>
      </c>
      <c r="T2" s="72">
        <v>2014</v>
      </c>
      <c r="U2" s="72">
        <v>2015</v>
      </c>
      <c r="V2" s="72">
        <v>2016</v>
      </c>
    </row>
    <row r="3" spans="2:22" x14ac:dyDescent="0.35">
      <c r="B3" s="752" t="s">
        <v>486</v>
      </c>
      <c r="C3" t="s">
        <v>15</v>
      </c>
      <c r="D3" s="2" t="s">
        <v>2</v>
      </c>
      <c r="E3" s="2" t="s">
        <v>65</v>
      </c>
      <c r="F3" s="554">
        <v>222.4</v>
      </c>
      <c r="G3" s="554">
        <v>347.5</v>
      </c>
      <c r="H3" s="554">
        <v>312</v>
      </c>
      <c r="I3" s="554">
        <v>289.39999999999998</v>
      </c>
      <c r="J3" s="554">
        <v>331.8</v>
      </c>
      <c r="K3" s="554">
        <v>379.3</v>
      </c>
      <c r="L3" s="554">
        <v>490.3</v>
      </c>
      <c r="M3" s="554">
        <v>647.79999999999995</v>
      </c>
      <c r="N3" s="554">
        <v>606.5</v>
      </c>
      <c r="O3" s="554">
        <v>559.9</v>
      </c>
      <c r="P3" s="554">
        <v>660.6</v>
      </c>
      <c r="Q3" s="554">
        <v>660.2</v>
      </c>
      <c r="R3" s="554">
        <v>729.3</v>
      </c>
      <c r="S3" s="554">
        <v>708.3</v>
      </c>
      <c r="T3" s="554">
        <v>771.8</v>
      </c>
      <c r="U3" s="554">
        <v>804.2</v>
      </c>
      <c r="V3" s="554">
        <v>925.5</v>
      </c>
    </row>
    <row r="4" spans="2:22" x14ac:dyDescent="0.35">
      <c r="B4" s="752"/>
      <c r="C4" t="s">
        <v>130</v>
      </c>
      <c r="D4" s="2" t="s">
        <v>2</v>
      </c>
      <c r="E4" s="2" t="s">
        <v>65</v>
      </c>
      <c r="F4" s="554">
        <v>89.8</v>
      </c>
      <c r="G4" s="554">
        <v>86.8</v>
      </c>
      <c r="H4" s="554">
        <v>80.3</v>
      </c>
      <c r="I4" s="554">
        <v>86.8</v>
      </c>
      <c r="J4" s="554">
        <v>87.7</v>
      </c>
      <c r="K4" s="554">
        <v>86.8</v>
      </c>
      <c r="L4" s="554">
        <v>88.9</v>
      </c>
      <c r="M4" s="554">
        <v>96.4</v>
      </c>
      <c r="N4" s="554">
        <v>108.5</v>
      </c>
      <c r="O4" s="554">
        <v>104.4</v>
      </c>
      <c r="P4" s="554">
        <v>120.9</v>
      </c>
      <c r="Q4" s="554">
        <v>116.7</v>
      </c>
      <c r="R4" s="554">
        <v>128.19999999999999</v>
      </c>
      <c r="S4" s="554">
        <v>138.19999999999999</v>
      </c>
      <c r="T4" s="554">
        <v>137.9</v>
      </c>
      <c r="U4" s="554">
        <v>154.69999999999999</v>
      </c>
      <c r="V4" s="554">
        <v>168.8</v>
      </c>
    </row>
    <row r="5" spans="2:22" x14ac:dyDescent="0.35">
      <c r="B5" s="752"/>
      <c r="C5" t="s">
        <v>61</v>
      </c>
      <c r="D5" s="2" t="s">
        <v>2</v>
      </c>
      <c r="E5" s="2" t="s">
        <v>65</v>
      </c>
      <c r="F5" s="554">
        <v>339.7</v>
      </c>
      <c r="G5" s="554">
        <v>338</v>
      </c>
      <c r="H5" s="554">
        <v>346.4</v>
      </c>
      <c r="I5" s="554">
        <v>309.2</v>
      </c>
      <c r="J5" s="554">
        <v>319.7</v>
      </c>
      <c r="K5" s="554">
        <v>329.9</v>
      </c>
      <c r="L5" s="554">
        <v>327.5</v>
      </c>
      <c r="M5" s="554">
        <v>307.5</v>
      </c>
      <c r="N5" s="554">
        <v>328.5</v>
      </c>
      <c r="O5" s="554">
        <v>288</v>
      </c>
      <c r="P5" s="554">
        <v>310.39999999999998</v>
      </c>
      <c r="Q5" s="554">
        <v>309.89999999999998</v>
      </c>
      <c r="R5" s="554">
        <v>313.8</v>
      </c>
      <c r="S5" s="554">
        <v>336.1</v>
      </c>
      <c r="T5" s="554">
        <v>303.60000000000002</v>
      </c>
      <c r="U5" s="554">
        <v>318.7</v>
      </c>
      <c r="V5" s="554">
        <v>339.1</v>
      </c>
    </row>
    <row r="6" spans="2:22" x14ac:dyDescent="0.35">
      <c r="B6" s="752"/>
      <c r="C6" t="s">
        <v>22</v>
      </c>
      <c r="D6" s="2" t="s">
        <v>2</v>
      </c>
      <c r="E6" s="2" t="s">
        <v>65</v>
      </c>
      <c r="F6" s="554">
        <v>190</v>
      </c>
      <c r="G6" s="554">
        <v>202.2</v>
      </c>
      <c r="H6" s="554">
        <v>211.1</v>
      </c>
      <c r="I6" s="554">
        <v>207.5</v>
      </c>
      <c r="J6" s="554">
        <v>227</v>
      </c>
      <c r="K6" s="554">
        <v>220.1</v>
      </c>
      <c r="L6" s="554">
        <v>236</v>
      </c>
      <c r="M6" s="554">
        <v>262.60000000000002</v>
      </c>
      <c r="N6" s="554">
        <v>262.2</v>
      </c>
      <c r="O6" s="554">
        <v>204.7</v>
      </c>
      <c r="P6" s="554">
        <v>234.9</v>
      </c>
      <c r="Q6" s="554">
        <v>226.4</v>
      </c>
      <c r="R6" s="554">
        <v>213</v>
      </c>
      <c r="S6" s="554">
        <v>241.1</v>
      </c>
      <c r="T6" s="554">
        <v>232</v>
      </c>
      <c r="U6" s="554">
        <v>268.8</v>
      </c>
      <c r="V6" s="554">
        <v>285</v>
      </c>
    </row>
    <row r="7" spans="2:22" x14ac:dyDescent="0.35">
      <c r="B7" s="752"/>
      <c r="C7" t="s">
        <v>14</v>
      </c>
      <c r="D7" s="2" t="s">
        <v>2</v>
      </c>
      <c r="E7" s="2" t="s">
        <v>65</v>
      </c>
      <c r="F7" s="554">
        <v>27.4</v>
      </c>
      <c r="G7" s="554">
        <v>12</v>
      </c>
      <c r="H7" s="554">
        <v>14.3</v>
      </c>
      <c r="I7" s="554">
        <v>20.2</v>
      </c>
      <c r="J7" s="554">
        <v>29.8</v>
      </c>
      <c r="K7" s="554">
        <v>27.9</v>
      </c>
      <c r="L7" s="554">
        <v>6</v>
      </c>
      <c r="M7" s="554">
        <v>3.7</v>
      </c>
      <c r="N7" s="554">
        <v>5.9</v>
      </c>
      <c r="O7" s="554">
        <v>4.0999999999999996</v>
      </c>
      <c r="P7" s="554">
        <v>6.7</v>
      </c>
      <c r="Q7" s="554">
        <v>4.3</v>
      </c>
      <c r="R7" s="554">
        <v>7</v>
      </c>
      <c r="S7" s="554">
        <v>2.8</v>
      </c>
      <c r="T7" s="554">
        <v>2.2000000000000002</v>
      </c>
      <c r="U7" s="554">
        <v>2.5</v>
      </c>
      <c r="V7" s="554">
        <v>2.1</v>
      </c>
    </row>
    <row r="8" spans="2:22" x14ac:dyDescent="0.35">
      <c r="B8" s="752"/>
      <c r="C8" t="s">
        <v>58</v>
      </c>
      <c r="D8" s="2" t="s">
        <v>2</v>
      </c>
      <c r="E8" s="2" t="s">
        <v>65</v>
      </c>
      <c r="F8" s="554">
        <v>218.8</v>
      </c>
      <c r="G8" s="554">
        <v>275.10000000000002</v>
      </c>
      <c r="H8" s="554">
        <v>208.6</v>
      </c>
      <c r="I8" s="554">
        <v>288</v>
      </c>
      <c r="J8" s="554">
        <v>288.8</v>
      </c>
      <c r="K8" s="554">
        <v>337.5</v>
      </c>
      <c r="L8" s="554">
        <v>304.39999999999998</v>
      </c>
      <c r="M8" s="554">
        <v>333.9</v>
      </c>
      <c r="N8" s="554">
        <v>291</v>
      </c>
      <c r="O8" s="554">
        <v>343.7</v>
      </c>
      <c r="P8" s="554">
        <v>341.5</v>
      </c>
      <c r="Q8" s="554">
        <v>434.8</v>
      </c>
      <c r="R8" s="554">
        <v>401.2</v>
      </c>
      <c r="S8" s="554">
        <v>429.1</v>
      </c>
      <c r="T8" s="554">
        <v>406.4</v>
      </c>
      <c r="U8" s="554">
        <v>445.1</v>
      </c>
      <c r="V8" s="554">
        <v>489.7</v>
      </c>
    </row>
    <row r="9" spans="2:22" x14ac:dyDescent="0.35">
      <c r="B9" s="752"/>
      <c r="C9" t="s">
        <v>117</v>
      </c>
      <c r="D9" s="2" t="s">
        <v>2</v>
      </c>
      <c r="E9" s="2" t="s">
        <v>65</v>
      </c>
      <c r="F9" s="554">
        <v>47.3</v>
      </c>
      <c r="G9" s="554">
        <v>43.9</v>
      </c>
      <c r="H9" s="554">
        <v>54.1</v>
      </c>
      <c r="I9" s="554">
        <v>48.8</v>
      </c>
      <c r="J9" s="554">
        <v>53.8</v>
      </c>
      <c r="K9" s="554">
        <v>62.7</v>
      </c>
      <c r="L9" s="554">
        <v>58.8</v>
      </c>
      <c r="M9" s="554">
        <v>62.8</v>
      </c>
      <c r="N9" s="554">
        <v>63.1</v>
      </c>
      <c r="O9" s="554">
        <v>62.6</v>
      </c>
      <c r="P9" s="554">
        <v>62.7</v>
      </c>
      <c r="Q9" s="554">
        <v>66.3</v>
      </c>
      <c r="R9" s="554">
        <v>67.900000000000006</v>
      </c>
      <c r="S9" s="554">
        <v>68.2</v>
      </c>
      <c r="T9" s="554">
        <v>75.599999999999994</v>
      </c>
      <c r="U9" s="554">
        <v>72.5</v>
      </c>
      <c r="V9" s="554">
        <v>167</v>
      </c>
    </row>
    <row r="10" spans="2:22" s="110" customFormat="1" x14ac:dyDescent="0.35">
      <c r="B10" s="753" t="s">
        <v>490</v>
      </c>
      <c r="C10" s="110" t="s">
        <v>15</v>
      </c>
      <c r="D10" s="2" t="s">
        <v>1</v>
      </c>
      <c r="E10" s="2" t="s">
        <v>65</v>
      </c>
      <c r="F10" s="554">
        <f>'Activity Data Calculations'!F12</f>
        <v>228520</v>
      </c>
      <c r="G10" s="554">
        <f>'Activity Data Calculations'!G12</f>
        <v>273376</v>
      </c>
      <c r="H10" s="554">
        <f>'Activity Data Calculations'!H12</f>
        <v>286886</v>
      </c>
      <c r="I10" s="554">
        <f>'Activity Data Calculations'!I12</f>
        <v>287176</v>
      </c>
      <c r="J10" s="554">
        <f>'Activity Data Calculations'!J12</f>
        <v>265128</v>
      </c>
      <c r="K10" s="554">
        <f>'Activity Data Calculations'!K12</f>
        <v>340675</v>
      </c>
      <c r="L10" s="554">
        <f>'Activity Data Calculations'!L12</f>
        <v>462784</v>
      </c>
      <c r="M10" s="554">
        <f>'Activity Data Calculations'!M12</f>
        <v>552632</v>
      </c>
      <c r="N10" s="554">
        <f>'Activity Data Calculations'!N12</f>
        <v>609745</v>
      </c>
      <c r="O10" s="554">
        <f>'Activity Data Calculations'!O12</f>
        <v>574141</v>
      </c>
      <c r="P10" s="554">
        <f>'Activity Data Calculations'!P12</f>
        <v>643049</v>
      </c>
      <c r="Q10" s="554">
        <f>'Activity Data Calculations'!Q12</f>
        <v>617297</v>
      </c>
      <c r="R10" s="554">
        <f>'Activity Data Calculations'!R12</f>
        <v>649157</v>
      </c>
      <c r="S10" s="554">
        <f>'Activity Data Calculations'!S12</f>
        <v>683207</v>
      </c>
      <c r="T10" s="554">
        <f>'Activity Data Calculations'!T12</f>
        <v>711236</v>
      </c>
      <c r="U10" s="554">
        <f>'Activity Data Calculations'!U12</f>
        <v>684348</v>
      </c>
      <c r="V10" s="554">
        <f>'Activity Data Calculations'!V12</f>
        <v>701225</v>
      </c>
    </row>
    <row r="11" spans="2:22" s="110" customFormat="1" x14ac:dyDescent="0.35">
      <c r="B11" s="753"/>
      <c r="C11" s="110" t="s">
        <v>61</v>
      </c>
      <c r="D11" s="2" t="s">
        <v>1</v>
      </c>
      <c r="E11" s="2" t="s">
        <v>65</v>
      </c>
      <c r="F11" s="554">
        <f>'Activity Data Calculations'!F8</f>
        <v>3364</v>
      </c>
      <c r="G11" s="554">
        <f>'Activity Data Calculations'!G8</f>
        <v>3138</v>
      </c>
      <c r="H11" s="554">
        <f>'Activity Data Calculations'!H8</f>
        <v>3481</v>
      </c>
      <c r="I11" s="554">
        <f>'Activity Data Calculations'!I8</f>
        <v>3895</v>
      </c>
      <c r="J11" s="554">
        <f>'Activity Data Calculations'!J8</f>
        <v>3968</v>
      </c>
      <c r="K11" s="554">
        <f>'Activity Data Calculations'!K8</f>
        <v>2126</v>
      </c>
      <c r="L11" s="554">
        <f>'Activity Data Calculations'!L8</f>
        <v>2531</v>
      </c>
      <c r="M11" s="554">
        <f>'Activity Data Calculations'!M8</f>
        <v>2746.43</v>
      </c>
      <c r="N11" s="554">
        <f>'Activity Data Calculations'!N8</f>
        <v>1900.6</v>
      </c>
      <c r="O11" s="554">
        <f>'Activity Data Calculations'!O8</f>
        <v>2761.2235999999998</v>
      </c>
      <c r="P11" s="554">
        <f>'Activity Data Calculations'!P8</f>
        <v>1997</v>
      </c>
      <c r="Q11" s="554">
        <f>'Activity Data Calculations'!Q8</f>
        <v>1523</v>
      </c>
      <c r="R11" s="554">
        <f>'Activity Data Calculations'!R8</f>
        <v>1857</v>
      </c>
      <c r="S11" s="554">
        <f>'Activity Data Calculations'!S8</f>
        <v>1269</v>
      </c>
      <c r="T11" s="554">
        <f>'Activity Data Calculations'!T8</f>
        <v>1229</v>
      </c>
      <c r="U11" s="554">
        <f>'Activity Data Calculations'!U8</f>
        <v>1083.92</v>
      </c>
      <c r="V11" s="554">
        <f>'Activity Data Calculations'!V8</f>
        <v>1025.1092882340033</v>
      </c>
    </row>
    <row r="12" spans="2:22" s="110" customFormat="1" x14ac:dyDescent="0.35">
      <c r="B12" s="753"/>
      <c r="C12" s="110" t="s">
        <v>14</v>
      </c>
      <c r="D12" s="2" t="s">
        <v>1</v>
      </c>
      <c r="E12" s="2" t="s">
        <v>65</v>
      </c>
      <c r="F12" s="554">
        <f>'Activity Data Calculations'!F11</f>
        <v>13081</v>
      </c>
      <c r="G12" s="554">
        <f>'Activity Data Calculations'!G11</f>
        <v>3760</v>
      </c>
      <c r="H12" s="554">
        <f>'Activity Data Calculations'!H11</f>
        <v>5443</v>
      </c>
      <c r="I12" s="554">
        <f>'Activity Data Calculations'!I11</f>
        <v>9864</v>
      </c>
      <c r="J12" s="554">
        <f>'Activity Data Calculations'!J11</f>
        <v>16555</v>
      </c>
      <c r="K12" s="554">
        <f>'Activity Data Calculations'!K11</f>
        <v>17731</v>
      </c>
      <c r="L12" s="554">
        <f>'Activity Data Calculations'!L11</f>
        <v>1848</v>
      </c>
      <c r="M12" s="554">
        <f>'Activity Data Calculations'!M11</f>
        <v>1066.6400000000001</v>
      </c>
      <c r="N12" s="554">
        <f>'Activity Data Calculations'!N11</f>
        <v>2095.3200000000002</v>
      </c>
      <c r="O12" s="554">
        <f>'Activity Data Calculations'!O11</f>
        <v>4923.8909999999996</v>
      </c>
      <c r="P12" s="554">
        <f>'Activity Data Calculations'!P11</f>
        <v>6008</v>
      </c>
      <c r="Q12" s="554">
        <f>'Activity Data Calculations'!Q11</f>
        <v>3659</v>
      </c>
      <c r="R12" s="554">
        <f>'Activity Data Calculations'!R11</f>
        <v>3437</v>
      </c>
      <c r="S12" s="554">
        <f>'Activity Data Calculations'!S11</f>
        <v>645</v>
      </c>
      <c r="T12" s="554">
        <f>'Activity Data Calculations'!T11</f>
        <v>681</v>
      </c>
      <c r="U12" s="554">
        <f>'Activity Data Calculations'!U11</f>
        <v>741.28</v>
      </c>
      <c r="V12" s="554">
        <f>'Activity Data Calculations'!V11</f>
        <v>728.77595972309632</v>
      </c>
    </row>
    <row r="13" spans="2:22" s="110" customFormat="1" x14ac:dyDescent="0.35">
      <c r="B13" s="753"/>
      <c r="C13" s="110" t="s">
        <v>58</v>
      </c>
      <c r="D13" s="2" t="s">
        <v>1</v>
      </c>
      <c r="E13" s="2" t="s">
        <v>65</v>
      </c>
      <c r="F13" s="554">
        <f>'Activity Data Calculations'!F5</f>
        <v>175515</v>
      </c>
      <c r="G13" s="554">
        <f>'Activity Data Calculations'!G5</f>
        <v>185337</v>
      </c>
      <c r="H13" s="554">
        <f>'Activity Data Calculations'!H5</f>
        <v>179616</v>
      </c>
      <c r="I13" s="554">
        <f>'Activity Data Calculations'!I5</f>
        <v>204459</v>
      </c>
      <c r="J13" s="554">
        <f>'Activity Data Calculations'!J5</f>
        <v>220067</v>
      </c>
      <c r="K13" s="554">
        <f>'Activity Data Calculations'!K5</f>
        <v>217053</v>
      </c>
      <c r="L13" s="554">
        <f>'Activity Data Calculations'!L5</f>
        <v>226541</v>
      </c>
      <c r="M13" s="554">
        <f>'Activity Data Calculations'!M5</f>
        <v>201820.21</v>
      </c>
      <c r="N13" s="554">
        <f>'Activity Data Calculations'!N5</f>
        <v>167546.37</v>
      </c>
      <c r="O13" s="554">
        <f>'Activity Data Calculations'!O5</f>
        <v>190604.2298</v>
      </c>
      <c r="P13" s="554">
        <f>'Activity Data Calculations'!P5</f>
        <v>196882</v>
      </c>
      <c r="Q13" s="554">
        <f>'Activity Data Calculations'!Q5</f>
        <v>214517</v>
      </c>
      <c r="R13" s="554">
        <f>'Activity Data Calculations'!R5</f>
        <v>213032</v>
      </c>
      <c r="S13" s="554">
        <f>'Activity Data Calculations'!S5</f>
        <v>216190</v>
      </c>
      <c r="T13" s="554">
        <f>'Activity Data Calculations'!T5</f>
        <v>221345</v>
      </c>
      <c r="U13" s="554">
        <f>'Activity Data Calculations'!U5</f>
        <v>229570.37000000002</v>
      </c>
      <c r="V13" s="554">
        <f>'Activity Data Calculations'!V5</f>
        <v>224212.45685329637</v>
      </c>
    </row>
    <row r="14" spans="2:22" s="110" customFormat="1" x14ac:dyDescent="0.35">
      <c r="B14" s="753" t="s">
        <v>491</v>
      </c>
      <c r="C14" s="110" t="s">
        <v>58</v>
      </c>
      <c r="D14" s="2" t="s">
        <v>1</v>
      </c>
      <c r="E14" s="2" t="s">
        <v>65</v>
      </c>
      <c r="F14" s="554">
        <v>44699</v>
      </c>
      <c r="G14" s="554">
        <v>56082.7</v>
      </c>
      <c r="H14" s="554">
        <v>56831</v>
      </c>
      <c r="I14" s="554">
        <v>51165.8</v>
      </c>
      <c r="J14" s="554">
        <v>45868.4</v>
      </c>
      <c r="K14" s="554">
        <v>42554.3</v>
      </c>
      <c r="L14" s="554">
        <v>53743</v>
      </c>
      <c r="M14" s="554">
        <v>55721.599999999999</v>
      </c>
      <c r="N14" s="554">
        <v>50267.8</v>
      </c>
      <c r="O14" s="554">
        <v>43078</v>
      </c>
      <c r="P14" s="554">
        <v>41472</v>
      </c>
      <c r="Q14" s="554">
        <v>40316</v>
      </c>
      <c r="R14" s="554">
        <v>38953</v>
      </c>
      <c r="S14" s="554">
        <v>39182</v>
      </c>
      <c r="T14" s="554">
        <v>40476</v>
      </c>
      <c r="U14" s="554">
        <v>37203</v>
      </c>
      <c r="V14" s="554">
        <v>36789</v>
      </c>
    </row>
    <row r="15" spans="2:22" s="110" customFormat="1" x14ac:dyDescent="0.35">
      <c r="B15" s="753"/>
      <c r="C15" s="110" t="s">
        <v>61</v>
      </c>
      <c r="D15" s="2" t="s">
        <v>1</v>
      </c>
      <c r="E15" s="2" t="s">
        <v>65</v>
      </c>
      <c r="F15" s="554">
        <v>41600</v>
      </c>
      <c r="G15" s="554">
        <v>37533</v>
      </c>
      <c r="H15" s="554">
        <v>37409</v>
      </c>
      <c r="I15" s="554">
        <v>41273</v>
      </c>
      <c r="J15" s="554">
        <v>43372</v>
      </c>
      <c r="K15" s="554">
        <v>41127</v>
      </c>
      <c r="L15" s="554">
        <v>49767</v>
      </c>
      <c r="M15" s="554">
        <v>48336</v>
      </c>
      <c r="N15" s="554">
        <v>46301</v>
      </c>
      <c r="O15" s="554">
        <v>45882</v>
      </c>
      <c r="P15" s="554">
        <v>46543</v>
      </c>
      <c r="Q15" s="554">
        <v>43094</v>
      </c>
      <c r="R15" s="554">
        <v>41310</v>
      </c>
      <c r="S15" s="554">
        <v>35443</v>
      </c>
      <c r="T15" s="554">
        <v>36096</v>
      </c>
      <c r="U15" s="554">
        <v>36592</v>
      </c>
      <c r="V15" s="554">
        <v>35305</v>
      </c>
    </row>
    <row r="16" spans="2:22" s="110" customFormat="1" x14ac:dyDescent="0.35">
      <c r="B16" s="753"/>
      <c r="C16" s="110" t="s">
        <v>117</v>
      </c>
      <c r="D16" s="2" t="s">
        <v>1</v>
      </c>
      <c r="E16" s="2" t="s">
        <v>65</v>
      </c>
      <c r="F16" s="554">
        <v>3689</v>
      </c>
      <c r="G16" s="554">
        <v>3650</v>
      </c>
      <c r="H16" s="554">
        <v>3502</v>
      </c>
      <c r="I16" s="554">
        <v>2964</v>
      </c>
      <c r="J16" s="554">
        <v>2756</v>
      </c>
      <c r="K16" s="554">
        <v>3904</v>
      </c>
      <c r="L16" s="554">
        <v>3965</v>
      </c>
      <c r="M16" s="554">
        <v>4068</v>
      </c>
      <c r="N16" s="554">
        <v>4920</v>
      </c>
      <c r="O16" s="554">
        <v>5007</v>
      </c>
      <c r="P16" s="554">
        <v>5122</v>
      </c>
      <c r="Q16" s="554">
        <v>5238</v>
      </c>
      <c r="R16" s="554">
        <v>5463</v>
      </c>
      <c r="S16" s="554">
        <v>5353</v>
      </c>
      <c r="T16" s="554">
        <v>5427</v>
      </c>
      <c r="U16" s="554">
        <v>5672</v>
      </c>
      <c r="V16" s="554">
        <v>5601</v>
      </c>
    </row>
    <row r="17" spans="2:22" s="110" customFormat="1" x14ac:dyDescent="0.35">
      <c r="B17" s="753"/>
      <c r="C17" s="110" t="s">
        <v>15</v>
      </c>
      <c r="D17" s="2" t="s">
        <v>1</v>
      </c>
      <c r="E17" s="2" t="s">
        <v>65</v>
      </c>
      <c r="F17" s="554">
        <v>24464</v>
      </c>
      <c r="G17" s="554">
        <v>25780.7</v>
      </c>
      <c r="H17" s="554">
        <v>25888</v>
      </c>
      <c r="I17" s="554">
        <v>29000</v>
      </c>
      <c r="J17" s="554">
        <v>24220</v>
      </c>
      <c r="K17" s="554">
        <v>23162</v>
      </c>
      <c r="L17" s="554">
        <v>21666</v>
      </c>
      <c r="M17" s="554">
        <v>19964</v>
      </c>
      <c r="N17" s="554">
        <v>41672</v>
      </c>
      <c r="O17" s="554">
        <v>21572</v>
      </c>
      <c r="P17" s="554">
        <v>24786</v>
      </c>
      <c r="Q17" s="554">
        <v>24200</v>
      </c>
      <c r="R17" s="554">
        <v>25619</v>
      </c>
      <c r="S17" s="554">
        <v>27507</v>
      </c>
      <c r="T17" s="554">
        <v>31250</v>
      </c>
      <c r="U17" s="554">
        <v>36435.9</v>
      </c>
      <c r="V17" s="554">
        <v>33193</v>
      </c>
    </row>
    <row r="18" spans="2:22" s="110" customFormat="1" x14ac:dyDescent="0.35">
      <c r="B18" s="753" t="s">
        <v>492</v>
      </c>
      <c r="C18" s="110" t="s">
        <v>130</v>
      </c>
      <c r="D18" s="2" t="s">
        <v>1</v>
      </c>
      <c r="E18" s="2" t="s">
        <v>65</v>
      </c>
      <c r="F18" s="554">
        <v>89100</v>
      </c>
      <c r="G18" s="554">
        <v>85042</v>
      </c>
      <c r="H18" s="554">
        <v>85028</v>
      </c>
      <c r="I18" s="554">
        <v>86284</v>
      </c>
      <c r="J18" s="554">
        <v>88011</v>
      </c>
      <c r="K18" s="554">
        <v>89498</v>
      </c>
      <c r="L18" s="554">
        <v>86886</v>
      </c>
      <c r="M18" s="554">
        <v>96463</v>
      </c>
      <c r="N18" s="554">
        <v>98867</v>
      </c>
      <c r="O18" s="554">
        <v>108871</v>
      </c>
      <c r="P18" s="554">
        <v>115266</v>
      </c>
      <c r="Q18" s="554">
        <v>117370</v>
      </c>
      <c r="R18" s="554">
        <v>123352</v>
      </c>
      <c r="S18" s="554">
        <v>128928</v>
      </c>
      <c r="T18" s="554">
        <v>137244</v>
      </c>
      <c r="U18" s="554">
        <v>147564.70000000001</v>
      </c>
      <c r="V18" s="554">
        <v>161833</v>
      </c>
    </row>
    <row r="19" spans="2:22" s="110" customFormat="1" x14ac:dyDescent="0.35">
      <c r="B19" s="753"/>
      <c r="C19" s="110" t="s">
        <v>41</v>
      </c>
      <c r="D19" s="2" t="s">
        <v>1</v>
      </c>
      <c r="E19" s="2" t="s">
        <v>65</v>
      </c>
      <c r="F19" s="554">
        <v>140512</v>
      </c>
      <c r="G19" s="554">
        <v>144364</v>
      </c>
      <c r="H19" s="554">
        <v>152362.9</v>
      </c>
      <c r="I19" s="554">
        <v>160138.1</v>
      </c>
      <c r="J19" s="554">
        <v>162971.1</v>
      </c>
      <c r="K19" s="554">
        <v>165344.4</v>
      </c>
      <c r="L19" s="554">
        <v>172504</v>
      </c>
      <c r="M19" s="554">
        <v>150716.5</v>
      </c>
      <c r="N19" s="554">
        <v>151839.6</v>
      </c>
      <c r="O19" s="554">
        <v>152631</v>
      </c>
      <c r="P19" s="554">
        <v>159470.79999999999</v>
      </c>
      <c r="Q19" s="554">
        <v>159903.70000000001</v>
      </c>
      <c r="R19" s="554">
        <v>164650</v>
      </c>
      <c r="S19" s="554">
        <v>164802</v>
      </c>
      <c r="T19" s="554">
        <v>165140</v>
      </c>
      <c r="U19" s="554">
        <v>166293.5</v>
      </c>
      <c r="V19" s="554">
        <v>168544</v>
      </c>
    </row>
    <row r="20" spans="2:22" s="110" customFormat="1" x14ac:dyDescent="0.35">
      <c r="B20" s="753"/>
      <c r="C20" s="110" t="s">
        <v>117</v>
      </c>
      <c r="D20" s="2" t="s">
        <v>1</v>
      </c>
      <c r="E20" s="2" t="s">
        <v>65</v>
      </c>
      <c r="F20" s="554">
        <v>633</v>
      </c>
      <c r="G20" s="554">
        <v>820</v>
      </c>
      <c r="H20" s="554">
        <v>1216</v>
      </c>
      <c r="I20" s="554">
        <v>2223</v>
      </c>
      <c r="J20" s="554">
        <v>2691</v>
      </c>
      <c r="K20" s="554">
        <v>6726</v>
      </c>
      <c r="L20" s="554">
        <v>6887</v>
      </c>
      <c r="M20" s="554">
        <v>6633</v>
      </c>
      <c r="N20" s="554">
        <v>5184</v>
      </c>
      <c r="O20" s="554">
        <v>4587</v>
      </c>
      <c r="P20" s="554">
        <v>4641</v>
      </c>
      <c r="Q20" s="554">
        <v>4502</v>
      </c>
      <c r="R20" s="554">
        <v>4363</v>
      </c>
      <c r="S20" s="554">
        <v>4068</v>
      </c>
      <c r="T20" s="554">
        <v>3744</v>
      </c>
      <c r="U20" s="554">
        <v>3190</v>
      </c>
      <c r="V20" s="554">
        <v>3479</v>
      </c>
    </row>
    <row r="21" spans="2:22" s="110" customFormat="1" x14ac:dyDescent="0.35">
      <c r="B21" s="753"/>
      <c r="C21" s="110" t="s">
        <v>132</v>
      </c>
      <c r="D21" s="2" t="s">
        <v>1</v>
      </c>
      <c r="E21" s="2" t="s">
        <v>65</v>
      </c>
      <c r="F21" s="554">
        <v>108082</v>
      </c>
      <c r="G21" s="554">
        <v>124652</v>
      </c>
      <c r="H21" s="554">
        <v>108972</v>
      </c>
      <c r="I21" s="554">
        <v>123627</v>
      </c>
      <c r="J21" s="554">
        <v>137002</v>
      </c>
      <c r="K21" s="554">
        <v>137560</v>
      </c>
      <c r="L21" s="554">
        <v>141053</v>
      </c>
      <c r="M21" s="554">
        <v>138104</v>
      </c>
      <c r="N21" s="554">
        <v>131631</v>
      </c>
      <c r="O21" s="554">
        <v>106246</v>
      </c>
      <c r="P21" s="554">
        <v>118553</v>
      </c>
      <c r="Q21" s="554">
        <v>129170</v>
      </c>
      <c r="R21" s="554">
        <v>110582</v>
      </c>
      <c r="S21" s="554">
        <v>116093</v>
      </c>
      <c r="T21" s="554">
        <v>121968</v>
      </c>
      <c r="U21" s="554">
        <v>119555</v>
      </c>
      <c r="V21" s="554">
        <v>141915</v>
      </c>
    </row>
    <row r="22" spans="2:22" s="110" customFormat="1" x14ac:dyDescent="0.35">
      <c r="B22" s="753"/>
      <c r="C22" s="110" t="s">
        <v>62</v>
      </c>
      <c r="D22" s="2" t="s">
        <v>1</v>
      </c>
      <c r="E22" s="2" t="s">
        <v>65</v>
      </c>
      <c r="F22" s="554">
        <v>4301</v>
      </c>
      <c r="G22" s="554">
        <v>4547.2</v>
      </c>
      <c r="H22" s="554">
        <v>4607.8999999999996</v>
      </c>
      <c r="I22" s="554">
        <v>4449.2</v>
      </c>
      <c r="J22" s="554">
        <v>3988.5</v>
      </c>
      <c r="K22" s="554">
        <v>4208.6000000000004</v>
      </c>
      <c r="L22" s="554">
        <v>4355</v>
      </c>
      <c r="M22" s="554">
        <v>4845.3</v>
      </c>
      <c r="N22" s="554">
        <v>4371.1000000000004</v>
      </c>
      <c r="O22" s="554">
        <v>3745.9</v>
      </c>
      <c r="P22" s="554">
        <v>3537</v>
      </c>
      <c r="Q22" s="554">
        <v>3575</v>
      </c>
      <c r="R22" s="554">
        <v>3674</v>
      </c>
      <c r="S22" s="554">
        <v>3525</v>
      </c>
      <c r="T22" s="554">
        <v>3641</v>
      </c>
      <c r="U22" s="554">
        <v>3253</v>
      </c>
      <c r="V22" s="554">
        <v>4048</v>
      </c>
    </row>
    <row r="23" spans="2:22" s="110" customFormat="1" x14ac:dyDescent="0.35">
      <c r="B23" s="753"/>
      <c r="C23" s="110" t="s">
        <v>130</v>
      </c>
      <c r="D23" s="2" t="s">
        <v>1</v>
      </c>
      <c r="E23" s="2" t="s">
        <v>65</v>
      </c>
      <c r="F23" s="554">
        <v>2900</v>
      </c>
      <c r="G23" s="554">
        <v>2707</v>
      </c>
      <c r="H23" s="554">
        <v>2479</v>
      </c>
      <c r="I23" s="554">
        <v>2958</v>
      </c>
      <c r="J23" s="554">
        <v>2339</v>
      </c>
      <c r="K23" s="554">
        <v>3175</v>
      </c>
      <c r="L23" s="554">
        <v>2231</v>
      </c>
      <c r="M23" s="554">
        <v>2477</v>
      </c>
      <c r="N23" s="554">
        <v>2539</v>
      </c>
      <c r="O23" s="554">
        <v>2796</v>
      </c>
      <c r="P23" s="554">
        <v>2960</v>
      </c>
      <c r="Q23" s="554">
        <v>3014</v>
      </c>
      <c r="R23" s="554">
        <v>3105</v>
      </c>
      <c r="S23" s="554">
        <v>3170</v>
      </c>
      <c r="T23" s="554">
        <v>3260</v>
      </c>
      <c r="U23" s="554">
        <v>3395</v>
      </c>
      <c r="V23" s="554">
        <v>3844</v>
      </c>
    </row>
    <row r="24" spans="2:22" s="110" customFormat="1" x14ac:dyDescent="0.35">
      <c r="B24" s="753"/>
      <c r="C24" s="110" t="s">
        <v>61</v>
      </c>
      <c r="D24" s="2" t="s">
        <v>1</v>
      </c>
      <c r="E24" s="2" t="s">
        <v>65</v>
      </c>
      <c r="F24" s="554">
        <v>1488</v>
      </c>
      <c r="G24" s="554">
        <v>1191</v>
      </c>
      <c r="H24" s="554">
        <v>1074</v>
      </c>
      <c r="I24" s="554">
        <v>1128.8</v>
      </c>
      <c r="J24" s="554">
        <v>1148.8</v>
      </c>
      <c r="K24" s="554">
        <v>1165.5</v>
      </c>
      <c r="L24" s="554">
        <v>1185</v>
      </c>
      <c r="M24" s="554">
        <v>1062.4000000000001</v>
      </c>
      <c r="N24" s="554">
        <v>1070.3</v>
      </c>
      <c r="O24" s="554">
        <v>1075.9000000000001</v>
      </c>
      <c r="P24" s="554">
        <v>1124.0999999999999</v>
      </c>
      <c r="Q24" s="554">
        <v>1127.2</v>
      </c>
      <c r="R24" s="554">
        <v>1137</v>
      </c>
      <c r="S24" s="554">
        <v>1142</v>
      </c>
      <c r="T24" s="554">
        <v>1210</v>
      </c>
      <c r="U24" s="554">
        <v>1218.5</v>
      </c>
      <c r="V24" s="554">
        <v>1235</v>
      </c>
    </row>
    <row r="25" spans="2:22" s="110" customFormat="1" x14ac:dyDescent="0.35">
      <c r="B25" s="553" t="s">
        <v>493</v>
      </c>
      <c r="C25" s="110" t="s">
        <v>117</v>
      </c>
      <c r="D25" s="2" t="s">
        <v>1</v>
      </c>
      <c r="E25" s="2" t="s">
        <v>65</v>
      </c>
      <c r="F25" s="554">
        <v>4150</v>
      </c>
      <c r="G25" s="554">
        <v>4450</v>
      </c>
      <c r="H25" s="554">
        <v>4559</v>
      </c>
      <c r="I25" s="554">
        <v>5749</v>
      </c>
      <c r="J25" s="554">
        <v>6372</v>
      </c>
      <c r="K25" s="554">
        <v>6985</v>
      </c>
      <c r="L25" s="554">
        <v>11436</v>
      </c>
      <c r="M25" s="554">
        <v>10927</v>
      </c>
      <c r="N25" s="554">
        <v>10094</v>
      </c>
      <c r="O25" s="554">
        <v>10575</v>
      </c>
      <c r="P25" s="554">
        <v>10925</v>
      </c>
      <c r="Q25" s="554">
        <v>11260</v>
      </c>
      <c r="R25" s="554">
        <v>11918</v>
      </c>
      <c r="S25" s="554">
        <v>13285</v>
      </c>
      <c r="T25" s="554">
        <v>14028</v>
      </c>
      <c r="U25" s="554">
        <v>15099</v>
      </c>
      <c r="V25" s="554">
        <v>16083</v>
      </c>
    </row>
    <row r="26" spans="2:22" s="110" customFormat="1" x14ac:dyDescent="0.35">
      <c r="B26" s="753" t="s">
        <v>494</v>
      </c>
      <c r="C26" s="110" t="s">
        <v>14</v>
      </c>
      <c r="D26" s="2" t="s">
        <v>1</v>
      </c>
      <c r="E26" s="2" t="s">
        <v>65</v>
      </c>
      <c r="F26" s="554">
        <v>9600</v>
      </c>
      <c r="G26" s="554">
        <v>9480</v>
      </c>
      <c r="H26" s="554">
        <v>8409</v>
      </c>
      <c r="I26" s="554">
        <v>8265</v>
      </c>
      <c r="J26" s="554">
        <v>8726</v>
      </c>
      <c r="K26" s="554">
        <v>9765</v>
      </c>
      <c r="L26" s="554">
        <v>3923</v>
      </c>
      <c r="M26" s="554">
        <v>1238</v>
      </c>
      <c r="N26" s="554">
        <v>1772</v>
      </c>
      <c r="O26" s="554">
        <v>1476</v>
      </c>
      <c r="P26" s="554">
        <v>1731</v>
      </c>
      <c r="Q26" s="554">
        <v>515</v>
      </c>
      <c r="R26" s="554">
        <v>243</v>
      </c>
      <c r="S26" s="554">
        <v>202</v>
      </c>
      <c r="T26" s="554">
        <v>153</v>
      </c>
      <c r="U26" s="554">
        <v>131</v>
      </c>
      <c r="V26" s="554">
        <v>71</v>
      </c>
    </row>
    <row r="27" spans="2:22" s="110" customFormat="1" x14ac:dyDescent="0.35">
      <c r="B27" s="753"/>
      <c r="C27" s="110" t="s">
        <v>117</v>
      </c>
      <c r="D27" s="2" t="s">
        <v>1</v>
      </c>
      <c r="E27" s="2" t="s">
        <v>65</v>
      </c>
      <c r="F27" s="554">
        <v>37710</v>
      </c>
      <c r="G27" s="554">
        <v>37850</v>
      </c>
      <c r="H27" s="554">
        <v>39023</v>
      </c>
      <c r="I27" s="554">
        <v>40559</v>
      </c>
      <c r="J27" s="554">
        <v>42856</v>
      </c>
      <c r="K27" s="554">
        <v>43206</v>
      </c>
      <c r="L27" s="554">
        <v>41599</v>
      </c>
      <c r="M27" s="554">
        <v>42088</v>
      </c>
      <c r="N27" s="554">
        <v>42394</v>
      </c>
      <c r="O27" s="554">
        <v>43237</v>
      </c>
      <c r="P27" s="554">
        <v>44059</v>
      </c>
      <c r="Q27" s="554">
        <v>44640</v>
      </c>
      <c r="R27" s="554">
        <v>45329</v>
      </c>
      <c r="S27" s="554">
        <v>46360</v>
      </c>
      <c r="T27" s="554">
        <v>47570</v>
      </c>
      <c r="U27" s="554">
        <v>49093</v>
      </c>
      <c r="V27" s="554">
        <v>49455</v>
      </c>
    </row>
    <row r="28" spans="2:22" s="110" customFormat="1" x14ac:dyDescent="0.35">
      <c r="B28" s="553" t="s">
        <v>495</v>
      </c>
      <c r="C28" s="110" t="s">
        <v>61</v>
      </c>
      <c r="D28" s="2" t="s">
        <v>1</v>
      </c>
      <c r="E28" s="2" t="s">
        <v>65</v>
      </c>
      <c r="F28" s="554">
        <v>2400</v>
      </c>
      <c r="G28" s="554">
        <v>2460</v>
      </c>
      <c r="H28" s="554">
        <v>2430</v>
      </c>
      <c r="I28" s="554">
        <v>2410</v>
      </c>
      <c r="J28" s="554">
        <v>2375</v>
      </c>
      <c r="K28" s="554">
        <v>2345</v>
      </c>
      <c r="L28" s="554">
        <v>2289</v>
      </c>
      <c r="M28" s="554">
        <v>2456</v>
      </c>
      <c r="N28" s="554">
        <v>2241</v>
      </c>
      <c r="O28" s="554">
        <v>2286</v>
      </c>
      <c r="P28" s="554">
        <v>2325</v>
      </c>
      <c r="Q28" s="554">
        <v>2344</v>
      </c>
      <c r="R28" s="554">
        <v>2331</v>
      </c>
      <c r="S28" s="554">
        <v>2320</v>
      </c>
      <c r="T28" s="554">
        <v>2283</v>
      </c>
      <c r="U28" s="554">
        <v>2306.1999999999998</v>
      </c>
      <c r="V28" s="554">
        <v>2267</v>
      </c>
    </row>
    <row r="29" spans="2:22" s="110" customFormat="1" x14ac:dyDescent="0.35">
      <c r="B29" s="753" t="s">
        <v>496</v>
      </c>
      <c r="C29" s="110" t="s">
        <v>15</v>
      </c>
      <c r="D29" s="2" t="s">
        <v>2</v>
      </c>
      <c r="E29" s="2"/>
      <c r="F29" s="554">
        <f>(F10+F17)/1000</f>
        <v>252.98400000000001</v>
      </c>
      <c r="G29" s="554">
        <f t="shared" ref="G29:V29" si="0">(G10+G17)/1000</f>
        <v>299.1567</v>
      </c>
      <c r="H29" s="554">
        <f t="shared" si="0"/>
        <v>312.774</v>
      </c>
      <c r="I29" s="554">
        <f t="shared" si="0"/>
        <v>316.17599999999999</v>
      </c>
      <c r="J29" s="554">
        <f t="shared" si="0"/>
        <v>289.34800000000001</v>
      </c>
      <c r="K29" s="554">
        <f t="shared" si="0"/>
        <v>363.83699999999999</v>
      </c>
      <c r="L29" s="554">
        <f t="shared" si="0"/>
        <v>484.45</v>
      </c>
      <c r="M29" s="554">
        <f t="shared" si="0"/>
        <v>572.596</v>
      </c>
      <c r="N29" s="554">
        <f t="shared" si="0"/>
        <v>651.41700000000003</v>
      </c>
      <c r="O29" s="554">
        <f t="shared" si="0"/>
        <v>595.71299999999997</v>
      </c>
      <c r="P29" s="554">
        <f t="shared" si="0"/>
        <v>667.83500000000004</v>
      </c>
      <c r="Q29" s="554">
        <f t="shared" si="0"/>
        <v>641.49699999999996</v>
      </c>
      <c r="R29" s="554">
        <f t="shared" si="0"/>
        <v>674.77599999999995</v>
      </c>
      <c r="S29" s="554">
        <f t="shared" si="0"/>
        <v>710.71400000000006</v>
      </c>
      <c r="T29" s="554">
        <f t="shared" si="0"/>
        <v>742.48599999999999</v>
      </c>
      <c r="U29" s="554">
        <f t="shared" si="0"/>
        <v>720.78390000000002</v>
      </c>
      <c r="V29" s="554">
        <f t="shared" si="0"/>
        <v>734.41800000000001</v>
      </c>
    </row>
    <row r="30" spans="2:22" s="110" customFormat="1" x14ac:dyDescent="0.35">
      <c r="B30" s="753"/>
      <c r="C30" s="110" t="s">
        <v>130</v>
      </c>
      <c r="D30" s="2" t="s">
        <v>2</v>
      </c>
      <c r="E30" s="2"/>
      <c r="F30" s="554">
        <f>(F18+F23)/1000</f>
        <v>92</v>
      </c>
      <c r="G30" s="554">
        <f t="shared" ref="G30:V30" si="1">(G18+G23)/1000</f>
        <v>87.748999999999995</v>
      </c>
      <c r="H30" s="554">
        <f t="shared" si="1"/>
        <v>87.507000000000005</v>
      </c>
      <c r="I30" s="554">
        <f t="shared" si="1"/>
        <v>89.242000000000004</v>
      </c>
      <c r="J30" s="554">
        <f t="shared" si="1"/>
        <v>90.35</v>
      </c>
      <c r="K30" s="554">
        <f t="shared" si="1"/>
        <v>92.673000000000002</v>
      </c>
      <c r="L30" s="554">
        <f t="shared" si="1"/>
        <v>89.117000000000004</v>
      </c>
      <c r="M30" s="554">
        <f t="shared" si="1"/>
        <v>98.94</v>
      </c>
      <c r="N30" s="554">
        <f t="shared" si="1"/>
        <v>101.40600000000001</v>
      </c>
      <c r="O30" s="554">
        <f t="shared" si="1"/>
        <v>111.667</v>
      </c>
      <c r="P30" s="554">
        <f t="shared" si="1"/>
        <v>118.226</v>
      </c>
      <c r="Q30" s="554">
        <f t="shared" si="1"/>
        <v>120.384</v>
      </c>
      <c r="R30" s="554">
        <f t="shared" si="1"/>
        <v>126.45699999999999</v>
      </c>
      <c r="S30" s="554">
        <f t="shared" si="1"/>
        <v>132.09800000000001</v>
      </c>
      <c r="T30" s="554">
        <f t="shared" si="1"/>
        <v>140.50399999999999</v>
      </c>
      <c r="U30" s="554">
        <f t="shared" si="1"/>
        <v>150.9597</v>
      </c>
      <c r="V30" s="554">
        <f t="shared" si="1"/>
        <v>165.67699999999999</v>
      </c>
    </row>
    <row r="31" spans="2:22" s="110" customFormat="1" x14ac:dyDescent="0.35">
      <c r="B31" s="753"/>
      <c r="C31" s="110" t="s">
        <v>61</v>
      </c>
      <c r="D31" s="2" t="s">
        <v>2</v>
      </c>
      <c r="E31" s="2"/>
      <c r="F31" s="554">
        <f>(F11+F15+F19+F24+F28)/1000</f>
        <v>189.364</v>
      </c>
      <c r="G31" s="554">
        <f t="shared" ref="G31:V31" si="2">(G11+G15+G19+G24+G28)/1000</f>
        <v>188.68600000000001</v>
      </c>
      <c r="H31" s="554">
        <f t="shared" si="2"/>
        <v>196.7569</v>
      </c>
      <c r="I31" s="554">
        <f t="shared" si="2"/>
        <v>208.8449</v>
      </c>
      <c r="J31" s="554">
        <f t="shared" si="2"/>
        <v>213.8349</v>
      </c>
      <c r="K31" s="554">
        <f t="shared" si="2"/>
        <v>212.1079</v>
      </c>
      <c r="L31" s="554">
        <f t="shared" si="2"/>
        <v>228.27600000000001</v>
      </c>
      <c r="M31" s="554">
        <f t="shared" si="2"/>
        <v>205.31733</v>
      </c>
      <c r="N31" s="554">
        <f t="shared" si="2"/>
        <v>203.35249999999999</v>
      </c>
      <c r="O31" s="554">
        <f t="shared" si="2"/>
        <v>204.63612359999999</v>
      </c>
      <c r="P31" s="554">
        <f t="shared" si="2"/>
        <v>211.4599</v>
      </c>
      <c r="Q31" s="554">
        <f t="shared" si="2"/>
        <v>207.99190000000002</v>
      </c>
      <c r="R31" s="554">
        <f t="shared" si="2"/>
        <v>211.285</v>
      </c>
      <c r="S31" s="554">
        <f t="shared" si="2"/>
        <v>204.976</v>
      </c>
      <c r="T31" s="554">
        <f t="shared" si="2"/>
        <v>205.958</v>
      </c>
      <c r="U31" s="554">
        <f t="shared" si="2"/>
        <v>207.49412000000001</v>
      </c>
      <c r="V31" s="554">
        <f t="shared" si="2"/>
        <v>208.37610928823401</v>
      </c>
    </row>
    <row r="32" spans="2:22" s="110" customFormat="1" x14ac:dyDescent="0.35">
      <c r="B32" s="753"/>
      <c r="C32" s="110" t="s">
        <v>22</v>
      </c>
      <c r="D32" s="2" t="s">
        <v>2</v>
      </c>
      <c r="E32" s="2"/>
      <c r="F32" s="554">
        <f>(F21)/1000</f>
        <v>108.08199999999999</v>
      </c>
      <c r="G32" s="554">
        <f t="shared" ref="G32:V32" si="3">(G21)/1000</f>
        <v>124.652</v>
      </c>
      <c r="H32" s="554">
        <f t="shared" si="3"/>
        <v>108.97199999999999</v>
      </c>
      <c r="I32" s="554">
        <f t="shared" si="3"/>
        <v>123.627</v>
      </c>
      <c r="J32" s="554">
        <f t="shared" si="3"/>
        <v>137.00200000000001</v>
      </c>
      <c r="K32" s="554">
        <f t="shared" si="3"/>
        <v>137.56</v>
      </c>
      <c r="L32" s="554">
        <f t="shared" si="3"/>
        <v>141.053</v>
      </c>
      <c r="M32" s="554">
        <f t="shared" si="3"/>
        <v>138.10400000000001</v>
      </c>
      <c r="N32" s="554">
        <f t="shared" si="3"/>
        <v>131.631</v>
      </c>
      <c r="O32" s="554">
        <f t="shared" si="3"/>
        <v>106.246</v>
      </c>
      <c r="P32" s="554">
        <f t="shared" si="3"/>
        <v>118.553</v>
      </c>
      <c r="Q32" s="554">
        <f t="shared" si="3"/>
        <v>129.16999999999999</v>
      </c>
      <c r="R32" s="554">
        <f t="shared" si="3"/>
        <v>110.58199999999999</v>
      </c>
      <c r="S32" s="554">
        <f t="shared" si="3"/>
        <v>116.093</v>
      </c>
      <c r="T32" s="554">
        <f t="shared" si="3"/>
        <v>121.968</v>
      </c>
      <c r="U32" s="554">
        <f t="shared" si="3"/>
        <v>119.55500000000001</v>
      </c>
      <c r="V32" s="554">
        <f t="shared" si="3"/>
        <v>141.91499999999999</v>
      </c>
    </row>
    <row r="33" spans="2:22" s="110" customFormat="1" x14ac:dyDescent="0.35">
      <c r="B33" s="753"/>
      <c r="C33" s="110" t="s">
        <v>14</v>
      </c>
      <c r="D33" s="2" t="s">
        <v>2</v>
      </c>
      <c r="E33" s="2"/>
      <c r="F33" s="554">
        <f>(F12+F26)/1000</f>
        <v>22.681000000000001</v>
      </c>
      <c r="G33" s="554">
        <f t="shared" ref="G33:V33" si="4">(G12+G26)/1000</f>
        <v>13.24</v>
      </c>
      <c r="H33" s="554">
        <f t="shared" si="4"/>
        <v>13.852</v>
      </c>
      <c r="I33" s="554">
        <f t="shared" si="4"/>
        <v>18.129000000000001</v>
      </c>
      <c r="J33" s="554">
        <f t="shared" si="4"/>
        <v>25.280999999999999</v>
      </c>
      <c r="K33" s="554">
        <f t="shared" si="4"/>
        <v>27.495999999999999</v>
      </c>
      <c r="L33" s="554">
        <f t="shared" si="4"/>
        <v>5.7709999999999999</v>
      </c>
      <c r="M33" s="554">
        <f t="shared" si="4"/>
        <v>2.3046400000000005</v>
      </c>
      <c r="N33" s="554">
        <f t="shared" si="4"/>
        <v>3.8673200000000003</v>
      </c>
      <c r="O33" s="554">
        <f t="shared" si="4"/>
        <v>6.3998909999999993</v>
      </c>
      <c r="P33" s="554">
        <f t="shared" si="4"/>
        <v>7.7389999999999999</v>
      </c>
      <c r="Q33" s="554">
        <f t="shared" si="4"/>
        <v>4.1740000000000004</v>
      </c>
      <c r="R33" s="554">
        <f t="shared" si="4"/>
        <v>3.68</v>
      </c>
      <c r="S33" s="554">
        <f t="shared" si="4"/>
        <v>0.84699999999999998</v>
      </c>
      <c r="T33" s="554">
        <f t="shared" si="4"/>
        <v>0.83399999999999996</v>
      </c>
      <c r="U33" s="554">
        <f t="shared" si="4"/>
        <v>0.87227999999999994</v>
      </c>
      <c r="V33" s="554">
        <f t="shared" si="4"/>
        <v>0.79977595972309634</v>
      </c>
    </row>
    <row r="34" spans="2:22" s="110" customFormat="1" x14ac:dyDescent="0.35">
      <c r="B34" s="753"/>
      <c r="C34" s="110" t="s">
        <v>58</v>
      </c>
      <c r="D34" s="2" t="s">
        <v>2</v>
      </c>
      <c r="E34" s="2"/>
      <c r="F34" s="554">
        <f>(F13+F14+F22)/1000</f>
        <v>224.51499999999999</v>
      </c>
      <c r="G34" s="554">
        <f t="shared" ref="G34:V34" si="5">(G13+G14+G22)/1000</f>
        <v>245.96690000000001</v>
      </c>
      <c r="H34" s="554">
        <f t="shared" si="5"/>
        <v>241.0549</v>
      </c>
      <c r="I34" s="554">
        <f t="shared" si="5"/>
        <v>260.07400000000001</v>
      </c>
      <c r="J34" s="554">
        <f t="shared" si="5"/>
        <v>269.9239</v>
      </c>
      <c r="K34" s="554">
        <f t="shared" si="5"/>
        <v>263.81589999999994</v>
      </c>
      <c r="L34" s="554">
        <f t="shared" si="5"/>
        <v>284.63900000000001</v>
      </c>
      <c r="M34" s="554">
        <f t="shared" si="5"/>
        <v>262.38711000000001</v>
      </c>
      <c r="N34" s="554">
        <f t="shared" si="5"/>
        <v>222.18527</v>
      </c>
      <c r="O34" s="554">
        <f t="shared" si="5"/>
        <v>237.42812979999999</v>
      </c>
      <c r="P34" s="554">
        <f t="shared" si="5"/>
        <v>241.89099999999999</v>
      </c>
      <c r="Q34" s="554">
        <f t="shared" si="5"/>
        <v>258.40800000000002</v>
      </c>
      <c r="R34" s="554">
        <f t="shared" si="5"/>
        <v>255.65899999999999</v>
      </c>
      <c r="S34" s="554">
        <f t="shared" si="5"/>
        <v>258.89699999999999</v>
      </c>
      <c r="T34" s="554">
        <f t="shared" si="5"/>
        <v>265.46199999999999</v>
      </c>
      <c r="U34" s="554">
        <f t="shared" si="5"/>
        <v>270.02636999999999</v>
      </c>
      <c r="V34" s="554">
        <f t="shared" si="5"/>
        <v>265.04945685329636</v>
      </c>
    </row>
    <row r="35" spans="2:22" s="110" customFormat="1" x14ac:dyDescent="0.35">
      <c r="B35" s="753"/>
      <c r="C35" s="110" t="s">
        <v>117</v>
      </c>
      <c r="D35" s="2" t="s">
        <v>2</v>
      </c>
      <c r="E35" s="2"/>
      <c r="F35" s="554">
        <f>(F16+F20+F25+F27)/1000</f>
        <v>46.182000000000002</v>
      </c>
      <c r="G35" s="554">
        <f t="shared" ref="G35:V35" si="6">(G16+G20+G25+G27)/1000</f>
        <v>46.77</v>
      </c>
      <c r="H35" s="554">
        <f t="shared" si="6"/>
        <v>48.3</v>
      </c>
      <c r="I35" s="554">
        <f t="shared" si="6"/>
        <v>51.494999999999997</v>
      </c>
      <c r="J35" s="554">
        <f t="shared" si="6"/>
        <v>54.674999999999997</v>
      </c>
      <c r="K35" s="554">
        <f t="shared" si="6"/>
        <v>60.820999999999998</v>
      </c>
      <c r="L35" s="554">
        <f t="shared" si="6"/>
        <v>63.887</v>
      </c>
      <c r="M35" s="554">
        <f t="shared" si="6"/>
        <v>63.716000000000001</v>
      </c>
      <c r="N35" s="554">
        <f t="shared" si="6"/>
        <v>62.591999999999999</v>
      </c>
      <c r="O35" s="554">
        <f t="shared" si="6"/>
        <v>63.405999999999999</v>
      </c>
      <c r="P35" s="554">
        <f t="shared" si="6"/>
        <v>64.747</v>
      </c>
      <c r="Q35" s="554">
        <f t="shared" si="6"/>
        <v>65.64</v>
      </c>
      <c r="R35" s="554">
        <f t="shared" si="6"/>
        <v>67.072999999999993</v>
      </c>
      <c r="S35" s="554">
        <f t="shared" si="6"/>
        <v>69.066000000000003</v>
      </c>
      <c r="T35" s="554">
        <f t="shared" si="6"/>
        <v>70.769000000000005</v>
      </c>
      <c r="U35" s="554">
        <f t="shared" si="6"/>
        <v>73.054000000000002</v>
      </c>
      <c r="V35" s="554">
        <f t="shared" si="6"/>
        <v>74.617999999999995</v>
      </c>
    </row>
    <row r="36" spans="2:22" s="110" customFormat="1" x14ac:dyDescent="0.35">
      <c r="B36" s="753" t="s">
        <v>497</v>
      </c>
      <c r="C36" s="110" t="s">
        <v>15</v>
      </c>
      <c r="D36" s="2" t="s">
        <v>2</v>
      </c>
      <c r="E36" s="2"/>
      <c r="F36" s="554">
        <f t="shared" ref="F36:V36" si="7">F3-F29</f>
        <v>-30.584000000000003</v>
      </c>
      <c r="G36" s="554">
        <f t="shared" si="7"/>
        <v>48.343299999999999</v>
      </c>
      <c r="H36" s="554">
        <f t="shared" si="7"/>
        <v>-0.77400000000000091</v>
      </c>
      <c r="I36" s="554">
        <f t="shared" si="7"/>
        <v>-26.77600000000001</v>
      </c>
      <c r="J36" s="554">
        <f t="shared" si="7"/>
        <v>42.451999999999998</v>
      </c>
      <c r="K36" s="554">
        <f t="shared" si="7"/>
        <v>15.463000000000022</v>
      </c>
      <c r="L36" s="554">
        <f t="shared" si="7"/>
        <v>5.8500000000000227</v>
      </c>
      <c r="M36" s="554">
        <f t="shared" si="7"/>
        <v>75.203999999999951</v>
      </c>
      <c r="N36" s="554">
        <f t="shared" si="7"/>
        <v>-44.91700000000003</v>
      </c>
      <c r="O36" s="554">
        <f t="shared" si="7"/>
        <v>-35.812999999999988</v>
      </c>
      <c r="P36" s="554">
        <f t="shared" si="7"/>
        <v>-7.2350000000000136</v>
      </c>
      <c r="Q36" s="554">
        <f t="shared" si="7"/>
        <v>18.703000000000088</v>
      </c>
      <c r="R36" s="554">
        <f t="shared" si="7"/>
        <v>54.524000000000001</v>
      </c>
      <c r="S36" s="554">
        <f t="shared" si="7"/>
        <v>-2.414000000000101</v>
      </c>
      <c r="T36" s="554">
        <f t="shared" si="7"/>
        <v>29.313999999999965</v>
      </c>
      <c r="U36" s="554">
        <f t="shared" si="7"/>
        <v>83.416100000000029</v>
      </c>
      <c r="V36" s="554">
        <f t="shared" si="7"/>
        <v>191.08199999999999</v>
      </c>
    </row>
    <row r="37" spans="2:22" s="110" customFormat="1" x14ac:dyDescent="0.35">
      <c r="B37" s="753"/>
      <c r="C37" s="110" t="s">
        <v>130</v>
      </c>
      <c r="D37" s="2" t="s">
        <v>2</v>
      </c>
      <c r="E37" s="2"/>
      <c r="F37" s="554">
        <f t="shared" ref="F37:V37" si="8">F4-F30</f>
        <v>-2.2000000000000028</v>
      </c>
      <c r="G37" s="554">
        <f t="shared" si="8"/>
        <v>-0.94899999999999807</v>
      </c>
      <c r="H37" s="554">
        <f t="shared" si="8"/>
        <v>-7.2070000000000078</v>
      </c>
      <c r="I37" s="554">
        <f t="shared" si="8"/>
        <v>-2.4420000000000073</v>
      </c>
      <c r="J37" s="554">
        <f t="shared" si="8"/>
        <v>-2.6499999999999915</v>
      </c>
      <c r="K37" s="554">
        <f t="shared" si="8"/>
        <v>-5.8730000000000047</v>
      </c>
      <c r="L37" s="554">
        <f t="shared" si="8"/>
        <v>-0.21699999999999875</v>
      </c>
      <c r="M37" s="554">
        <f t="shared" si="8"/>
        <v>-2.539999999999992</v>
      </c>
      <c r="N37" s="554">
        <f t="shared" si="8"/>
        <v>7.0939999999999941</v>
      </c>
      <c r="O37" s="554">
        <f t="shared" si="8"/>
        <v>-7.2669999999999959</v>
      </c>
      <c r="P37" s="554">
        <f t="shared" si="8"/>
        <v>2.6740000000000066</v>
      </c>
      <c r="Q37" s="554">
        <f t="shared" si="8"/>
        <v>-3.6839999999999975</v>
      </c>
      <c r="R37" s="554">
        <f t="shared" si="8"/>
        <v>1.742999999999995</v>
      </c>
      <c r="S37" s="554">
        <f t="shared" si="8"/>
        <v>6.1019999999999754</v>
      </c>
      <c r="T37" s="554">
        <f t="shared" si="8"/>
        <v>-2.603999999999985</v>
      </c>
      <c r="U37" s="554">
        <f t="shared" si="8"/>
        <v>3.7402999999999906</v>
      </c>
      <c r="V37" s="554">
        <f t="shared" si="8"/>
        <v>3.1230000000000189</v>
      </c>
    </row>
    <row r="38" spans="2:22" s="110" customFormat="1" x14ac:dyDescent="0.35">
      <c r="B38" s="753"/>
      <c r="C38" s="110" t="s">
        <v>61</v>
      </c>
      <c r="D38" s="2" t="s">
        <v>2</v>
      </c>
      <c r="E38" s="2"/>
      <c r="F38" s="554">
        <f t="shared" ref="F38:V38" si="9">F5-F31</f>
        <v>150.33599999999998</v>
      </c>
      <c r="G38" s="554">
        <f t="shared" si="9"/>
        <v>149.31399999999999</v>
      </c>
      <c r="H38" s="554">
        <f t="shared" si="9"/>
        <v>149.64309999999998</v>
      </c>
      <c r="I38" s="554">
        <f t="shared" si="9"/>
        <v>100.35509999999999</v>
      </c>
      <c r="J38" s="554">
        <f t="shared" si="9"/>
        <v>105.86509999999998</v>
      </c>
      <c r="K38" s="554">
        <f t="shared" si="9"/>
        <v>117.79209999999998</v>
      </c>
      <c r="L38" s="554">
        <f t="shared" si="9"/>
        <v>99.22399999999999</v>
      </c>
      <c r="M38" s="554">
        <f t="shared" si="9"/>
        <v>102.18267</v>
      </c>
      <c r="N38" s="554">
        <f t="shared" si="9"/>
        <v>125.14750000000001</v>
      </c>
      <c r="O38" s="554">
        <f t="shared" si="9"/>
        <v>83.363876400000009</v>
      </c>
      <c r="P38" s="554">
        <f t="shared" si="9"/>
        <v>98.940099999999973</v>
      </c>
      <c r="Q38" s="554">
        <f t="shared" si="9"/>
        <v>101.90809999999996</v>
      </c>
      <c r="R38" s="554">
        <f t="shared" si="9"/>
        <v>102.51500000000001</v>
      </c>
      <c r="S38" s="554">
        <f t="shared" si="9"/>
        <v>131.12400000000002</v>
      </c>
      <c r="T38" s="554">
        <f t="shared" si="9"/>
        <v>97.642000000000024</v>
      </c>
      <c r="U38" s="554">
        <f t="shared" si="9"/>
        <v>111.20587999999998</v>
      </c>
      <c r="V38" s="554">
        <f t="shared" si="9"/>
        <v>130.72389071176602</v>
      </c>
    </row>
    <row r="39" spans="2:22" s="110" customFormat="1" x14ac:dyDescent="0.35">
      <c r="B39" s="753"/>
      <c r="C39" s="110" t="s">
        <v>22</v>
      </c>
      <c r="D39" s="2" t="s">
        <v>2</v>
      </c>
      <c r="E39" s="2"/>
      <c r="F39" s="554">
        <f t="shared" ref="F39:V39" si="10">F6-F32</f>
        <v>81.918000000000006</v>
      </c>
      <c r="G39" s="554">
        <f t="shared" si="10"/>
        <v>77.547999999999988</v>
      </c>
      <c r="H39" s="554">
        <f t="shared" si="10"/>
        <v>102.128</v>
      </c>
      <c r="I39" s="554">
        <f t="shared" si="10"/>
        <v>83.873000000000005</v>
      </c>
      <c r="J39" s="554">
        <f t="shared" si="10"/>
        <v>89.99799999999999</v>
      </c>
      <c r="K39" s="554">
        <f t="shared" si="10"/>
        <v>82.539999999999992</v>
      </c>
      <c r="L39" s="554">
        <f t="shared" si="10"/>
        <v>94.947000000000003</v>
      </c>
      <c r="M39" s="554">
        <f t="shared" si="10"/>
        <v>124.49600000000001</v>
      </c>
      <c r="N39" s="554">
        <f t="shared" si="10"/>
        <v>130.56899999999999</v>
      </c>
      <c r="O39" s="554">
        <f t="shared" si="10"/>
        <v>98.453999999999994</v>
      </c>
      <c r="P39" s="554">
        <f t="shared" si="10"/>
        <v>116.34700000000001</v>
      </c>
      <c r="Q39" s="554">
        <f t="shared" si="10"/>
        <v>97.230000000000018</v>
      </c>
      <c r="R39" s="554">
        <f t="shared" si="10"/>
        <v>102.41800000000001</v>
      </c>
      <c r="S39" s="554">
        <f t="shared" si="10"/>
        <v>125.00699999999999</v>
      </c>
      <c r="T39" s="554">
        <f t="shared" si="10"/>
        <v>110.032</v>
      </c>
      <c r="U39" s="554">
        <f t="shared" si="10"/>
        <v>149.245</v>
      </c>
      <c r="V39" s="554">
        <f t="shared" si="10"/>
        <v>143.08500000000001</v>
      </c>
    </row>
    <row r="40" spans="2:22" s="110" customFormat="1" x14ac:dyDescent="0.35">
      <c r="B40" s="753"/>
      <c r="C40" s="110" t="s">
        <v>14</v>
      </c>
      <c r="D40" s="2" t="s">
        <v>2</v>
      </c>
      <c r="E40" s="2"/>
      <c r="F40" s="554">
        <f t="shared" ref="F40:V40" si="11">F7-F33</f>
        <v>4.7189999999999976</v>
      </c>
      <c r="G40" s="554">
        <f t="shared" si="11"/>
        <v>-1.2400000000000002</v>
      </c>
      <c r="H40" s="554">
        <f t="shared" si="11"/>
        <v>0.4480000000000004</v>
      </c>
      <c r="I40" s="554">
        <f t="shared" si="11"/>
        <v>2.070999999999998</v>
      </c>
      <c r="J40" s="554">
        <f t="shared" si="11"/>
        <v>4.5190000000000019</v>
      </c>
      <c r="K40" s="554">
        <f t="shared" si="11"/>
        <v>0.40399999999999991</v>
      </c>
      <c r="L40" s="554">
        <f t="shared" si="11"/>
        <v>0.22900000000000009</v>
      </c>
      <c r="M40" s="554">
        <f t="shared" si="11"/>
        <v>1.3953599999999997</v>
      </c>
      <c r="N40" s="554">
        <f t="shared" si="11"/>
        <v>2.03268</v>
      </c>
      <c r="O40" s="554">
        <f t="shared" si="11"/>
        <v>-2.2998909999999997</v>
      </c>
      <c r="P40" s="554">
        <f t="shared" si="11"/>
        <v>-1.0389999999999997</v>
      </c>
      <c r="Q40" s="554">
        <f t="shared" si="11"/>
        <v>0.12599999999999945</v>
      </c>
      <c r="R40" s="554">
        <f t="shared" si="11"/>
        <v>3.32</v>
      </c>
      <c r="S40" s="554">
        <f t="shared" si="11"/>
        <v>1.9529999999999998</v>
      </c>
      <c r="T40" s="554">
        <f t="shared" si="11"/>
        <v>1.3660000000000001</v>
      </c>
      <c r="U40" s="554">
        <f t="shared" si="11"/>
        <v>1.6277200000000001</v>
      </c>
      <c r="V40" s="554">
        <f t="shared" si="11"/>
        <v>1.3002240402769036</v>
      </c>
    </row>
    <row r="41" spans="2:22" s="110" customFormat="1" x14ac:dyDescent="0.35">
      <c r="B41" s="753"/>
      <c r="C41" s="110" t="s">
        <v>58</v>
      </c>
      <c r="D41" s="2" t="s">
        <v>2</v>
      </c>
      <c r="E41" s="2"/>
      <c r="F41" s="554">
        <f t="shared" ref="F41:V41" si="12">F8-F34</f>
        <v>-5.714999999999975</v>
      </c>
      <c r="G41" s="554">
        <f t="shared" si="12"/>
        <v>29.133100000000013</v>
      </c>
      <c r="H41" s="554">
        <f t="shared" si="12"/>
        <v>-32.454900000000009</v>
      </c>
      <c r="I41" s="554">
        <f t="shared" si="12"/>
        <v>27.925999999999988</v>
      </c>
      <c r="J41" s="554">
        <f t="shared" si="12"/>
        <v>18.876100000000008</v>
      </c>
      <c r="K41" s="554">
        <f t="shared" si="12"/>
        <v>73.684100000000058</v>
      </c>
      <c r="L41" s="554">
        <f t="shared" si="12"/>
        <v>19.760999999999967</v>
      </c>
      <c r="M41" s="554">
        <f t="shared" si="12"/>
        <v>71.51288999999997</v>
      </c>
      <c r="N41" s="554">
        <f t="shared" si="12"/>
        <v>68.814729999999997</v>
      </c>
      <c r="O41" s="554">
        <f t="shared" si="12"/>
        <v>106.2718702</v>
      </c>
      <c r="P41" s="554">
        <f t="shared" si="12"/>
        <v>99.609000000000009</v>
      </c>
      <c r="Q41" s="554">
        <f t="shared" si="12"/>
        <v>176.392</v>
      </c>
      <c r="R41" s="554">
        <f t="shared" si="12"/>
        <v>145.541</v>
      </c>
      <c r="S41" s="554">
        <f t="shared" si="12"/>
        <v>170.20300000000003</v>
      </c>
      <c r="T41" s="554">
        <f t="shared" si="12"/>
        <v>140.93799999999999</v>
      </c>
      <c r="U41" s="554">
        <f t="shared" si="12"/>
        <v>175.07363000000004</v>
      </c>
      <c r="V41" s="554">
        <f t="shared" si="12"/>
        <v>224.65054314670363</v>
      </c>
    </row>
    <row r="42" spans="2:22" s="110" customFormat="1" x14ac:dyDescent="0.35">
      <c r="B42" s="753"/>
      <c r="C42" s="110" t="s">
        <v>117</v>
      </c>
      <c r="D42" s="2" t="s">
        <v>2</v>
      </c>
      <c r="E42" s="2"/>
      <c r="F42" s="554">
        <f t="shared" ref="F42:V42" si="13">F9-F35</f>
        <v>1.117999999999995</v>
      </c>
      <c r="G42" s="554">
        <f t="shared" si="13"/>
        <v>-2.8700000000000045</v>
      </c>
      <c r="H42" s="554">
        <f t="shared" si="13"/>
        <v>5.8000000000000043</v>
      </c>
      <c r="I42" s="554">
        <f t="shared" si="13"/>
        <v>-2.6950000000000003</v>
      </c>
      <c r="J42" s="554">
        <f t="shared" si="13"/>
        <v>-0.875</v>
      </c>
      <c r="K42" s="554">
        <f t="shared" si="13"/>
        <v>1.8790000000000049</v>
      </c>
      <c r="L42" s="554">
        <f t="shared" si="13"/>
        <v>-5.0870000000000033</v>
      </c>
      <c r="M42" s="554">
        <f t="shared" si="13"/>
        <v>-0.91600000000000392</v>
      </c>
      <c r="N42" s="554">
        <f t="shared" si="13"/>
        <v>0.50800000000000267</v>
      </c>
      <c r="O42" s="554">
        <f t="shared" si="13"/>
        <v>-0.80599999999999739</v>
      </c>
      <c r="P42" s="554">
        <f t="shared" si="13"/>
        <v>-2.046999999999997</v>
      </c>
      <c r="Q42" s="554">
        <f t="shared" si="13"/>
        <v>0.65999999999999659</v>
      </c>
      <c r="R42" s="554">
        <f t="shared" si="13"/>
        <v>0.82700000000001239</v>
      </c>
      <c r="S42" s="554">
        <f t="shared" si="13"/>
        <v>-0.86599999999999966</v>
      </c>
      <c r="T42" s="554">
        <f t="shared" si="13"/>
        <v>4.8309999999999889</v>
      </c>
      <c r="U42" s="554">
        <f t="shared" si="13"/>
        <v>-0.55400000000000205</v>
      </c>
      <c r="V42" s="554">
        <f t="shared" si="13"/>
        <v>92.382000000000005</v>
      </c>
    </row>
    <row r="43" spans="2:22" x14ac:dyDescent="0.35">
      <c r="B43" s="753" t="s">
        <v>487</v>
      </c>
      <c r="C43" t="s">
        <v>22</v>
      </c>
      <c r="D43" s="2" t="str">
        <f>'Activity Data Calculations'!E160</f>
        <v>Gg</v>
      </c>
      <c r="E43" s="2" t="s">
        <v>453</v>
      </c>
      <c r="F43" s="554">
        <f>'Activity Data Calculations'!F160</f>
        <v>192</v>
      </c>
      <c r="G43" s="554">
        <f>'Activity Data Calculations'!G160</f>
        <v>196</v>
      </c>
      <c r="H43" s="554">
        <f>'Activity Data Calculations'!H160</f>
        <v>198</v>
      </c>
      <c r="I43" s="554">
        <f>'Activity Data Calculations'!I160</f>
        <v>209</v>
      </c>
      <c r="J43" s="554">
        <f>'Activity Data Calculations'!J160</f>
        <v>221</v>
      </c>
      <c r="K43" s="554">
        <f>'Activity Data Calculations'!K160</f>
        <v>229</v>
      </c>
      <c r="L43" s="554">
        <f>'Activity Data Calculations'!L160</f>
        <v>236</v>
      </c>
      <c r="M43" s="554">
        <f>'Activity Data Calculations'!M160</f>
        <v>250</v>
      </c>
      <c r="N43" s="554">
        <f>'Activity Data Calculations'!N160</f>
        <v>252</v>
      </c>
      <c r="O43" s="554">
        <f>'Activity Data Calculations'!O160</f>
        <v>208</v>
      </c>
      <c r="P43" s="554">
        <f>'Activity Data Calculations'!P160</f>
        <v>229</v>
      </c>
      <c r="Q43" s="554">
        <f>'Activity Data Calculations'!Q160</f>
        <v>242</v>
      </c>
      <c r="R43" s="554">
        <f>'Activity Data Calculations'!R160</f>
        <v>249</v>
      </c>
      <c r="S43" s="554">
        <f>'Activity Data Calculations'!S160</f>
        <v>230</v>
      </c>
      <c r="T43" s="554">
        <f>'Activity Data Calculations'!T160</f>
        <v>242</v>
      </c>
      <c r="U43" s="554">
        <f>'Activity Data Calculations'!U160</f>
        <v>259</v>
      </c>
      <c r="V43" s="554">
        <f>'Activity Data Calculations'!V160</f>
        <v>291</v>
      </c>
    </row>
    <row r="44" spans="2:22" x14ac:dyDescent="0.35">
      <c r="B44" s="753"/>
      <c r="C44" s="110" t="s">
        <v>61</v>
      </c>
      <c r="D44" s="2" t="str">
        <f>'Activity Data Calculations'!E165</f>
        <v>Gg</v>
      </c>
      <c r="E44" s="2" t="s">
        <v>453</v>
      </c>
      <c r="F44" s="554">
        <f>'Activity Data Calculations'!F165</f>
        <v>160</v>
      </c>
      <c r="G44" s="554">
        <f>'Activity Data Calculations'!G165</f>
        <v>157</v>
      </c>
      <c r="H44" s="554">
        <f>'Activity Data Calculations'!H165</f>
        <v>139</v>
      </c>
      <c r="I44" s="554">
        <f>'Activity Data Calculations'!I165</f>
        <v>98</v>
      </c>
      <c r="J44" s="554">
        <f>'Activity Data Calculations'!J165</f>
        <v>105</v>
      </c>
      <c r="K44" s="554">
        <f>'Activity Data Calculations'!K165</f>
        <v>135</v>
      </c>
      <c r="L44" s="554">
        <f>'Activity Data Calculations'!L165</f>
        <v>122</v>
      </c>
      <c r="M44" s="554">
        <f>'Activity Data Calculations'!M165</f>
        <v>118</v>
      </c>
      <c r="N44" s="554">
        <f>'Activity Data Calculations'!N165</f>
        <v>117</v>
      </c>
      <c r="O44" s="554">
        <f>'Activity Data Calculations'!O165</f>
        <v>109</v>
      </c>
      <c r="P44" s="554">
        <f>'Activity Data Calculations'!P165</f>
        <v>113</v>
      </c>
      <c r="Q44" s="554">
        <f>'Activity Data Calculations'!Q165</f>
        <v>100</v>
      </c>
      <c r="R44" s="554">
        <f>'Activity Data Calculations'!R165</f>
        <v>103</v>
      </c>
      <c r="S44" s="554">
        <f>'Activity Data Calculations'!S165</f>
        <v>114</v>
      </c>
      <c r="T44" s="554">
        <f>'Activity Data Calculations'!T165</f>
        <v>117</v>
      </c>
      <c r="U44" s="554">
        <f>'Activity Data Calculations'!U165</f>
        <v>116</v>
      </c>
      <c r="V44" s="554">
        <f>'Activity Data Calculations'!V165</f>
        <v>120</v>
      </c>
    </row>
    <row r="45" spans="2:22" x14ac:dyDescent="0.35">
      <c r="B45" s="753"/>
      <c r="C45" s="110" t="s">
        <v>58</v>
      </c>
      <c r="D45" s="2" t="str">
        <f>'Activity Data Calculations'!E166</f>
        <v>Gg</v>
      </c>
      <c r="E45" s="2" t="s">
        <v>453</v>
      </c>
      <c r="F45" s="554">
        <f>'Activity Data Calculations'!F166</f>
        <v>58</v>
      </c>
      <c r="G45" s="554">
        <f>'Activity Data Calculations'!G166</f>
        <v>44</v>
      </c>
      <c r="H45" s="554">
        <f>'Activity Data Calculations'!H166</f>
        <v>27</v>
      </c>
      <c r="I45" s="554">
        <f>'Activity Data Calculations'!I166</f>
        <v>35</v>
      </c>
      <c r="J45" s="554">
        <f>'Activity Data Calculations'!J166</f>
        <v>40</v>
      </c>
      <c r="K45" s="554">
        <f>'Activity Data Calculations'!K166</f>
        <v>55</v>
      </c>
      <c r="L45" s="554">
        <f>'Activity Data Calculations'!L166</f>
        <v>49</v>
      </c>
      <c r="M45" s="554">
        <f>'Activity Data Calculations'!M166</f>
        <v>76</v>
      </c>
      <c r="N45" s="554">
        <f>'Activity Data Calculations'!N166</f>
        <v>96</v>
      </c>
      <c r="O45" s="554">
        <f>'Activity Data Calculations'!O166</f>
        <v>108</v>
      </c>
      <c r="P45" s="554">
        <f>'Activity Data Calculations'!P166</f>
        <v>123</v>
      </c>
      <c r="Q45" s="554">
        <f>'Activity Data Calculations'!Q166</f>
        <v>185</v>
      </c>
      <c r="R45" s="554">
        <f>'Activity Data Calculations'!R166</f>
        <v>163</v>
      </c>
      <c r="S45" s="554">
        <f>'Activity Data Calculations'!S166</f>
        <v>156</v>
      </c>
      <c r="T45" s="554">
        <f>'Activity Data Calculations'!T166</f>
        <v>171</v>
      </c>
      <c r="U45" s="554">
        <f>'Activity Data Calculations'!U166</f>
        <v>167</v>
      </c>
      <c r="V45" s="554">
        <f>'Activity Data Calculations'!V166</f>
        <v>217</v>
      </c>
    </row>
    <row r="46" spans="2:22" x14ac:dyDescent="0.35">
      <c r="B46" s="753" t="s">
        <v>489</v>
      </c>
      <c r="C46" s="110" t="s">
        <v>15</v>
      </c>
      <c r="D46" s="2" t="s">
        <v>2</v>
      </c>
      <c r="F46" s="554">
        <f t="shared" ref="F46:V46" si="14">F3</f>
        <v>222.4</v>
      </c>
      <c r="G46" s="554">
        <f t="shared" si="14"/>
        <v>347.5</v>
      </c>
      <c r="H46" s="554">
        <f t="shared" si="14"/>
        <v>312</v>
      </c>
      <c r="I46" s="554">
        <f t="shared" si="14"/>
        <v>289.39999999999998</v>
      </c>
      <c r="J46" s="554">
        <f t="shared" si="14"/>
        <v>331.8</v>
      </c>
      <c r="K46" s="554">
        <f t="shared" si="14"/>
        <v>379.3</v>
      </c>
      <c r="L46" s="554">
        <f t="shared" si="14"/>
        <v>490.3</v>
      </c>
      <c r="M46" s="554">
        <f t="shared" si="14"/>
        <v>647.79999999999995</v>
      </c>
      <c r="N46" s="554">
        <f t="shared" si="14"/>
        <v>606.5</v>
      </c>
      <c r="O46" s="554">
        <f t="shared" si="14"/>
        <v>559.9</v>
      </c>
      <c r="P46" s="554">
        <f t="shared" si="14"/>
        <v>660.6</v>
      </c>
      <c r="Q46" s="554">
        <f t="shared" si="14"/>
        <v>660.2</v>
      </c>
      <c r="R46" s="554">
        <f t="shared" si="14"/>
        <v>729.3</v>
      </c>
      <c r="S46" s="554">
        <f t="shared" si="14"/>
        <v>708.3</v>
      </c>
      <c r="T46" s="554">
        <f t="shared" si="14"/>
        <v>771.8</v>
      </c>
      <c r="U46" s="554">
        <f t="shared" si="14"/>
        <v>804.2</v>
      </c>
      <c r="V46" s="554">
        <f t="shared" si="14"/>
        <v>925.5</v>
      </c>
    </row>
    <row r="47" spans="2:22" x14ac:dyDescent="0.35">
      <c r="B47" s="753"/>
      <c r="C47" s="110" t="s">
        <v>130</v>
      </c>
      <c r="D47" s="2" t="s">
        <v>2</v>
      </c>
      <c r="F47" s="554">
        <f t="shared" ref="F47:V47" si="15">F4</f>
        <v>89.8</v>
      </c>
      <c r="G47" s="554">
        <f t="shared" si="15"/>
        <v>86.8</v>
      </c>
      <c r="H47" s="554">
        <f t="shared" si="15"/>
        <v>80.3</v>
      </c>
      <c r="I47" s="554">
        <f t="shared" si="15"/>
        <v>86.8</v>
      </c>
      <c r="J47" s="554">
        <f t="shared" si="15"/>
        <v>87.7</v>
      </c>
      <c r="K47" s="554">
        <f t="shared" si="15"/>
        <v>86.8</v>
      </c>
      <c r="L47" s="554">
        <f t="shared" si="15"/>
        <v>88.9</v>
      </c>
      <c r="M47" s="554">
        <f t="shared" si="15"/>
        <v>96.4</v>
      </c>
      <c r="N47" s="554">
        <f t="shared" si="15"/>
        <v>108.5</v>
      </c>
      <c r="O47" s="554">
        <f t="shared" si="15"/>
        <v>104.4</v>
      </c>
      <c r="P47" s="554">
        <f t="shared" si="15"/>
        <v>120.9</v>
      </c>
      <c r="Q47" s="554">
        <f t="shared" si="15"/>
        <v>116.7</v>
      </c>
      <c r="R47" s="554">
        <f t="shared" si="15"/>
        <v>128.19999999999999</v>
      </c>
      <c r="S47" s="554">
        <f t="shared" si="15"/>
        <v>138.19999999999999</v>
      </c>
      <c r="T47" s="554">
        <f t="shared" si="15"/>
        <v>137.9</v>
      </c>
      <c r="U47" s="554">
        <f t="shared" si="15"/>
        <v>154.69999999999999</v>
      </c>
      <c r="V47" s="554">
        <f t="shared" si="15"/>
        <v>168.8</v>
      </c>
    </row>
    <row r="48" spans="2:22" x14ac:dyDescent="0.35">
      <c r="B48" s="753"/>
      <c r="C48" s="110" t="s">
        <v>61</v>
      </c>
      <c r="D48" s="2" t="s">
        <v>2</v>
      </c>
      <c r="F48" s="554">
        <f t="shared" ref="F48:V48" si="16">F5-F44</f>
        <v>179.7</v>
      </c>
      <c r="G48" s="554">
        <f t="shared" si="16"/>
        <v>181</v>
      </c>
      <c r="H48" s="554">
        <f t="shared" si="16"/>
        <v>207.39999999999998</v>
      </c>
      <c r="I48" s="554">
        <f t="shared" si="16"/>
        <v>211.2</v>
      </c>
      <c r="J48" s="554">
        <f t="shared" si="16"/>
        <v>214.7</v>
      </c>
      <c r="K48" s="554">
        <f t="shared" si="16"/>
        <v>194.89999999999998</v>
      </c>
      <c r="L48" s="554">
        <f t="shared" si="16"/>
        <v>205.5</v>
      </c>
      <c r="M48" s="554">
        <f t="shared" si="16"/>
        <v>189.5</v>
      </c>
      <c r="N48" s="554">
        <f t="shared" si="16"/>
        <v>211.5</v>
      </c>
      <c r="O48" s="554">
        <f t="shared" si="16"/>
        <v>179</v>
      </c>
      <c r="P48" s="554">
        <f t="shared" si="16"/>
        <v>197.39999999999998</v>
      </c>
      <c r="Q48" s="554">
        <f t="shared" si="16"/>
        <v>209.89999999999998</v>
      </c>
      <c r="R48" s="554">
        <f t="shared" si="16"/>
        <v>210.8</v>
      </c>
      <c r="S48" s="554">
        <f t="shared" si="16"/>
        <v>222.10000000000002</v>
      </c>
      <c r="T48" s="554">
        <f t="shared" si="16"/>
        <v>186.60000000000002</v>
      </c>
      <c r="U48" s="554">
        <f t="shared" si="16"/>
        <v>202.7</v>
      </c>
      <c r="V48" s="554">
        <f t="shared" si="16"/>
        <v>219.10000000000002</v>
      </c>
    </row>
    <row r="49" spans="2:22" x14ac:dyDescent="0.35">
      <c r="B49" s="753"/>
      <c r="C49" s="110" t="s">
        <v>22</v>
      </c>
      <c r="D49" s="2" t="s">
        <v>2</v>
      </c>
      <c r="F49" s="554">
        <f t="shared" ref="F49:V49" si="17">F6-F43</f>
        <v>-2</v>
      </c>
      <c r="G49" s="554">
        <f t="shared" si="17"/>
        <v>6.1999999999999886</v>
      </c>
      <c r="H49" s="554">
        <f t="shared" si="17"/>
        <v>13.099999999999994</v>
      </c>
      <c r="I49" s="554">
        <f t="shared" si="17"/>
        <v>-1.5</v>
      </c>
      <c r="J49" s="554">
        <f t="shared" si="17"/>
        <v>6</v>
      </c>
      <c r="K49" s="554">
        <f t="shared" si="17"/>
        <v>-8.9000000000000057</v>
      </c>
      <c r="L49" s="554">
        <f t="shared" si="17"/>
        <v>0</v>
      </c>
      <c r="M49" s="554">
        <f t="shared" si="17"/>
        <v>12.600000000000023</v>
      </c>
      <c r="N49" s="554">
        <f t="shared" si="17"/>
        <v>10.199999999999989</v>
      </c>
      <c r="O49" s="554">
        <f t="shared" si="17"/>
        <v>-3.3000000000000114</v>
      </c>
      <c r="P49" s="554">
        <f t="shared" si="17"/>
        <v>5.9000000000000057</v>
      </c>
      <c r="Q49" s="554">
        <f t="shared" si="17"/>
        <v>-15.599999999999994</v>
      </c>
      <c r="R49" s="554">
        <f t="shared" si="17"/>
        <v>-36</v>
      </c>
      <c r="S49" s="554">
        <f t="shared" si="17"/>
        <v>11.099999999999994</v>
      </c>
      <c r="T49" s="554">
        <f t="shared" si="17"/>
        <v>-10</v>
      </c>
      <c r="U49" s="554">
        <f t="shared" si="17"/>
        <v>9.8000000000000114</v>
      </c>
      <c r="V49" s="554">
        <f t="shared" si="17"/>
        <v>-6</v>
      </c>
    </row>
    <row r="50" spans="2:22" x14ac:dyDescent="0.35">
      <c r="B50" s="753"/>
      <c r="C50" s="110" t="s">
        <v>14</v>
      </c>
      <c r="D50" s="2" t="s">
        <v>2</v>
      </c>
      <c r="F50" s="554">
        <f t="shared" ref="F50:V50" si="18">F7</f>
        <v>27.4</v>
      </c>
      <c r="G50" s="554">
        <f t="shared" si="18"/>
        <v>12</v>
      </c>
      <c r="H50" s="554">
        <f t="shared" si="18"/>
        <v>14.3</v>
      </c>
      <c r="I50" s="554">
        <f t="shared" si="18"/>
        <v>20.2</v>
      </c>
      <c r="J50" s="554">
        <f t="shared" si="18"/>
        <v>29.8</v>
      </c>
      <c r="K50" s="554">
        <f t="shared" si="18"/>
        <v>27.9</v>
      </c>
      <c r="L50" s="554">
        <f t="shared" si="18"/>
        <v>6</v>
      </c>
      <c r="M50" s="554">
        <f t="shared" si="18"/>
        <v>3.7</v>
      </c>
      <c r="N50" s="554">
        <f t="shared" si="18"/>
        <v>5.9</v>
      </c>
      <c r="O50" s="554">
        <f t="shared" si="18"/>
        <v>4.0999999999999996</v>
      </c>
      <c r="P50" s="554">
        <f t="shared" si="18"/>
        <v>6.7</v>
      </c>
      <c r="Q50" s="554">
        <f t="shared" si="18"/>
        <v>4.3</v>
      </c>
      <c r="R50" s="554">
        <f t="shared" si="18"/>
        <v>7</v>
      </c>
      <c r="S50" s="554">
        <f t="shared" si="18"/>
        <v>2.8</v>
      </c>
      <c r="T50" s="554">
        <f t="shared" si="18"/>
        <v>2.2000000000000002</v>
      </c>
      <c r="U50" s="554">
        <f t="shared" si="18"/>
        <v>2.5</v>
      </c>
      <c r="V50" s="554">
        <f t="shared" si="18"/>
        <v>2.1</v>
      </c>
    </row>
    <row r="51" spans="2:22" x14ac:dyDescent="0.35">
      <c r="B51" s="753"/>
      <c r="C51" s="110" t="s">
        <v>58</v>
      </c>
      <c r="D51" s="2" t="s">
        <v>2</v>
      </c>
      <c r="F51" s="554">
        <f t="shared" ref="F51:V51" si="19">F8-F45</f>
        <v>160.80000000000001</v>
      </c>
      <c r="G51" s="554">
        <f t="shared" si="19"/>
        <v>231.10000000000002</v>
      </c>
      <c r="H51" s="554">
        <f t="shared" si="19"/>
        <v>181.6</v>
      </c>
      <c r="I51" s="554">
        <f t="shared" si="19"/>
        <v>253</v>
      </c>
      <c r="J51" s="554">
        <f t="shared" si="19"/>
        <v>248.8</v>
      </c>
      <c r="K51" s="554">
        <f t="shared" si="19"/>
        <v>282.5</v>
      </c>
      <c r="L51" s="554">
        <f t="shared" si="19"/>
        <v>255.39999999999998</v>
      </c>
      <c r="M51" s="554">
        <f t="shared" si="19"/>
        <v>257.89999999999998</v>
      </c>
      <c r="N51" s="554">
        <f t="shared" si="19"/>
        <v>195</v>
      </c>
      <c r="O51" s="554">
        <f t="shared" si="19"/>
        <v>235.7</v>
      </c>
      <c r="P51" s="554">
        <f t="shared" si="19"/>
        <v>218.5</v>
      </c>
      <c r="Q51" s="554">
        <f t="shared" si="19"/>
        <v>249.8</v>
      </c>
      <c r="R51" s="554">
        <f t="shared" si="19"/>
        <v>238.2</v>
      </c>
      <c r="S51" s="554">
        <f t="shared" si="19"/>
        <v>273.10000000000002</v>
      </c>
      <c r="T51" s="554">
        <f t="shared" si="19"/>
        <v>235.39999999999998</v>
      </c>
      <c r="U51" s="554">
        <f t="shared" si="19"/>
        <v>278.10000000000002</v>
      </c>
      <c r="V51" s="554">
        <f t="shared" si="19"/>
        <v>272.7</v>
      </c>
    </row>
    <row r="52" spans="2:22" x14ac:dyDescent="0.35">
      <c r="B52" s="753"/>
      <c r="C52" s="110" t="s">
        <v>117</v>
      </c>
      <c r="D52" s="2" t="s">
        <v>2</v>
      </c>
      <c r="F52" s="554">
        <f>F9</f>
        <v>47.3</v>
      </c>
      <c r="G52" s="554">
        <f t="shared" ref="G52:V52" si="20">G9</f>
        <v>43.9</v>
      </c>
      <c r="H52" s="554">
        <f t="shared" si="20"/>
        <v>54.1</v>
      </c>
      <c r="I52" s="554">
        <f t="shared" si="20"/>
        <v>48.8</v>
      </c>
      <c r="J52" s="554">
        <f t="shared" si="20"/>
        <v>53.8</v>
      </c>
      <c r="K52" s="554">
        <f t="shared" si="20"/>
        <v>62.7</v>
      </c>
      <c r="L52" s="554">
        <f t="shared" si="20"/>
        <v>58.8</v>
      </c>
      <c r="M52" s="554">
        <f t="shared" si="20"/>
        <v>62.8</v>
      </c>
      <c r="N52" s="554">
        <f t="shared" si="20"/>
        <v>63.1</v>
      </c>
      <c r="O52" s="554">
        <f t="shared" si="20"/>
        <v>62.6</v>
      </c>
      <c r="P52" s="554">
        <f t="shared" si="20"/>
        <v>62.7</v>
      </c>
      <c r="Q52" s="554">
        <f t="shared" si="20"/>
        <v>66.3</v>
      </c>
      <c r="R52" s="554">
        <f t="shared" si="20"/>
        <v>67.900000000000006</v>
      </c>
      <c r="S52" s="554">
        <f t="shared" si="20"/>
        <v>68.2</v>
      </c>
      <c r="T52" s="554">
        <f t="shared" si="20"/>
        <v>75.599999999999994</v>
      </c>
      <c r="U52" s="554">
        <f t="shared" si="20"/>
        <v>72.5</v>
      </c>
      <c r="V52" s="554">
        <f t="shared" si="20"/>
        <v>167</v>
      </c>
    </row>
  </sheetData>
  <mergeCells count="9">
    <mergeCell ref="B3:B9"/>
    <mergeCell ref="B43:B45"/>
    <mergeCell ref="B46:B52"/>
    <mergeCell ref="B10:B13"/>
    <mergeCell ref="B14:B17"/>
    <mergeCell ref="B18:B24"/>
    <mergeCell ref="B26:B27"/>
    <mergeCell ref="B29:B35"/>
    <mergeCell ref="B36:B4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299A4-DD6B-41C0-8CAD-C338721FDD85}">
  <sheetPr>
    <tabColor theme="6" tint="0.39997558519241921"/>
  </sheetPr>
  <dimension ref="B1:AD54"/>
  <sheetViews>
    <sheetView zoomScale="70" zoomScaleNormal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26" sqref="H26"/>
    </sheetView>
  </sheetViews>
  <sheetFormatPr baseColWidth="10" defaultRowHeight="14.5" x14ac:dyDescent="0.35"/>
  <cols>
    <col min="1" max="1" width="2.7265625" customWidth="1"/>
    <col min="2" max="2" width="19.81640625" style="208" customWidth="1"/>
    <col min="3" max="3" width="32.54296875" style="208" bestFit="1" customWidth="1"/>
  </cols>
  <sheetData>
    <row r="1" spans="2:30" ht="15" thickBot="1" x14ac:dyDescent="0.4"/>
    <row r="2" spans="2:30" ht="15" thickBot="1" x14ac:dyDescent="0.4">
      <c r="B2" s="325"/>
      <c r="C2" s="326"/>
      <c r="D2" s="327">
        <v>1990</v>
      </c>
      <c r="E2" s="327">
        <v>1991</v>
      </c>
      <c r="F2" s="327">
        <v>1992</v>
      </c>
      <c r="G2" s="327">
        <v>1993</v>
      </c>
      <c r="H2" s="327">
        <v>1994</v>
      </c>
      <c r="I2" s="327">
        <v>1995</v>
      </c>
      <c r="J2" s="327">
        <v>1996</v>
      </c>
      <c r="K2" s="327">
        <v>1997</v>
      </c>
      <c r="L2" s="327">
        <v>1998</v>
      </c>
      <c r="M2" s="327">
        <v>1999</v>
      </c>
      <c r="N2" s="327">
        <v>2000</v>
      </c>
      <c r="O2" s="327">
        <v>2001</v>
      </c>
      <c r="P2" s="327">
        <v>2002</v>
      </c>
      <c r="Q2" s="327">
        <v>2003</v>
      </c>
      <c r="R2" s="327">
        <v>2004</v>
      </c>
      <c r="S2" s="327">
        <v>2005</v>
      </c>
      <c r="T2" s="327">
        <v>2006</v>
      </c>
      <c r="U2" s="327">
        <v>2007</v>
      </c>
      <c r="V2" s="327">
        <v>2008</v>
      </c>
      <c r="W2" s="327">
        <v>2009</v>
      </c>
      <c r="X2" s="327">
        <v>2010</v>
      </c>
      <c r="Y2" s="327">
        <v>2011</v>
      </c>
      <c r="Z2" s="327">
        <v>2012</v>
      </c>
      <c r="AA2" s="327">
        <v>2013</v>
      </c>
      <c r="AB2" s="327">
        <v>2014</v>
      </c>
      <c r="AC2" s="327">
        <v>2015</v>
      </c>
      <c r="AD2" s="328">
        <v>2016</v>
      </c>
    </row>
    <row r="3" spans="2:30" x14ac:dyDescent="0.35">
      <c r="B3" s="756" t="s">
        <v>0</v>
      </c>
      <c r="C3" s="324" t="s">
        <v>14</v>
      </c>
      <c r="D3" s="253">
        <v>11.132</v>
      </c>
      <c r="E3" s="253">
        <v>13.558</v>
      </c>
      <c r="F3" s="253">
        <v>21.33</v>
      </c>
      <c r="G3" s="253">
        <v>12.272</v>
      </c>
      <c r="H3" s="253">
        <v>14.789</v>
      </c>
      <c r="I3" s="253">
        <v>32.332000000000001</v>
      </c>
      <c r="J3" s="253">
        <v>65.826999999999998</v>
      </c>
      <c r="K3" s="253">
        <v>46.993000000000002</v>
      </c>
      <c r="L3" s="253">
        <v>49.676000000000002</v>
      </c>
      <c r="M3" s="253">
        <v>41.948</v>
      </c>
      <c r="N3" s="253">
        <v>13.081</v>
      </c>
      <c r="O3" s="253">
        <v>3.76</v>
      </c>
      <c r="P3" s="253">
        <v>5.4429999999999996</v>
      </c>
      <c r="Q3" s="253">
        <v>9.8640000000000008</v>
      </c>
      <c r="R3" s="253">
        <v>16.555</v>
      </c>
      <c r="S3" s="253">
        <v>17.731000000000002</v>
      </c>
      <c r="T3" s="253">
        <v>1.8480000000000001</v>
      </c>
      <c r="U3" s="253">
        <v>1.06664</v>
      </c>
      <c r="V3" s="253">
        <v>2.0953200000000001</v>
      </c>
      <c r="W3" s="253">
        <v>4.9238909999999994</v>
      </c>
      <c r="X3" s="253">
        <v>6.008</v>
      </c>
      <c r="Y3" s="253">
        <v>3.6589999999999998</v>
      </c>
      <c r="Z3" s="253">
        <v>3.4369999999999998</v>
      </c>
      <c r="AA3" s="253">
        <v>0.64500000000000002</v>
      </c>
      <c r="AB3" s="253">
        <v>0.68100000000000005</v>
      </c>
      <c r="AC3" s="253">
        <v>0.74127999999999994</v>
      </c>
      <c r="AD3" s="99">
        <v>0.72877595972309628</v>
      </c>
    </row>
    <row r="4" spans="2:30" x14ac:dyDescent="0.35">
      <c r="B4" s="754"/>
      <c r="C4" s="209" t="s">
        <v>62</v>
      </c>
      <c r="D4" s="27">
        <v>97.978999999999999</v>
      </c>
      <c r="E4" s="27">
        <v>108.651</v>
      </c>
      <c r="F4" s="27">
        <v>108.096</v>
      </c>
      <c r="G4" s="27">
        <v>128.125</v>
      </c>
      <c r="H4" s="27">
        <v>147.12899999999999</v>
      </c>
      <c r="I4" s="27">
        <v>142.886</v>
      </c>
      <c r="J4" s="27">
        <v>146.00899999999999</v>
      </c>
      <c r="K4" s="27">
        <v>162.65799999999999</v>
      </c>
      <c r="L4" s="27">
        <v>174.77500000000001</v>
      </c>
      <c r="M4" s="27">
        <v>194.423</v>
      </c>
      <c r="N4" s="27">
        <v>175.51499999999999</v>
      </c>
      <c r="O4" s="27">
        <v>185.33699999999999</v>
      </c>
      <c r="P4" s="27">
        <v>179.61600000000001</v>
      </c>
      <c r="Q4" s="27">
        <v>204.459</v>
      </c>
      <c r="R4" s="27">
        <v>220.06700000000001</v>
      </c>
      <c r="S4" s="27">
        <v>217.053</v>
      </c>
      <c r="T4" s="27">
        <v>226.541</v>
      </c>
      <c r="U4" s="27">
        <v>201.82021</v>
      </c>
      <c r="V4" s="27">
        <v>167.54637</v>
      </c>
      <c r="W4" s="27">
        <v>190.60422980000001</v>
      </c>
      <c r="X4" s="27">
        <v>196.88200000000001</v>
      </c>
      <c r="Y4" s="27">
        <v>214.517</v>
      </c>
      <c r="Z4" s="27">
        <v>213.03200000000001</v>
      </c>
      <c r="AA4" s="27">
        <v>216.19</v>
      </c>
      <c r="AB4" s="27">
        <v>221.345</v>
      </c>
      <c r="AC4" s="27">
        <v>229.57037000000003</v>
      </c>
      <c r="AD4" s="97">
        <v>224.21245685329637</v>
      </c>
    </row>
    <row r="5" spans="2:30" x14ac:dyDescent="0.35">
      <c r="B5" s="754"/>
      <c r="C5" s="209" t="s">
        <v>63</v>
      </c>
      <c r="D5" s="27">
        <v>3.0369999999999999</v>
      </c>
      <c r="E5" s="27">
        <v>3.4889999999999999</v>
      </c>
      <c r="F5" s="27">
        <v>46.99</v>
      </c>
      <c r="G5" s="27">
        <v>4.7779999999999996</v>
      </c>
      <c r="H5" s="27">
        <v>5.0339999999999998</v>
      </c>
      <c r="I5" s="27">
        <v>5.2839999999999998</v>
      </c>
      <c r="J5" s="27">
        <v>4.4320000000000004</v>
      </c>
      <c r="K5" s="27">
        <v>3.4289999999999998</v>
      </c>
      <c r="L5" s="27">
        <v>5.2</v>
      </c>
      <c r="M5" s="27">
        <v>3.504</v>
      </c>
      <c r="N5" s="27">
        <v>3.3639999999999999</v>
      </c>
      <c r="O5" s="27">
        <v>3.1379999999999999</v>
      </c>
      <c r="P5" s="27">
        <v>3.4809999999999999</v>
      </c>
      <c r="Q5" s="27">
        <v>3.895</v>
      </c>
      <c r="R5" s="27">
        <v>3.968</v>
      </c>
      <c r="S5" s="27">
        <v>2.1259999999999999</v>
      </c>
      <c r="T5" s="27">
        <v>2.5310000000000001</v>
      </c>
      <c r="U5" s="27">
        <v>2.7464299999999997</v>
      </c>
      <c r="V5" s="27">
        <v>1.9005999999999998</v>
      </c>
      <c r="W5" s="27">
        <v>2.7612235999999997</v>
      </c>
      <c r="X5" s="27">
        <v>1.9970000000000001</v>
      </c>
      <c r="Y5" s="27">
        <v>1.5229999999999999</v>
      </c>
      <c r="Z5" s="27">
        <v>1.857</v>
      </c>
      <c r="AA5" s="27">
        <v>1.2689999999999999</v>
      </c>
      <c r="AB5" s="27">
        <v>1.2290000000000001</v>
      </c>
      <c r="AC5" s="27">
        <v>1.08392</v>
      </c>
      <c r="AD5" s="97">
        <v>1.0251092882340034</v>
      </c>
    </row>
    <row r="6" spans="2:30" x14ac:dyDescent="0.35">
      <c r="B6" s="754"/>
      <c r="C6" s="209" t="s">
        <v>19</v>
      </c>
      <c r="D6" s="27">
        <v>36.289000000000001</v>
      </c>
      <c r="E6" s="27">
        <v>38.468000000000004</v>
      </c>
      <c r="F6" s="27">
        <v>33.78</v>
      </c>
      <c r="G6" s="27">
        <v>30.853000000000002</v>
      </c>
      <c r="H6" s="27">
        <v>31.949000000000002</v>
      </c>
      <c r="I6" s="27">
        <v>30.289000000000001</v>
      </c>
      <c r="J6" s="27">
        <v>6.5570000000000004</v>
      </c>
      <c r="K6" s="27">
        <v>18.43</v>
      </c>
      <c r="L6" s="27">
        <v>45.034999999999997</v>
      </c>
      <c r="M6" s="27">
        <v>112.123</v>
      </c>
      <c r="N6" s="27">
        <v>228.52</v>
      </c>
      <c r="O6" s="27">
        <v>273.37599999999998</v>
      </c>
      <c r="P6" s="27">
        <v>286.88600000000002</v>
      </c>
      <c r="Q6" s="27">
        <v>287.17599999999999</v>
      </c>
      <c r="R6" s="27">
        <v>265.12799999999999</v>
      </c>
      <c r="S6" s="27">
        <v>340.67500000000001</v>
      </c>
      <c r="T6" s="27">
        <v>462.78399999999999</v>
      </c>
      <c r="U6" s="27">
        <v>552.63199999999995</v>
      </c>
      <c r="V6" s="27">
        <v>609.745</v>
      </c>
      <c r="W6" s="27">
        <v>574.14099999999996</v>
      </c>
      <c r="X6" s="27">
        <v>643.04899999999998</v>
      </c>
      <c r="Y6" s="27">
        <v>617.29700000000003</v>
      </c>
      <c r="Z6" s="27">
        <v>649.15700000000004</v>
      </c>
      <c r="AA6" s="27">
        <v>683.20699999999999</v>
      </c>
      <c r="AB6" s="27">
        <v>711.23599999999999</v>
      </c>
      <c r="AC6" s="27">
        <v>684.34799999999996</v>
      </c>
      <c r="AD6" s="97">
        <v>701.22500000000002</v>
      </c>
    </row>
    <row r="7" spans="2:30" x14ac:dyDescent="0.35">
      <c r="B7" s="754"/>
      <c r="C7" s="209" t="s">
        <v>16</v>
      </c>
      <c r="D7" s="27">
        <v>173.571</v>
      </c>
      <c r="E7" s="27">
        <v>179.02</v>
      </c>
      <c r="F7" s="27">
        <v>191.07</v>
      </c>
      <c r="G7" s="27">
        <v>172.7</v>
      </c>
      <c r="H7" s="27">
        <v>184.232</v>
      </c>
      <c r="I7" s="27">
        <v>197.38900000000001</v>
      </c>
      <c r="J7" s="27">
        <v>287.20999999999998</v>
      </c>
      <c r="K7" s="27">
        <v>300.726</v>
      </c>
      <c r="L7" s="27">
        <v>464.77300000000002</v>
      </c>
      <c r="M7" s="27">
        <v>451.02</v>
      </c>
      <c r="N7" s="27">
        <v>1021.5</v>
      </c>
      <c r="O7" s="27">
        <v>1142.5</v>
      </c>
      <c r="P7" s="27">
        <v>1202.096</v>
      </c>
      <c r="Q7" s="27">
        <v>1046.7940000000001</v>
      </c>
      <c r="R7" s="27">
        <v>1092.8230000000001</v>
      </c>
      <c r="S7" s="27">
        <v>1055.742</v>
      </c>
      <c r="T7" s="27">
        <v>1036.598</v>
      </c>
      <c r="U7" s="27">
        <v>1040.2860000000001</v>
      </c>
      <c r="V7" s="27">
        <v>1300.9390000000001</v>
      </c>
      <c r="W7" s="27">
        <v>1135.588</v>
      </c>
      <c r="X7" s="27">
        <v>1140.383</v>
      </c>
      <c r="Y7" s="27">
        <v>1119.04</v>
      </c>
      <c r="Z7" s="27">
        <v>1077.7860000000001</v>
      </c>
      <c r="AA7" s="27">
        <v>1056.146</v>
      </c>
      <c r="AB7" s="27">
        <v>1030.5630000000001</v>
      </c>
      <c r="AC7" s="27">
        <v>1240.3009999999999</v>
      </c>
      <c r="AD7" s="97">
        <v>1129.5450000000001</v>
      </c>
    </row>
    <row r="8" spans="2:30" x14ac:dyDescent="0.35">
      <c r="B8" s="754" t="s">
        <v>124</v>
      </c>
      <c r="C8" s="209" t="s">
        <v>17</v>
      </c>
      <c r="D8" s="27">
        <v>12</v>
      </c>
      <c r="E8" s="27">
        <v>13.5</v>
      </c>
      <c r="F8" s="27">
        <v>15</v>
      </c>
      <c r="G8" s="27">
        <v>16.459</v>
      </c>
      <c r="H8" s="27">
        <v>18.373000000000001</v>
      </c>
      <c r="I8" s="27">
        <v>17.254999999999999</v>
      </c>
      <c r="J8" s="27">
        <v>23.367000000000001</v>
      </c>
      <c r="K8" s="27">
        <v>26.622</v>
      </c>
      <c r="L8" s="27">
        <v>30.2332</v>
      </c>
      <c r="M8" s="27">
        <v>32.65</v>
      </c>
      <c r="N8" s="27">
        <v>41.6</v>
      </c>
      <c r="O8" s="27">
        <v>37.533000000000001</v>
      </c>
      <c r="P8" s="27">
        <v>37.408999999999999</v>
      </c>
      <c r="Q8" s="27">
        <v>41.273000000000003</v>
      </c>
      <c r="R8" s="27">
        <v>43.372</v>
      </c>
      <c r="S8" s="27">
        <v>41.127000000000002</v>
      </c>
      <c r="T8" s="27">
        <v>49.767000000000003</v>
      </c>
      <c r="U8" s="27">
        <v>48.335999999999999</v>
      </c>
      <c r="V8" s="27">
        <v>46.301000000000002</v>
      </c>
      <c r="W8" s="27">
        <v>45.881999999999998</v>
      </c>
      <c r="X8" s="27">
        <v>46.542999999999999</v>
      </c>
      <c r="Y8" s="27">
        <v>43.094000000000001</v>
      </c>
      <c r="Z8" s="27">
        <v>41.31</v>
      </c>
      <c r="AA8" s="27">
        <v>35.442999999999998</v>
      </c>
      <c r="AB8" s="27">
        <v>36.095999999999997</v>
      </c>
      <c r="AC8" s="27">
        <v>36.591999999999999</v>
      </c>
      <c r="AD8" s="97">
        <v>35.305</v>
      </c>
    </row>
    <row r="9" spans="2:30" x14ac:dyDescent="0.35">
      <c r="B9" s="754"/>
      <c r="C9" s="209" t="s">
        <v>18</v>
      </c>
      <c r="D9" s="27">
        <v>21.364000000000001</v>
      </c>
      <c r="E9" s="27">
        <v>23.687000000000001</v>
      </c>
      <c r="F9" s="27">
        <v>26.908999999999999</v>
      </c>
      <c r="G9" s="27">
        <v>29.361999999999998</v>
      </c>
      <c r="H9" s="27">
        <v>31.814</v>
      </c>
      <c r="I9" s="27">
        <v>34.203000000000003</v>
      </c>
      <c r="J9" s="27">
        <v>36.590000000000003</v>
      </c>
      <c r="K9" s="27">
        <v>39.518000000000001</v>
      </c>
      <c r="L9" s="27">
        <v>42.774000000000001</v>
      </c>
      <c r="M9" s="27">
        <v>45.15</v>
      </c>
      <c r="N9" s="27">
        <v>44.698999999999998</v>
      </c>
      <c r="O9" s="27">
        <v>56.082749999999997</v>
      </c>
      <c r="P9" s="27">
        <v>56.831074999999998</v>
      </c>
      <c r="Q9" s="27">
        <v>51.165800000000004</v>
      </c>
      <c r="R9" s="27">
        <v>45.86844</v>
      </c>
      <c r="S9" s="27">
        <v>42.55433</v>
      </c>
      <c r="T9" s="27">
        <v>53.743000000000002</v>
      </c>
      <c r="U9" s="27">
        <v>55.721640000000001</v>
      </c>
      <c r="V9" s="27">
        <v>50.267879999999998</v>
      </c>
      <c r="W9" s="27">
        <v>43.07808</v>
      </c>
      <c r="X9" s="27">
        <v>41.472000000000001</v>
      </c>
      <c r="Y9" s="27">
        <v>40.316000000000003</v>
      </c>
      <c r="Z9" s="27">
        <v>38.953000000000003</v>
      </c>
      <c r="AA9" s="27">
        <v>39.182000000000002</v>
      </c>
      <c r="AB9" s="27">
        <v>40.475999999999999</v>
      </c>
      <c r="AC9" s="27">
        <v>37.203000000000003</v>
      </c>
      <c r="AD9" s="97">
        <v>36.789000000000001</v>
      </c>
    </row>
    <row r="10" spans="2:30" x14ac:dyDescent="0.35">
      <c r="B10" s="754"/>
      <c r="C10" s="209" t="s">
        <v>125</v>
      </c>
      <c r="D10" s="27">
        <v>0.5</v>
      </c>
      <c r="E10" s="27">
        <v>1.3</v>
      </c>
      <c r="F10" s="27">
        <v>1.8</v>
      </c>
      <c r="G10" s="27">
        <v>2.2000000000000002</v>
      </c>
      <c r="H10" s="27">
        <v>2.4700000000000002</v>
      </c>
      <c r="I10" s="27">
        <v>2.5499999999999998</v>
      </c>
      <c r="J10" s="27">
        <v>2.7610000000000001</v>
      </c>
      <c r="K10" s="27">
        <v>3.1789999999999998</v>
      </c>
      <c r="L10" s="27">
        <v>3.2757209999999994</v>
      </c>
      <c r="M10" s="27">
        <v>3.6</v>
      </c>
      <c r="N10" s="27">
        <v>3.6890000000000001</v>
      </c>
      <c r="O10" s="27">
        <v>3.65</v>
      </c>
      <c r="P10" s="27">
        <v>3.5019999999999998</v>
      </c>
      <c r="Q10" s="27">
        <v>2.964</v>
      </c>
      <c r="R10" s="27">
        <v>2.7559999999999998</v>
      </c>
      <c r="S10" s="27">
        <v>3.9039999999999999</v>
      </c>
      <c r="T10" s="27">
        <v>3.9649999999999999</v>
      </c>
      <c r="U10" s="27">
        <v>4.0679999999999996</v>
      </c>
      <c r="V10" s="27">
        <v>4.92</v>
      </c>
      <c r="W10" s="27">
        <v>5.0069999999999997</v>
      </c>
      <c r="X10" s="27">
        <v>5.1219999999999999</v>
      </c>
      <c r="Y10" s="27">
        <v>5.2380000000000004</v>
      </c>
      <c r="Z10" s="27">
        <v>5.4630000000000001</v>
      </c>
      <c r="AA10" s="27">
        <v>5.3529999999999998</v>
      </c>
      <c r="AB10" s="27">
        <v>5.4269999999999996</v>
      </c>
      <c r="AC10" s="27">
        <v>5.6719999999999997</v>
      </c>
      <c r="AD10" s="97">
        <v>5.601</v>
      </c>
    </row>
    <row r="11" spans="2:30" x14ac:dyDescent="0.35">
      <c r="B11" s="754"/>
      <c r="C11" s="209" t="s">
        <v>15</v>
      </c>
      <c r="D11" s="27">
        <v>20</v>
      </c>
      <c r="E11" s="27">
        <v>21.5</v>
      </c>
      <c r="F11" s="27">
        <v>27</v>
      </c>
      <c r="G11" s="27">
        <v>31.593</v>
      </c>
      <c r="H11" s="27">
        <v>30.646999999999998</v>
      </c>
      <c r="I11" s="27">
        <v>32.796999999999997</v>
      </c>
      <c r="J11" s="27">
        <v>33.726999999999997</v>
      </c>
      <c r="K11" s="27">
        <v>27.242000000000001</v>
      </c>
      <c r="L11" s="27">
        <v>25.712499999999999</v>
      </c>
      <c r="M11" s="27">
        <v>24.49</v>
      </c>
      <c r="N11" s="27">
        <v>24.463999999999999</v>
      </c>
      <c r="O11" s="27">
        <v>25.780729999999998</v>
      </c>
      <c r="P11" s="27">
        <v>25.888000000000002</v>
      </c>
      <c r="Q11" s="27">
        <v>29</v>
      </c>
      <c r="R11" s="27">
        <v>24.22</v>
      </c>
      <c r="S11" s="27">
        <v>23.161999999999999</v>
      </c>
      <c r="T11" s="27">
        <v>21.666</v>
      </c>
      <c r="U11" s="27">
        <v>19.963999999999999</v>
      </c>
      <c r="V11" s="27">
        <v>41.671999999999997</v>
      </c>
      <c r="W11" s="27">
        <v>21.571999999999999</v>
      </c>
      <c r="X11" s="27">
        <v>24.786000000000001</v>
      </c>
      <c r="Y11" s="27">
        <v>24.2</v>
      </c>
      <c r="Z11" s="27">
        <v>25.619</v>
      </c>
      <c r="AA11" s="27">
        <v>27.507000000000001</v>
      </c>
      <c r="AB11" s="27">
        <v>31.25</v>
      </c>
      <c r="AC11" s="27">
        <v>36.435941000000007</v>
      </c>
      <c r="AD11" s="97">
        <v>33.192999999999998</v>
      </c>
    </row>
    <row r="12" spans="2:30" x14ac:dyDescent="0.35">
      <c r="B12" s="754"/>
      <c r="C12" s="209" t="s">
        <v>126</v>
      </c>
      <c r="D12" s="27">
        <v>12.342000000000001</v>
      </c>
      <c r="E12" s="27">
        <v>11.266999999999999</v>
      </c>
      <c r="F12" s="27">
        <v>7.07</v>
      </c>
      <c r="G12" s="27">
        <v>7.1420000000000003</v>
      </c>
      <c r="H12" s="27">
        <v>4.3819999999999997</v>
      </c>
      <c r="I12" s="27">
        <v>3.9</v>
      </c>
      <c r="J12" s="27">
        <v>3.4</v>
      </c>
      <c r="K12" s="27">
        <v>2.5</v>
      </c>
      <c r="L12" s="27">
        <v>2</v>
      </c>
      <c r="M12" s="27">
        <v>1.8</v>
      </c>
      <c r="N12" s="27">
        <v>1.5</v>
      </c>
      <c r="O12" s="27">
        <v>1.5</v>
      </c>
      <c r="P12" s="27">
        <v>1.45</v>
      </c>
      <c r="Q12" s="27">
        <v>1.43</v>
      </c>
      <c r="R12" s="27">
        <v>1.415</v>
      </c>
      <c r="S12" s="27">
        <v>1.4</v>
      </c>
      <c r="T12" s="27">
        <v>1.425</v>
      </c>
      <c r="U12" s="27">
        <v>1.425</v>
      </c>
      <c r="V12" s="27">
        <v>1.425</v>
      </c>
      <c r="W12" s="27">
        <v>1.4259999999999999</v>
      </c>
      <c r="X12" s="27">
        <v>1.4259999999999999</v>
      </c>
      <c r="Y12" s="27">
        <v>1.425</v>
      </c>
      <c r="Z12" s="27">
        <v>1.41</v>
      </c>
      <c r="AA12" s="27">
        <v>1.385</v>
      </c>
      <c r="AB12" s="27">
        <v>1.343</v>
      </c>
      <c r="AC12" s="27">
        <v>1.3</v>
      </c>
      <c r="AD12" s="97">
        <v>1.2609999999999999</v>
      </c>
    </row>
    <row r="13" spans="2:30" x14ac:dyDescent="0.35">
      <c r="B13" s="754"/>
      <c r="C13" s="209" t="s">
        <v>16</v>
      </c>
      <c r="D13" s="27">
        <v>1197.3</v>
      </c>
      <c r="E13" s="27">
        <v>1109.2</v>
      </c>
      <c r="F13" s="27">
        <v>1222.0999999999999</v>
      </c>
      <c r="G13" s="27">
        <v>1178</v>
      </c>
      <c r="H13" s="27">
        <v>1028.4000000000001</v>
      </c>
      <c r="I13" s="27">
        <v>1216.9000000000001</v>
      </c>
      <c r="J13" s="27">
        <v>1062.0999999999999</v>
      </c>
      <c r="K13" s="27">
        <v>1143.8</v>
      </c>
      <c r="L13" s="27">
        <v>1000.6</v>
      </c>
      <c r="M13" s="27">
        <v>600.4</v>
      </c>
      <c r="N13" s="27">
        <v>531.79999999999995</v>
      </c>
      <c r="O13" s="27">
        <v>529</v>
      </c>
      <c r="P13" s="27">
        <v>442.72199999999998</v>
      </c>
      <c r="Q13" s="27">
        <v>510.24599999999998</v>
      </c>
      <c r="R13" s="27">
        <v>518.37900000000002</v>
      </c>
      <c r="S13" s="27">
        <v>476.19799999999998</v>
      </c>
      <c r="T13" s="27">
        <v>463.56299999999999</v>
      </c>
      <c r="U13" s="27">
        <v>400.64600000000002</v>
      </c>
      <c r="V13" s="27">
        <v>239.27600000000001</v>
      </c>
      <c r="W13" s="27">
        <v>226.75899999999999</v>
      </c>
      <c r="X13" s="27">
        <v>265.988</v>
      </c>
      <c r="Y13" s="27">
        <v>244.28800000000001</v>
      </c>
      <c r="Z13" s="27">
        <v>213.12299999999999</v>
      </c>
      <c r="AA13" s="27">
        <v>204.565</v>
      </c>
      <c r="AB13" s="27">
        <v>177.97300000000001</v>
      </c>
      <c r="AC13" s="27">
        <v>197.64599999999999</v>
      </c>
      <c r="AD13" s="97">
        <v>158.43100000000001</v>
      </c>
    </row>
    <row r="14" spans="2:30" x14ac:dyDescent="0.35">
      <c r="B14" s="320" t="s">
        <v>3</v>
      </c>
      <c r="C14" s="209" t="s">
        <v>22</v>
      </c>
      <c r="D14" s="27">
        <v>0.89859773526343245</v>
      </c>
      <c r="E14" s="27">
        <v>1.1492621403401075</v>
      </c>
      <c r="F14" s="27">
        <v>1.0809307799223338</v>
      </c>
      <c r="G14" s="27">
        <v>1.0851465468747905</v>
      </c>
      <c r="H14" s="27">
        <v>0.9862547578799018</v>
      </c>
      <c r="I14" s="27">
        <v>1.1135233720352009</v>
      </c>
      <c r="J14" s="27">
        <v>1.0925853952663294</v>
      </c>
      <c r="K14" s="27">
        <v>1.2602215763566282</v>
      </c>
      <c r="L14" s="27">
        <v>1.3769275550622764</v>
      </c>
      <c r="M14" s="27">
        <v>1.5519956564114965</v>
      </c>
      <c r="N14" s="27">
        <v>1.833014189792239</v>
      </c>
      <c r="O14" s="27">
        <v>1.628202297309111</v>
      </c>
      <c r="P14" s="27">
        <v>1.8811927939010831</v>
      </c>
      <c r="Q14" s="27">
        <v>2.1094059203607118</v>
      </c>
      <c r="R14" s="27">
        <v>2.1180325254409005</v>
      </c>
      <c r="S14" s="27">
        <v>2.1732160352633403</v>
      </c>
      <c r="T14" s="27">
        <v>2.1287109999999996</v>
      </c>
      <c r="U14" s="27">
        <v>1.898998</v>
      </c>
      <c r="V14" s="27">
        <v>2.2123980000000003</v>
      </c>
      <c r="W14" s="27">
        <v>1.8381039999999997</v>
      </c>
      <c r="X14" s="27">
        <v>2.4054880000000001</v>
      </c>
      <c r="Y14" s="27">
        <v>2.5066329999999999</v>
      </c>
      <c r="Z14" s="27">
        <v>2.6198840000000003</v>
      </c>
      <c r="AA14" s="27">
        <v>2.5870570000000006</v>
      </c>
      <c r="AB14" s="27">
        <v>2.6264462592288762</v>
      </c>
      <c r="AC14" s="27">
        <v>3.1025245775225589</v>
      </c>
      <c r="AD14" s="97">
        <v>3.51892073831009</v>
      </c>
    </row>
    <row r="15" spans="2:30" x14ac:dyDescent="0.35">
      <c r="B15" s="754" t="s">
        <v>4</v>
      </c>
      <c r="C15" s="209" t="s">
        <v>287</v>
      </c>
      <c r="D15" s="27">
        <v>43.697158038634235</v>
      </c>
      <c r="E15" s="27">
        <v>44.182916911810537</v>
      </c>
      <c r="F15" s="27">
        <v>44.861290888826375</v>
      </c>
      <c r="G15" s="27">
        <v>45.732320791262609</v>
      </c>
      <c r="H15" s="27">
        <v>46.796050727232775</v>
      </c>
      <c r="I15" s="27">
        <v>48.052528355980876</v>
      </c>
      <c r="J15" s="27">
        <v>49.501805173781641</v>
      </c>
      <c r="K15" s="27">
        <v>51.143936822858798</v>
      </c>
      <c r="L15" s="27">
        <v>52.978983425174071</v>
      </c>
      <c r="M15" s="27">
        <v>55.007009943089457</v>
      </c>
      <c r="N15" s="27">
        <v>57.228086569066377</v>
      </c>
      <c r="O15" s="27">
        <v>59.680550327573059</v>
      </c>
      <c r="P15" s="27">
        <v>62.188537234855957</v>
      </c>
      <c r="Q15" s="27">
        <v>64.659936373005308</v>
      </c>
      <c r="R15" s="27">
        <v>68.229527145553945</v>
      </c>
      <c r="S15" s="27">
        <v>71.487336380769165</v>
      </c>
      <c r="T15" s="27">
        <v>74.759003623822892</v>
      </c>
      <c r="U15" s="27">
        <v>78.203143745893911</v>
      </c>
      <c r="V15" s="27">
        <v>82.244028484267275</v>
      </c>
      <c r="W15" s="27">
        <v>85.779428602339195</v>
      </c>
      <c r="X15" s="27">
        <v>89.895526093303033</v>
      </c>
      <c r="Y15" s="27">
        <v>93.831498502305493</v>
      </c>
      <c r="Z15" s="27">
        <v>98.755227252518949</v>
      </c>
      <c r="AA15" s="27">
        <v>103.81259321916558</v>
      </c>
      <c r="AB15" s="27">
        <v>107.66432722499999</v>
      </c>
      <c r="AC15" s="27">
        <v>111.94637804999999</v>
      </c>
      <c r="AD15" s="97">
        <v>122.3022996</v>
      </c>
    </row>
    <row r="16" spans="2:30" x14ac:dyDescent="0.35">
      <c r="B16" s="754"/>
      <c r="C16" s="209" t="s">
        <v>290</v>
      </c>
      <c r="D16" s="27">
        <v>6.6288539137297571</v>
      </c>
      <c r="E16" s="27">
        <v>6.7067098905435474</v>
      </c>
      <c r="F16" s="27">
        <v>6.813910072269878</v>
      </c>
      <c r="G16" s="27">
        <v>6.9504919275548289</v>
      </c>
      <c r="H16" s="27">
        <v>7.1164959416334312</v>
      </c>
      <c r="I16" s="27">
        <v>7.3119658591943129</v>
      </c>
      <c r="J16" s="27">
        <v>7.5369489467972732</v>
      </c>
      <c r="K16" s="27">
        <v>7.791496276418032</v>
      </c>
      <c r="L16" s="27">
        <v>8.0756630318210814</v>
      </c>
      <c r="M16" s="27">
        <v>8.3895088395984878</v>
      </c>
      <c r="N16" s="27">
        <v>8.733098126860579</v>
      </c>
      <c r="O16" s="27">
        <v>9.1122521530140705</v>
      </c>
      <c r="P16" s="27">
        <v>9.5005969112830506</v>
      </c>
      <c r="Q16" s="27">
        <v>9.8843537113898101</v>
      </c>
      <c r="R16" s="27">
        <v>10.434182689551639</v>
      </c>
      <c r="S16" s="27">
        <v>10.938207749836051</v>
      </c>
      <c r="T16" s="27">
        <v>11.44546667593089</v>
      </c>
      <c r="U16" s="27">
        <v>11.974829041713974</v>
      </c>
      <c r="V16" s="27">
        <v>12.594450847018749</v>
      </c>
      <c r="W16" s="27">
        <v>13.134374966236004</v>
      </c>
      <c r="X16" s="27">
        <v>13.763252781158704</v>
      </c>
      <c r="Y16" s="27">
        <v>14.368372852479499</v>
      </c>
      <c r="Z16" s="27">
        <v>15.127869123612927</v>
      </c>
      <c r="AA16" s="27">
        <v>15.909439845916811</v>
      </c>
      <c r="AB16" s="27">
        <v>16.803875250000001</v>
      </c>
      <c r="AC16" s="27">
        <v>17.369822249999999</v>
      </c>
      <c r="AD16" s="97">
        <v>18.357131249999998</v>
      </c>
    </row>
    <row r="17" spans="2:30" x14ac:dyDescent="0.35">
      <c r="B17" s="754"/>
      <c r="C17" s="209" t="s">
        <v>291</v>
      </c>
      <c r="D17" s="27">
        <v>5.7498566465640562E-2</v>
      </c>
      <c r="E17" s="27">
        <v>5.8130592939954775E-2</v>
      </c>
      <c r="F17" s="27">
        <v>5.9015856656368965E-2</v>
      </c>
      <c r="G17" s="27">
        <v>6.0154357614883136E-2</v>
      </c>
      <c r="H17" s="27">
        <v>6.154609581549729E-2</v>
      </c>
      <c r="I17" s="27">
        <v>6.3191071258211398E-2</v>
      </c>
      <c r="J17" s="27">
        <v>6.5089283943025503E-2</v>
      </c>
      <c r="K17" s="27">
        <v>6.7240733869939562E-2</v>
      </c>
      <c r="L17" s="27">
        <v>6.9645421038953603E-2</v>
      </c>
      <c r="M17" s="27">
        <v>7.2303345450067641E-2</v>
      </c>
      <c r="N17" s="27">
        <v>7.5214507103281647E-2</v>
      </c>
      <c r="O17" s="27">
        <v>7.8429341965147087E-2</v>
      </c>
      <c r="P17" s="27">
        <v>8.1715917747499159E-2</v>
      </c>
      <c r="Q17" s="27">
        <v>8.4952696927088345E-2</v>
      </c>
      <c r="R17" s="27">
        <v>8.9635421905422785E-2</v>
      </c>
      <c r="S17" s="27">
        <v>9.3905326899123925E-2</v>
      </c>
      <c r="T17" s="27">
        <v>9.8191523373975936E-2</v>
      </c>
      <c r="U17" s="27">
        <v>0.10271164092723889</v>
      </c>
      <c r="V17" s="27">
        <v>0.10801743821298329</v>
      </c>
      <c r="W17" s="27">
        <v>0.11266327681890076</v>
      </c>
      <c r="X17" s="27">
        <v>0.11807174117453909</v>
      </c>
      <c r="Y17" s="27">
        <v>0.12323706285866222</v>
      </c>
      <c r="Z17" s="27">
        <v>0.12969432973668973</v>
      </c>
      <c r="AA17" s="27">
        <v>0.1363243477922034</v>
      </c>
      <c r="AB17" s="27">
        <v>0.14753259000000002</v>
      </c>
      <c r="AC17" s="27">
        <v>0.14956285500000002</v>
      </c>
      <c r="AD17" s="97">
        <v>0.15091636500000002</v>
      </c>
    </row>
    <row r="18" spans="2:30" x14ac:dyDescent="0.35">
      <c r="B18" s="754"/>
      <c r="C18" s="209" t="s">
        <v>294</v>
      </c>
      <c r="D18" s="27">
        <v>8.7707410458286592</v>
      </c>
      <c r="E18" s="27">
        <v>8.8765983165887334</v>
      </c>
      <c r="F18" s="27">
        <v>9.0213663856461626</v>
      </c>
      <c r="G18" s="27">
        <v>9.2051161834403992</v>
      </c>
      <c r="H18" s="27">
        <v>9.4279243509983406</v>
      </c>
      <c r="I18" s="27">
        <v>9.6898736996919581</v>
      </c>
      <c r="J18" s="27">
        <v>9.9910537080108348</v>
      </c>
      <c r="K18" s="27">
        <v>10.331561058329711</v>
      </c>
      <c r="L18" s="27">
        <v>10.71150021689103</v>
      </c>
      <c r="M18" s="27">
        <v>11.130984060481691</v>
      </c>
      <c r="N18" s="27">
        <v>11.590134553563329</v>
      </c>
      <c r="O18" s="27">
        <v>12.096657676898529</v>
      </c>
      <c r="P18" s="27">
        <v>12.615865504494186</v>
      </c>
      <c r="Q18" s="27">
        <v>13.129660055066266</v>
      </c>
      <c r="R18" s="27">
        <v>13.862829967975632</v>
      </c>
      <c r="S18" s="27">
        <v>14.536415616199076</v>
      </c>
      <c r="T18" s="27">
        <v>15.215052698347181</v>
      </c>
      <c r="U18" s="27">
        <v>15.920162583344812</v>
      </c>
      <c r="V18" s="27">
        <v>16.744514086963797</v>
      </c>
      <c r="W18" s="27">
        <v>17.461357205873458</v>
      </c>
      <c r="X18" s="27">
        <v>18.296484909212392</v>
      </c>
      <c r="Y18" s="27">
        <v>19.102614038675238</v>
      </c>
      <c r="Z18" s="27">
        <v>20.11609631726181</v>
      </c>
      <c r="AA18" s="27">
        <v>21.160015840718327</v>
      </c>
      <c r="AB18" s="27">
        <v>22.201158979999995</v>
      </c>
      <c r="AC18" s="27">
        <v>23.847382020000001</v>
      </c>
      <c r="AD18" s="97">
        <v>23.922935959999997</v>
      </c>
    </row>
    <row r="19" spans="2:30" x14ac:dyDescent="0.35">
      <c r="B19" s="754"/>
      <c r="C19" s="209" t="s">
        <v>295</v>
      </c>
      <c r="D19" s="27">
        <v>2.6929779892614416</v>
      </c>
      <c r="E19" s="27">
        <v>2.7228385155671258</v>
      </c>
      <c r="F19" s="27">
        <v>2.7645672983798995</v>
      </c>
      <c r="G19" s="27">
        <v>2.818166283495636</v>
      </c>
      <c r="H19" s="27">
        <v>2.8836375733656312</v>
      </c>
      <c r="I19" s="27">
        <v>2.960983439708869</v>
      </c>
      <c r="J19" s="27">
        <v>3.0502063371397226</v>
      </c>
      <c r="K19" s="27">
        <v>3.1513089178927944</v>
      </c>
      <c r="L19" s="27">
        <v>3.2642940477332711</v>
      </c>
      <c r="M19" s="27">
        <v>3.3891648231481883</v>
      </c>
      <c r="N19" s="27">
        <v>3.5259245899217873</v>
      </c>
      <c r="O19" s="27">
        <v>3.6769358896547777</v>
      </c>
      <c r="P19" s="27">
        <v>3.8313549885424467</v>
      </c>
      <c r="Q19" s="27">
        <v>3.9835017098607617</v>
      </c>
      <c r="R19" s="27">
        <v>4.2033375625389553</v>
      </c>
      <c r="S19" s="27">
        <v>4.4039316610198851</v>
      </c>
      <c r="T19" s="27">
        <v>4.6053591817299013</v>
      </c>
      <c r="U19" s="27">
        <v>4.8174898992939612</v>
      </c>
      <c r="V19" s="27">
        <v>5.066401783640643</v>
      </c>
      <c r="W19" s="27">
        <v>5.2842165092836337</v>
      </c>
      <c r="X19" s="27">
        <v>5.5378028710132225</v>
      </c>
      <c r="Y19" s="27">
        <v>5.7802234370357084</v>
      </c>
      <c r="Z19" s="27">
        <v>6.0834350459291722</v>
      </c>
      <c r="AA19" s="27">
        <v>6.3948496446635348</v>
      </c>
      <c r="AB19" s="27">
        <v>7.1813216249999998</v>
      </c>
      <c r="AC19" s="27">
        <v>7.0192871999999991</v>
      </c>
      <c r="AD19" s="97">
        <v>6.8021390249999998</v>
      </c>
    </row>
    <row r="20" spans="2:30" x14ac:dyDescent="0.35">
      <c r="B20" s="754"/>
      <c r="C20" s="209" t="s">
        <v>296</v>
      </c>
      <c r="D20" s="27">
        <v>16.586257101782831</v>
      </c>
      <c r="E20" s="27">
        <v>16.789374755108845</v>
      </c>
      <c r="F20" s="27">
        <v>17.066163840661861</v>
      </c>
      <c r="G20" s="27">
        <v>17.416780504444752</v>
      </c>
      <c r="H20" s="27">
        <v>17.84139346372616</v>
      </c>
      <c r="I20" s="27">
        <v>18.340185019149178</v>
      </c>
      <c r="J20" s="27">
        <v>18.913352148324545</v>
      </c>
      <c r="K20" s="27">
        <v>19.561107687468738</v>
      </c>
      <c r="L20" s="27">
        <v>20.283681608175343</v>
      </c>
      <c r="M20" s="27">
        <v>21.081322396978891</v>
      </c>
      <c r="N20" s="27">
        <v>21.954298545986966</v>
      </c>
      <c r="O20" s="27">
        <v>22.917186651924631</v>
      </c>
      <c r="P20" s="27">
        <v>23.904603055717857</v>
      </c>
      <c r="Q20" s="27">
        <v>24.882459748735247</v>
      </c>
      <c r="R20" s="27">
        <v>26.274806590912441</v>
      </c>
      <c r="S20" s="27">
        <v>27.555525149588529</v>
      </c>
      <c r="T20" s="27">
        <v>28.846592780018455</v>
      </c>
      <c r="U20" s="27">
        <v>30.184865191523034</v>
      </c>
      <c r="V20" s="27">
        <v>31.748446533861443</v>
      </c>
      <c r="W20" s="27">
        <v>33.10659760116728</v>
      </c>
      <c r="X20" s="27">
        <v>34.689042017889683</v>
      </c>
      <c r="Y20" s="27">
        <v>36.219157922713094</v>
      </c>
      <c r="Z20" s="27">
        <v>38.144587738483224</v>
      </c>
      <c r="AA20" s="27">
        <v>40.128845040180231</v>
      </c>
      <c r="AB20" s="27">
        <v>43.192645874999997</v>
      </c>
      <c r="AC20" s="27">
        <v>43.273142999999997</v>
      </c>
      <c r="AD20" s="97">
        <v>46.347869250000002</v>
      </c>
    </row>
    <row r="21" spans="2:30" x14ac:dyDescent="0.35">
      <c r="B21" s="754"/>
      <c r="C21" s="209" t="s">
        <v>297</v>
      </c>
      <c r="D21" s="27">
        <v>5.5446685830181979E-3</v>
      </c>
      <c r="E21" s="27">
        <v>5.6669204705927408E-3</v>
      </c>
      <c r="F21" s="27">
        <v>5.8154245103808266E-3</v>
      </c>
      <c r="G21" s="27">
        <v>5.9906408984857634E-3</v>
      </c>
      <c r="H21" s="27">
        <v>6.193066881254961E-3</v>
      </c>
      <c r="I21" s="27">
        <v>6.4232397381834673E-3</v>
      </c>
      <c r="J21" s="27">
        <v>6.6817400049701582E-3</v>
      </c>
      <c r="K21" s="27">
        <v>6.9691949560611354E-3</v>
      </c>
      <c r="L21" s="27">
        <v>7.2862823675716492E-3</v>
      </c>
      <c r="M21" s="27">
        <v>7.6337345831596322E-3</v>
      </c>
      <c r="N21" s="27">
        <v>8.0123429072414803E-3</v>
      </c>
      <c r="O21" s="27">
        <v>8.4270524255630249E-3</v>
      </c>
      <c r="P21" s="27">
        <v>8.8599785808368761E-3</v>
      </c>
      <c r="Q21" s="27">
        <v>9.3022635900575721E-3</v>
      </c>
      <c r="R21" s="27">
        <v>9.8762823571029775E-3</v>
      </c>
      <c r="S21" s="27">
        <v>1.0432464846969386E-2</v>
      </c>
      <c r="T21" s="27">
        <v>1.1006868850301383E-2</v>
      </c>
      <c r="U21" s="27">
        <v>1.1544081299717499E-2</v>
      </c>
      <c r="V21" s="27">
        <v>1.2153134453800493E-2</v>
      </c>
      <c r="W21" s="27">
        <v>1.265417337624611E-2</v>
      </c>
      <c r="X21" s="27">
        <v>1.3241436435680543E-2</v>
      </c>
      <c r="Y21" s="27">
        <v>1.3857740932433856E-2</v>
      </c>
      <c r="Z21" s="27">
        <v>1.4665338151003208E-2</v>
      </c>
      <c r="AA21" s="27">
        <v>1.5516104279745379E-2</v>
      </c>
      <c r="AB21" s="27">
        <v>1.6430107500000003E-2</v>
      </c>
      <c r="AC21" s="27">
        <v>1.8159592500000002E-2</v>
      </c>
      <c r="AD21" s="97">
        <v>1.9024335000000003E-2</v>
      </c>
    </row>
    <row r="22" spans="2:30" x14ac:dyDescent="0.35">
      <c r="B22" s="754"/>
      <c r="C22" s="209" t="s">
        <v>298</v>
      </c>
      <c r="D22" s="27">
        <v>58.652805510686321</v>
      </c>
      <c r="E22" s="27">
        <v>59.345848357548299</v>
      </c>
      <c r="F22" s="27">
        <v>60.298656324625199</v>
      </c>
      <c r="G22" s="27">
        <v>61.511592202946431</v>
      </c>
      <c r="H22" s="27">
        <v>62.985047991733452</v>
      </c>
      <c r="I22" s="27">
        <v>64.719447249942334</v>
      </c>
      <c r="J22" s="27">
        <v>66.715247637127916</v>
      </c>
      <c r="K22" s="27">
        <v>68.972943658872438</v>
      </c>
      <c r="L22" s="27">
        <v>71.493069633247671</v>
      </c>
      <c r="M22" s="27">
        <v>74.276202896105886</v>
      </c>
      <c r="N22" s="27">
        <v>77.322967264428016</v>
      </c>
      <c r="O22" s="27">
        <v>80.684875396605165</v>
      </c>
      <c r="P22" s="27">
        <v>84.128871698460841</v>
      </c>
      <c r="Q22" s="27">
        <v>87.533235304379986</v>
      </c>
      <c r="R22" s="27">
        <v>92.406500056366042</v>
      </c>
      <c r="S22" s="27">
        <v>96.875979618144697</v>
      </c>
      <c r="T22" s="27">
        <v>101.37520395844751</v>
      </c>
      <c r="U22" s="27">
        <v>106.06594271176354</v>
      </c>
      <c r="V22" s="27">
        <v>111.5550400476063</v>
      </c>
      <c r="W22" s="27">
        <v>116.33594915581504</v>
      </c>
      <c r="X22" s="27">
        <v>121.90479169025122</v>
      </c>
      <c r="Y22" s="27">
        <v>127.26698907121541</v>
      </c>
      <c r="Z22" s="27">
        <v>133.99965551115147</v>
      </c>
      <c r="AA22" s="27">
        <v>140.92944008106983</v>
      </c>
      <c r="AB22" s="27">
        <v>149.8227</v>
      </c>
      <c r="AC22" s="27">
        <v>153.43350000000001</v>
      </c>
      <c r="AD22" s="97">
        <v>162.2004</v>
      </c>
    </row>
    <row r="23" spans="2:30" x14ac:dyDescent="0.35">
      <c r="B23" s="754"/>
      <c r="C23" s="210" t="s">
        <v>299</v>
      </c>
      <c r="D23" s="27">
        <v>15.866571647807991</v>
      </c>
      <c r="E23" s="27">
        <v>16.044878767147427</v>
      </c>
      <c r="F23" s="27">
        <v>16.29318259658989</v>
      </c>
      <c r="G23" s="27">
        <v>16.611512420901601</v>
      </c>
      <c r="H23" s="27">
        <v>16.999899882556132</v>
      </c>
      <c r="I23" s="27">
        <v>17.458379171552696</v>
      </c>
      <c r="J23" s="27">
        <v>17.986987230516625</v>
      </c>
      <c r="K23" s="27">
        <v>18.585763976312432</v>
      </c>
      <c r="L23" s="27">
        <v>19.254752539498902</v>
      </c>
      <c r="M23" s="27">
        <v>19.993999523062598</v>
      </c>
      <c r="N23" s="27">
        <v>20.803555281981918</v>
      </c>
      <c r="O23" s="27">
        <v>21.697342667450641</v>
      </c>
      <c r="P23" s="27">
        <v>22.61164575140813</v>
      </c>
      <c r="Q23" s="27">
        <v>23.513108728449737</v>
      </c>
      <c r="R23" s="27">
        <v>24.813086434254519</v>
      </c>
      <c r="S23" s="27">
        <v>26.000545829630077</v>
      </c>
      <c r="T23" s="27">
        <v>27.193560376043067</v>
      </c>
      <c r="U23" s="27">
        <v>28.447322656871883</v>
      </c>
      <c r="V23" s="27">
        <v>29.917641429928118</v>
      </c>
      <c r="W23" s="27">
        <v>31.203022691864074</v>
      </c>
      <c r="X23" s="27">
        <v>32.699655527985648</v>
      </c>
      <c r="Y23" s="27">
        <v>34.132533908263433</v>
      </c>
      <c r="Z23" s="27">
        <v>35.926166049301514</v>
      </c>
      <c r="AA23" s="27">
        <v>37.769155395467628</v>
      </c>
      <c r="AB23" s="27">
        <v>49.913699999999999</v>
      </c>
      <c r="AC23" s="27">
        <v>39.881999999999998</v>
      </c>
      <c r="AD23" s="97">
        <v>33.731400000000001</v>
      </c>
    </row>
    <row r="24" spans="2:30" x14ac:dyDescent="0.35">
      <c r="B24" s="754"/>
      <c r="C24" s="210" t="s">
        <v>300</v>
      </c>
      <c r="D24" s="27">
        <v>12.734094015553838</v>
      </c>
      <c r="E24" s="27">
        <v>12.891616758166881</v>
      </c>
      <c r="F24" s="27">
        <v>13.105747917215766</v>
      </c>
      <c r="G24" s="27">
        <v>13.376619228516494</v>
      </c>
      <c r="H24" s="27">
        <v>13.704373033894344</v>
      </c>
      <c r="I24" s="27">
        <v>14.089163135070351</v>
      </c>
      <c r="J24" s="27">
        <v>14.531155716293929</v>
      </c>
      <c r="K24" s="27">
        <v>15.030530341256343</v>
      </c>
      <c r="L24" s="27">
        <v>15.587481030265391</v>
      </c>
      <c r="M24" s="27">
        <v>16.202217424143058</v>
      </c>
      <c r="N24" s="27">
        <v>16.874966041828245</v>
      </c>
      <c r="O24" s="27">
        <v>17.616920159956592</v>
      </c>
      <c r="P24" s="27">
        <v>18.377996925268686</v>
      </c>
      <c r="Q24" s="27">
        <v>19.13209901152565</v>
      </c>
      <c r="R24" s="27">
        <v>20.204227412064352</v>
      </c>
      <c r="S24" s="27">
        <v>21.191219248981387</v>
      </c>
      <c r="T24" s="27">
        <v>22.186585503864524</v>
      </c>
      <c r="U24" s="27">
        <v>23.216654068840771</v>
      </c>
      <c r="V24" s="27">
        <v>24.419602428641571</v>
      </c>
      <c r="W24" s="27">
        <v>25.463688683149524</v>
      </c>
      <c r="X24" s="27">
        <v>26.68030280935697</v>
      </c>
      <c r="Y24" s="27">
        <v>27.858093840908627</v>
      </c>
      <c r="Z24" s="27">
        <v>29.341105442063949</v>
      </c>
      <c r="AA24" s="27">
        <v>30.869964739477986</v>
      </c>
      <c r="AB24" s="27">
        <v>31.33565119999999</v>
      </c>
      <c r="AC24" s="27">
        <v>34.206862799999989</v>
      </c>
      <c r="AD24" s="97">
        <v>36.812051600000004</v>
      </c>
    </row>
    <row r="25" spans="2:30" x14ac:dyDescent="0.35">
      <c r="B25" s="321"/>
      <c r="C25" s="210" t="s">
        <v>307</v>
      </c>
      <c r="D25" s="27">
        <v>71.386899526240157</v>
      </c>
      <c r="E25" s="27">
        <v>72.237465115715182</v>
      </c>
      <c r="F25" s="27">
        <v>73.404404241840965</v>
      </c>
      <c r="G25" s="27">
        <v>74.888211431462921</v>
      </c>
      <c r="H25" s="27">
        <v>76.689421025627794</v>
      </c>
      <c r="I25" s="27">
        <v>78.808610385012685</v>
      </c>
      <c r="J25" s="27">
        <v>81.24640335342184</v>
      </c>
      <c r="K25" s="27">
        <v>84.003474000128776</v>
      </c>
      <c r="L25" s="27">
        <v>87.080550663513066</v>
      </c>
      <c r="M25" s="27">
        <v>90.478420320248944</v>
      </c>
      <c r="N25" s="27">
        <v>94.19793330625626</v>
      </c>
      <c r="O25" s="27">
        <v>98.301795556561757</v>
      </c>
      <c r="P25" s="27">
        <v>102.50686862372953</v>
      </c>
      <c r="Q25" s="27">
        <v>106.66533431590564</v>
      </c>
      <c r="R25" s="27">
        <v>112.6107274684304</v>
      </c>
      <c r="S25" s="27">
        <v>118.06719886712608</v>
      </c>
      <c r="T25" s="27">
        <v>123.56178946231203</v>
      </c>
      <c r="U25" s="27">
        <v>129.28259678060431</v>
      </c>
      <c r="V25" s="27">
        <v>135.97464247624788</v>
      </c>
      <c r="W25" s="27">
        <v>141.79963783896457</v>
      </c>
      <c r="X25" s="27">
        <v>148.58509449960818</v>
      </c>
      <c r="Y25" s="27">
        <v>155.12508291212404</v>
      </c>
      <c r="Z25" s="27">
        <v>163.34076095321541</v>
      </c>
      <c r="AA25" s="27">
        <v>171.79940482054781</v>
      </c>
      <c r="AB25" s="27">
        <v>181.1583512</v>
      </c>
      <c r="AC25" s="27">
        <v>187.64036279999999</v>
      </c>
      <c r="AD25" s="97">
        <v>199.01245160000002</v>
      </c>
    </row>
    <row r="26" spans="2:30" x14ac:dyDescent="0.35">
      <c r="B26" s="757" t="s">
        <v>6</v>
      </c>
      <c r="C26" s="210" t="s">
        <v>62</v>
      </c>
      <c r="D26" s="27" t="s">
        <v>306</v>
      </c>
      <c r="E26" s="27" t="s">
        <v>306</v>
      </c>
      <c r="F26" s="27" t="s">
        <v>306</v>
      </c>
      <c r="G26" s="27" t="s">
        <v>306</v>
      </c>
      <c r="H26" s="27" t="s">
        <v>306</v>
      </c>
      <c r="I26" s="27" t="s">
        <v>306</v>
      </c>
      <c r="J26" s="27" t="s">
        <v>306</v>
      </c>
      <c r="K26" s="27" t="s">
        <v>306</v>
      </c>
      <c r="L26" s="27" t="s">
        <v>306</v>
      </c>
      <c r="M26" s="27" t="s">
        <v>306</v>
      </c>
      <c r="N26" s="27">
        <v>4.3010000000000002</v>
      </c>
      <c r="O26" s="27">
        <v>4.54725</v>
      </c>
      <c r="P26" s="27">
        <v>4.6079249999999998</v>
      </c>
      <c r="Q26" s="27">
        <v>4.4491999999999994</v>
      </c>
      <c r="R26" s="27">
        <v>3.9885600000000001</v>
      </c>
      <c r="S26" s="27">
        <v>4.2086699999999997</v>
      </c>
      <c r="T26" s="27">
        <v>4.3550000000000004</v>
      </c>
      <c r="U26" s="27">
        <v>4.8453599999999994</v>
      </c>
      <c r="V26" s="27">
        <v>4.3711199999999995</v>
      </c>
      <c r="W26" s="27">
        <v>3.7459199999999999</v>
      </c>
      <c r="X26" s="27">
        <v>3.5369999999999999</v>
      </c>
      <c r="Y26" s="27">
        <v>3.5750000000000002</v>
      </c>
      <c r="Z26" s="27">
        <v>3.6739999999999999</v>
      </c>
      <c r="AA26" s="27">
        <v>3.5249999999999999</v>
      </c>
      <c r="AB26" s="27">
        <v>3.641</v>
      </c>
      <c r="AC26" s="27">
        <v>3.2530000000000001</v>
      </c>
      <c r="AD26" s="97">
        <v>4.048</v>
      </c>
    </row>
    <row r="27" spans="2:30" x14ac:dyDescent="0.35">
      <c r="B27" s="758"/>
      <c r="C27" s="210" t="s">
        <v>136</v>
      </c>
      <c r="D27" s="27">
        <v>1.866055434782611</v>
      </c>
      <c r="E27" s="27">
        <v>1.9371054347826067</v>
      </c>
      <c r="F27" s="27">
        <v>2.138686956521735</v>
      </c>
      <c r="G27" s="27">
        <v>2.2792739130434785</v>
      </c>
      <c r="H27" s="27">
        <v>2.5089728260869597</v>
      </c>
      <c r="I27" s="27">
        <v>2.6465021739130461</v>
      </c>
      <c r="J27" s="27">
        <v>2.7545902173913053</v>
      </c>
      <c r="K27" s="27">
        <v>2.7635423913043486</v>
      </c>
      <c r="L27" s="27">
        <v>2.7925739130434812</v>
      </c>
      <c r="M27" s="27">
        <v>2.821195652173905</v>
      </c>
      <c r="N27" s="27">
        <v>2.9</v>
      </c>
      <c r="O27" s="27">
        <v>2.7070000000000003</v>
      </c>
      <c r="P27" s="27">
        <v>2.4790000000000001</v>
      </c>
      <c r="Q27" s="27">
        <v>2.9579999999999997</v>
      </c>
      <c r="R27" s="27">
        <v>2.339</v>
      </c>
      <c r="S27" s="27">
        <v>3.1749999999999998</v>
      </c>
      <c r="T27" s="27">
        <v>2.2309999999999999</v>
      </c>
      <c r="U27" s="27">
        <v>2.4769999999999999</v>
      </c>
      <c r="V27" s="27">
        <v>2.5390000000000001</v>
      </c>
      <c r="W27" s="27">
        <v>2.7959999999999998</v>
      </c>
      <c r="X27" s="27">
        <v>2.96</v>
      </c>
      <c r="Y27" s="27">
        <v>3.0139999999999998</v>
      </c>
      <c r="Z27" s="27">
        <v>3.105</v>
      </c>
      <c r="AA27" s="27">
        <v>3.17</v>
      </c>
      <c r="AB27" s="27">
        <v>3.26</v>
      </c>
      <c r="AC27" s="27">
        <v>3.395</v>
      </c>
      <c r="AD27" s="97">
        <v>3.8439999999999999</v>
      </c>
    </row>
    <row r="28" spans="2:30" x14ac:dyDescent="0.35">
      <c r="B28" s="756"/>
      <c r="C28" s="210" t="s">
        <v>41</v>
      </c>
      <c r="D28" s="27">
        <v>0.79587042253521212</v>
      </c>
      <c r="E28" s="27">
        <v>0.84003468169014373</v>
      </c>
      <c r="F28" s="27">
        <v>0.90452795492958105</v>
      </c>
      <c r="G28" s="27">
        <v>0.9859760450704198</v>
      </c>
      <c r="H28" s="27">
        <v>1.0395251830985943</v>
      </c>
      <c r="I28" s="27">
        <v>1.0675435943662015</v>
      </c>
      <c r="J28" s="27">
        <v>1.1131057352112694</v>
      </c>
      <c r="K28" s="27">
        <v>1.1878976450704213</v>
      </c>
      <c r="L28" s="27">
        <v>1.2462943098591641</v>
      </c>
      <c r="M28" s="27">
        <v>1.3255774647887302</v>
      </c>
      <c r="N28" s="27">
        <v>1.488</v>
      </c>
      <c r="O28" s="27">
        <v>1.1910000000000001</v>
      </c>
      <c r="P28" s="27">
        <v>1.0740589999999999</v>
      </c>
      <c r="Q28" s="27">
        <v>1.1288689999999999</v>
      </c>
      <c r="R28" s="27">
        <v>1.1488399999999999</v>
      </c>
      <c r="S28" s="27">
        <v>1.16557</v>
      </c>
      <c r="T28" s="27">
        <v>1.1850000000000001</v>
      </c>
      <c r="U28" s="27">
        <v>1.0624529999999999</v>
      </c>
      <c r="V28" s="27">
        <v>1.07037</v>
      </c>
      <c r="W28" s="27">
        <v>1.075949</v>
      </c>
      <c r="X28" s="27">
        <v>1.1241649999999999</v>
      </c>
      <c r="Y28" s="27">
        <v>1.1272170000000001</v>
      </c>
      <c r="Z28" s="27">
        <v>1.137</v>
      </c>
      <c r="AA28" s="27">
        <v>1.1419999999999999</v>
      </c>
      <c r="AB28" s="27">
        <v>1.21</v>
      </c>
      <c r="AC28" s="27">
        <v>1.2184999999999999</v>
      </c>
      <c r="AD28" s="97">
        <v>1.2350000000000001</v>
      </c>
    </row>
    <row r="29" spans="2:30" x14ac:dyDescent="0.35">
      <c r="B29" s="759" t="s">
        <v>42</v>
      </c>
      <c r="C29" s="210" t="s">
        <v>43</v>
      </c>
      <c r="D29" s="27">
        <v>1.5</v>
      </c>
      <c r="E29" s="27">
        <v>2.1</v>
      </c>
      <c r="F29" s="27">
        <v>2.5</v>
      </c>
      <c r="G29" s="27">
        <v>3.2639999999999998</v>
      </c>
      <c r="H29" s="27">
        <v>3.2810000000000001</v>
      </c>
      <c r="I29" s="27">
        <v>3.15</v>
      </c>
      <c r="J29" s="27">
        <v>3.3559999999999999</v>
      </c>
      <c r="K29" s="27">
        <v>3.65</v>
      </c>
      <c r="L29" s="27">
        <v>4</v>
      </c>
      <c r="M29" s="27">
        <v>4.5</v>
      </c>
      <c r="N29" s="27">
        <v>4.1500000000000004</v>
      </c>
      <c r="O29" s="27">
        <v>4.45</v>
      </c>
      <c r="P29" s="27">
        <v>4.5590000000000002</v>
      </c>
      <c r="Q29" s="27">
        <v>5.7489999999999997</v>
      </c>
      <c r="R29" s="27">
        <v>6.3719999999999999</v>
      </c>
      <c r="S29" s="27">
        <v>6.9850000000000003</v>
      </c>
      <c r="T29" s="27">
        <v>11.436</v>
      </c>
      <c r="U29" s="27">
        <v>10.927</v>
      </c>
      <c r="V29" s="27">
        <v>10.093999999999999</v>
      </c>
      <c r="W29" s="27">
        <v>10.574999999999999</v>
      </c>
      <c r="X29" s="27">
        <v>10.925000000000001</v>
      </c>
      <c r="Y29" s="27">
        <v>11.26</v>
      </c>
      <c r="Z29" s="27">
        <v>11.917999999999999</v>
      </c>
      <c r="AA29" s="27">
        <v>13.285</v>
      </c>
      <c r="AB29" s="27">
        <v>14.028</v>
      </c>
      <c r="AC29" s="27">
        <v>15.099</v>
      </c>
      <c r="AD29" s="97">
        <v>16.082999999999998</v>
      </c>
    </row>
    <row r="30" spans="2:30" x14ac:dyDescent="0.35">
      <c r="B30" s="759"/>
      <c r="C30" s="210" t="s">
        <v>44</v>
      </c>
      <c r="D30" s="27">
        <v>1.75</v>
      </c>
      <c r="E30" s="27">
        <v>1.4</v>
      </c>
      <c r="F30" s="27">
        <v>1.2</v>
      </c>
      <c r="G30" s="27">
        <v>1</v>
      </c>
      <c r="H30" s="27">
        <v>1</v>
      </c>
      <c r="I30" s="27">
        <v>0.8</v>
      </c>
      <c r="J30" s="27">
        <v>0.5</v>
      </c>
      <c r="K30" s="27">
        <v>0.3</v>
      </c>
      <c r="L30" s="27">
        <v>0.3</v>
      </c>
      <c r="M30" s="27">
        <v>0.3</v>
      </c>
      <c r="N30" s="27">
        <v>0.3</v>
      </c>
      <c r="O30" s="27">
        <v>0.33</v>
      </c>
      <c r="P30" s="27">
        <v>0.34</v>
      </c>
      <c r="Q30" s="27">
        <v>0.35</v>
      </c>
      <c r="R30" s="27">
        <v>0.36</v>
      </c>
      <c r="S30" s="27">
        <v>0.38</v>
      </c>
      <c r="T30" s="27">
        <v>0.39300000000000002</v>
      </c>
      <c r="U30" s="27">
        <v>0.40699999999999997</v>
      </c>
      <c r="V30" s="27">
        <v>0.42199999999999999</v>
      </c>
      <c r="W30" s="27">
        <v>0.43719999999999998</v>
      </c>
      <c r="X30" s="27">
        <v>0.45300000000000001</v>
      </c>
      <c r="Y30" s="27">
        <v>0.46899999999999997</v>
      </c>
      <c r="Z30" s="27">
        <v>0.47399999999999998</v>
      </c>
      <c r="AA30" s="27">
        <v>0.48299999999999998</v>
      </c>
      <c r="AB30" s="27">
        <v>0.497</v>
      </c>
      <c r="AC30" s="27">
        <v>0.45</v>
      </c>
      <c r="AD30" s="97">
        <v>0.42</v>
      </c>
    </row>
    <row r="31" spans="2:30" x14ac:dyDescent="0.35">
      <c r="B31" s="754" t="s">
        <v>45</v>
      </c>
      <c r="C31" s="210" t="s">
        <v>14</v>
      </c>
      <c r="D31" s="27">
        <v>15.472</v>
      </c>
      <c r="E31" s="27">
        <v>14.082000000000001</v>
      </c>
      <c r="F31" s="27">
        <v>12.295999999999999</v>
      </c>
      <c r="G31" s="27">
        <v>11.699</v>
      </c>
      <c r="H31" s="27">
        <v>10.792999999999999</v>
      </c>
      <c r="I31" s="27">
        <v>10.59</v>
      </c>
      <c r="J31" s="27">
        <v>10.504</v>
      </c>
      <c r="K31" s="27">
        <v>9.5329999999999995</v>
      </c>
      <c r="L31" s="27">
        <v>9.4715900000000008</v>
      </c>
      <c r="M31" s="27">
        <v>9.1</v>
      </c>
      <c r="N31" s="27">
        <v>9.6</v>
      </c>
      <c r="O31" s="27">
        <v>9.48</v>
      </c>
      <c r="P31" s="27">
        <v>8.4090000000000007</v>
      </c>
      <c r="Q31" s="27">
        <v>8.2650000000000006</v>
      </c>
      <c r="R31" s="27">
        <v>8.7260000000000009</v>
      </c>
      <c r="S31" s="27">
        <v>9.7650000000000006</v>
      </c>
      <c r="T31" s="27">
        <v>3.923</v>
      </c>
      <c r="U31" s="27">
        <v>1.238</v>
      </c>
      <c r="V31" s="27">
        <v>1.772</v>
      </c>
      <c r="W31" s="27">
        <v>1.476</v>
      </c>
      <c r="X31" s="27">
        <v>1.7310000000000001</v>
      </c>
      <c r="Y31" s="27">
        <v>0.51500000000000001</v>
      </c>
      <c r="Z31" s="27">
        <v>0.24299999999999999</v>
      </c>
      <c r="AA31" s="27">
        <v>0.20200000000000001</v>
      </c>
      <c r="AB31" s="27">
        <v>0.153</v>
      </c>
      <c r="AC31" s="27">
        <v>0.13100000000000001</v>
      </c>
      <c r="AD31" s="97">
        <v>7.0999999999999994E-2</v>
      </c>
    </row>
    <row r="32" spans="2:30" x14ac:dyDescent="0.35">
      <c r="B32" s="754"/>
      <c r="C32" s="210" t="s">
        <v>43</v>
      </c>
      <c r="D32" s="27">
        <v>20.547000000000001</v>
      </c>
      <c r="E32" s="27">
        <v>22.5</v>
      </c>
      <c r="F32" s="27">
        <v>25</v>
      </c>
      <c r="G32" s="27">
        <v>27.457999999999998</v>
      </c>
      <c r="H32" s="27">
        <v>27.55</v>
      </c>
      <c r="I32" s="27">
        <v>28.6</v>
      </c>
      <c r="J32" s="27">
        <v>30.437000000000001</v>
      </c>
      <c r="K32" s="27">
        <v>32.313000000000002</v>
      </c>
      <c r="L32" s="27">
        <v>32.836770999999999</v>
      </c>
      <c r="M32" s="27">
        <v>34.700000000000003</v>
      </c>
      <c r="N32" s="27">
        <v>37.71</v>
      </c>
      <c r="O32" s="27">
        <v>37.85</v>
      </c>
      <c r="P32" s="27">
        <v>39.023000000000003</v>
      </c>
      <c r="Q32" s="27">
        <v>40.558999999999997</v>
      </c>
      <c r="R32" s="27">
        <v>42.856000000000002</v>
      </c>
      <c r="S32" s="27">
        <v>43.206000000000003</v>
      </c>
      <c r="T32" s="27">
        <v>41.598999999999997</v>
      </c>
      <c r="U32" s="27">
        <v>42.088000000000001</v>
      </c>
      <c r="V32" s="27">
        <v>42.393999999999998</v>
      </c>
      <c r="W32" s="27">
        <v>43.237000000000002</v>
      </c>
      <c r="X32" s="27">
        <v>44.058999999999997</v>
      </c>
      <c r="Y32" s="27">
        <v>44.64</v>
      </c>
      <c r="Z32" s="27">
        <v>45.329000000000001</v>
      </c>
      <c r="AA32" s="27">
        <v>46.36</v>
      </c>
      <c r="AB32" s="27">
        <v>47.57</v>
      </c>
      <c r="AC32" s="27">
        <v>49.093000000000004</v>
      </c>
      <c r="AD32" s="97">
        <v>49.454999999999998</v>
      </c>
    </row>
    <row r="33" spans="2:30" x14ac:dyDescent="0.35">
      <c r="B33" s="754"/>
      <c r="C33" s="210" t="s">
        <v>46</v>
      </c>
      <c r="D33" s="27">
        <v>74.099999999999994</v>
      </c>
      <c r="E33" s="27">
        <v>53.8</v>
      </c>
      <c r="F33" s="27">
        <v>42.6</v>
      </c>
      <c r="G33" s="27">
        <v>35.299999999999997</v>
      </c>
      <c r="H33" s="27">
        <v>30.1</v>
      </c>
      <c r="I33" s="27">
        <v>26.1</v>
      </c>
      <c r="J33" s="27">
        <v>23.2</v>
      </c>
      <c r="K33" s="27">
        <v>20.9</v>
      </c>
      <c r="L33" s="27">
        <v>19</v>
      </c>
      <c r="M33" s="27">
        <v>16.399999999999999</v>
      </c>
      <c r="N33" s="27">
        <v>16</v>
      </c>
      <c r="O33" s="27">
        <v>15.9</v>
      </c>
      <c r="P33" s="27">
        <v>15.85</v>
      </c>
      <c r="Q33" s="27">
        <v>15.78</v>
      </c>
      <c r="R33" s="27">
        <v>15.94</v>
      </c>
      <c r="S33" s="27">
        <v>16.54</v>
      </c>
      <c r="T33" s="27">
        <v>17.472999999999999</v>
      </c>
      <c r="U33" s="27">
        <v>17.497</v>
      </c>
      <c r="V33" s="27">
        <v>16.725999999999999</v>
      </c>
      <c r="W33" s="27">
        <v>16.619</v>
      </c>
      <c r="X33" s="27">
        <v>16.597000000000001</v>
      </c>
      <c r="Y33" s="27">
        <v>16.335999999999999</v>
      </c>
      <c r="Z33" s="27">
        <v>16.003</v>
      </c>
      <c r="AA33" s="27">
        <v>15.465999999999999</v>
      </c>
      <c r="AB33" s="27">
        <v>14.529</v>
      </c>
      <c r="AC33" s="27">
        <v>13.625</v>
      </c>
      <c r="AD33" s="97">
        <v>13.564</v>
      </c>
    </row>
    <row r="34" spans="2:30" x14ac:dyDescent="0.35">
      <c r="B34" s="754"/>
      <c r="C34" s="210" t="s">
        <v>44</v>
      </c>
      <c r="D34" s="27">
        <v>1.25</v>
      </c>
      <c r="E34" s="27">
        <v>1.2</v>
      </c>
      <c r="F34" s="27">
        <v>1.1000000000000001</v>
      </c>
      <c r="G34" s="27">
        <v>1</v>
      </c>
      <c r="H34" s="27">
        <v>0.5</v>
      </c>
      <c r="I34" s="27">
        <v>0.4</v>
      </c>
      <c r="J34" s="27">
        <v>0.35</v>
      </c>
      <c r="K34" s="27">
        <v>0.3</v>
      </c>
      <c r="L34" s="27">
        <v>0.25</v>
      </c>
      <c r="M34" s="27">
        <v>0.2</v>
      </c>
      <c r="N34" s="27">
        <v>0.15</v>
      </c>
      <c r="O34" s="27">
        <v>0.15</v>
      </c>
      <c r="P34" s="27">
        <v>0.13</v>
      </c>
      <c r="Q34" s="27">
        <v>0.125</v>
      </c>
      <c r="R34" s="27">
        <v>0.12</v>
      </c>
      <c r="S34" s="27">
        <v>0.13</v>
      </c>
      <c r="T34" s="27">
        <v>0.123</v>
      </c>
      <c r="U34" s="27">
        <v>0.126</v>
      </c>
      <c r="V34" s="27">
        <v>0.11899999999999999</v>
      </c>
      <c r="W34" s="27">
        <v>0.11899999999999999</v>
      </c>
      <c r="X34" s="27">
        <v>0.11899999999999999</v>
      </c>
      <c r="Y34" s="27">
        <v>0.11600000000000001</v>
      </c>
      <c r="Z34" s="27">
        <v>0.114</v>
      </c>
      <c r="AA34" s="27">
        <v>0.111</v>
      </c>
      <c r="AB34" s="27">
        <v>0.10299999999999999</v>
      </c>
      <c r="AC34" s="27">
        <v>9.8000000000000004E-2</v>
      </c>
      <c r="AD34" s="97">
        <v>9.5000000000000001E-2</v>
      </c>
    </row>
    <row r="35" spans="2:30" x14ac:dyDescent="0.35">
      <c r="B35" s="322" t="s">
        <v>222</v>
      </c>
      <c r="C35" s="210" t="s">
        <v>41</v>
      </c>
      <c r="D35" s="27">
        <v>1.4</v>
      </c>
      <c r="E35" s="27">
        <v>1.5</v>
      </c>
      <c r="F35" s="27">
        <v>1.6</v>
      </c>
      <c r="G35" s="27">
        <v>1.7</v>
      </c>
      <c r="H35" s="27">
        <v>1.8</v>
      </c>
      <c r="I35" s="27">
        <v>1.9</v>
      </c>
      <c r="J35" s="27">
        <v>2</v>
      </c>
      <c r="K35" s="27">
        <v>2.1</v>
      </c>
      <c r="L35" s="27">
        <v>2.2000000000000002</v>
      </c>
      <c r="M35" s="27">
        <v>2.2999999999999998</v>
      </c>
      <c r="N35" s="27">
        <v>2.4</v>
      </c>
      <c r="O35" s="27">
        <v>2.46</v>
      </c>
      <c r="P35" s="27">
        <v>2.4300000000000002</v>
      </c>
      <c r="Q35" s="27">
        <v>2.41</v>
      </c>
      <c r="R35" s="27">
        <v>2.375</v>
      </c>
      <c r="S35" s="27">
        <v>2.3450000000000002</v>
      </c>
      <c r="T35" s="27">
        <v>2.2890000000000001</v>
      </c>
      <c r="U35" s="27">
        <v>2.456</v>
      </c>
      <c r="V35" s="27">
        <v>2.2410000000000001</v>
      </c>
      <c r="W35" s="27">
        <v>2.286</v>
      </c>
      <c r="X35" s="27">
        <v>2.3250000000000002</v>
      </c>
      <c r="Y35" s="27">
        <v>2.3439999999999999</v>
      </c>
      <c r="Z35" s="27">
        <v>2.331</v>
      </c>
      <c r="AA35" s="27">
        <v>2.3199999999999998</v>
      </c>
      <c r="AB35" s="27">
        <v>2.2829999999999999</v>
      </c>
      <c r="AC35" s="27">
        <v>2.306</v>
      </c>
      <c r="AD35" s="97">
        <v>2.2669999999999999</v>
      </c>
    </row>
    <row r="36" spans="2:30" x14ac:dyDescent="0.35">
      <c r="B36" s="322" t="s">
        <v>308</v>
      </c>
      <c r="C36" s="210" t="s">
        <v>117</v>
      </c>
      <c r="D36" s="27" t="s">
        <v>306</v>
      </c>
      <c r="E36" s="27" t="s">
        <v>306</v>
      </c>
      <c r="F36" s="27" t="s">
        <v>306</v>
      </c>
      <c r="G36" s="27" t="s">
        <v>306</v>
      </c>
      <c r="H36" s="27" t="s">
        <v>306</v>
      </c>
      <c r="I36" s="27" t="s">
        <v>306</v>
      </c>
      <c r="J36" s="27" t="s">
        <v>306</v>
      </c>
      <c r="K36" s="27" t="s">
        <v>306</v>
      </c>
      <c r="L36" s="27" t="s">
        <v>306</v>
      </c>
      <c r="M36" s="27" t="s">
        <v>306</v>
      </c>
      <c r="N36" s="27" t="s">
        <v>306</v>
      </c>
      <c r="O36" s="27" t="s">
        <v>306</v>
      </c>
      <c r="P36" s="27" t="s">
        <v>306</v>
      </c>
      <c r="Q36" s="27" t="s">
        <v>306</v>
      </c>
      <c r="R36" s="27" t="s">
        <v>306</v>
      </c>
      <c r="S36" s="27" t="s">
        <v>306</v>
      </c>
      <c r="T36" s="27" t="s">
        <v>306</v>
      </c>
      <c r="U36" s="27" t="s">
        <v>306</v>
      </c>
      <c r="V36" s="27" t="s">
        <v>306</v>
      </c>
      <c r="W36" s="27" t="s">
        <v>306</v>
      </c>
      <c r="X36" s="27" t="s">
        <v>306</v>
      </c>
      <c r="Y36" s="27" t="s">
        <v>306</v>
      </c>
      <c r="Z36" s="27" t="s">
        <v>306</v>
      </c>
      <c r="AA36" s="27">
        <v>0.25800000000000001</v>
      </c>
      <c r="AB36" s="27">
        <v>0.27</v>
      </c>
      <c r="AC36" s="27">
        <v>0.28499999999999998</v>
      </c>
      <c r="AD36" s="97">
        <v>0.29199999999999998</v>
      </c>
    </row>
    <row r="37" spans="2:30" x14ac:dyDescent="0.35">
      <c r="B37" s="322" t="s">
        <v>7</v>
      </c>
      <c r="C37" s="210" t="s">
        <v>48</v>
      </c>
      <c r="D37" s="27">
        <v>2610</v>
      </c>
      <c r="E37" s="27">
        <v>2610</v>
      </c>
      <c r="F37" s="27">
        <v>2610</v>
      </c>
      <c r="G37" s="27">
        <v>2610</v>
      </c>
      <c r="H37" s="27">
        <v>2610</v>
      </c>
      <c r="I37" s="27">
        <v>2610</v>
      </c>
      <c r="J37" s="27">
        <v>2610</v>
      </c>
      <c r="K37" s="27">
        <v>2610</v>
      </c>
      <c r="L37" s="27">
        <v>2610</v>
      </c>
      <c r="M37" s="27">
        <v>2610</v>
      </c>
      <c r="N37" s="27">
        <v>2610</v>
      </c>
      <c r="O37" s="27">
        <v>2610</v>
      </c>
      <c r="P37" s="27">
        <v>2610</v>
      </c>
      <c r="Q37" s="27">
        <v>2610</v>
      </c>
      <c r="R37" s="27">
        <v>2610</v>
      </c>
      <c r="S37" s="27">
        <v>2610</v>
      </c>
      <c r="T37" s="27">
        <v>2610</v>
      </c>
      <c r="U37" s="27">
        <v>2530</v>
      </c>
      <c r="V37" s="27">
        <v>2530</v>
      </c>
      <c r="W37" s="27">
        <v>2530</v>
      </c>
      <c r="X37" s="27">
        <v>2530</v>
      </c>
      <c r="Y37" s="27">
        <v>2530</v>
      </c>
      <c r="Z37" s="27">
        <v>2530</v>
      </c>
      <c r="AA37" s="27">
        <v>2530</v>
      </c>
      <c r="AB37" s="27">
        <v>2530</v>
      </c>
      <c r="AC37" s="27">
        <v>2530</v>
      </c>
      <c r="AD37" s="97">
        <v>2530</v>
      </c>
    </row>
    <row r="38" spans="2:30" ht="24" x14ac:dyDescent="0.35">
      <c r="B38" s="322" t="s">
        <v>8</v>
      </c>
      <c r="C38" s="210" t="s">
        <v>103</v>
      </c>
      <c r="D38" s="27">
        <v>30000</v>
      </c>
      <c r="E38" s="27">
        <v>30000</v>
      </c>
      <c r="F38" s="27">
        <v>30000</v>
      </c>
      <c r="G38" s="27">
        <v>30000</v>
      </c>
      <c r="H38" s="27">
        <v>30000</v>
      </c>
      <c r="I38" s="27">
        <v>30000</v>
      </c>
      <c r="J38" s="27">
        <v>30000</v>
      </c>
      <c r="K38" s="27">
        <v>30000</v>
      </c>
      <c r="L38" s="27">
        <v>30000</v>
      </c>
      <c r="M38" s="27">
        <v>30000</v>
      </c>
      <c r="N38" s="27">
        <v>30000</v>
      </c>
      <c r="O38" s="27">
        <v>30000</v>
      </c>
      <c r="P38" s="27">
        <v>30000</v>
      </c>
      <c r="Q38" s="27">
        <v>30000</v>
      </c>
      <c r="R38" s="27">
        <v>30000</v>
      </c>
      <c r="S38" s="27">
        <v>30000</v>
      </c>
      <c r="T38" s="27">
        <v>30000</v>
      </c>
      <c r="U38" s="27">
        <v>30000</v>
      </c>
      <c r="V38" s="27">
        <v>31000</v>
      </c>
      <c r="W38" s="27">
        <v>32000</v>
      </c>
      <c r="X38" s="27">
        <v>32000</v>
      </c>
      <c r="Y38" s="27">
        <v>35000</v>
      </c>
      <c r="Z38" s="27">
        <v>32200</v>
      </c>
      <c r="AA38" s="27">
        <v>26700</v>
      </c>
      <c r="AB38" s="27">
        <v>31514.285714285739</v>
      </c>
      <c r="AC38" s="27">
        <v>31631.42857142858</v>
      </c>
      <c r="AD38" s="97">
        <v>31748.571428571449</v>
      </c>
    </row>
    <row r="39" spans="2:30" x14ac:dyDescent="0.35">
      <c r="B39" s="754" t="s">
        <v>9</v>
      </c>
      <c r="C39" s="209" t="s">
        <v>49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0.21480000000000002</v>
      </c>
      <c r="V39" s="27">
        <v>0</v>
      </c>
      <c r="W39" s="27">
        <v>0</v>
      </c>
      <c r="X39" s="27">
        <v>0</v>
      </c>
      <c r="Y39" s="27">
        <v>0</v>
      </c>
      <c r="Z39" s="27">
        <v>5.0999999999999997E-2</v>
      </c>
      <c r="AA39" s="27">
        <v>0.26400000000000001</v>
      </c>
      <c r="AB39" s="27">
        <v>0.255</v>
      </c>
      <c r="AC39" s="27">
        <v>0</v>
      </c>
      <c r="AD39" s="97">
        <v>0.17519999999999669</v>
      </c>
    </row>
    <row r="40" spans="2:30" x14ac:dyDescent="0.35">
      <c r="B40" s="754"/>
      <c r="C40" s="209" t="s">
        <v>50</v>
      </c>
      <c r="D40" s="27">
        <v>0.98826911180191535</v>
      </c>
      <c r="E40" s="27">
        <v>0.93081304380559426</v>
      </c>
      <c r="F40" s="27">
        <v>0.91978845044406798</v>
      </c>
      <c r="G40" s="27">
        <v>0.93625211177688827</v>
      </c>
      <c r="H40" s="27">
        <v>0.92129119862832465</v>
      </c>
      <c r="I40" s="27">
        <v>0.95397041819856343</v>
      </c>
      <c r="J40" s="27">
        <v>0.98877734177106147</v>
      </c>
      <c r="K40" s="27">
        <v>1.0218388334578921</v>
      </c>
      <c r="L40" s="27">
        <v>1.0566122433382532</v>
      </c>
      <c r="M40" s="27">
        <v>1.0829414635829449</v>
      </c>
      <c r="N40" s="27">
        <v>1.1752075038341858</v>
      </c>
      <c r="O40" s="27">
        <v>1.2073724941484916</v>
      </c>
      <c r="P40" s="27">
        <v>1.2188310441416093</v>
      </c>
      <c r="Q40" s="27">
        <v>1.2712026174034665</v>
      </c>
      <c r="R40" s="27">
        <v>1.3194272448067661</v>
      </c>
      <c r="S40" s="27">
        <v>1.375032596641409</v>
      </c>
      <c r="T40" s="27">
        <v>1.3009999999999999</v>
      </c>
      <c r="U40" s="27">
        <v>3.0133800000000002</v>
      </c>
      <c r="V40" s="27">
        <v>5.5659999999999998</v>
      </c>
      <c r="W40" s="27">
        <v>15.159000000000001</v>
      </c>
      <c r="X40" s="27">
        <v>6.9779099999999996</v>
      </c>
      <c r="Y40" s="27">
        <v>12.848990000000001</v>
      </c>
      <c r="Z40" s="27">
        <v>16.728750000000002</v>
      </c>
      <c r="AA40" s="27">
        <v>12.009</v>
      </c>
      <c r="AB40" s="27">
        <v>17.460999999999999</v>
      </c>
      <c r="AC40" s="27">
        <v>22.37519</v>
      </c>
      <c r="AD40" s="97">
        <v>22.77494784145097</v>
      </c>
    </row>
    <row r="41" spans="2:30" x14ac:dyDescent="0.35">
      <c r="B41" s="754"/>
      <c r="C41" s="209" t="s">
        <v>51</v>
      </c>
      <c r="D41" s="27">
        <v>5.6379119639528792</v>
      </c>
      <c r="E41" s="27">
        <v>5.3101345910796933</v>
      </c>
      <c r="F41" s="27">
        <v>5.2472411078488603</v>
      </c>
      <c r="G41" s="27">
        <v>5.3411635750091824</v>
      </c>
      <c r="H41" s="27">
        <v>5.2558140378996452</v>
      </c>
      <c r="I41" s="27">
        <v>5.4422435850619175</v>
      </c>
      <c r="J41" s="27">
        <v>5.6408113319380471</v>
      </c>
      <c r="K41" s="27">
        <v>5.8294216783521442</v>
      </c>
      <c r="L41" s="27">
        <v>6.0277982351530222</v>
      </c>
      <c r="M41" s="27">
        <v>6.1780020855480249</v>
      </c>
      <c r="N41" s="27">
        <v>6.7043645975267401</v>
      </c>
      <c r="O41" s="27">
        <v>6.8878605517641525</v>
      </c>
      <c r="P41" s="27">
        <v>6.9532296858636293</v>
      </c>
      <c r="Q41" s="27">
        <v>7.2520008565275589</v>
      </c>
      <c r="R41" s="27">
        <v>7.5271143863822978</v>
      </c>
      <c r="S41" s="27">
        <v>7.8443337293978255</v>
      </c>
      <c r="T41" s="27">
        <v>7.4219900000000001</v>
      </c>
      <c r="U41" s="27">
        <v>14.84694</v>
      </c>
      <c r="V41" s="27">
        <v>14.967000000000001</v>
      </c>
      <c r="W41" s="27">
        <v>27.268999999999998</v>
      </c>
      <c r="X41" s="27">
        <v>22.35651</v>
      </c>
      <c r="Y41" s="27">
        <v>45.647359999999999</v>
      </c>
      <c r="Z41" s="27">
        <v>45.449919999999999</v>
      </c>
      <c r="AA41" s="27">
        <v>52.730400000000003</v>
      </c>
      <c r="AB41" s="27">
        <v>65.325569999999999</v>
      </c>
      <c r="AC41" s="27">
        <v>51.098489999999998</v>
      </c>
      <c r="AD41" s="97">
        <v>52.011421781307952</v>
      </c>
    </row>
    <row r="42" spans="2:30" x14ac:dyDescent="0.35">
      <c r="B42" s="754"/>
      <c r="C42" s="209" t="s">
        <v>52</v>
      </c>
      <c r="D42" s="27">
        <v>9.3948006605801559</v>
      </c>
      <c r="E42" s="27">
        <v>8.848604994723539</v>
      </c>
      <c r="F42" s="27">
        <v>8.7438017020185317</v>
      </c>
      <c r="G42" s="27">
        <v>8.9003105056612277</v>
      </c>
      <c r="H42" s="27">
        <v>8.7580873044577281</v>
      </c>
      <c r="I42" s="27">
        <v>9.0687463647676694</v>
      </c>
      <c r="J42" s="27">
        <v>9.399632056394152</v>
      </c>
      <c r="K42" s="27">
        <v>9.7139251170898078</v>
      </c>
      <c r="L42" s="27">
        <v>10.04449221689422</v>
      </c>
      <c r="M42" s="27">
        <v>10.294786162939321</v>
      </c>
      <c r="N42" s="27">
        <v>11.171896502167668</v>
      </c>
      <c r="O42" s="27">
        <v>11.477667135534343</v>
      </c>
      <c r="P42" s="27">
        <v>11.58659575807153</v>
      </c>
      <c r="Q42" s="27">
        <v>12.084456599010913</v>
      </c>
      <c r="R42" s="27">
        <v>12.542895252991187</v>
      </c>
      <c r="S42" s="27">
        <v>13.071497422085999</v>
      </c>
      <c r="T42" s="27">
        <v>12.367719999999998</v>
      </c>
      <c r="U42" s="27">
        <v>26.960810000000002</v>
      </c>
      <c r="V42" s="27">
        <v>79.649960000000007</v>
      </c>
      <c r="W42" s="27">
        <v>33.989199999999997</v>
      </c>
      <c r="X42" s="27">
        <v>23.73649</v>
      </c>
      <c r="Y42" s="27">
        <v>41.245199999999997</v>
      </c>
      <c r="Z42" s="27">
        <v>32.201560000000001</v>
      </c>
      <c r="AA42" s="27">
        <v>23.74</v>
      </c>
      <c r="AB42" s="27">
        <v>27.823119999999999</v>
      </c>
      <c r="AC42" s="27">
        <v>31.433990000000001</v>
      </c>
      <c r="AD42" s="97">
        <v>31.995593454120005</v>
      </c>
    </row>
    <row r="43" spans="2:30" x14ac:dyDescent="0.35">
      <c r="B43" s="754"/>
      <c r="C43" s="211" t="s">
        <v>53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97">
        <v>0</v>
      </c>
    </row>
    <row r="44" spans="2:30" x14ac:dyDescent="0.35">
      <c r="B44" s="754"/>
      <c r="C44" s="209" t="s">
        <v>54</v>
      </c>
      <c r="D44" s="27">
        <v>5.4744639510501765</v>
      </c>
      <c r="E44" s="27">
        <v>5.1561891317133233</v>
      </c>
      <c r="F44" s="27">
        <v>5.0951189857258408</v>
      </c>
      <c r="G44" s="27">
        <v>5.1863185581828706</v>
      </c>
      <c r="H44" s="27">
        <v>5.1034433790150526</v>
      </c>
      <c r="I44" s="27">
        <v>5.284468170085912</v>
      </c>
      <c r="J44" s="27">
        <v>5.4772792638143901</v>
      </c>
      <c r="K44" s="27">
        <v>5.6604216308539632</v>
      </c>
      <c r="L44" s="27">
        <v>5.8530470772751659</v>
      </c>
      <c r="M44" s="27">
        <v>5.9988963863019515</v>
      </c>
      <c r="N44" s="27">
        <v>6.5099991873806982</v>
      </c>
      <c r="O44" s="27">
        <v>6.6881754329586727</v>
      </c>
      <c r="P44" s="27">
        <v>6.7516494585246987</v>
      </c>
      <c r="Q44" s="27">
        <v>7.041758990895965</v>
      </c>
      <c r="R44" s="27">
        <v>7.3088967382154477</v>
      </c>
      <c r="S44" s="27">
        <v>7.6169196142407678</v>
      </c>
      <c r="T44" s="27">
        <v>7.2068199999999996</v>
      </c>
      <c r="U44" s="27">
        <v>13.02502</v>
      </c>
      <c r="V44" s="27">
        <v>10.949</v>
      </c>
      <c r="W44" s="27">
        <v>13.675000000000001</v>
      </c>
      <c r="X44" s="27">
        <v>17.970980000000001</v>
      </c>
      <c r="Y44" s="27">
        <v>36.679082000000001</v>
      </c>
      <c r="Z44" s="27">
        <v>33.537030000000001</v>
      </c>
      <c r="AA44" s="27">
        <v>164.40379999999999</v>
      </c>
      <c r="AB44" s="27">
        <v>22.791599999999999</v>
      </c>
      <c r="AC44" s="27">
        <v>32.058579999999999</v>
      </c>
      <c r="AD44" s="97">
        <v>32.631342454342658</v>
      </c>
    </row>
    <row r="45" spans="2:30" x14ac:dyDescent="0.35">
      <c r="B45" s="754"/>
      <c r="C45" s="211" t="s">
        <v>55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0.78400000000000003</v>
      </c>
      <c r="AB45" s="27">
        <v>0</v>
      </c>
      <c r="AC45" s="27">
        <v>0</v>
      </c>
      <c r="AD45" s="97">
        <v>0</v>
      </c>
    </row>
    <row r="46" spans="2:30" x14ac:dyDescent="0.35">
      <c r="B46" s="754"/>
      <c r="C46" s="211" t="s">
        <v>56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97">
        <v>0</v>
      </c>
    </row>
    <row r="47" spans="2:30" x14ac:dyDescent="0.35">
      <c r="B47" s="754" t="s">
        <v>10</v>
      </c>
      <c r="C47" s="211" t="s">
        <v>49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97">
        <v>0</v>
      </c>
    </row>
    <row r="48" spans="2:30" x14ac:dyDescent="0.35">
      <c r="B48" s="754"/>
      <c r="C48" s="211" t="s">
        <v>50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97">
        <v>0</v>
      </c>
    </row>
    <row r="49" spans="2:30" x14ac:dyDescent="0.35">
      <c r="B49" s="754"/>
      <c r="C49" s="211" t="s">
        <v>51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97">
        <v>0</v>
      </c>
    </row>
    <row r="50" spans="2:30" x14ac:dyDescent="0.35">
      <c r="B50" s="754"/>
      <c r="C50" s="209" t="s">
        <v>52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2.2328022771070515</v>
      </c>
      <c r="O50" s="27">
        <v>2.2300928724780693</v>
      </c>
      <c r="P50" s="27">
        <v>2.3124099781952712</v>
      </c>
      <c r="Q50" s="27">
        <v>2.41299093977146</v>
      </c>
      <c r="R50" s="27">
        <v>2.4630699365944628</v>
      </c>
      <c r="S50" s="27">
        <v>2.5440820667812014</v>
      </c>
      <c r="T50" s="27">
        <v>2.5878699999999997</v>
      </c>
      <c r="U50" s="27">
        <v>4.4506399999999999</v>
      </c>
      <c r="V50" s="27">
        <v>17.041040000000002</v>
      </c>
      <c r="W50" s="27">
        <v>5.9378000000000002</v>
      </c>
      <c r="X50" s="27">
        <v>4.9000000000000004</v>
      </c>
      <c r="Y50" s="27">
        <v>9.2269199999999998</v>
      </c>
      <c r="Z50" s="27">
        <v>5.7426300000000001</v>
      </c>
      <c r="AA50" s="27">
        <v>4.9939999999999998</v>
      </c>
      <c r="AB50" s="27">
        <v>5.4499799999999992</v>
      </c>
      <c r="AC50" s="27">
        <v>6.6684399999999995</v>
      </c>
      <c r="AD50" s="97">
        <v>6.6684399999999995</v>
      </c>
    </row>
    <row r="51" spans="2:30" x14ac:dyDescent="0.35">
      <c r="B51" s="754"/>
      <c r="C51" s="211" t="s">
        <v>53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97">
        <v>0</v>
      </c>
    </row>
    <row r="52" spans="2:30" x14ac:dyDescent="0.35">
      <c r="B52" s="754"/>
      <c r="C52" s="211" t="s">
        <v>54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97">
        <v>0</v>
      </c>
    </row>
    <row r="53" spans="2:30" x14ac:dyDescent="0.35">
      <c r="B53" s="754"/>
      <c r="C53" s="211" t="s">
        <v>55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97">
        <v>0</v>
      </c>
    </row>
    <row r="54" spans="2:30" ht="15" thickBot="1" x14ac:dyDescent="0.4">
      <c r="B54" s="755"/>
      <c r="C54" s="323" t="s">
        <v>56</v>
      </c>
      <c r="D54" s="181">
        <v>0</v>
      </c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1">
        <v>0</v>
      </c>
      <c r="R54" s="181">
        <v>0</v>
      </c>
      <c r="S54" s="181">
        <v>0</v>
      </c>
      <c r="T54" s="181">
        <v>0</v>
      </c>
      <c r="U54" s="181">
        <v>0</v>
      </c>
      <c r="V54" s="181">
        <v>0</v>
      </c>
      <c r="W54" s="181">
        <v>0</v>
      </c>
      <c r="X54" s="181">
        <v>0</v>
      </c>
      <c r="Y54" s="181">
        <v>0</v>
      </c>
      <c r="Z54" s="181">
        <v>0</v>
      </c>
      <c r="AA54" s="181">
        <v>0</v>
      </c>
      <c r="AB54" s="181">
        <v>0</v>
      </c>
      <c r="AC54" s="181">
        <v>0</v>
      </c>
      <c r="AD54" s="183">
        <v>0</v>
      </c>
    </row>
  </sheetData>
  <mergeCells count="8">
    <mergeCell ref="B39:B46"/>
    <mergeCell ref="B47:B54"/>
    <mergeCell ref="B3:B7"/>
    <mergeCell ref="B8:B13"/>
    <mergeCell ref="B15:B24"/>
    <mergeCell ref="B26:B28"/>
    <mergeCell ref="B29:B30"/>
    <mergeCell ref="B31:B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1E1A5-3C9A-4DF1-869A-550C5CA237C7}">
  <sheetPr>
    <tabColor theme="4" tint="-0.249977111117893"/>
  </sheetPr>
  <dimension ref="B1:AE95"/>
  <sheetViews>
    <sheetView showGridLines="0" zoomScale="40" zoomScaleNormal="40" workbookViewId="0">
      <pane xSplit="12" ySplit="2" topLeftCell="Z38" activePane="bottomRight" state="frozen"/>
      <selection activeCell="H265" sqref="H265"/>
      <selection pane="topRight" activeCell="H265" sqref="H265"/>
      <selection pane="bottomLeft" activeCell="H265" sqref="H265"/>
      <selection pane="bottomRight" activeCell="J42" sqref="J42"/>
    </sheetView>
  </sheetViews>
  <sheetFormatPr baseColWidth="10" defaultRowHeight="14.5" x14ac:dyDescent="0.35"/>
  <cols>
    <col min="1" max="1" width="3.7265625" customWidth="1"/>
    <col min="2" max="2" width="19.26953125" customWidth="1"/>
    <col min="3" max="3" width="45.90625" customWidth="1"/>
    <col min="4" max="4" width="6.81640625" style="2" customWidth="1"/>
    <col min="5" max="5" width="9.7265625" style="1" customWidth="1"/>
    <col min="6" max="6" width="9" style="1" customWidth="1"/>
    <col min="7" max="7" width="10.7265625" style="1" customWidth="1"/>
    <col min="8" max="8" width="9.54296875" style="1" customWidth="1"/>
    <col min="9" max="9" width="12.54296875" style="2" customWidth="1"/>
    <col min="10" max="10" width="16.453125" style="1" customWidth="1"/>
    <col min="11" max="11" width="9.1796875" style="2" customWidth="1"/>
    <col min="12" max="12" width="24.453125" style="2" customWidth="1"/>
    <col min="13" max="26" width="20.36328125" bestFit="1" customWidth="1"/>
    <col min="27" max="29" width="20.36328125" style="3" bestFit="1" customWidth="1"/>
    <col min="30" max="30" width="12" customWidth="1"/>
  </cols>
  <sheetData>
    <row r="1" spans="2:29" ht="15" thickBot="1" x14ac:dyDescent="0.4"/>
    <row r="2" spans="2:29" s="52" customFormat="1" ht="15" thickBot="1" x14ac:dyDescent="0.4">
      <c r="B2" s="254" t="s">
        <v>11</v>
      </c>
      <c r="C2" s="255" t="s">
        <v>12</v>
      </c>
      <c r="D2" s="255" t="s">
        <v>13</v>
      </c>
      <c r="E2" s="255" t="s">
        <v>79</v>
      </c>
      <c r="F2" s="255" t="s">
        <v>80</v>
      </c>
      <c r="G2" s="255" t="s">
        <v>81</v>
      </c>
      <c r="H2" s="255" t="s">
        <v>104</v>
      </c>
      <c r="I2" s="255" t="s">
        <v>13</v>
      </c>
      <c r="J2" s="255" t="s">
        <v>20</v>
      </c>
      <c r="K2" s="255" t="s">
        <v>13</v>
      </c>
      <c r="L2" s="363" t="s">
        <v>64</v>
      </c>
      <c r="M2" s="254">
        <v>2000</v>
      </c>
      <c r="N2" s="255">
        <v>2001</v>
      </c>
      <c r="O2" s="255">
        <v>2002</v>
      </c>
      <c r="P2" s="255">
        <v>2003</v>
      </c>
      <c r="Q2" s="255">
        <v>2004</v>
      </c>
      <c r="R2" s="255">
        <v>2005</v>
      </c>
      <c r="S2" s="255">
        <v>2006</v>
      </c>
      <c r="T2" s="255">
        <v>2007</v>
      </c>
      <c r="U2" s="255">
        <v>2008</v>
      </c>
      <c r="V2" s="255">
        <v>2009</v>
      </c>
      <c r="W2" s="255">
        <v>2010</v>
      </c>
      <c r="X2" s="255">
        <v>2011</v>
      </c>
      <c r="Y2" s="255">
        <v>2012</v>
      </c>
      <c r="Z2" s="255">
        <v>2013</v>
      </c>
      <c r="AA2" s="256">
        <v>2014</v>
      </c>
      <c r="AB2" s="256">
        <v>2015</v>
      </c>
      <c r="AC2" s="257">
        <v>2016</v>
      </c>
    </row>
    <row r="3" spans="2:29" x14ac:dyDescent="0.35">
      <c r="B3" s="638" t="s">
        <v>0</v>
      </c>
      <c r="C3" s="253" t="s">
        <v>14</v>
      </c>
      <c r="D3" s="373" t="s">
        <v>2</v>
      </c>
      <c r="E3" s="389">
        <f>'Emission Factors EF'!$D$3</f>
        <v>71900</v>
      </c>
      <c r="F3" s="389">
        <f>'Emission Factors EF'!$E$3</f>
        <v>3</v>
      </c>
      <c r="G3" s="389">
        <f>'Emission Factors EF'!$F$3</f>
        <v>0.6</v>
      </c>
      <c r="H3" s="389">
        <f>'Emission Factors EF'!$G$3</f>
        <v>0</v>
      </c>
      <c r="I3" s="614" t="str">
        <f>'Emission Factors EF'!$H$3</f>
        <v>kg GEI/TJ</v>
      </c>
      <c r="J3" s="389">
        <f>'Conversion Factors CF'!$D$3</f>
        <v>43.54</v>
      </c>
      <c r="K3" s="614" t="str">
        <f>'Conversion Factors CF'!$E$3</f>
        <v>TJ/Gg</v>
      </c>
      <c r="L3" s="529" t="s">
        <v>65</v>
      </c>
      <c r="M3" s="534">
        <f>'Activity Data Calculations'!F11/1000</f>
        <v>13.081</v>
      </c>
      <c r="N3" s="233">
        <f>'Activity Data Calculations'!G11/1000</f>
        <v>3.76</v>
      </c>
      <c r="O3" s="233">
        <f>'Activity Data Calculations'!H11/1000</f>
        <v>5.4429999999999996</v>
      </c>
      <c r="P3" s="233">
        <f>'Activity Data Calculations'!I11/1000</f>
        <v>9.8640000000000008</v>
      </c>
      <c r="Q3" s="233">
        <f>'Activity Data Calculations'!J11/1000</f>
        <v>16.555</v>
      </c>
      <c r="R3" s="233">
        <f>'Activity Data Calculations'!K11/1000</f>
        <v>17.731000000000002</v>
      </c>
      <c r="S3" s="233">
        <f>'Activity Data Calculations'!L11/1000</f>
        <v>1.8480000000000001</v>
      </c>
      <c r="T3" s="233">
        <f>'Activity Data Calculations'!M11/1000</f>
        <v>1.06664</v>
      </c>
      <c r="U3" s="233">
        <f>'Activity Data Calculations'!N11/1000</f>
        <v>2.0953200000000001</v>
      </c>
      <c r="V3" s="233">
        <f>'Activity Data Calculations'!O11/1000</f>
        <v>4.9238909999999994</v>
      </c>
      <c r="W3" s="233">
        <f>'Activity Data Calculations'!P11/1000</f>
        <v>6.008</v>
      </c>
      <c r="X3" s="233">
        <f>'Activity Data Calculations'!Q11/1000</f>
        <v>3.6589999999999998</v>
      </c>
      <c r="Y3" s="233">
        <f>'Activity Data Calculations'!R11/1000</f>
        <v>3.4369999999999998</v>
      </c>
      <c r="Z3" s="233">
        <f>'Activity Data Calculations'!S11/1000</f>
        <v>0.64500000000000002</v>
      </c>
      <c r="AA3" s="233">
        <f>'Activity Data Calculations'!T11/1000</f>
        <v>0.68100000000000005</v>
      </c>
      <c r="AB3" s="233">
        <f>'Activity Data Calculations'!U11/1000</f>
        <v>0.74127999999999994</v>
      </c>
      <c r="AC3" s="258">
        <f>'Activity Data Calculations'!V11/1000</f>
        <v>0.72877595972309628</v>
      </c>
    </row>
    <row r="4" spans="2:29" x14ac:dyDescent="0.35">
      <c r="B4" s="639"/>
      <c r="C4" s="27" t="s">
        <v>62</v>
      </c>
      <c r="D4" s="375" t="s">
        <v>2</v>
      </c>
      <c r="E4" s="36">
        <f>'Emission Factors EF'!$D$4</f>
        <v>77400</v>
      </c>
      <c r="F4" s="36">
        <f>'Emission Factors EF'!$E$4</f>
        <v>3</v>
      </c>
      <c r="G4" s="36">
        <f>'Emission Factors EF'!$F$4</f>
        <v>0.6</v>
      </c>
      <c r="H4" s="36">
        <f>'Emission Factors EF'!$G$4</f>
        <v>0</v>
      </c>
      <c r="I4" s="615" t="str">
        <f>'Emission Factors EF'!$H$4</f>
        <v>kg GEI/TJ</v>
      </c>
      <c r="J4" s="36">
        <f>'Conversion Factors CF'!$D$4</f>
        <v>40.19</v>
      </c>
      <c r="K4" s="615" t="str">
        <f>'Conversion Factors CF'!$E$4</f>
        <v>TJ/Gg</v>
      </c>
      <c r="L4" s="530" t="s">
        <v>65</v>
      </c>
      <c r="M4" s="535">
        <f>'Activity Data Calculations'!F5/1000</f>
        <v>175.51499999999999</v>
      </c>
      <c r="N4" s="196">
        <f>'Activity Data Calculations'!G5/1000</f>
        <v>185.33699999999999</v>
      </c>
      <c r="O4" s="196">
        <f>'Activity Data Calculations'!H5/1000</f>
        <v>179.61600000000001</v>
      </c>
      <c r="P4" s="196">
        <f>'Activity Data Calculations'!I5/1000</f>
        <v>204.459</v>
      </c>
      <c r="Q4" s="196">
        <f>'Activity Data Calculations'!J5/1000</f>
        <v>220.06700000000001</v>
      </c>
      <c r="R4" s="196">
        <f>'Activity Data Calculations'!K5/1000</f>
        <v>217.053</v>
      </c>
      <c r="S4" s="196">
        <f>'Activity Data Calculations'!L5/1000</f>
        <v>226.541</v>
      </c>
      <c r="T4" s="196">
        <f>'Activity Data Calculations'!M5/1000</f>
        <v>201.82021</v>
      </c>
      <c r="U4" s="196">
        <f>'Activity Data Calculations'!N5/1000</f>
        <v>167.54637</v>
      </c>
      <c r="V4" s="196">
        <f>'Activity Data Calculations'!O5/1000</f>
        <v>190.60422980000001</v>
      </c>
      <c r="W4" s="196">
        <f>'Activity Data Calculations'!P5/1000</f>
        <v>196.88200000000001</v>
      </c>
      <c r="X4" s="196">
        <f>'Activity Data Calculations'!Q5/1000</f>
        <v>214.517</v>
      </c>
      <c r="Y4" s="196">
        <f>'Activity Data Calculations'!R5/1000</f>
        <v>213.03200000000001</v>
      </c>
      <c r="Z4" s="196">
        <f>'Activity Data Calculations'!S5/1000</f>
        <v>216.19</v>
      </c>
      <c r="AA4" s="196">
        <f>'Activity Data Calculations'!T5/1000</f>
        <v>221.345</v>
      </c>
      <c r="AB4" s="196">
        <f>'Activity Data Calculations'!U5/1000</f>
        <v>229.57037000000003</v>
      </c>
      <c r="AC4" s="238">
        <f>'Activity Data Calculations'!V5/1000</f>
        <v>224.21245685329637</v>
      </c>
    </row>
    <row r="5" spans="2:29" x14ac:dyDescent="0.35">
      <c r="B5" s="639"/>
      <c r="C5" s="27" t="s">
        <v>63</v>
      </c>
      <c r="D5" s="375" t="s">
        <v>2</v>
      </c>
      <c r="E5" s="36">
        <f>'Emission Factors EF'!$D$5</f>
        <v>74100</v>
      </c>
      <c r="F5" s="36">
        <f>'Emission Factors EF'!$E$5</f>
        <v>3</v>
      </c>
      <c r="G5" s="36">
        <f>'Emission Factors EF'!$F$5</f>
        <v>0.6</v>
      </c>
      <c r="H5" s="36">
        <f>'Emission Factors EF'!$G$5</f>
        <v>0</v>
      </c>
      <c r="I5" s="615" t="str">
        <f>'Emission Factors EF'!$H$5</f>
        <v>kg GEI/TJ</v>
      </c>
      <c r="J5" s="36">
        <f>'Conversion Factors CF'!$D$5</f>
        <v>43.3</v>
      </c>
      <c r="K5" s="615" t="str">
        <f>'Conversion Factors CF'!$E$5</f>
        <v>TJ/Gg</v>
      </c>
      <c r="L5" s="530" t="s">
        <v>65</v>
      </c>
      <c r="M5" s="535">
        <f>'Activity Data Calculations'!F8/1000</f>
        <v>3.3639999999999999</v>
      </c>
      <c r="N5" s="196">
        <f>'Activity Data Calculations'!G8/1000</f>
        <v>3.1379999999999999</v>
      </c>
      <c r="O5" s="196">
        <f>'Activity Data Calculations'!H8/1000</f>
        <v>3.4809999999999999</v>
      </c>
      <c r="P5" s="196">
        <f>'Activity Data Calculations'!I8/1000</f>
        <v>3.895</v>
      </c>
      <c r="Q5" s="196">
        <f>'Activity Data Calculations'!J8/1000</f>
        <v>3.968</v>
      </c>
      <c r="R5" s="196">
        <f>'Activity Data Calculations'!K8/1000</f>
        <v>2.1259999999999999</v>
      </c>
      <c r="S5" s="196">
        <f>'Activity Data Calculations'!L8/1000</f>
        <v>2.5310000000000001</v>
      </c>
      <c r="T5" s="196">
        <f>'Activity Data Calculations'!M8/1000</f>
        <v>2.7464299999999997</v>
      </c>
      <c r="U5" s="196">
        <f>'Activity Data Calculations'!N8/1000</f>
        <v>1.9005999999999998</v>
      </c>
      <c r="V5" s="196">
        <f>'Activity Data Calculations'!O8/1000</f>
        <v>2.7612235999999997</v>
      </c>
      <c r="W5" s="196">
        <f>'Activity Data Calculations'!P8/1000</f>
        <v>1.9970000000000001</v>
      </c>
      <c r="X5" s="196">
        <f>'Activity Data Calculations'!Q8/1000</f>
        <v>1.5229999999999999</v>
      </c>
      <c r="Y5" s="196">
        <f>'Activity Data Calculations'!R8/1000</f>
        <v>1.857</v>
      </c>
      <c r="Z5" s="196">
        <f>'Activity Data Calculations'!S8/1000</f>
        <v>1.2689999999999999</v>
      </c>
      <c r="AA5" s="196">
        <f>'Activity Data Calculations'!T8/1000</f>
        <v>1.2290000000000001</v>
      </c>
      <c r="AB5" s="196">
        <f>'Activity Data Calculations'!U8/1000</f>
        <v>1.08392</v>
      </c>
      <c r="AC5" s="238">
        <f>'Activity Data Calculations'!V8/1000</f>
        <v>1.0251092882340034</v>
      </c>
    </row>
    <row r="6" spans="2:29" x14ac:dyDescent="0.35">
      <c r="B6" s="639"/>
      <c r="C6" s="27" t="s">
        <v>19</v>
      </c>
      <c r="D6" s="375" t="s">
        <v>2</v>
      </c>
      <c r="E6" s="36">
        <f>'Emission Factors EF'!$D$6</f>
        <v>96100</v>
      </c>
      <c r="F6" s="36">
        <f>'Emission Factors EF'!$E$6</f>
        <v>1</v>
      </c>
      <c r="G6" s="36">
        <f>'Emission Factors EF'!$F$6</f>
        <v>1.5</v>
      </c>
      <c r="H6" s="36">
        <f>'Emission Factors EF'!$G$6</f>
        <v>0</v>
      </c>
      <c r="I6" s="615" t="str">
        <f>'Emission Factors EF'!$H$6</f>
        <v>kg GEI/TJ</v>
      </c>
      <c r="J6" s="375" t="str">
        <f>'Conversion Factors CF'!$D$8</f>
        <v>Annual variation</v>
      </c>
      <c r="K6" s="615"/>
      <c r="L6" s="530" t="s">
        <v>65</v>
      </c>
      <c r="M6" s="535">
        <f>'Activity Data Calculations'!F12/1000</f>
        <v>228.52</v>
      </c>
      <c r="N6" s="196">
        <f>'Activity Data Calculations'!G12/1000</f>
        <v>273.37599999999998</v>
      </c>
      <c r="O6" s="196">
        <f>'Activity Data Calculations'!H12/1000</f>
        <v>286.88600000000002</v>
      </c>
      <c r="P6" s="196">
        <f>'Activity Data Calculations'!I12/1000</f>
        <v>287.17599999999999</v>
      </c>
      <c r="Q6" s="196">
        <f>'Activity Data Calculations'!J12/1000</f>
        <v>265.12799999999999</v>
      </c>
      <c r="R6" s="196">
        <f>'Activity Data Calculations'!K12/1000</f>
        <v>340.67500000000001</v>
      </c>
      <c r="S6" s="196">
        <f>'Activity Data Calculations'!L12/1000</f>
        <v>462.78399999999999</v>
      </c>
      <c r="T6" s="196">
        <f>'Activity Data Calculations'!M12/1000</f>
        <v>552.63199999999995</v>
      </c>
      <c r="U6" s="196">
        <f>'Activity Data Calculations'!N12/1000</f>
        <v>609.745</v>
      </c>
      <c r="V6" s="196">
        <f>'Activity Data Calculations'!O12/1000</f>
        <v>574.14099999999996</v>
      </c>
      <c r="W6" s="196">
        <f>'Activity Data Calculations'!P12/1000</f>
        <v>643.04899999999998</v>
      </c>
      <c r="X6" s="196">
        <f>'Activity Data Calculations'!Q12/1000</f>
        <v>617.29700000000003</v>
      </c>
      <c r="Y6" s="196">
        <f>'Activity Data Calculations'!R12/1000</f>
        <v>649.15700000000004</v>
      </c>
      <c r="Z6" s="196">
        <f>'Activity Data Calculations'!S12/1000</f>
        <v>683.20699999999999</v>
      </c>
      <c r="AA6" s="196">
        <f>'Activity Data Calculations'!T12/1000</f>
        <v>711.23599999999999</v>
      </c>
      <c r="AB6" s="196">
        <f>'Activity Data Calculations'!U12/1000</f>
        <v>684.34799999999996</v>
      </c>
      <c r="AC6" s="238">
        <f>'Activity Data Calculations'!V12/1000</f>
        <v>701.22500000000002</v>
      </c>
    </row>
    <row r="7" spans="2:29" x14ac:dyDescent="0.35">
      <c r="B7" s="639"/>
      <c r="C7" s="27" t="s">
        <v>16</v>
      </c>
      <c r="D7" s="375" t="s">
        <v>2</v>
      </c>
      <c r="E7" s="36">
        <f>'Emission Factors EF'!$D$7</f>
        <v>100000</v>
      </c>
      <c r="F7" s="36">
        <f>'Emission Factors EF'!$E$7</f>
        <v>30</v>
      </c>
      <c r="G7" s="36">
        <f>'Emission Factors EF'!$F$7</f>
        <v>4</v>
      </c>
      <c r="H7" s="36">
        <f>'Emission Factors EF'!$G$7</f>
        <v>0</v>
      </c>
      <c r="I7" s="615" t="str">
        <f>'Emission Factors EF'!$H$7</f>
        <v>kg GEI/TJ</v>
      </c>
      <c r="J7" s="375" t="str">
        <f>'Conversion Factors CF'!$D$9</f>
        <v>Annual variation</v>
      </c>
      <c r="K7" s="615"/>
      <c r="L7" s="530" t="s">
        <v>65</v>
      </c>
      <c r="M7" s="535">
        <f>'Activity Data Calculations'!F13/1000</f>
        <v>1021.5</v>
      </c>
      <c r="N7" s="196">
        <f>'Activity Data Calculations'!G13/1000</f>
        <v>1142.5</v>
      </c>
      <c r="O7" s="196">
        <f>'Activity Data Calculations'!H13/1000</f>
        <v>1202.096</v>
      </c>
      <c r="P7" s="196">
        <f>'Activity Data Calculations'!I13/1000</f>
        <v>1046.7940000000001</v>
      </c>
      <c r="Q7" s="196">
        <f>'Activity Data Calculations'!J13/1000</f>
        <v>1092.8230000000001</v>
      </c>
      <c r="R7" s="196">
        <f>'Activity Data Calculations'!K13/1000</f>
        <v>1055.742</v>
      </c>
      <c r="S7" s="196">
        <f>'Activity Data Calculations'!L13/1000</f>
        <v>1036.598</v>
      </c>
      <c r="T7" s="196">
        <f>'Activity Data Calculations'!M13/1000</f>
        <v>1040.2860000000001</v>
      </c>
      <c r="U7" s="196">
        <f>'Activity Data Calculations'!N13/1000</f>
        <v>1300.9390000000001</v>
      </c>
      <c r="V7" s="196">
        <f>'Activity Data Calculations'!O13/1000</f>
        <v>1135.588</v>
      </c>
      <c r="W7" s="196">
        <f>'Activity Data Calculations'!P13/1000</f>
        <v>1140.383</v>
      </c>
      <c r="X7" s="196">
        <f>'Activity Data Calculations'!Q13/1000</f>
        <v>1119.04</v>
      </c>
      <c r="Y7" s="196">
        <f>'Activity Data Calculations'!R13/1000</f>
        <v>1077.7860000000001</v>
      </c>
      <c r="Z7" s="196">
        <f>'Activity Data Calculations'!S13/1000</f>
        <v>1056.146</v>
      </c>
      <c r="AA7" s="196">
        <f>'Activity Data Calculations'!T13/1000</f>
        <v>1030.5630000000001</v>
      </c>
      <c r="AB7" s="196">
        <f>'Activity Data Calculations'!U13/1000</f>
        <v>1240.3009999999999</v>
      </c>
      <c r="AC7" s="238">
        <f>'Activity Data Calculations'!V13/1000</f>
        <v>1129.5450000000001</v>
      </c>
    </row>
    <row r="8" spans="2:29" s="110" customFormat="1" x14ac:dyDescent="0.35">
      <c r="B8" s="643" t="s">
        <v>364</v>
      </c>
      <c r="C8" s="27" t="s">
        <v>17</v>
      </c>
      <c r="D8" s="375" t="s">
        <v>2</v>
      </c>
      <c r="E8" s="36">
        <f>'Emission Factors EF'!D8</f>
        <v>74100</v>
      </c>
      <c r="F8" s="36">
        <f>'Emission Factors EF'!E8</f>
        <v>3</v>
      </c>
      <c r="G8" s="36">
        <f>'Emission Factors EF'!F8</f>
        <v>0.6</v>
      </c>
      <c r="H8" s="36">
        <f>'Emission Factors EF'!G8</f>
        <v>0</v>
      </c>
      <c r="I8" s="615" t="str">
        <f>'Emission Factors EF'!H8</f>
        <v>kg GEI/TJ</v>
      </c>
      <c r="J8" s="36">
        <f>'Conversion Factors CF'!D5</f>
        <v>43.3</v>
      </c>
      <c r="K8" s="615" t="str">
        <f>'Conversion Factors CF'!E5</f>
        <v>TJ/Gg</v>
      </c>
      <c r="L8" s="530" t="s">
        <v>74</v>
      </c>
      <c r="M8" s="555">
        <f>'Activity Data Calculations'!F98/1000</f>
        <v>2.5000000000000001E-2</v>
      </c>
      <c r="N8" s="556">
        <f>'Activity Data Calculations'!G98/1000</f>
        <v>2.5000000000000001E-2</v>
      </c>
      <c r="O8" s="556">
        <f>'Activity Data Calculations'!H98/1000</f>
        <v>2.5000000000000001E-2</v>
      </c>
      <c r="P8" s="556">
        <f>'Activity Data Calculations'!I98/1000</f>
        <v>2.5000000000000001E-2</v>
      </c>
      <c r="Q8" s="556">
        <f>'Activity Data Calculations'!J98/1000</f>
        <v>2.5000000000000001E-2</v>
      </c>
      <c r="R8" s="556">
        <f>'Activity Data Calculations'!K98/1000</f>
        <v>2.5000000000000001E-2</v>
      </c>
      <c r="S8" s="557">
        <f>'Activity Data Calculations'!L98/1000</f>
        <v>2.5000000000000001E-2</v>
      </c>
      <c r="T8" s="557">
        <f>'Activity Data Calculations'!M98/1000</f>
        <v>2.5000000000000001E-2</v>
      </c>
      <c r="U8" s="557">
        <f>'Activity Data Calculations'!N98/1000</f>
        <v>2.5000000000000001E-2</v>
      </c>
      <c r="V8" s="557">
        <f>'Activity Data Calculations'!O98/1000</f>
        <v>2.5000000000000001E-2</v>
      </c>
      <c r="W8" s="557">
        <f>'Activity Data Calculations'!P98/1000</f>
        <v>2.5000000000000001E-2</v>
      </c>
      <c r="X8" s="557">
        <f>'Activity Data Calculations'!Q98/1000</f>
        <v>2.5000000000000001E-2</v>
      </c>
      <c r="Y8" s="557">
        <f>'Activity Data Calculations'!R98/1000</f>
        <v>2.5000000000000001E-2</v>
      </c>
      <c r="Z8" s="557">
        <f>'Activity Data Calculations'!S98/1000</f>
        <v>2.5000000000000001E-2</v>
      </c>
      <c r="AA8" s="557">
        <f>'Activity Data Calculations'!T98/1000</f>
        <v>2.5999999999999999E-2</v>
      </c>
      <c r="AB8" s="557">
        <f>'Activity Data Calculations'!U98/1000</f>
        <v>2.5999999999999999E-2</v>
      </c>
      <c r="AC8" s="558">
        <f>'Activity Data Calculations'!V98/1000</f>
        <v>2.5999999999999999E-2</v>
      </c>
    </row>
    <row r="9" spans="2:29" s="110" customFormat="1" x14ac:dyDescent="0.35">
      <c r="B9" s="638"/>
      <c r="C9" s="430" t="s">
        <v>379</v>
      </c>
      <c r="D9" s="431" t="s">
        <v>2</v>
      </c>
      <c r="E9" s="390">
        <f>'Emission Factors EF'!D12</f>
        <v>69300</v>
      </c>
      <c r="F9" s="390">
        <f>'Emission Factors EF'!E12</f>
        <v>3</v>
      </c>
      <c r="G9" s="390">
        <f>'Emission Factors EF'!F12</f>
        <v>0.6</v>
      </c>
      <c r="H9" s="390">
        <f>'Emission Factors EF'!G12</f>
        <v>0</v>
      </c>
      <c r="I9" s="431" t="str">
        <f>'Emission Factors EF'!H12</f>
        <v>kg GEI/TJ</v>
      </c>
      <c r="J9" s="390">
        <f>'Conversion Factors CF'!D10</f>
        <v>44.8</v>
      </c>
      <c r="K9" s="431" t="str">
        <f>'Conversion Factors CF'!E10</f>
        <v>TJ/Gg</v>
      </c>
      <c r="L9" s="530" t="s">
        <v>74</v>
      </c>
      <c r="M9" s="535">
        <f>'Activity Data Calculations'!F99/1000</f>
        <v>0.54500000000000004</v>
      </c>
      <c r="N9" s="196">
        <f>'Activity Data Calculations'!G99/1000</f>
        <v>0.54500000000000004</v>
      </c>
      <c r="O9" s="196">
        <f>'Activity Data Calculations'!H99/1000</f>
        <v>0.54500000000000004</v>
      </c>
      <c r="P9" s="196">
        <f>'Activity Data Calculations'!I99/1000</f>
        <v>0.54500000000000004</v>
      </c>
      <c r="Q9" s="196">
        <f>'Activity Data Calculations'!J99/1000</f>
        <v>0.54500000000000004</v>
      </c>
      <c r="R9" s="196">
        <f>'Activity Data Calculations'!K99/1000</f>
        <v>0.54500000000000004</v>
      </c>
      <c r="S9" s="197">
        <f>'Activity Data Calculations'!L99/1000</f>
        <v>0.54500000000000004</v>
      </c>
      <c r="T9" s="197">
        <f>'Activity Data Calculations'!M99/1000</f>
        <v>0.54500000000000004</v>
      </c>
      <c r="U9" s="197">
        <f>'Activity Data Calculations'!N99/1000</f>
        <v>0.54500000000000004</v>
      </c>
      <c r="V9" s="197">
        <f>'Activity Data Calculations'!O99/1000</f>
        <v>0.54500000000000004</v>
      </c>
      <c r="W9" s="197">
        <f>'Activity Data Calculations'!P99/1000</f>
        <v>0.54500000000000004</v>
      </c>
      <c r="X9" s="197">
        <f>'Activity Data Calculations'!Q99/1000</f>
        <v>0.54500000000000004</v>
      </c>
      <c r="Y9" s="197">
        <f>'Activity Data Calculations'!R99/1000</f>
        <v>0.54500000000000004</v>
      </c>
      <c r="Z9" s="197">
        <f>'Activity Data Calculations'!S99/1000</f>
        <v>0.54500000000000004</v>
      </c>
      <c r="AA9" s="197">
        <f>'Activity Data Calculations'!T99/1000</f>
        <v>0.54500000000000004</v>
      </c>
      <c r="AB9" s="197">
        <f>'Activity Data Calculations'!U99/1000</f>
        <v>0.54600000000000004</v>
      </c>
      <c r="AC9" s="238">
        <f>'Activity Data Calculations'!V99/1000</f>
        <v>0.54600000000000004</v>
      </c>
    </row>
    <row r="10" spans="2:29" s="110" customFormat="1" x14ac:dyDescent="0.35">
      <c r="B10" s="643" t="s">
        <v>365</v>
      </c>
      <c r="C10" s="27" t="s">
        <v>63</v>
      </c>
      <c r="D10" s="375" t="s">
        <v>2</v>
      </c>
      <c r="E10" s="36">
        <f>'Emission Factors EF'!D8</f>
        <v>74100</v>
      </c>
      <c r="F10" s="36">
        <f>'Emission Factors EF'!E8</f>
        <v>3</v>
      </c>
      <c r="G10" s="36">
        <f>'Emission Factors EF'!F8</f>
        <v>0.6</v>
      </c>
      <c r="H10" s="36">
        <f>'Emission Factors EF'!G8</f>
        <v>0</v>
      </c>
      <c r="I10" s="615" t="str">
        <f>'Emission Factors EF'!H8</f>
        <v>kg GEI/TJ</v>
      </c>
      <c r="J10" s="36">
        <f>'Conversion Factors CF'!D5</f>
        <v>43.3</v>
      </c>
      <c r="K10" s="615" t="str">
        <f>'Conversion Factors CF'!E5</f>
        <v>TJ/Gg</v>
      </c>
      <c r="L10" s="530" t="s">
        <v>74</v>
      </c>
      <c r="M10" s="559">
        <f>'Activity Data Calculations'!F101/1000</f>
        <v>2.6273684210526316</v>
      </c>
      <c r="N10" s="560">
        <f>'Activity Data Calculations'!G101/1000</f>
        <v>2.3705052631578947</v>
      </c>
      <c r="O10" s="560">
        <f>'Activity Data Calculations'!H101/1000</f>
        <v>2.3626736842105265</v>
      </c>
      <c r="P10" s="560">
        <f>'Activity Data Calculations'!I101/1000</f>
        <v>2.6067157894736841</v>
      </c>
      <c r="Q10" s="560">
        <f>'Activity Data Calculations'!J101/1000</f>
        <v>2.7392842105263155</v>
      </c>
      <c r="R10" s="560">
        <f>'Activity Data Calculations'!K101/1000</f>
        <v>2.5974947368421053</v>
      </c>
      <c r="S10" s="561">
        <f>'Activity Data Calculations'!L101/1000</f>
        <v>3.1431789473684213</v>
      </c>
      <c r="T10" s="561">
        <f>'Activity Data Calculations'!M101/1000</f>
        <v>3.0528000000000004</v>
      </c>
      <c r="U10" s="561">
        <f>'Activity Data Calculations'!N101/1000</f>
        <v>2.9242736842105264</v>
      </c>
      <c r="V10" s="561">
        <f>'Activity Data Calculations'!O101/1000</f>
        <v>2.8978105263157894</v>
      </c>
      <c r="W10" s="561">
        <f>'Activity Data Calculations'!P101/1000</f>
        <v>2.9395578947368421</v>
      </c>
      <c r="X10" s="561">
        <f>'Activity Data Calculations'!Q101/1000</f>
        <v>2.7217263157894735</v>
      </c>
      <c r="Y10" s="561">
        <f>'Activity Data Calculations'!R101/1000</f>
        <v>2.6090526315789475</v>
      </c>
      <c r="Z10" s="561">
        <f>'Activity Data Calculations'!S101/1000</f>
        <v>2.2385052631578946</v>
      </c>
      <c r="AA10" s="561">
        <f>'Activity Data Calculations'!T101/1000</f>
        <v>2.2797473684210527</v>
      </c>
      <c r="AB10" s="561">
        <f>'Activity Data Calculations'!U101/1000</f>
        <v>2.3110736842105264</v>
      </c>
      <c r="AC10" s="562">
        <f>'Activity Data Calculations'!V101/1000</f>
        <v>2.2297894736842103</v>
      </c>
    </row>
    <row r="11" spans="2:29" s="110" customFormat="1" x14ac:dyDescent="0.35">
      <c r="B11" s="641"/>
      <c r="C11" s="27" t="s">
        <v>125</v>
      </c>
      <c r="D11" s="375" t="s">
        <v>2</v>
      </c>
      <c r="E11" s="36">
        <f>'Emission Factors EF'!D10</f>
        <v>63100</v>
      </c>
      <c r="F11" s="36">
        <f>'Emission Factors EF'!E10</f>
        <v>1</v>
      </c>
      <c r="G11" s="36">
        <f>'Emission Factors EF'!F10</f>
        <v>0.1</v>
      </c>
      <c r="H11" s="36">
        <f>'Emission Factors EF'!G10</f>
        <v>0</v>
      </c>
      <c r="I11" s="615" t="str">
        <f>'Emission Factors EF'!H10</f>
        <v>kg GEI/TJ</v>
      </c>
      <c r="J11" s="570">
        <f>'Conversion Factors CF'!D12</f>
        <v>47.3</v>
      </c>
      <c r="K11" s="615" t="str">
        <f>'Conversion Factors CF'!E12</f>
        <v>TJ/Gg</v>
      </c>
      <c r="L11" s="530" t="s">
        <v>74</v>
      </c>
      <c r="M11" s="559">
        <f>'Activity Data Calculations'!F102/1000</f>
        <v>0.14188461538461539</v>
      </c>
      <c r="N11" s="560">
        <f>'Activity Data Calculations'!G102/1000</f>
        <v>0.14038461538461539</v>
      </c>
      <c r="O11" s="560">
        <f>'Activity Data Calculations'!H102/1000</f>
        <v>0.13469230769230769</v>
      </c>
      <c r="P11" s="560">
        <f>'Activity Data Calculations'!I102/1000</f>
        <v>0.114</v>
      </c>
      <c r="Q11" s="560">
        <f>'Activity Data Calculations'!J102/1000</f>
        <v>0.106</v>
      </c>
      <c r="R11" s="560">
        <f>'Activity Data Calculations'!K102/1000</f>
        <v>0.15015384615384617</v>
      </c>
      <c r="S11" s="561">
        <f>'Activity Data Calculations'!L102/1000</f>
        <v>0.1525</v>
      </c>
      <c r="T11" s="561">
        <f>'Activity Data Calculations'!M102/1000</f>
        <v>0.15646153846153849</v>
      </c>
      <c r="U11" s="561">
        <f>'Activity Data Calculations'!N102/1000</f>
        <v>0.18923076923076926</v>
      </c>
      <c r="V11" s="561">
        <f>'Activity Data Calculations'!O102/1000</f>
        <v>0.19257692307692309</v>
      </c>
      <c r="W11" s="561">
        <f>'Activity Data Calculations'!P102/1000</f>
        <v>0.19700000000000001</v>
      </c>
      <c r="X11" s="561">
        <f>'Activity Data Calculations'!Q102/1000</f>
        <v>0.20146153846153847</v>
      </c>
      <c r="Y11" s="561">
        <f>'Activity Data Calculations'!R102/1000</f>
        <v>0.21011538461538462</v>
      </c>
      <c r="Z11" s="561">
        <f>'Activity Data Calculations'!S102/1000</f>
        <v>0.20588461538461539</v>
      </c>
      <c r="AA11" s="561">
        <f>'Activity Data Calculations'!T102/1000</f>
        <v>0.20873076923076925</v>
      </c>
      <c r="AB11" s="561">
        <f>'Activity Data Calculations'!U102/1000</f>
        <v>0.21815384615384617</v>
      </c>
      <c r="AC11" s="562">
        <f>'Activity Data Calculations'!V102/1000</f>
        <v>0.21542307692307694</v>
      </c>
    </row>
    <row r="12" spans="2:29" s="110" customFormat="1" x14ac:dyDescent="0.35">
      <c r="B12" s="641"/>
      <c r="C12" s="27" t="s">
        <v>18</v>
      </c>
      <c r="D12" s="375" t="s">
        <v>2</v>
      </c>
      <c r="E12" s="36">
        <f>'Emission Factors EF'!D9</f>
        <v>77400</v>
      </c>
      <c r="F12" s="36">
        <f>'Emission Factors EF'!E9</f>
        <v>3</v>
      </c>
      <c r="G12" s="36">
        <f>'Emission Factors EF'!F9</f>
        <v>0.6</v>
      </c>
      <c r="H12" s="36">
        <f>'Emission Factors EF'!G9</f>
        <v>0</v>
      </c>
      <c r="I12" s="615" t="str">
        <f>'Emission Factors EF'!H9</f>
        <v>kg GEI/TJ</v>
      </c>
      <c r="J12" s="36">
        <f>'Conversion Factors CF'!D11</f>
        <v>40.19</v>
      </c>
      <c r="K12" s="615" t="str">
        <f>'Conversion Factors CF'!E11</f>
        <v>TJ/Gg</v>
      </c>
      <c r="L12" s="530" t="s">
        <v>74</v>
      </c>
      <c r="M12" s="559">
        <f>'Activity Data Calculations'!F103/1000</f>
        <v>1.6156265060240962</v>
      </c>
      <c r="N12" s="560">
        <f>'Activity Data Calculations'!G103/1000</f>
        <v>2.0270873493975903</v>
      </c>
      <c r="O12" s="560">
        <f>'Activity Data Calculations'!H103/1000</f>
        <v>2.0541352409638551</v>
      </c>
      <c r="P12" s="560">
        <f>'Activity Data Calculations'!I103/1000</f>
        <v>1.8493662650602409</v>
      </c>
      <c r="Q12" s="560">
        <f>'Activity Data Calculations'!J103/1000</f>
        <v>1.657895421686747</v>
      </c>
      <c r="R12" s="560">
        <f>'Activity Data Calculations'!K103/1000</f>
        <v>1.538108313253012</v>
      </c>
      <c r="S12" s="561">
        <f>'Activity Data Calculations'!L103/1000</f>
        <v>1.9425180722891566</v>
      </c>
      <c r="T12" s="561">
        <f>'Activity Data Calculations'!M103/1000</f>
        <v>2.0140351807228916</v>
      </c>
      <c r="U12" s="561">
        <f>'Activity Data Calculations'!N103/1000</f>
        <v>1.8169113253012046</v>
      </c>
      <c r="V12" s="561">
        <f>'Activity Data Calculations'!O103/1000</f>
        <v>1.5570390361445785</v>
      </c>
      <c r="W12" s="561">
        <f>'Activity Data Calculations'!P103/1000</f>
        <v>1.4989879518072289</v>
      </c>
      <c r="X12" s="561">
        <f>'Activity Data Calculations'!Q103/1000</f>
        <v>1.4572048192771083</v>
      </c>
      <c r="Y12" s="561">
        <f>'Activity Data Calculations'!R103/1000</f>
        <v>1.4079397590361447</v>
      </c>
      <c r="Z12" s="561">
        <f>'Activity Data Calculations'!S103/1000</f>
        <v>1.4162168674698794</v>
      </c>
      <c r="AA12" s="561">
        <f>'Activity Data Calculations'!T103/1000</f>
        <v>1.4629879518072288</v>
      </c>
      <c r="AB12" s="561">
        <f>'Activity Data Calculations'!U103/1000</f>
        <v>1.3446867469879518</v>
      </c>
      <c r="AC12" s="562">
        <f>'Activity Data Calculations'!V103/1000</f>
        <v>1.3297228915662649</v>
      </c>
    </row>
    <row r="13" spans="2:29" s="110" customFormat="1" x14ac:dyDescent="0.35">
      <c r="B13" s="638"/>
      <c r="C13" s="40" t="s">
        <v>15</v>
      </c>
      <c r="D13" s="375" t="s">
        <v>2</v>
      </c>
      <c r="E13" s="36">
        <f>'Emission Factors EF'!D11</f>
        <v>96100</v>
      </c>
      <c r="F13" s="36">
        <f>'Emission Factors EF'!E11</f>
        <v>10</v>
      </c>
      <c r="G13" s="36">
        <f>'Emission Factors EF'!F11</f>
        <v>1.5</v>
      </c>
      <c r="H13" s="36">
        <f>'Emission Factors EF'!G11</f>
        <v>0</v>
      </c>
      <c r="I13" s="615" t="str">
        <f>'Emission Factors EF'!H11</f>
        <v>kg GEI/TJ</v>
      </c>
      <c r="J13" s="375" t="str">
        <f>'Conversion Factors CF'!D6</f>
        <v>Annual variation</v>
      </c>
      <c r="K13" s="615" t="str">
        <f>'Conversion Factors CF'!E6</f>
        <v>TJ/Gg</v>
      </c>
      <c r="L13" s="530" t="s">
        <v>74</v>
      </c>
      <c r="M13" s="559">
        <f>'Activity Data Calculations'!F104/1000</f>
        <v>3.4948571428571427</v>
      </c>
      <c r="N13" s="560">
        <f>'Activity Data Calculations'!G104/1000</f>
        <v>3.6829614285714283</v>
      </c>
      <c r="O13" s="560">
        <f>'Activity Data Calculations'!H104/1000</f>
        <v>3.6982857142857144</v>
      </c>
      <c r="P13" s="560">
        <f>'Activity Data Calculations'!I104/1000</f>
        <v>4.1428571428571423</v>
      </c>
      <c r="Q13" s="560">
        <f>'Activity Data Calculations'!J104/1000</f>
        <v>3.46</v>
      </c>
      <c r="R13" s="560">
        <f>'Activity Data Calculations'!K104/1000</f>
        <v>3.3088571428571427</v>
      </c>
      <c r="S13" s="561">
        <f>'Activity Data Calculations'!L104/1000</f>
        <v>3.0951428571428568</v>
      </c>
      <c r="T13" s="561">
        <f>'Activity Data Calculations'!M104/1000</f>
        <v>2.8519999999999999</v>
      </c>
      <c r="U13" s="561">
        <f>'Activity Data Calculations'!N104/1000</f>
        <v>5.9531428571428568</v>
      </c>
      <c r="V13" s="561">
        <f>'Activity Data Calculations'!O104/1000</f>
        <v>3.0817142857142854</v>
      </c>
      <c r="W13" s="561">
        <f>'Activity Data Calculations'!P104/1000</f>
        <v>3.5408571428571425</v>
      </c>
      <c r="X13" s="561">
        <f>'Activity Data Calculations'!Q104/1000</f>
        <v>3.4571428571428569</v>
      </c>
      <c r="Y13" s="561">
        <f>'Activity Data Calculations'!R104/1000</f>
        <v>3.6598571428571427</v>
      </c>
      <c r="Z13" s="561">
        <f>'Activity Data Calculations'!S104/1000</f>
        <v>3.9295714285714283</v>
      </c>
      <c r="AA13" s="561">
        <f>'Activity Data Calculations'!T104/1000</f>
        <v>4.4642857142857135</v>
      </c>
      <c r="AB13" s="561">
        <f>'Activity Data Calculations'!U104/1000</f>
        <v>5.2051344285714292</v>
      </c>
      <c r="AC13" s="562">
        <f>'Activity Data Calculations'!V104/1000</f>
        <v>4.7418571428571425</v>
      </c>
    </row>
    <row r="14" spans="2:29" s="1" customFormat="1" ht="29" x14ac:dyDescent="0.35">
      <c r="B14" s="368" t="s">
        <v>366</v>
      </c>
      <c r="C14" s="36" t="s">
        <v>18</v>
      </c>
      <c r="D14" s="375" t="s">
        <v>2</v>
      </c>
      <c r="E14" s="36">
        <f>'Emission Factors EF'!D9</f>
        <v>77400</v>
      </c>
      <c r="F14" s="36">
        <f>'Emission Factors EF'!E9</f>
        <v>3</v>
      </c>
      <c r="G14" s="36">
        <f>'Emission Factors EF'!F9</f>
        <v>0.6</v>
      </c>
      <c r="H14" s="36">
        <f>'Emission Factors EF'!G9</f>
        <v>0</v>
      </c>
      <c r="I14" s="615" t="str">
        <f>'Emission Factors EF'!H9</f>
        <v>kg GEI/TJ</v>
      </c>
      <c r="J14" s="36">
        <f>'Conversion Factors CF'!D11</f>
        <v>40.19</v>
      </c>
      <c r="K14" s="615" t="str">
        <f>'Conversion Factors CF'!E11</f>
        <v>TJ/Gg</v>
      </c>
      <c r="L14" s="530" t="s">
        <v>74</v>
      </c>
      <c r="M14" s="563">
        <f>'Activity Data Calculations'!F106/1000</f>
        <v>0.53854216867469873</v>
      </c>
      <c r="N14" s="564">
        <f>'Activity Data Calculations'!G106/1000</f>
        <v>0.67569578313253009</v>
      </c>
      <c r="O14" s="564">
        <f>'Activity Data Calculations'!H106/1000</f>
        <v>0.68471174698795179</v>
      </c>
      <c r="P14" s="564">
        <f>'Activity Data Calculations'!I106/1000</f>
        <v>0.61645542168674694</v>
      </c>
      <c r="Q14" s="564">
        <f>'Activity Data Calculations'!J106/1000</f>
        <v>0.55263180722891558</v>
      </c>
      <c r="R14" s="564">
        <f>'Activity Data Calculations'!K106/1000</f>
        <v>0.51270277108433726</v>
      </c>
      <c r="S14" s="565">
        <f>'Activity Data Calculations'!L106/1000</f>
        <v>0.64750602409638547</v>
      </c>
      <c r="T14" s="565">
        <f>'Activity Data Calculations'!M106/1000</f>
        <v>0.67134506024096374</v>
      </c>
      <c r="U14" s="565">
        <f>'Activity Data Calculations'!N106/1000</f>
        <v>0.60563710843373486</v>
      </c>
      <c r="V14" s="565">
        <f>'Activity Data Calculations'!O106/1000</f>
        <v>0.51901301204819272</v>
      </c>
      <c r="W14" s="565">
        <f>'Activity Data Calculations'!P106/1000</f>
        <v>0.49966265060240961</v>
      </c>
      <c r="X14" s="565">
        <f>'Activity Data Calculations'!Q106/1000</f>
        <v>0.48573493975903609</v>
      </c>
      <c r="Y14" s="565">
        <f>'Activity Data Calculations'!R106/1000</f>
        <v>0.46931325301204818</v>
      </c>
      <c r="Z14" s="565">
        <f>'Activity Data Calculations'!S106/1000</f>
        <v>0.47207228915662647</v>
      </c>
      <c r="AA14" s="565">
        <f>'Activity Data Calculations'!T106/1000</f>
        <v>0.4876626506024096</v>
      </c>
      <c r="AB14" s="565">
        <f>'Activity Data Calculations'!U106/1000</f>
        <v>0.44822891566265055</v>
      </c>
      <c r="AC14" s="566">
        <f>'Activity Data Calculations'!V106/1000</f>
        <v>0.44324096385542161</v>
      </c>
    </row>
    <row r="15" spans="2:29" s="110" customFormat="1" x14ac:dyDescent="0.35">
      <c r="B15" s="643" t="s">
        <v>367</v>
      </c>
      <c r="C15" s="27" t="s">
        <v>63</v>
      </c>
      <c r="D15" s="375" t="s">
        <v>2</v>
      </c>
      <c r="E15" s="36">
        <f>'Emission Factors EF'!D8</f>
        <v>74100</v>
      </c>
      <c r="F15" s="36">
        <f>'Emission Factors EF'!E8</f>
        <v>3</v>
      </c>
      <c r="G15" s="36">
        <f>'Emission Factors EF'!F8</f>
        <v>0.6</v>
      </c>
      <c r="H15" s="36">
        <f>'Emission Factors EF'!G8</f>
        <v>0</v>
      </c>
      <c r="I15" s="615" t="str">
        <f>'Emission Factors EF'!H8</f>
        <v>kg GEI/TJ</v>
      </c>
      <c r="J15" s="36">
        <f>'Conversion Factors CF'!D5</f>
        <v>43.3</v>
      </c>
      <c r="K15" s="615" t="str">
        <f>'Conversion Factors CF'!E5</f>
        <v>TJ/Gg</v>
      </c>
      <c r="L15" s="530" t="s">
        <v>74</v>
      </c>
      <c r="M15" s="559">
        <f>'Activity Data Calculations'!F108/1000</f>
        <v>8.7578947368421076</v>
      </c>
      <c r="N15" s="560">
        <f>'Activity Data Calculations'!G108/1000</f>
        <v>7.9016842105263168</v>
      </c>
      <c r="O15" s="560">
        <f>'Activity Data Calculations'!H108/1000</f>
        <v>7.8755789473684219</v>
      </c>
      <c r="P15" s="560">
        <f>'Activity Data Calculations'!I108/1000</f>
        <v>8.6890526315789476</v>
      </c>
      <c r="Q15" s="560">
        <f>'Activity Data Calculations'!J108/1000</f>
        <v>9.1309473684210527</v>
      </c>
      <c r="R15" s="560">
        <f>'Activity Data Calculations'!K108/1000</f>
        <v>8.6583157894736846</v>
      </c>
      <c r="S15" s="561">
        <f>'Activity Data Calculations'!L108/1000</f>
        <v>10.477263157894738</v>
      </c>
      <c r="T15" s="561">
        <f>'Activity Data Calculations'!M108/1000</f>
        <v>10.176</v>
      </c>
      <c r="U15" s="561">
        <f>'Activity Data Calculations'!N108/1000</f>
        <v>9.7475789473684209</v>
      </c>
      <c r="V15" s="561">
        <f>'Activity Data Calculations'!O108/1000</f>
        <v>9.6593684210526316</v>
      </c>
      <c r="W15" s="561">
        <f>'Activity Data Calculations'!P108/1000</f>
        <v>9.7985263157894753</v>
      </c>
      <c r="X15" s="561">
        <f>'Activity Data Calculations'!Q108/1000</f>
        <v>9.0724210526315794</v>
      </c>
      <c r="Y15" s="561">
        <f>'Activity Data Calculations'!R108/1000</f>
        <v>8.6968421052631584</v>
      </c>
      <c r="Z15" s="561">
        <f>'Activity Data Calculations'!S108/1000</f>
        <v>7.4616842105263164</v>
      </c>
      <c r="AA15" s="561">
        <f>'Activity Data Calculations'!T108/1000</f>
        <v>7.5991578947368428</v>
      </c>
      <c r="AB15" s="561">
        <f>'Activity Data Calculations'!U108/1000</f>
        <v>7.7035789473684213</v>
      </c>
      <c r="AC15" s="562">
        <f>'Activity Data Calculations'!V108/1000</f>
        <v>7.4326315789473689</v>
      </c>
    </row>
    <row r="16" spans="2:29" s="110" customFormat="1" x14ac:dyDescent="0.35">
      <c r="B16" s="641"/>
      <c r="C16" s="40" t="s">
        <v>125</v>
      </c>
      <c r="D16" s="375" t="s">
        <v>2</v>
      </c>
      <c r="E16" s="36">
        <f>'Emission Factors EF'!D10</f>
        <v>63100</v>
      </c>
      <c r="F16" s="36">
        <f>'Emission Factors EF'!E10</f>
        <v>1</v>
      </c>
      <c r="G16" s="36">
        <f>'Emission Factors EF'!F10</f>
        <v>0.1</v>
      </c>
      <c r="H16" s="36">
        <f>'Emission Factors EF'!G10</f>
        <v>0</v>
      </c>
      <c r="I16" s="615" t="str">
        <f>'Emission Factors EF'!H10</f>
        <v>kg GEI/TJ</v>
      </c>
      <c r="J16" s="36">
        <f>'Conversion Factors CF'!D12</f>
        <v>47.3</v>
      </c>
      <c r="K16" s="615" t="str">
        <f>'Conversion Factors CF'!E12</f>
        <v>TJ/Gg</v>
      </c>
      <c r="L16" s="530" t="s">
        <v>74</v>
      </c>
      <c r="M16" s="559">
        <f>'Activity Data Calculations'!F109/1000</f>
        <v>0.21282692307692305</v>
      </c>
      <c r="N16" s="560">
        <f>'Activity Data Calculations'!G109/1000</f>
        <v>0.21057692307692308</v>
      </c>
      <c r="O16" s="560">
        <f>'Activity Data Calculations'!H109/1000</f>
        <v>0.20203846153846153</v>
      </c>
      <c r="P16" s="560">
        <f>'Activity Data Calculations'!I109/1000</f>
        <v>0.17100000000000001</v>
      </c>
      <c r="Q16" s="560">
        <f>'Activity Data Calculations'!J109/1000</f>
        <v>0.159</v>
      </c>
      <c r="R16" s="560">
        <f>'Activity Data Calculations'!K109/1000</f>
        <v>0.22523076923076923</v>
      </c>
      <c r="S16" s="561">
        <f>'Activity Data Calculations'!L109/1000</f>
        <v>0.22874999999999998</v>
      </c>
      <c r="T16" s="561">
        <f>'Activity Data Calculations'!M109/1000</f>
        <v>0.23469230769230767</v>
      </c>
      <c r="U16" s="561">
        <f>'Activity Data Calculations'!N109/1000</f>
        <v>0.2838461538461538</v>
      </c>
      <c r="V16" s="561">
        <f>'Activity Data Calculations'!O109/1000</f>
        <v>0.28886538461538458</v>
      </c>
      <c r="W16" s="561">
        <f>'Activity Data Calculations'!P109/1000</f>
        <v>0.29549999999999998</v>
      </c>
      <c r="X16" s="561">
        <f>'Activity Data Calculations'!Q109/1000</f>
        <v>0.3021923076923077</v>
      </c>
      <c r="Y16" s="561">
        <f>'Activity Data Calculations'!R109/1000</f>
        <v>0.31517307692307689</v>
      </c>
      <c r="Z16" s="561">
        <f>'Activity Data Calculations'!S109/1000</f>
        <v>0.30882692307692305</v>
      </c>
      <c r="AA16" s="561">
        <f>'Activity Data Calculations'!T109/1000</f>
        <v>0.3130961538461538</v>
      </c>
      <c r="AB16" s="561">
        <f>'Activity Data Calculations'!U109/1000</f>
        <v>0.32723076923076921</v>
      </c>
      <c r="AC16" s="562">
        <f>'Activity Data Calculations'!V109/1000</f>
        <v>0.32313461538461535</v>
      </c>
    </row>
    <row r="17" spans="2:29" s="110" customFormat="1" x14ac:dyDescent="0.35">
      <c r="B17" s="641"/>
      <c r="C17" s="40" t="s">
        <v>18</v>
      </c>
      <c r="D17" s="375" t="s">
        <v>2</v>
      </c>
      <c r="E17" s="36">
        <f>'Emission Factors EF'!D9</f>
        <v>77400</v>
      </c>
      <c r="F17" s="36">
        <f>'Emission Factors EF'!E9</f>
        <v>3</v>
      </c>
      <c r="G17" s="36">
        <f>'Emission Factors EF'!F9</f>
        <v>0.6</v>
      </c>
      <c r="H17" s="36">
        <f>'Emission Factors EF'!G9</f>
        <v>0</v>
      </c>
      <c r="I17" s="615" t="str">
        <f>'Emission Factors EF'!H9</f>
        <v>kg GEI/TJ</v>
      </c>
      <c r="J17" s="36">
        <f>'Conversion Factors CF'!D11</f>
        <v>40.19</v>
      </c>
      <c r="K17" s="615" t="str">
        <f>'Conversion Factors CF'!E11</f>
        <v>TJ/Gg</v>
      </c>
      <c r="L17" s="530" t="s">
        <v>74</v>
      </c>
      <c r="M17" s="559">
        <f>'Activity Data Calculations'!F110/1000</f>
        <v>5.923963855421686</v>
      </c>
      <c r="N17" s="560">
        <f>'Activity Data Calculations'!G110/1000</f>
        <v>7.4326536144578306</v>
      </c>
      <c r="O17" s="560">
        <f>'Activity Data Calculations'!H110/1000</f>
        <v>7.531829216867469</v>
      </c>
      <c r="P17" s="560">
        <f>'Activity Data Calculations'!I110/1000</f>
        <v>6.7810096385542167</v>
      </c>
      <c r="Q17" s="560">
        <f>'Activity Data Calculations'!J110/1000</f>
        <v>6.0789498795180714</v>
      </c>
      <c r="R17" s="560">
        <f>'Activity Data Calculations'!K110/1000</f>
        <v>5.6397304819277103</v>
      </c>
      <c r="S17" s="561">
        <f>'Activity Data Calculations'!L110/1000</f>
        <v>7.1225662650602395</v>
      </c>
      <c r="T17" s="561">
        <f>'Activity Data Calculations'!M110/1000</f>
        <v>7.3847956626506015</v>
      </c>
      <c r="U17" s="561">
        <f>'Activity Data Calculations'!N110/1000</f>
        <v>6.6620081927710837</v>
      </c>
      <c r="V17" s="561">
        <f>'Activity Data Calculations'!O110/1000</f>
        <v>5.7091431325301203</v>
      </c>
      <c r="W17" s="561">
        <f>'Activity Data Calculations'!P110/1000</f>
        <v>5.4962891566265055</v>
      </c>
      <c r="X17" s="561">
        <f>'Activity Data Calculations'!Q110/1000</f>
        <v>5.3430843373493975</v>
      </c>
      <c r="Y17" s="561">
        <f>'Activity Data Calculations'!R110/1000</f>
        <v>5.1624457831325294</v>
      </c>
      <c r="Z17" s="561">
        <f>'Activity Data Calculations'!S110/1000</f>
        <v>5.1927951807228911</v>
      </c>
      <c r="AA17" s="561">
        <f>'Activity Data Calculations'!T110/1000</f>
        <v>5.364289156626505</v>
      </c>
      <c r="AB17" s="561">
        <f>'Activity Data Calculations'!U110/1000</f>
        <v>4.9305180722891562</v>
      </c>
      <c r="AC17" s="562">
        <f>'Activity Data Calculations'!V110/1000</f>
        <v>4.875650602409638</v>
      </c>
    </row>
    <row r="18" spans="2:29" s="110" customFormat="1" x14ac:dyDescent="0.35">
      <c r="B18" s="638"/>
      <c r="C18" s="40" t="s">
        <v>15</v>
      </c>
      <c r="D18" s="375" t="s">
        <v>2</v>
      </c>
      <c r="E18" s="36">
        <f>'Emission Factors EF'!D11</f>
        <v>96100</v>
      </c>
      <c r="F18" s="36">
        <f>'Emission Factors EF'!E11</f>
        <v>10</v>
      </c>
      <c r="G18" s="36">
        <f>'Emission Factors EF'!F11</f>
        <v>1.5</v>
      </c>
      <c r="H18" s="36">
        <f>'Emission Factors EF'!G11</f>
        <v>0</v>
      </c>
      <c r="I18" s="615" t="str">
        <f>'Emission Factors EF'!H11</f>
        <v>kg GEI/TJ</v>
      </c>
      <c r="J18" s="36" t="str">
        <f>'Conversion Factors CF'!D6</f>
        <v>Annual variation</v>
      </c>
      <c r="K18" s="615" t="str">
        <f>'Conversion Factors CF'!E6</f>
        <v>TJ/Gg</v>
      </c>
      <c r="L18" s="530" t="s">
        <v>74</v>
      </c>
      <c r="M18" s="559">
        <f>'Activity Data Calculations'!F111/1000</f>
        <v>3.4948571428571427</v>
      </c>
      <c r="N18" s="560">
        <f>'Activity Data Calculations'!G111/1000</f>
        <v>3.6829614285714283</v>
      </c>
      <c r="O18" s="560">
        <f>'Activity Data Calculations'!H111/1000</f>
        <v>3.6982857142857144</v>
      </c>
      <c r="P18" s="560">
        <f>'Activity Data Calculations'!I111/1000</f>
        <v>4.1428571428571423</v>
      </c>
      <c r="Q18" s="560">
        <f>'Activity Data Calculations'!J111/1000</f>
        <v>3.46</v>
      </c>
      <c r="R18" s="560">
        <f>'Activity Data Calculations'!K111/1000</f>
        <v>3.3088571428571427</v>
      </c>
      <c r="S18" s="561">
        <f>'Activity Data Calculations'!L111/1000</f>
        <v>3.0951428571428568</v>
      </c>
      <c r="T18" s="561">
        <f>'Activity Data Calculations'!M111/1000</f>
        <v>2.8519999999999999</v>
      </c>
      <c r="U18" s="561">
        <f>'Activity Data Calculations'!N111/1000</f>
        <v>5.9531428571428568</v>
      </c>
      <c r="V18" s="561">
        <f>'Activity Data Calculations'!O111/1000</f>
        <v>3.0817142857142854</v>
      </c>
      <c r="W18" s="561">
        <f>'Activity Data Calculations'!P111/1000</f>
        <v>3.5408571428571425</v>
      </c>
      <c r="X18" s="561">
        <f>'Activity Data Calculations'!Q111/1000</f>
        <v>3.4571428571428569</v>
      </c>
      <c r="Y18" s="561">
        <f>'Activity Data Calculations'!R111/1000</f>
        <v>3.6598571428571427</v>
      </c>
      <c r="Z18" s="561">
        <f>'Activity Data Calculations'!S111/1000</f>
        <v>3.9295714285714283</v>
      </c>
      <c r="AA18" s="561">
        <f>'Activity Data Calculations'!T111/1000</f>
        <v>4.4642857142857135</v>
      </c>
      <c r="AB18" s="561">
        <f>'Activity Data Calculations'!U111/1000</f>
        <v>5.2051344285714292</v>
      </c>
      <c r="AC18" s="562">
        <f>'Activity Data Calculations'!V111/1000</f>
        <v>4.7418571428571425</v>
      </c>
    </row>
    <row r="19" spans="2:29" s="110" customFormat="1" x14ac:dyDescent="0.35">
      <c r="B19" s="643" t="s">
        <v>368</v>
      </c>
      <c r="C19" s="27" t="s">
        <v>63</v>
      </c>
      <c r="D19" s="375" t="s">
        <v>2</v>
      </c>
      <c r="E19" s="36">
        <f>'Emission Factors EF'!D8</f>
        <v>74100</v>
      </c>
      <c r="F19" s="36">
        <f>'Emission Factors EF'!E8</f>
        <v>3</v>
      </c>
      <c r="G19" s="36">
        <f>'Emission Factors EF'!F8</f>
        <v>0.6</v>
      </c>
      <c r="H19" s="36">
        <f>'Emission Factors EF'!G8</f>
        <v>0</v>
      </c>
      <c r="I19" s="615" t="str">
        <f>'Emission Factors EF'!H8</f>
        <v>kg GEI/TJ</v>
      </c>
      <c r="J19" s="36">
        <f>'Conversion Factors CF'!D5</f>
        <v>43.3</v>
      </c>
      <c r="K19" s="615" t="str">
        <f>'Conversion Factors CF'!E5</f>
        <v>TJ/Gg</v>
      </c>
      <c r="L19" s="530" t="s">
        <v>74</v>
      </c>
      <c r="M19" s="559">
        <f>'Activity Data Calculations'!F113/1000</f>
        <v>19.898334736842106</v>
      </c>
      <c r="N19" s="560">
        <f>'Activity Data Calculations'!G113/1000</f>
        <v>17.95054141052632</v>
      </c>
      <c r="O19" s="560">
        <f>'Activity Data Calculations'!H113/1000</f>
        <v>17.891154547368423</v>
      </c>
      <c r="P19" s="560">
        <f>'Activity Data Calculations'!I113/1000</f>
        <v>19.741725831578947</v>
      </c>
      <c r="Q19" s="560">
        <f>'Activity Data Calculations'!J113/1000</f>
        <v>20.746992168421052</v>
      </c>
      <c r="R19" s="560">
        <f>'Activity Data Calculations'!K113/1000</f>
        <v>19.671802589473685</v>
      </c>
      <c r="S19" s="561">
        <f>'Activity Data Calculations'!L113/1000</f>
        <v>23.809725957894734</v>
      </c>
      <c r="T19" s="561">
        <f>'Activity Data Calculations'!M113/1000</f>
        <v>23.124382400000002</v>
      </c>
      <c r="U19" s="561">
        <f>'Activity Data Calculations'!N113/1000</f>
        <v>22.149767347368417</v>
      </c>
      <c r="V19" s="561">
        <f>'Activity Data Calculations'!O113/1000</f>
        <v>21.949097221052632</v>
      </c>
      <c r="W19" s="561">
        <f>'Activity Data Calculations'!P113/1000</f>
        <v>22.265667515789474</v>
      </c>
      <c r="X19" s="561">
        <f>'Activity Data Calculations'!Q113/1000</f>
        <v>20.61385065263158</v>
      </c>
      <c r="Y19" s="561">
        <f>'Activity Data Calculations'!R113/1000</f>
        <v>19.759446105263155</v>
      </c>
      <c r="Z19" s="561">
        <f>'Activity Data Calculations'!S113/1000</f>
        <v>16.949585410526318</v>
      </c>
      <c r="AA19" s="561">
        <f>'Activity Data Calculations'!T113/1000</f>
        <v>17.261324294736841</v>
      </c>
      <c r="AB19" s="561">
        <f>'Activity Data Calculations'!U113/1000</f>
        <v>17.498871747368423</v>
      </c>
      <c r="AC19" s="562">
        <f>'Activity Data Calculations'!V113/1000</f>
        <v>16.882493578947372</v>
      </c>
    </row>
    <row r="20" spans="2:29" s="110" customFormat="1" x14ac:dyDescent="0.35">
      <c r="B20" s="641"/>
      <c r="C20" s="40" t="s">
        <v>125</v>
      </c>
      <c r="D20" s="375" t="s">
        <v>2</v>
      </c>
      <c r="E20" s="36">
        <f>'Emission Factors EF'!D10</f>
        <v>63100</v>
      </c>
      <c r="F20" s="36">
        <f>'Emission Factors EF'!E10</f>
        <v>1</v>
      </c>
      <c r="G20" s="36">
        <f>'Emission Factors EF'!F10</f>
        <v>0.1</v>
      </c>
      <c r="H20" s="36">
        <f>'Emission Factors EF'!G10</f>
        <v>0</v>
      </c>
      <c r="I20" s="615" t="str">
        <f>'Emission Factors EF'!H10</f>
        <v>kg GEI/TJ</v>
      </c>
      <c r="J20" s="36">
        <f>'Conversion Factors CF'!D12</f>
        <v>47.3</v>
      </c>
      <c r="K20" s="615" t="str">
        <f>'Conversion Factors CF'!E12</f>
        <v>TJ/Gg</v>
      </c>
      <c r="L20" s="530" t="s">
        <v>74</v>
      </c>
      <c r="M20" s="559">
        <f>'Activity Data Calculations'!F114/1000</f>
        <v>2.4829807692307693</v>
      </c>
      <c r="N20" s="560">
        <f>'Activity Data Calculations'!G114/1000</f>
        <v>2.4567307692307692</v>
      </c>
      <c r="O20" s="560">
        <f>'Activity Data Calculations'!H114/1000</f>
        <v>2.3571153846153843</v>
      </c>
      <c r="P20" s="560">
        <f>'Activity Data Calculations'!I114/1000</f>
        <v>1.9949999999999997</v>
      </c>
      <c r="Q20" s="560">
        <f>'Activity Data Calculations'!J114/1000</f>
        <v>1.8549999999999998</v>
      </c>
      <c r="R20" s="560">
        <f>'Activity Data Calculations'!K114/1000</f>
        <v>2.6276923076923078</v>
      </c>
      <c r="S20" s="561">
        <f>'Activity Data Calculations'!L114/1000</f>
        <v>2.6687499999999997</v>
      </c>
      <c r="T20" s="561">
        <f>'Activity Data Calculations'!M114/1000</f>
        <v>2.7380769230769229</v>
      </c>
      <c r="U20" s="561">
        <f>'Activity Data Calculations'!N114/1000</f>
        <v>3.3115384615384613</v>
      </c>
      <c r="V20" s="561">
        <f>'Activity Data Calculations'!O114/1000</f>
        <v>3.3700961538461534</v>
      </c>
      <c r="W20" s="561">
        <f>'Activity Data Calculations'!P114/1000</f>
        <v>3.4474999999999993</v>
      </c>
      <c r="X20" s="561">
        <f>'Activity Data Calculations'!Q114/1000</f>
        <v>3.5255769230769229</v>
      </c>
      <c r="Y20" s="561">
        <f>'Activity Data Calculations'!R114/1000</f>
        <v>3.6770192307692304</v>
      </c>
      <c r="Z20" s="561">
        <f>'Activity Data Calculations'!S114/1000</f>
        <v>3.6029807692307689</v>
      </c>
      <c r="AA20" s="561">
        <f>'Activity Data Calculations'!T114/1000</f>
        <v>3.6527884615384614</v>
      </c>
      <c r="AB20" s="561">
        <f>'Activity Data Calculations'!U114/1000</f>
        <v>3.8176923076923073</v>
      </c>
      <c r="AC20" s="562">
        <f>'Activity Data Calculations'!V114/1000</f>
        <v>3.7699038461538459</v>
      </c>
    </row>
    <row r="21" spans="2:29" s="110" customFormat="1" x14ac:dyDescent="0.35">
      <c r="B21" s="641"/>
      <c r="C21" s="40" t="s">
        <v>18</v>
      </c>
      <c r="D21" s="375" t="s">
        <v>2</v>
      </c>
      <c r="E21" s="36">
        <f>'Emission Factors EF'!D9</f>
        <v>77400</v>
      </c>
      <c r="F21" s="36">
        <f>'Emission Factors EF'!E9</f>
        <v>3</v>
      </c>
      <c r="G21" s="36">
        <f>'Emission Factors EF'!F9</f>
        <v>0.6</v>
      </c>
      <c r="H21" s="36">
        <f>'Emission Factors EF'!G9</f>
        <v>0</v>
      </c>
      <c r="I21" s="615" t="str">
        <f>'Emission Factors EF'!H9</f>
        <v>kg GEI/TJ</v>
      </c>
      <c r="J21" s="36">
        <f>'Conversion Factors CF'!D11</f>
        <v>40.19</v>
      </c>
      <c r="K21" s="615" t="str">
        <f>'Conversion Factors CF'!E11</f>
        <v>TJ/Gg</v>
      </c>
      <c r="L21" s="530" t="s">
        <v>74</v>
      </c>
      <c r="M21" s="559">
        <f>'Activity Data Calculations'!F115/1000</f>
        <v>32.851072289156626</v>
      </c>
      <c r="N21" s="560">
        <f>'Activity Data Calculations'!G115/1000</f>
        <v>41.217442771084329</v>
      </c>
      <c r="O21" s="560">
        <f>'Activity Data Calculations'!H115/1000</f>
        <v>41.767416566265055</v>
      </c>
      <c r="P21" s="560">
        <f>'Activity Data Calculations'!I115/1000</f>
        <v>37.603780722891564</v>
      </c>
      <c r="Q21" s="560">
        <f>'Activity Data Calculations'!J115/1000</f>
        <v>33.710540240963859</v>
      </c>
      <c r="R21" s="560">
        <f>'Activity Data Calculations'!K115/1000</f>
        <v>31.274869036144576</v>
      </c>
      <c r="S21" s="561">
        <f>'Activity Data Calculations'!L115/1000</f>
        <v>39.497867469879516</v>
      </c>
      <c r="T21" s="561">
        <f>'Activity Data Calculations'!M115/1000</f>
        <v>40.952048674698787</v>
      </c>
      <c r="U21" s="561">
        <f>'Activity Data Calculations'!N115/1000</f>
        <v>36.943863614457825</v>
      </c>
      <c r="V21" s="561">
        <f>'Activity Data Calculations'!O115/1000</f>
        <v>31.659793734939758</v>
      </c>
      <c r="W21" s="561">
        <f>'Activity Data Calculations'!P115/1000</f>
        <v>30.479421686746985</v>
      </c>
      <c r="X21" s="561">
        <f>'Activity Data Calculations'!Q115/1000</f>
        <v>29.6298313253012</v>
      </c>
      <c r="Y21" s="561">
        <f>'Activity Data Calculations'!R115/1000</f>
        <v>28.628108433734937</v>
      </c>
      <c r="Z21" s="561">
        <f>'Activity Data Calculations'!S115/1000</f>
        <v>28.796409638554213</v>
      </c>
      <c r="AA21" s="561">
        <f>'Activity Data Calculations'!T115/1000</f>
        <v>29.747421686746986</v>
      </c>
      <c r="AB21" s="561">
        <f>'Activity Data Calculations'!U115/1000</f>
        <v>27.341963855421685</v>
      </c>
      <c r="AC21" s="562">
        <f>'Activity Data Calculations'!V115/1000</f>
        <v>27.03769879518072</v>
      </c>
    </row>
    <row r="22" spans="2:29" s="110" customFormat="1" x14ac:dyDescent="0.35">
      <c r="B22" s="638"/>
      <c r="C22" s="40" t="s">
        <v>15</v>
      </c>
      <c r="D22" s="375" t="s">
        <v>2</v>
      </c>
      <c r="E22" s="36">
        <f>'Emission Factors EF'!D11</f>
        <v>96100</v>
      </c>
      <c r="F22" s="36">
        <f>'Emission Factors EF'!E11</f>
        <v>10</v>
      </c>
      <c r="G22" s="36">
        <f>'Emission Factors EF'!F11</f>
        <v>1.5</v>
      </c>
      <c r="H22" s="36">
        <f>'Emission Factors EF'!G11</f>
        <v>0</v>
      </c>
      <c r="I22" s="615" t="str">
        <f>'Emission Factors EF'!H11</f>
        <v>kg GEI/TJ</v>
      </c>
      <c r="J22" s="36" t="str">
        <f>'Conversion Factors CF'!D6</f>
        <v>Annual variation</v>
      </c>
      <c r="K22" s="615" t="str">
        <f>'Conversion Factors CF'!E6</f>
        <v>TJ/Gg</v>
      </c>
      <c r="L22" s="530" t="s">
        <v>74</v>
      </c>
      <c r="M22" s="559">
        <f>'Activity Data Calculations'!F116/1000</f>
        <v>10.484571428571428</v>
      </c>
      <c r="N22" s="560">
        <f>'Activity Data Calculations'!G116/1000</f>
        <v>11.048884285714285</v>
      </c>
      <c r="O22" s="560">
        <f>'Activity Data Calculations'!H116/1000</f>
        <v>11.094857142857142</v>
      </c>
      <c r="P22" s="560">
        <f>'Activity Data Calculations'!I116/1000</f>
        <v>12.428571428571427</v>
      </c>
      <c r="Q22" s="560">
        <f>'Activity Data Calculations'!J116/1000</f>
        <v>10.38</v>
      </c>
      <c r="R22" s="560">
        <f>'Activity Data Calculations'!K116/1000</f>
        <v>9.9265714285714282</v>
      </c>
      <c r="S22" s="561">
        <f>'Activity Data Calculations'!L116/1000</f>
        <v>9.2854285714285698</v>
      </c>
      <c r="T22" s="561">
        <f>'Activity Data Calculations'!M116/1000</f>
        <v>8.5559999999999992</v>
      </c>
      <c r="U22" s="561">
        <f>'Activity Data Calculations'!N116/1000</f>
        <v>17.85942857142857</v>
      </c>
      <c r="V22" s="561">
        <f>'Activity Data Calculations'!O116/1000</f>
        <v>9.2451428571428576</v>
      </c>
      <c r="W22" s="561">
        <f>'Activity Data Calculations'!P116/1000</f>
        <v>10.622571428571428</v>
      </c>
      <c r="X22" s="561">
        <f>'Activity Data Calculations'!Q116/1000</f>
        <v>10.37142857142857</v>
      </c>
      <c r="Y22" s="561">
        <f>'Activity Data Calculations'!R116/1000</f>
        <v>10.979571428571427</v>
      </c>
      <c r="Z22" s="561">
        <f>'Activity Data Calculations'!S116/1000</f>
        <v>11.788714285714285</v>
      </c>
      <c r="AA22" s="561">
        <f>'Activity Data Calculations'!T116/1000</f>
        <v>13.392857142857141</v>
      </c>
      <c r="AB22" s="561">
        <f>'Activity Data Calculations'!U116/1000</f>
        <v>15.615403285714288</v>
      </c>
      <c r="AC22" s="562">
        <f>'Activity Data Calculations'!V116/1000</f>
        <v>14.225571428571428</v>
      </c>
    </row>
    <row r="23" spans="2:29" s="110" customFormat="1" x14ac:dyDescent="0.35">
      <c r="B23" s="643" t="s">
        <v>369</v>
      </c>
      <c r="C23" s="27" t="s">
        <v>17</v>
      </c>
      <c r="D23" s="375" t="s">
        <v>2</v>
      </c>
      <c r="E23" s="36">
        <f>'Emission Factors EF'!D8</f>
        <v>74100</v>
      </c>
      <c r="F23" s="36">
        <f>'Emission Factors EF'!E8</f>
        <v>3</v>
      </c>
      <c r="G23" s="36">
        <f>'Emission Factors EF'!F8</f>
        <v>0.6</v>
      </c>
      <c r="H23" s="36">
        <f>'Emission Factors EF'!G8</f>
        <v>0</v>
      </c>
      <c r="I23" s="615" t="str">
        <f>'Emission Factors EF'!H8</f>
        <v>kg GEI/TJ</v>
      </c>
      <c r="J23" s="36">
        <f>'Conversion Factors CF'!D5</f>
        <v>43.3</v>
      </c>
      <c r="K23" s="615" t="str">
        <f>'Conversion Factors CF'!E5</f>
        <v>TJ/Gg</v>
      </c>
      <c r="L23" s="530" t="s">
        <v>74</v>
      </c>
      <c r="M23" s="559">
        <f>'Activity Data Calculations'!F118/1000</f>
        <v>5.4745600000000003</v>
      </c>
      <c r="N23" s="560">
        <f>'Activity Data Calculations'!G118/1000</f>
        <v>4.9393427999999995</v>
      </c>
      <c r="O23" s="560">
        <f>'Activity Data Calculations'!H118/1000</f>
        <v>4.9230244000000001</v>
      </c>
      <c r="P23" s="560">
        <f>'Activity Data Calculations'!I118/1000</f>
        <v>5.4315267999999994</v>
      </c>
      <c r="Q23" s="560">
        <f>'Activity Data Calculations'!J118/1000</f>
        <v>5.7077551999999985</v>
      </c>
      <c r="R23" s="560">
        <f>'Activity Data Calculations'!K118/1000</f>
        <v>5.4123131999999998</v>
      </c>
      <c r="S23" s="561">
        <f>'Activity Data Calculations'!L118/1000</f>
        <v>6.5493372000000001</v>
      </c>
      <c r="T23" s="561">
        <f>'Activity Data Calculations'!M118/1000</f>
        <v>6.3610176000000003</v>
      </c>
      <c r="U23" s="561">
        <f>'Activity Data Calculations'!N118/1000</f>
        <v>6.0932116000000009</v>
      </c>
      <c r="V23" s="561">
        <f>'Activity Data Calculations'!O118/1000</f>
        <v>6.0380712000000001</v>
      </c>
      <c r="W23" s="561">
        <f>'Activity Data Calculations'!P118/1000</f>
        <v>6.1250587999999997</v>
      </c>
      <c r="X23" s="561">
        <f>'Activity Data Calculations'!Q118/1000</f>
        <v>5.6711704000000003</v>
      </c>
      <c r="Y23" s="561">
        <f>'Activity Data Calculations'!R118/1000</f>
        <v>5.4363959999999993</v>
      </c>
      <c r="Z23" s="561">
        <f>'Activity Data Calculations'!S118/1000</f>
        <v>4.6642988000000001</v>
      </c>
      <c r="AA23" s="561">
        <f>'Activity Data Calculations'!T118/1000</f>
        <v>4.7502335999999996</v>
      </c>
      <c r="AB23" s="561">
        <f>'Activity Data Calculations'!U118/1000</f>
        <v>4.8155071999999999</v>
      </c>
      <c r="AC23" s="562">
        <f>'Activity Data Calculations'!V118/1000</f>
        <v>4.6461379999999997</v>
      </c>
    </row>
    <row r="24" spans="2:29" s="110" customFormat="1" x14ac:dyDescent="0.35">
      <c r="B24" s="641"/>
      <c r="C24" s="40" t="s">
        <v>136</v>
      </c>
      <c r="D24" s="375" t="s">
        <v>2</v>
      </c>
      <c r="E24" s="36">
        <f>'Emission Factors EF'!D12</f>
        <v>69300</v>
      </c>
      <c r="F24" s="36">
        <f>'Emission Factors EF'!E12</f>
        <v>3</v>
      </c>
      <c r="G24" s="36">
        <f>'Emission Factors EF'!F12</f>
        <v>0.6</v>
      </c>
      <c r="H24" s="36">
        <f>'Emission Factors EF'!G12</f>
        <v>0</v>
      </c>
      <c r="I24" s="615" t="str">
        <f>'Emission Factors EF'!H10</f>
        <v>kg GEI/TJ</v>
      </c>
      <c r="J24" s="36">
        <f>'Conversion Factors CF'!D10</f>
        <v>44.8</v>
      </c>
      <c r="K24" s="615" t="str">
        <f>'Conversion Factors CF'!E12</f>
        <v>TJ/Gg</v>
      </c>
      <c r="L24" s="530" t="s">
        <v>74</v>
      </c>
      <c r="M24" s="559">
        <f>'Activity Data Calculations'!F119/1000</f>
        <v>0.58240000000000003</v>
      </c>
      <c r="N24" s="560">
        <f>'Activity Data Calculations'!G119/1000</f>
        <v>0.52546199999999998</v>
      </c>
      <c r="O24" s="560">
        <f>'Activity Data Calculations'!H119/1000</f>
        <v>0.52372600000000002</v>
      </c>
      <c r="P24" s="560">
        <f>'Activity Data Calculations'!I119/1000</f>
        <v>0.57782200000000006</v>
      </c>
      <c r="Q24" s="560">
        <f>'Activity Data Calculations'!J119/1000</f>
        <v>0.60720799999999997</v>
      </c>
      <c r="R24" s="560">
        <f>'Activity Data Calculations'!K119/1000</f>
        <v>0.5757779999999999</v>
      </c>
      <c r="S24" s="561">
        <f>'Activity Data Calculations'!L119/1000</f>
        <v>0.69673799999999986</v>
      </c>
      <c r="T24" s="561">
        <f>'Activity Data Calculations'!M119/1000</f>
        <v>0.67670399999999997</v>
      </c>
      <c r="U24" s="561">
        <f>'Activity Data Calculations'!N119/1000</f>
        <v>0.64821399999999996</v>
      </c>
      <c r="V24" s="561">
        <f>'Activity Data Calculations'!O119/1000</f>
        <v>0.64234799999999992</v>
      </c>
      <c r="W24" s="561">
        <f>'Activity Data Calculations'!P119/1000</f>
        <v>0.65160200000000001</v>
      </c>
      <c r="X24" s="561">
        <f>'Activity Data Calculations'!Q119/1000</f>
        <v>0.60331600000000007</v>
      </c>
      <c r="Y24" s="561">
        <f>'Activity Data Calculations'!R119/1000</f>
        <v>0.57833999999999997</v>
      </c>
      <c r="Z24" s="561">
        <f>'Activity Data Calculations'!S119/1000</f>
        <v>0.49620199999999998</v>
      </c>
      <c r="AA24" s="561">
        <f>'Activity Data Calculations'!T119/1000</f>
        <v>0.5053439999999999</v>
      </c>
      <c r="AB24" s="561">
        <f>'Activity Data Calculations'!U119/1000</f>
        <v>0.51228799999999997</v>
      </c>
      <c r="AC24" s="562">
        <f>'Activity Data Calculations'!V119/1000</f>
        <v>0.49426999999999999</v>
      </c>
    </row>
    <row r="25" spans="2:29" s="110" customFormat="1" x14ac:dyDescent="0.35">
      <c r="B25" s="641"/>
      <c r="C25" s="40" t="s">
        <v>125</v>
      </c>
      <c r="D25" s="375" t="s">
        <v>2</v>
      </c>
      <c r="E25" s="36">
        <f>'Emission Factors EF'!D10</f>
        <v>63100</v>
      </c>
      <c r="F25" s="36">
        <f>'Emission Factors EF'!E10</f>
        <v>1</v>
      </c>
      <c r="G25" s="36">
        <f>'Emission Factors EF'!F10</f>
        <v>0.1</v>
      </c>
      <c r="H25" s="36">
        <f>'Emission Factors EF'!G10</f>
        <v>0</v>
      </c>
      <c r="I25" s="615" t="str">
        <f>'Emission Factors EF'!H9</f>
        <v>kg GEI/TJ</v>
      </c>
      <c r="J25" s="36">
        <f>'Conversion Factors CF'!D12</f>
        <v>47.3</v>
      </c>
      <c r="K25" s="615" t="str">
        <f>'Conversion Factors CF'!E11</f>
        <v>TJ/Gg</v>
      </c>
      <c r="L25" s="530" t="s">
        <v>74</v>
      </c>
      <c r="M25" s="559">
        <f>'Activity Data Calculations'!F120/1000</f>
        <v>7.2304399999999991E-2</v>
      </c>
      <c r="N25" s="560">
        <f>'Activity Data Calculations'!G120/1000</f>
        <v>7.1540000000000006E-2</v>
      </c>
      <c r="O25" s="560">
        <f>'Activity Data Calculations'!H120/1000</f>
        <v>6.8639199999999984E-2</v>
      </c>
      <c r="P25" s="560">
        <f>'Activity Data Calculations'!I120/1000</f>
        <v>5.8094399999999984E-2</v>
      </c>
      <c r="Q25" s="560">
        <f>'Activity Data Calculations'!J120/1000</f>
        <v>5.4017599999999992E-2</v>
      </c>
      <c r="R25" s="560">
        <f>'Activity Data Calculations'!K120/1000</f>
        <v>7.6518399999999986E-2</v>
      </c>
      <c r="S25" s="561">
        <f>'Activity Data Calculations'!L120/1000</f>
        <v>7.7714000000000005E-2</v>
      </c>
      <c r="T25" s="561">
        <f>'Activity Data Calculations'!M120/1000</f>
        <v>7.9732799999999979E-2</v>
      </c>
      <c r="U25" s="561">
        <f>'Activity Data Calculations'!N120/1000</f>
        <v>9.643199999999999E-2</v>
      </c>
      <c r="V25" s="561">
        <f>'Activity Data Calculations'!O120/1000</f>
        <v>9.813719999999998E-2</v>
      </c>
      <c r="W25" s="561">
        <f>'Activity Data Calculations'!P120/1000</f>
        <v>0.10039119999999999</v>
      </c>
      <c r="X25" s="561">
        <f>'Activity Data Calculations'!Q120/1000</f>
        <v>0.1026648</v>
      </c>
      <c r="Y25" s="561">
        <f>'Activity Data Calculations'!R120/1000</f>
        <v>0.1070748</v>
      </c>
      <c r="Z25" s="561">
        <f>'Activity Data Calculations'!S120/1000</f>
        <v>0.10491879999999999</v>
      </c>
      <c r="AA25" s="561">
        <f>'Activity Data Calculations'!T120/1000</f>
        <v>0.10636919999999998</v>
      </c>
      <c r="AB25" s="561">
        <f>'Activity Data Calculations'!U120/1000</f>
        <v>0.11117119999999998</v>
      </c>
      <c r="AC25" s="562">
        <f>'Activity Data Calculations'!V120/1000</f>
        <v>0.10977959999999999</v>
      </c>
    </row>
    <row r="26" spans="2:29" s="110" customFormat="1" x14ac:dyDescent="0.35">
      <c r="B26" s="638"/>
      <c r="C26" s="40" t="s">
        <v>18</v>
      </c>
      <c r="D26" s="375" t="s">
        <v>2</v>
      </c>
      <c r="E26" s="36">
        <f>'Emission Factors EF'!D9</f>
        <v>77400</v>
      </c>
      <c r="F26" s="36">
        <f>'Emission Factors EF'!E9</f>
        <v>3</v>
      </c>
      <c r="G26" s="36">
        <f>'Emission Factors EF'!F9</f>
        <v>0.6</v>
      </c>
      <c r="H26" s="36">
        <f>'Emission Factors EF'!G9</f>
        <v>0</v>
      </c>
      <c r="I26" s="615" t="str">
        <f>'Emission Factors EF'!H11</f>
        <v>kg GEI/TJ</v>
      </c>
      <c r="J26" s="36">
        <f>'Conversion Factors CF'!D11</f>
        <v>40.19</v>
      </c>
      <c r="K26" s="615" t="str">
        <f>'Conversion Factors CF'!E6</f>
        <v>TJ/Gg</v>
      </c>
      <c r="L26" s="530" t="s">
        <v>74</v>
      </c>
      <c r="M26" s="559">
        <f>'Activity Data Calculations'!F121/1000</f>
        <v>5.2566023999999993</v>
      </c>
      <c r="N26" s="560">
        <f>'Activity Data Calculations'!G121/1000</f>
        <v>6.5953313999999992</v>
      </c>
      <c r="O26" s="560">
        <f>'Activity Data Calculations'!H121/1000</f>
        <v>6.6833344199999996</v>
      </c>
      <c r="P26" s="560">
        <f>'Activity Data Calculations'!I121/1000</f>
        <v>6.0170980799999993</v>
      </c>
      <c r="Q26" s="560">
        <f>'Activity Data Calculations'!J121/1000</f>
        <v>5.3941285440000009</v>
      </c>
      <c r="R26" s="560">
        <f>'Activity Data Calculations'!K121/1000</f>
        <v>5.0043892080000001</v>
      </c>
      <c r="S26" s="561">
        <f>'Activity Data Calculations'!L121/1000</f>
        <v>6.3201768000000005</v>
      </c>
      <c r="T26" s="561">
        <f>'Activity Data Calculations'!M121/1000</f>
        <v>6.5528648639999991</v>
      </c>
      <c r="U26" s="561">
        <f>'Activity Data Calculations'!N121/1000</f>
        <v>5.9115026879999997</v>
      </c>
      <c r="V26" s="561">
        <f>'Activity Data Calculations'!O121/1000</f>
        <v>5.0659822080000003</v>
      </c>
      <c r="W26" s="561">
        <f>'Activity Data Calculations'!P121/1000</f>
        <v>4.8771071999999993</v>
      </c>
      <c r="X26" s="561">
        <f>'Activity Data Calculations'!Q121/1000</f>
        <v>4.7411615999999999</v>
      </c>
      <c r="Y26" s="561">
        <f>'Activity Data Calculations'!R121/1000</f>
        <v>4.5808727999999999</v>
      </c>
      <c r="Z26" s="561">
        <f>'Activity Data Calculations'!S121/1000</f>
        <v>4.6078032000000002</v>
      </c>
      <c r="AA26" s="561">
        <f>'Activity Data Calculations'!T121/1000</f>
        <v>4.7599775999999991</v>
      </c>
      <c r="AB26" s="561">
        <f>'Activity Data Calculations'!U121/1000</f>
        <v>4.3750727999999999</v>
      </c>
      <c r="AC26" s="562">
        <f>'Activity Data Calculations'!V121/1000</f>
        <v>4.3263864000000005</v>
      </c>
    </row>
    <row r="27" spans="2:29" s="110" customFormat="1" x14ac:dyDescent="0.35">
      <c r="B27" s="643" t="s">
        <v>370</v>
      </c>
      <c r="C27" s="27" t="s">
        <v>63</v>
      </c>
      <c r="D27" s="375" t="s">
        <v>2</v>
      </c>
      <c r="E27" s="36">
        <f>'Emission Factors EF'!D8</f>
        <v>74100</v>
      </c>
      <c r="F27" s="36">
        <f>'Emission Factors EF'!E8</f>
        <v>3</v>
      </c>
      <c r="G27" s="36">
        <f>'Emission Factors EF'!F8</f>
        <v>0.6</v>
      </c>
      <c r="H27" s="36">
        <f>'Emission Factors EF'!G8</f>
        <v>0</v>
      </c>
      <c r="I27" s="615" t="str">
        <f>'Emission Factors EF'!H8</f>
        <v>kg GEI/TJ</v>
      </c>
      <c r="J27" s="36">
        <f>'Conversion Factors CF'!D5</f>
        <v>43.3</v>
      </c>
      <c r="K27" s="615" t="str">
        <f>'Conversion Factors CF'!E5</f>
        <v>TJ/Gg</v>
      </c>
      <c r="L27" s="530" t="s">
        <v>74</v>
      </c>
      <c r="M27" s="559">
        <f>'Activity Data Calculations'!F123/1000</f>
        <v>4.8168421052631576</v>
      </c>
      <c r="N27" s="560">
        <f>'Activity Data Calculations'!G123/1000</f>
        <v>4.3459263157894741</v>
      </c>
      <c r="O27" s="560">
        <f>'Activity Data Calculations'!H123/1000</f>
        <v>4.3315684210526317</v>
      </c>
      <c r="P27" s="560">
        <f>'Activity Data Calculations'!I123/1000</f>
        <v>4.7789789473684214</v>
      </c>
      <c r="Q27" s="560">
        <f>'Activity Data Calculations'!J123/1000</f>
        <v>5.0220210526315787</v>
      </c>
      <c r="R27" s="560">
        <f>'Activity Data Calculations'!K123/1000</f>
        <v>4.7620736842105265</v>
      </c>
      <c r="S27" s="561">
        <f>'Activity Data Calculations'!L123/1000</f>
        <v>5.7624947368421058</v>
      </c>
      <c r="T27" s="561">
        <f>'Activity Data Calculations'!M123/1000</f>
        <v>5.5968</v>
      </c>
      <c r="U27" s="561">
        <f>'Activity Data Calculations'!N123/1000</f>
        <v>5.361168421052632</v>
      </c>
      <c r="V27" s="561">
        <f>'Activity Data Calculations'!O123/1000</f>
        <v>5.3126526315789473</v>
      </c>
      <c r="W27" s="561">
        <f>'Activity Data Calculations'!P123/1000</f>
        <v>5.3891894736842101</v>
      </c>
      <c r="X27" s="561">
        <f>'Activity Data Calculations'!Q123/1000</f>
        <v>4.989831578947368</v>
      </c>
      <c r="Y27" s="561">
        <f>'Activity Data Calculations'!R123/1000</f>
        <v>4.7832631578947362</v>
      </c>
      <c r="Z27" s="561">
        <f>'Activity Data Calculations'!S123/1000</f>
        <v>4.1039263157894741</v>
      </c>
      <c r="AA27" s="561">
        <f>'Activity Data Calculations'!T123/1000</f>
        <v>4.1795368421052634</v>
      </c>
      <c r="AB27" s="561">
        <f>'Activity Data Calculations'!U123/1000</f>
        <v>4.2369684210526311</v>
      </c>
      <c r="AC27" s="562">
        <f>'Activity Data Calculations'!V123/1000</f>
        <v>4.0879473684210526</v>
      </c>
    </row>
    <row r="28" spans="2:29" s="110" customFormat="1" x14ac:dyDescent="0.35">
      <c r="B28" s="641"/>
      <c r="C28" s="40" t="s">
        <v>18</v>
      </c>
      <c r="D28" s="375" t="s">
        <v>2</v>
      </c>
      <c r="E28" s="36">
        <f>'Emission Factors EF'!D9</f>
        <v>77400</v>
      </c>
      <c r="F28" s="36">
        <f>'Emission Factors EF'!E9</f>
        <v>3</v>
      </c>
      <c r="G28" s="36">
        <f>'Emission Factors EF'!F9</f>
        <v>0.6</v>
      </c>
      <c r="H28" s="36">
        <f>'Emission Factors EF'!G9</f>
        <v>0</v>
      </c>
      <c r="I28" s="615" t="str">
        <f>'Emission Factors EF'!H9</f>
        <v>kg GEI/TJ</v>
      </c>
      <c r="J28" s="36">
        <f>'Conversion Factors CF'!D11</f>
        <v>40.19</v>
      </c>
      <c r="K28" s="615" t="str">
        <f>'Conversion Factors CF'!E11</f>
        <v>TJ/Gg</v>
      </c>
      <c r="L28" s="530" t="s">
        <v>74</v>
      </c>
      <c r="M28" s="559">
        <f>'Activity Data Calculations'!F124/1000</f>
        <v>3.7697951807228915</v>
      </c>
      <c r="N28" s="560">
        <f>'Activity Data Calculations'!G124/1000</f>
        <v>4.7298704819277111</v>
      </c>
      <c r="O28" s="560">
        <f>'Activity Data Calculations'!H124/1000</f>
        <v>4.7929822289156618</v>
      </c>
      <c r="P28" s="560">
        <f>'Activity Data Calculations'!I124/1000</f>
        <v>4.3151879518072294</v>
      </c>
      <c r="Q28" s="560">
        <f>'Activity Data Calculations'!J124/1000</f>
        <v>3.8684226506024095</v>
      </c>
      <c r="R28" s="560">
        <f>'Activity Data Calculations'!K124/1000</f>
        <v>3.5889193975903613</v>
      </c>
      <c r="S28" s="561">
        <f>'Activity Data Calculations'!L124/1000</f>
        <v>4.5325421686746985</v>
      </c>
      <c r="T28" s="561">
        <f>'Activity Data Calculations'!M124/1000</f>
        <v>4.6994154216867461</v>
      </c>
      <c r="U28" s="561">
        <f>'Activity Data Calculations'!N124/1000</f>
        <v>4.2394597590361434</v>
      </c>
      <c r="V28" s="561">
        <f>'Activity Data Calculations'!O124/1000</f>
        <v>3.6330910843373494</v>
      </c>
      <c r="W28" s="561">
        <f>'Activity Data Calculations'!P124/1000</f>
        <v>3.4976385542168673</v>
      </c>
      <c r="X28" s="561">
        <f>'Activity Data Calculations'!Q124/1000</f>
        <v>3.4001445783132525</v>
      </c>
      <c r="Y28" s="561">
        <f>'Activity Data Calculations'!R124/1000</f>
        <v>3.2851927710843372</v>
      </c>
      <c r="Z28" s="561">
        <f>'Activity Data Calculations'!S124/1000</f>
        <v>3.3045060240963853</v>
      </c>
      <c r="AA28" s="561">
        <f>'Activity Data Calculations'!T124/1000</f>
        <v>3.4136385542168672</v>
      </c>
      <c r="AB28" s="561">
        <f>'Activity Data Calculations'!U124/1000</f>
        <v>3.137602409638554</v>
      </c>
      <c r="AC28" s="562">
        <f>'Activity Data Calculations'!V124/1000</f>
        <v>3.1026867469879518</v>
      </c>
    </row>
    <row r="29" spans="2:29" s="110" customFormat="1" x14ac:dyDescent="0.35">
      <c r="B29" s="641"/>
      <c r="C29" s="40" t="s">
        <v>125</v>
      </c>
      <c r="D29" s="375" t="s">
        <v>2</v>
      </c>
      <c r="E29" s="36">
        <f>'Emission Factors EF'!D10</f>
        <v>63100</v>
      </c>
      <c r="F29" s="36">
        <f>'Emission Factors EF'!E10</f>
        <v>1</v>
      </c>
      <c r="G29" s="36">
        <f>'Emission Factors EF'!F10</f>
        <v>0.1</v>
      </c>
      <c r="H29" s="36">
        <f>'Emission Factors EF'!G10</f>
        <v>0</v>
      </c>
      <c r="I29" s="615" t="str">
        <f>'Emission Factors EF'!H10</f>
        <v>kg GEI/TJ</v>
      </c>
      <c r="J29" s="36">
        <f>'Conversion Factors CF'!D12</f>
        <v>47.3</v>
      </c>
      <c r="K29" s="615" t="str">
        <f>'Conversion Factors CF'!E12</f>
        <v>TJ/Gg</v>
      </c>
      <c r="L29" s="530" t="s">
        <v>74</v>
      </c>
      <c r="M29" s="559">
        <f>'Activity Data Calculations'!F125/1000</f>
        <v>0.85130769230769221</v>
      </c>
      <c r="N29" s="560">
        <f>'Activity Data Calculations'!G125/1000</f>
        <v>0.84230769230769231</v>
      </c>
      <c r="O29" s="560">
        <f>'Activity Data Calculations'!H125/1000</f>
        <v>0.80815384615384611</v>
      </c>
      <c r="P29" s="560">
        <f>'Activity Data Calculations'!I125/1000</f>
        <v>0.68400000000000005</v>
      </c>
      <c r="Q29" s="560">
        <f>'Activity Data Calculations'!J125/1000</f>
        <v>0.63600000000000001</v>
      </c>
      <c r="R29" s="560">
        <f>'Activity Data Calculations'!K125/1000</f>
        <v>0.90092307692307694</v>
      </c>
      <c r="S29" s="561">
        <f>'Activity Data Calculations'!L125/1000</f>
        <v>0.91499999999999992</v>
      </c>
      <c r="T29" s="561">
        <f>'Activity Data Calculations'!M125/1000</f>
        <v>0.93876923076923069</v>
      </c>
      <c r="U29" s="561">
        <f>'Activity Data Calculations'!N125/1000</f>
        <v>1.1353846153846152</v>
      </c>
      <c r="V29" s="561">
        <f>'Activity Data Calculations'!O125/1000</f>
        <v>1.1554615384615383</v>
      </c>
      <c r="W29" s="561">
        <f>'Activity Data Calculations'!P125/1000</f>
        <v>1.1819999999999999</v>
      </c>
      <c r="X29" s="561">
        <f>'Activity Data Calculations'!Q125/1000</f>
        <v>1.2087692307692308</v>
      </c>
      <c r="Y29" s="561">
        <f>'Activity Data Calculations'!R125/1000</f>
        <v>1.2606923076923076</v>
      </c>
      <c r="Z29" s="561">
        <f>'Activity Data Calculations'!S125/1000</f>
        <v>1.2353076923076922</v>
      </c>
      <c r="AA29" s="561">
        <f>'Activity Data Calculations'!T125/1000</f>
        <v>1.2523846153846152</v>
      </c>
      <c r="AB29" s="561">
        <f>'Activity Data Calculations'!U125/1000</f>
        <v>1.3089230769230769</v>
      </c>
      <c r="AC29" s="562">
        <f>'Activity Data Calculations'!V125/1000</f>
        <v>1.2925384615384614</v>
      </c>
    </row>
    <row r="30" spans="2:29" s="110" customFormat="1" x14ac:dyDescent="0.35">
      <c r="B30" s="641"/>
      <c r="C30" s="40" t="s">
        <v>15</v>
      </c>
      <c r="D30" s="375" t="s">
        <v>2</v>
      </c>
      <c r="E30" s="36">
        <f>'Emission Factors EF'!D11</f>
        <v>96100</v>
      </c>
      <c r="F30" s="36">
        <f>'Emission Factors EF'!E11</f>
        <v>10</v>
      </c>
      <c r="G30" s="36">
        <f>'Emission Factors EF'!F11</f>
        <v>1.5</v>
      </c>
      <c r="H30" s="36">
        <f>'Emission Factors EF'!G11</f>
        <v>0</v>
      </c>
      <c r="I30" s="615" t="str">
        <f>'Emission Factors EF'!H11</f>
        <v>kg GEI/TJ</v>
      </c>
      <c r="J30" s="36" t="str">
        <f>'Conversion Factors CF'!D6</f>
        <v>Annual variation</v>
      </c>
      <c r="K30" s="615" t="str">
        <f>'Conversion Factors CF'!E6</f>
        <v>TJ/Gg</v>
      </c>
      <c r="L30" s="530" t="s">
        <v>74</v>
      </c>
      <c r="M30" s="559">
        <f>'Activity Data Calculations'!F126/1000</f>
        <v>6.9897142857142853</v>
      </c>
      <c r="N30" s="560">
        <f>'Activity Data Calculations'!G126/1000</f>
        <v>7.3659228571428566</v>
      </c>
      <c r="O30" s="560">
        <f>'Activity Data Calculations'!H126/1000</f>
        <v>7.3965714285714288</v>
      </c>
      <c r="P30" s="560">
        <f>'Activity Data Calculations'!I126/1000</f>
        <v>8.2857142857142847</v>
      </c>
      <c r="Q30" s="560">
        <f>'Activity Data Calculations'!J126/1000</f>
        <v>6.92</v>
      </c>
      <c r="R30" s="560">
        <f>'Activity Data Calculations'!K126/1000</f>
        <v>6.6177142857142854</v>
      </c>
      <c r="S30" s="561">
        <f>'Activity Data Calculations'!L126/1000</f>
        <v>6.1902857142857135</v>
      </c>
      <c r="T30" s="561">
        <f>'Activity Data Calculations'!M126/1000</f>
        <v>5.7039999999999997</v>
      </c>
      <c r="U30" s="561">
        <f>'Activity Data Calculations'!N126/1000</f>
        <v>11.906285714285714</v>
      </c>
      <c r="V30" s="561">
        <f>'Activity Data Calculations'!O126/1000</f>
        <v>6.1634285714285708</v>
      </c>
      <c r="W30" s="561">
        <f>'Activity Data Calculations'!P126/1000</f>
        <v>7.081714285714285</v>
      </c>
      <c r="X30" s="561">
        <f>'Activity Data Calculations'!Q126/1000</f>
        <v>6.9142857142857137</v>
      </c>
      <c r="Y30" s="561">
        <f>'Activity Data Calculations'!R126/1000</f>
        <v>7.3197142857142854</v>
      </c>
      <c r="Z30" s="561">
        <f>'Activity Data Calculations'!S126/1000</f>
        <v>7.8591428571428565</v>
      </c>
      <c r="AA30" s="561">
        <f>'Activity Data Calculations'!T126/1000</f>
        <v>8.928571428571427</v>
      </c>
      <c r="AB30" s="561">
        <f>'Activity Data Calculations'!U126/1000</f>
        <v>10.410268857142858</v>
      </c>
      <c r="AC30" s="562">
        <f>'Activity Data Calculations'!V126/1000</f>
        <v>9.4837142857142851</v>
      </c>
    </row>
    <row r="31" spans="2:29" s="110" customFormat="1" x14ac:dyDescent="0.35">
      <c r="B31" s="641"/>
      <c r="C31" s="27" t="s">
        <v>126</v>
      </c>
      <c r="D31" s="375" t="s">
        <v>2</v>
      </c>
      <c r="E31" s="36">
        <f>'Emission Factors EF'!D13</f>
        <v>112000</v>
      </c>
      <c r="F31" s="36">
        <f>'Emission Factors EF'!E13</f>
        <v>30</v>
      </c>
      <c r="G31" s="36">
        <f>'Emission Factors EF'!F13</f>
        <v>4</v>
      </c>
      <c r="H31" s="36">
        <f>'Emission Factors EF'!G13</f>
        <v>0</v>
      </c>
      <c r="I31" s="615" t="str">
        <f>'Emission Factors EF'!H13</f>
        <v>kg GEI/TJ</v>
      </c>
      <c r="J31" s="36">
        <f>'Conversion Factors CF'!D13</f>
        <v>15.6</v>
      </c>
      <c r="K31" s="615" t="str">
        <f>'Conversion Factors CF'!E13</f>
        <v>TJ/Gg</v>
      </c>
      <c r="L31" s="530" t="s">
        <v>74</v>
      </c>
      <c r="M31" s="559">
        <f>'Activity Data Calculations'!F127/1000</f>
        <v>1.5</v>
      </c>
      <c r="N31" s="560">
        <f>'Activity Data Calculations'!G127/1000</f>
        <v>1.5</v>
      </c>
      <c r="O31" s="560">
        <f>'Activity Data Calculations'!H127/1000</f>
        <v>1.45</v>
      </c>
      <c r="P31" s="560">
        <f>'Activity Data Calculations'!I127/1000</f>
        <v>1.43</v>
      </c>
      <c r="Q31" s="560">
        <f>'Activity Data Calculations'!J127/1000</f>
        <v>1.415</v>
      </c>
      <c r="R31" s="560">
        <f>'Activity Data Calculations'!K127/1000</f>
        <v>1.4</v>
      </c>
      <c r="S31" s="560">
        <f>'Activity Data Calculations'!L127/1000</f>
        <v>1.425</v>
      </c>
      <c r="T31" s="560">
        <f>'Activity Data Calculations'!M127/1000</f>
        <v>1.425</v>
      </c>
      <c r="U31" s="560">
        <f>'Activity Data Calculations'!N127/1000</f>
        <v>1.425</v>
      </c>
      <c r="V31" s="560">
        <f>'Activity Data Calculations'!O127/1000</f>
        <v>1.4259999999999999</v>
      </c>
      <c r="W31" s="560">
        <f>'Activity Data Calculations'!P127/1000</f>
        <v>1.4259999999999999</v>
      </c>
      <c r="X31" s="560">
        <f>'Activity Data Calculations'!Q127/1000</f>
        <v>1.425</v>
      </c>
      <c r="Y31" s="560">
        <f>'Activity Data Calculations'!R127/1000</f>
        <v>1.41</v>
      </c>
      <c r="Z31" s="560">
        <f>'Activity Data Calculations'!S127/1000</f>
        <v>1.385</v>
      </c>
      <c r="AA31" s="560">
        <f>'Activity Data Calculations'!T127/1000</f>
        <v>1.343</v>
      </c>
      <c r="AB31" s="560">
        <f>'Activity Data Calculations'!U127/1000</f>
        <v>1.3</v>
      </c>
      <c r="AC31" s="562">
        <f>'Activity Data Calculations'!V127/1000</f>
        <v>1.2609999999999999</v>
      </c>
    </row>
    <row r="32" spans="2:29" s="110" customFormat="1" ht="15" thickBot="1" x14ac:dyDescent="0.4">
      <c r="B32" s="641"/>
      <c r="C32" s="176" t="s">
        <v>16</v>
      </c>
      <c r="D32" s="372" t="s">
        <v>2</v>
      </c>
      <c r="E32" s="175">
        <f>'Emission Factors EF'!D14</f>
        <v>100000</v>
      </c>
      <c r="F32" s="175">
        <f>'Emission Factors EF'!E14</f>
        <v>30</v>
      </c>
      <c r="G32" s="175">
        <f>'Emission Factors EF'!F14</f>
        <v>4</v>
      </c>
      <c r="H32" s="175">
        <f>'Emission Factors EF'!G14</f>
        <v>0</v>
      </c>
      <c r="I32" s="613" t="str">
        <f>'Emission Factors EF'!H14</f>
        <v>kg GEI/TJ</v>
      </c>
      <c r="J32" s="175" t="str">
        <f>'Conversion Factors CF'!D7</f>
        <v>Annual variation</v>
      </c>
      <c r="K32" s="613" t="str">
        <f>'Conversion Factors CF'!E7</f>
        <v>TJ/Gg</v>
      </c>
      <c r="L32" s="531" t="s">
        <v>74</v>
      </c>
      <c r="M32" s="567">
        <f>'Activity Data Calculations'!F128/1000</f>
        <v>531.79999999999995</v>
      </c>
      <c r="N32" s="568">
        <f>'Activity Data Calculations'!G128/1000</f>
        <v>529</v>
      </c>
      <c r="O32" s="568">
        <f>'Activity Data Calculations'!H128/1000</f>
        <v>442.72199999999998</v>
      </c>
      <c r="P32" s="568">
        <f>'Activity Data Calculations'!I128/1000</f>
        <v>510.24599999999998</v>
      </c>
      <c r="Q32" s="568">
        <f>'Activity Data Calculations'!J128/1000</f>
        <v>518.37900000000002</v>
      </c>
      <c r="R32" s="568">
        <f>'Activity Data Calculations'!K128/1000</f>
        <v>476.19799999999998</v>
      </c>
      <c r="S32" s="568">
        <f>'Activity Data Calculations'!L128/1000</f>
        <v>463.56299999999999</v>
      </c>
      <c r="T32" s="568">
        <f>'Activity Data Calculations'!M128/1000</f>
        <v>400.64600000000002</v>
      </c>
      <c r="U32" s="568">
        <f>'Activity Data Calculations'!N128/1000</f>
        <v>239.27600000000001</v>
      </c>
      <c r="V32" s="568">
        <f>'Activity Data Calculations'!O128/1000</f>
        <v>226.75899999999999</v>
      </c>
      <c r="W32" s="568">
        <f>'Activity Data Calculations'!P128/1000</f>
        <v>265.988</v>
      </c>
      <c r="X32" s="568">
        <f>'Activity Data Calculations'!Q128/1000</f>
        <v>244.28800000000001</v>
      </c>
      <c r="Y32" s="568">
        <f>'Activity Data Calculations'!R128/1000</f>
        <v>213.12299999999999</v>
      </c>
      <c r="Z32" s="568">
        <f>'Activity Data Calculations'!S128/1000</f>
        <v>204.565</v>
      </c>
      <c r="AA32" s="568">
        <f>'Activity Data Calculations'!T128/1000</f>
        <v>177.97300000000001</v>
      </c>
      <c r="AB32" s="568">
        <f>'Activity Data Calculations'!U128/1000</f>
        <v>197.64599999999999</v>
      </c>
      <c r="AC32" s="569">
        <f>'Activity Data Calculations'!V128/1000</f>
        <v>158.43100000000001</v>
      </c>
    </row>
    <row r="33" spans="2:30" s="110" customFormat="1" x14ac:dyDescent="0.35">
      <c r="B33" s="640" t="s">
        <v>124</v>
      </c>
      <c r="C33" s="179" t="s">
        <v>63</v>
      </c>
      <c r="D33" s="284" t="s">
        <v>2</v>
      </c>
      <c r="E33" s="234">
        <f>'Emission Factors EF'!D8</f>
        <v>74100</v>
      </c>
      <c r="F33" s="234">
        <f>'Emission Factors EF'!E8</f>
        <v>3</v>
      </c>
      <c r="G33" s="234">
        <f>'Emission Factors EF'!F8</f>
        <v>0.6</v>
      </c>
      <c r="H33" s="234">
        <f>'Emission Factors EF'!G8</f>
        <v>0</v>
      </c>
      <c r="I33" s="284" t="str">
        <f>'Emission Factors EF'!H8</f>
        <v>kg GEI/TJ</v>
      </c>
      <c r="J33" s="234">
        <f>'Conversion Factors CF'!D5</f>
        <v>43.3</v>
      </c>
      <c r="K33" s="284" t="str">
        <f>'Conversion Factors CF'!E5</f>
        <v>TJ/Gg</v>
      </c>
      <c r="L33" s="532" t="s">
        <v>74</v>
      </c>
      <c r="M33" s="538">
        <f>M8+M10+M15+M19+M23+M27</f>
        <v>41.6</v>
      </c>
      <c r="N33" s="235">
        <f t="shared" ref="N33:AC33" si="0">N8+N10+N15+N19+N23+N27</f>
        <v>37.533000000000008</v>
      </c>
      <c r="O33" s="235">
        <f t="shared" si="0"/>
        <v>37.409000000000006</v>
      </c>
      <c r="P33" s="235">
        <f t="shared" si="0"/>
        <v>41.273000000000003</v>
      </c>
      <c r="Q33" s="235">
        <f t="shared" si="0"/>
        <v>43.372</v>
      </c>
      <c r="R33" s="235">
        <f t="shared" si="0"/>
        <v>41.127000000000002</v>
      </c>
      <c r="S33" s="235">
        <f t="shared" si="0"/>
        <v>49.767000000000003</v>
      </c>
      <c r="T33" s="235">
        <f t="shared" si="0"/>
        <v>48.335999999999999</v>
      </c>
      <c r="U33" s="235">
        <f t="shared" si="0"/>
        <v>46.301000000000002</v>
      </c>
      <c r="V33" s="235">
        <f t="shared" si="0"/>
        <v>45.881999999999998</v>
      </c>
      <c r="W33" s="235">
        <f t="shared" si="0"/>
        <v>46.542999999999999</v>
      </c>
      <c r="X33" s="235">
        <f t="shared" si="0"/>
        <v>43.094000000000001</v>
      </c>
      <c r="Y33" s="235">
        <f t="shared" si="0"/>
        <v>41.31</v>
      </c>
      <c r="Z33" s="235">
        <f t="shared" si="0"/>
        <v>35.443000000000005</v>
      </c>
      <c r="AA33" s="235">
        <f t="shared" si="0"/>
        <v>36.096000000000004</v>
      </c>
      <c r="AB33" s="235">
        <f t="shared" si="0"/>
        <v>36.591999999999999</v>
      </c>
      <c r="AC33" s="415">
        <f t="shared" si="0"/>
        <v>35.305000000000007</v>
      </c>
    </row>
    <row r="34" spans="2:30" s="110" customFormat="1" x14ac:dyDescent="0.35">
      <c r="B34" s="641"/>
      <c r="C34" s="40" t="s">
        <v>18</v>
      </c>
      <c r="D34" s="375" t="s">
        <v>2</v>
      </c>
      <c r="E34" s="36">
        <f>'Emission Factors EF'!D9</f>
        <v>77400</v>
      </c>
      <c r="F34" s="36">
        <f>'Emission Factors EF'!E9</f>
        <v>3</v>
      </c>
      <c r="G34" s="36">
        <f>'Emission Factors EF'!F9</f>
        <v>0.6</v>
      </c>
      <c r="H34" s="36">
        <f>'Emission Factors EF'!G9</f>
        <v>0</v>
      </c>
      <c r="I34" s="615" t="str">
        <f>'Emission Factors EF'!H9</f>
        <v>kg GEI/TJ</v>
      </c>
      <c r="J34" s="36">
        <f>'Conversion Factors CF'!D11</f>
        <v>40.19</v>
      </c>
      <c r="K34" s="615" t="str">
        <f>'Conversion Factors CF'!E11</f>
        <v>TJ/Gg</v>
      </c>
      <c r="L34" s="530" t="s">
        <v>74</v>
      </c>
      <c r="M34" s="535">
        <f>M12+M14+M17+M21+M25+M28</f>
        <v>44.771304399999998</v>
      </c>
      <c r="N34" s="196">
        <f t="shared" ref="N34:AC34" si="1">N12+N14+N17+N21+N25+N28</f>
        <v>56.154289999999989</v>
      </c>
      <c r="O34" s="196">
        <f t="shared" si="1"/>
        <v>56.899714199999991</v>
      </c>
      <c r="P34" s="196">
        <f t="shared" si="1"/>
        <v>51.223894400000006</v>
      </c>
      <c r="Q34" s="196">
        <f t="shared" si="1"/>
        <v>45.922457600000008</v>
      </c>
      <c r="R34" s="196">
        <f t="shared" si="1"/>
        <v>42.630848399999991</v>
      </c>
      <c r="S34" s="196">
        <f t="shared" si="1"/>
        <v>53.820713999999995</v>
      </c>
      <c r="T34" s="196">
        <f t="shared" si="1"/>
        <v>55.801372799999989</v>
      </c>
      <c r="U34" s="196">
        <f t="shared" si="1"/>
        <v>50.364311999999991</v>
      </c>
      <c r="V34" s="196">
        <f t="shared" si="1"/>
        <v>43.176217199999996</v>
      </c>
      <c r="W34" s="196">
        <f t="shared" si="1"/>
        <v>41.572391199999998</v>
      </c>
      <c r="X34" s="196">
        <f t="shared" si="1"/>
        <v>40.418664799999995</v>
      </c>
      <c r="Y34" s="196">
        <f t="shared" si="1"/>
        <v>39.060074800000002</v>
      </c>
      <c r="Z34" s="196">
        <f t="shared" si="1"/>
        <v>39.286918799999995</v>
      </c>
      <c r="AA34" s="196">
        <f t="shared" si="1"/>
        <v>40.582369199999995</v>
      </c>
      <c r="AB34" s="196">
        <f t="shared" si="1"/>
        <v>37.314171199999997</v>
      </c>
      <c r="AC34" s="238">
        <f t="shared" si="1"/>
        <v>36.898779599999997</v>
      </c>
    </row>
    <row r="35" spans="2:30" s="110" customFormat="1" x14ac:dyDescent="0.35">
      <c r="B35" s="641"/>
      <c r="C35" s="40" t="s">
        <v>125</v>
      </c>
      <c r="D35" s="375" t="s">
        <v>2</v>
      </c>
      <c r="E35" s="36">
        <f>'Emission Factors EF'!D10</f>
        <v>63100</v>
      </c>
      <c r="F35" s="36">
        <f>'Emission Factors EF'!E10</f>
        <v>1</v>
      </c>
      <c r="G35" s="36">
        <f>'Emission Factors EF'!F10</f>
        <v>0.1</v>
      </c>
      <c r="H35" s="36">
        <f>'Emission Factors EF'!G10</f>
        <v>0</v>
      </c>
      <c r="I35" s="615" t="str">
        <f>'Emission Factors EF'!H10</f>
        <v>kg GEI/TJ</v>
      </c>
      <c r="J35" s="36">
        <f>'Conversion Factors CF'!D12</f>
        <v>47.3</v>
      </c>
      <c r="K35" s="615" t="str">
        <f>'Conversion Factors CF'!E12</f>
        <v>TJ/Gg</v>
      </c>
      <c r="L35" s="530" t="s">
        <v>74</v>
      </c>
      <c r="M35" s="535">
        <f>M11+M16+M20+M24+M29</f>
        <v>4.2713999999999999</v>
      </c>
      <c r="N35" s="196">
        <f t="shared" ref="N35:AC35" si="2">N11+N16+N20+N24+N29</f>
        <v>4.1754619999999996</v>
      </c>
      <c r="O35" s="196">
        <f t="shared" si="2"/>
        <v>4.0257259999999997</v>
      </c>
      <c r="P35" s="196">
        <f t="shared" si="2"/>
        <v>3.5418219999999998</v>
      </c>
      <c r="Q35" s="196">
        <f t="shared" si="2"/>
        <v>3.3632079999999998</v>
      </c>
      <c r="R35" s="196">
        <f t="shared" si="2"/>
        <v>4.4797779999999996</v>
      </c>
      <c r="S35" s="196">
        <f t="shared" si="2"/>
        <v>4.6617379999999997</v>
      </c>
      <c r="T35" s="196">
        <f t="shared" si="2"/>
        <v>4.7447039999999996</v>
      </c>
      <c r="U35" s="196">
        <f t="shared" si="2"/>
        <v>5.5682140000000002</v>
      </c>
      <c r="V35" s="196">
        <f t="shared" si="2"/>
        <v>5.6493479999999989</v>
      </c>
      <c r="W35" s="196">
        <f t="shared" si="2"/>
        <v>5.7736020000000003</v>
      </c>
      <c r="X35" s="196">
        <f t="shared" si="2"/>
        <v>5.841316</v>
      </c>
      <c r="Y35" s="196">
        <f t="shared" si="2"/>
        <v>6.0413399999999999</v>
      </c>
      <c r="Z35" s="196">
        <f t="shared" si="2"/>
        <v>5.849202</v>
      </c>
      <c r="AA35" s="196">
        <f t="shared" si="2"/>
        <v>5.9323439999999996</v>
      </c>
      <c r="AB35" s="196">
        <f t="shared" si="2"/>
        <v>6.1842879999999996</v>
      </c>
      <c r="AC35" s="238">
        <f t="shared" si="2"/>
        <v>6.0952699999999993</v>
      </c>
    </row>
    <row r="36" spans="2:30" s="110" customFormat="1" x14ac:dyDescent="0.35">
      <c r="B36" s="641"/>
      <c r="C36" s="40" t="s">
        <v>15</v>
      </c>
      <c r="D36" s="375" t="s">
        <v>2</v>
      </c>
      <c r="E36" s="36">
        <f>'Emission Factors EF'!D11</f>
        <v>96100</v>
      </c>
      <c r="F36" s="36">
        <f>'Emission Factors EF'!E11</f>
        <v>10</v>
      </c>
      <c r="G36" s="36">
        <f>'Emission Factors EF'!F11</f>
        <v>1.5</v>
      </c>
      <c r="H36" s="36">
        <f>'Emission Factors EF'!G11</f>
        <v>0</v>
      </c>
      <c r="I36" s="615" t="str">
        <f>'Emission Factors EF'!H11</f>
        <v>kg GEI/TJ</v>
      </c>
      <c r="J36" s="36" t="str">
        <f>'Conversion Factors CF'!D6</f>
        <v>Annual variation</v>
      </c>
      <c r="K36" s="615" t="str">
        <f>'Conversion Factors CF'!E6</f>
        <v>TJ/Gg</v>
      </c>
      <c r="L36" s="530" t="s">
        <v>74</v>
      </c>
      <c r="M36" s="535">
        <f>M13+M18+M22+M26+M30</f>
        <v>29.720602399999997</v>
      </c>
      <c r="N36" s="196">
        <f t="shared" ref="N36:AC36" si="3">N13+N18+N22+N26+N30</f>
        <v>32.376061399999998</v>
      </c>
      <c r="O36" s="196">
        <f t="shared" si="3"/>
        <v>32.571334419999999</v>
      </c>
      <c r="P36" s="196">
        <f t="shared" si="3"/>
        <v>35.017098079999997</v>
      </c>
      <c r="Q36" s="196">
        <f t="shared" si="3"/>
        <v>29.614128544000003</v>
      </c>
      <c r="R36" s="196">
        <f t="shared" si="3"/>
        <v>28.166389207999998</v>
      </c>
      <c r="S36" s="196">
        <f t="shared" si="3"/>
        <v>27.986176799999996</v>
      </c>
      <c r="T36" s="196">
        <f t="shared" si="3"/>
        <v>26.516864863999999</v>
      </c>
      <c r="U36" s="196">
        <f t="shared" si="3"/>
        <v>47.583502687999996</v>
      </c>
      <c r="V36" s="196">
        <f t="shared" si="3"/>
        <v>26.637982208</v>
      </c>
      <c r="W36" s="196">
        <f t="shared" si="3"/>
        <v>29.663107199999999</v>
      </c>
      <c r="X36" s="196">
        <f t="shared" si="3"/>
        <v>28.941161599999997</v>
      </c>
      <c r="Y36" s="196">
        <f t="shared" si="3"/>
        <v>30.199872799999994</v>
      </c>
      <c r="Z36" s="196">
        <f t="shared" si="3"/>
        <v>32.114803199999997</v>
      </c>
      <c r="AA36" s="196">
        <f t="shared" si="3"/>
        <v>36.009977599999999</v>
      </c>
      <c r="AB36" s="196">
        <f t="shared" si="3"/>
        <v>40.811013800000005</v>
      </c>
      <c r="AC36" s="238">
        <f t="shared" si="3"/>
        <v>37.519386400000002</v>
      </c>
    </row>
    <row r="37" spans="2:30" s="110" customFormat="1" hidden="1" x14ac:dyDescent="0.35">
      <c r="B37" s="641"/>
      <c r="C37" s="40" t="s">
        <v>136</v>
      </c>
      <c r="D37" s="375" t="s">
        <v>2</v>
      </c>
      <c r="E37" s="36">
        <f>'Emission Factors EF'!D12</f>
        <v>69300</v>
      </c>
      <c r="F37" s="36">
        <f>'Emission Factors EF'!E12</f>
        <v>3</v>
      </c>
      <c r="G37" s="36">
        <f>'Emission Factors EF'!F12</f>
        <v>0.6</v>
      </c>
      <c r="H37" s="36">
        <f>'Emission Factors EF'!G12</f>
        <v>0</v>
      </c>
      <c r="I37" s="615" t="str">
        <f>'Emission Factors EF'!H12</f>
        <v>kg GEI/TJ</v>
      </c>
      <c r="J37" s="36">
        <f>'Conversion Factors CF'!D10</f>
        <v>44.8</v>
      </c>
      <c r="K37" s="615" t="str">
        <f>'Conversion Factors CF'!E10</f>
        <v>TJ/Gg</v>
      </c>
      <c r="L37" s="530" t="s">
        <v>74</v>
      </c>
      <c r="M37" s="535">
        <f>M9</f>
        <v>0.54500000000000004</v>
      </c>
      <c r="N37" s="196">
        <f t="shared" ref="N37:AC37" si="4">N9</f>
        <v>0.54500000000000004</v>
      </c>
      <c r="O37" s="196">
        <f t="shared" si="4"/>
        <v>0.54500000000000004</v>
      </c>
      <c r="P37" s="196">
        <f t="shared" si="4"/>
        <v>0.54500000000000004</v>
      </c>
      <c r="Q37" s="196">
        <f t="shared" si="4"/>
        <v>0.54500000000000004</v>
      </c>
      <c r="R37" s="196">
        <f t="shared" si="4"/>
        <v>0.54500000000000004</v>
      </c>
      <c r="S37" s="196">
        <f t="shared" si="4"/>
        <v>0.54500000000000004</v>
      </c>
      <c r="T37" s="196">
        <f t="shared" si="4"/>
        <v>0.54500000000000004</v>
      </c>
      <c r="U37" s="196">
        <f t="shared" si="4"/>
        <v>0.54500000000000004</v>
      </c>
      <c r="V37" s="196">
        <f t="shared" si="4"/>
        <v>0.54500000000000004</v>
      </c>
      <c r="W37" s="196">
        <f t="shared" si="4"/>
        <v>0.54500000000000004</v>
      </c>
      <c r="X37" s="196">
        <f t="shared" si="4"/>
        <v>0.54500000000000004</v>
      </c>
      <c r="Y37" s="196">
        <f t="shared" si="4"/>
        <v>0.54500000000000004</v>
      </c>
      <c r="Z37" s="196">
        <f t="shared" si="4"/>
        <v>0.54500000000000004</v>
      </c>
      <c r="AA37" s="196">
        <f t="shared" si="4"/>
        <v>0.54500000000000004</v>
      </c>
      <c r="AB37" s="196">
        <f t="shared" si="4"/>
        <v>0.54600000000000004</v>
      </c>
      <c r="AC37" s="238">
        <f t="shared" si="4"/>
        <v>0.54600000000000004</v>
      </c>
    </row>
    <row r="38" spans="2:30" s="110" customFormat="1" x14ac:dyDescent="0.35">
      <c r="B38" s="641"/>
      <c r="C38" s="27" t="s">
        <v>126</v>
      </c>
      <c r="D38" s="375" t="s">
        <v>2</v>
      </c>
      <c r="E38" s="36">
        <f>'Emission Factors EF'!D13</f>
        <v>112000</v>
      </c>
      <c r="F38" s="36">
        <f>'Emission Factors EF'!E13</f>
        <v>30</v>
      </c>
      <c r="G38" s="36">
        <f>'Emission Factors EF'!F13</f>
        <v>4</v>
      </c>
      <c r="H38" s="36">
        <f>'Emission Factors EF'!G13</f>
        <v>0</v>
      </c>
      <c r="I38" s="615" t="str">
        <f>'Emission Factors EF'!H13</f>
        <v>kg GEI/TJ</v>
      </c>
      <c r="J38" s="36">
        <f>'Conversion Factors CF'!D13</f>
        <v>15.6</v>
      </c>
      <c r="K38" s="615" t="str">
        <f>'Conversion Factors CF'!E13</f>
        <v>TJ/Gg</v>
      </c>
      <c r="L38" s="530" t="s">
        <v>74</v>
      </c>
      <c r="M38" s="535">
        <f>M31</f>
        <v>1.5</v>
      </c>
      <c r="N38" s="196">
        <f t="shared" ref="N38:AC38" si="5">N31</f>
        <v>1.5</v>
      </c>
      <c r="O38" s="196">
        <f t="shared" si="5"/>
        <v>1.45</v>
      </c>
      <c r="P38" s="196">
        <f t="shared" si="5"/>
        <v>1.43</v>
      </c>
      <c r="Q38" s="196">
        <f t="shared" si="5"/>
        <v>1.415</v>
      </c>
      <c r="R38" s="196">
        <f t="shared" si="5"/>
        <v>1.4</v>
      </c>
      <c r="S38" s="196">
        <f t="shared" si="5"/>
        <v>1.425</v>
      </c>
      <c r="T38" s="196">
        <f t="shared" si="5"/>
        <v>1.425</v>
      </c>
      <c r="U38" s="196">
        <f t="shared" si="5"/>
        <v>1.425</v>
      </c>
      <c r="V38" s="196">
        <f t="shared" si="5"/>
        <v>1.4259999999999999</v>
      </c>
      <c r="W38" s="196">
        <f t="shared" si="5"/>
        <v>1.4259999999999999</v>
      </c>
      <c r="X38" s="196">
        <f t="shared" si="5"/>
        <v>1.425</v>
      </c>
      <c r="Y38" s="196">
        <f t="shared" si="5"/>
        <v>1.41</v>
      </c>
      <c r="Z38" s="196">
        <f t="shared" si="5"/>
        <v>1.385</v>
      </c>
      <c r="AA38" s="196">
        <f t="shared" si="5"/>
        <v>1.343</v>
      </c>
      <c r="AB38" s="196">
        <f t="shared" si="5"/>
        <v>1.3</v>
      </c>
      <c r="AC38" s="238">
        <f t="shared" si="5"/>
        <v>1.2609999999999999</v>
      </c>
    </row>
    <row r="39" spans="2:30" s="110" customFormat="1" x14ac:dyDescent="0.35">
      <c r="B39" s="641"/>
      <c r="C39" s="176" t="s">
        <v>16</v>
      </c>
      <c r="D39" s="489" t="s">
        <v>2</v>
      </c>
      <c r="E39" s="175">
        <f>'Emission Factors EF'!D14</f>
        <v>100000</v>
      </c>
      <c r="F39" s="175">
        <f>'Emission Factors EF'!E14</f>
        <v>30</v>
      </c>
      <c r="G39" s="175">
        <f>'Emission Factors EF'!F14</f>
        <v>4</v>
      </c>
      <c r="H39" s="175">
        <f>'Emission Factors EF'!G14</f>
        <v>0</v>
      </c>
      <c r="I39" s="613" t="str">
        <f>'Emission Factors EF'!H14</f>
        <v>kg GEI/TJ</v>
      </c>
      <c r="J39" s="175" t="str">
        <f>'Conversion Factors CF'!D7</f>
        <v>Annual variation</v>
      </c>
      <c r="K39" s="613" t="str">
        <f>'Conversion Factors CF'!E7</f>
        <v>TJ/Gg</v>
      </c>
      <c r="L39" s="531" t="s">
        <v>74</v>
      </c>
      <c r="M39" s="537">
        <f>M32</f>
        <v>531.79999999999995</v>
      </c>
      <c r="N39" s="268">
        <f t="shared" ref="N39:AC39" si="6">N32</f>
        <v>529</v>
      </c>
      <c r="O39" s="268">
        <f t="shared" si="6"/>
        <v>442.72199999999998</v>
      </c>
      <c r="P39" s="268">
        <f t="shared" si="6"/>
        <v>510.24599999999998</v>
      </c>
      <c r="Q39" s="268">
        <f t="shared" si="6"/>
        <v>518.37900000000002</v>
      </c>
      <c r="R39" s="268">
        <f t="shared" si="6"/>
        <v>476.19799999999998</v>
      </c>
      <c r="S39" s="268">
        <f t="shared" si="6"/>
        <v>463.56299999999999</v>
      </c>
      <c r="T39" s="268">
        <f t="shared" si="6"/>
        <v>400.64600000000002</v>
      </c>
      <c r="U39" s="268">
        <f t="shared" si="6"/>
        <v>239.27600000000001</v>
      </c>
      <c r="V39" s="268">
        <f t="shared" si="6"/>
        <v>226.75899999999999</v>
      </c>
      <c r="W39" s="268">
        <f t="shared" si="6"/>
        <v>265.988</v>
      </c>
      <c r="X39" s="268">
        <f t="shared" si="6"/>
        <v>244.28800000000001</v>
      </c>
      <c r="Y39" s="268">
        <f t="shared" si="6"/>
        <v>213.12299999999999</v>
      </c>
      <c r="Z39" s="268">
        <f t="shared" si="6"/>
        <v>204.565</v>
      </c>
      <c r="AA39" s="268">
        <f t="shared" si="6"/>
        <v>177.97300000000001</v>
      </c>
      <c r="AB39" s="268">
        <f t="shared" si="6"/>
        <v>197.64599999999999</v>
      </c>
      <c r="AC39" s="410">
        <f t="shared" si="6"/>
        <v>158.43100000000001</v>
      </c>
    </row>
    <row r="40" spans="2:30" s="1" customFormat="1" ht="43.5" x14ac:dyDescent="0.35">
      <c r="B40" s="486" t="s">
        <v>458</v>
      </c>
      <c r="C40" s="36" t="s">
        <v>22</v>
      </c>
      <c r="D40" s="487" t="s">
        <v>2</v>
      </c>
      <c r="E40" s="36">
        <f>'Emission Factors EF'!D15</f>
        <v>71500</v>
      </c>
      <c r="F40" s="36">
        <f>'Emission Factors EF'!E15</f>
        <v>0.5</v>
      </c>
      <c r="G40" s="36">
        <f>'Emission Factors EF'!F15</f>
        <v>2</v>
      </c>
      <c r="H40" s="36">
        <f>'Emission Factors EF'!G15</f>
        <v>0</v>
      </c>
      <c r="I40" s="615" t="str">
        <f>'Emission Factors EF'!H15</f>
        <v>kg GEI/TJ</v>
      </c>
      <c r="J40" s="36">
        <f>'Conversion Factors CF'!D15</f>
        <v>44.1</v>
      </c>
      <c r="K40" s="615" t="str">
        <f>'Conversion Factors CF'!E15</f>
        <v>TJ/Gg</v>
      </c>
      <c r="L40" s="530" t="s">
        <v>453</v>
      </c>
      <c r="M40" s="539">
        <f>'Activity Data Calculations'!F160</f>
        <v>192</v>
      </c>
      <c r="N40" s="200">
        <f>'Activity Data Calculations'!G160</f>
        <v>196</v>
      </c>
      <c r="O40" s="200">
        <f>'Activity Data Calculations'!H160</f>
        <v>198</v>
      </c>
      <c r="P40" s="200">
        <f>'Activity Data Calculations'!I160</f>
        <v>209</v>
      </c>
      <c r="Q40" s="200">
        <f>'Activity Data Calculations'!J160</f>
        <v>221</v>
      </c>
      <c r="R40" s="200">
        <f>'Activity Data Calculations'!K160</f>
        <v>229</v>
      </c>
      <c r="S40" s="200">
        <f>'Activity Data Calculations'!L160</f>
        <v>236</v>
      </c>
      <c r="T40" s="200">
        <f>'Activity Data Calculations'!M160</f>
        <v>250</v>
      </c>
      <c r="U40" s="200">
        <f>'Activity Data Calculations'!N160</f>
        <v>252</v>
      </c>
      <c r="V40" s="200">
        <f>'Activity Data Calculations'!O160</f>
        <v>208</v>
      </c>
      <c r="W40" s="200">
        <f>'Activity Data Calculations'!P160</f>
        <v>229</v>
      </c>
      <c r="X40" s="200">
        <f>'Activity Data Calculations'!Q160</f>
        <v>242</v>
      </c>
      <c r="Y40" s="200">
        <f>'Activity Data Calculations'!R160</f>
        <v>249</v>
      </c>
      <c r="Z40" s="200">
        <f>'Activity Data Calculations'!S160</f>
        <v>230</v>
      </c>
      <c r="AA40" s="200">
        <f>'Activity Data Calculations'!T160</f>
        <v>242</v>
      </c>
      <c r="AB40" s="200">
        <f>'Activity Data Calculations'!U160</f>
        <v>259</v>
      </c>
      <c r="AC40" s="397">
        <f>'Activity Data Calculations'!V160</f>
        <v>291</v>
      </c>
    </row>
    <row r="41" spans="2:30" x14ac:dyDescent="0.35">
      <c r="B41" s="270" t="s">
        <v>457</v>
      </c>
      <c r="C41" s="253" t="s">
        <v>22</v>
      </c>
      <c r="D41" s="373" t="s">
        <v>2</v>
      </c>
      <c r="E41" s="389">
        <f>'Emission Factors EF'!D16</f>
        <v>71500</v>
      </c>
      <c r="F41" s="389">
        <f>'Emission Factors EF'!E16</f>
        <v>0.5</v>
      </c>
      <c r="G41" s="389">
        <f>'Emission Factors EF'!F16</f>
        <v>2</v>
      </c>
      <c r="H41" s="389">
        <f>'Emission Factors EF'!G16</f>
        <v>0</v>
      </c>
      <c r="I41" s="614" t="str">
        <f>'Emission Factors EF'!H16</f>
        <v>kg GEI/TJ</v>
      </c>
      <c r="J41" s="389">
        <f>'Conversion Factors CF'!D16</f>
        <v>44.589999999999996</v>
      </c>
      <c r="K41" s="614" t="str">
        <f>'Conversion Factors CF'!E16</f>
        <v>TJ/Gg</v>
      </c>
      <c r="L41" s="529" t="s">
        <v>174</v>
      </c>
      <c r="M41" s="540">
        <f>'Activity Data Calculations'!F157/1000000</f>
        <v>1.4964587585539884</v>
      </c>
      <c r="N41" s="411">
        <f>'Activity Data Calculations'!G157/1000000</f>
        <v>1.5853105922526451</v>
      </c>
      <c r="O41" s="411">
        <f>'Activity Data Calculations'!H157/1000000</f>
        <v>1.8545477008507532</v>
      </c>
      <c r="P41" s="411">
        <f>'Activity Data Calculations'!I157/1000000</f>
        <v>1.9734248318839727</v>
      </c>
      <c r="Q41" s="411">
        <f>'Activity Data Calculations'!J157/1000000</f>
        <v>1.8862952239817377</v>
      </c>
      <c r="R41" s="411">
        <f>'Activity Data Calculations'!K157/1000000</f>
        <v>1.6895494153527135</v>
      </c>
      <c r="S41" s="233">
        <f>'Activity Data Calculations'!L157/1000000</f>
        <v>1.7524839175918125</v>
      </c>
      <c r="T41" s="233">
        <f>'Activity Data Calculations'!M157/1000000</f>
        <v>1.9607983497689678</v>
      </c>
      <c r="U41" s="412">
        <f>'Activity Data Calculations'!N157/1000000</f>
        <v>1.7534879999999999</v>
      </c>
      <c r="V41" s="412">
        <f>'Activity Data Calculations'!O157/1000000</f>
        <v>1.333704</v>
      </c>
      <c r="W41" s="412">
        <f>'Activity Data Calculations'!P157/1000000</f>
        <v>1.824068</v>
      </c>
      <c r="X41" s="412">
        <f>'Activity Data Calculations'!Q157/1000000</f>
        <v>1.9881530000000001</v>
      </c>
      <c r="Y41" s="412">
        <f>'Activity Data Calculations'!R157/1000000</f>
        <v>2.1111840000000002</v>
      </c>
      <c r="Z41" s="412">
        <f>'Activity Data Calculations'!S157/1000000</f>
        <v>2.1683270000000001</v>
      </c>
      <c r="AA41" s="413">
        <f>'Activity Data Calculations'!T157/1000000</f>
        <v>2.2401599999999999</v>
      </c>
      <c r="AB41" s="413">
        <f>'Activity Data Calculations'!U157/1000000</f>
        <v>2.6622029999999999</v>
      </c>
      <c r="AC41" s="414">
        <f>'Activity Data Calculations'!V157/1000000</f>
        <v>3.0447820000000001</v>
      </c>
      <c r="AD41" s="50"/>
    </row>
    <row r="42" spans="2:30" s="110" customFormat="1" x14ac:dyDescent="0.35">
      <c r="B42" s="644" t="s">
        <v>4</v>
      </c>
      <c r="C42" s="253" t="s">
        <v>540</v>
      </c>
      <c r="D42" s="614" t="s">
        <v>2</v>
      </c>
      <c r="E42" s="389">
        <f>'Emission Factors EF'!D$17</f>
        <v>69300</v>
      </c>
      <c r="F42" s="389">
        <f>'Emission Factors EF'!E$17</f>
        <v>33</v>
      </c>
      <c r="G42" s="389">
        <f>'Emission Factors EF'!F$17</f>
        <v>3.2</v>
      </c>
      <c r="H42" s="389">
        <f>'Emission Factors EF'!G$17</f>
        <v>0</v>
      </c>
      <c r="I42" s="614" t="str">
        <f>'Emission Factors EF'!H$17</f>
        <v>kg GEI/TJ</v>
      </c>
      <c r="J42" s="389">
        <f>'Conversion Factors CF'!D$19</f>
        <v>44.8</v>
      </c>
      <c r="K42" s="614" t="str">
        <f>'Conversion Factors CF'!E$19</f>
        <v>TJ/Gg</v>
      </c>
      <c r="L42" s="529" t="s">
        <v>76</v>
      </c>
      <c r="M42" s="198">
        <f>('Activity Data Calculations'!G246*'Activity Data Calculations'!$F$276/100*'Activity Data Calculations'!$F$277*'Activity Data Calculations'!$F$272)/1000000</f>
        <v>26.654062499999998</v>
      </c>
      <c r="N42" s="198">
        <f>('Activity Data Calculations'!H246*'Activity Data Calculations'!$F$276/100*'Activity Data Calculations'!$F$277*'Activity Data Calculations'!$F$272)/1000000</f>
        <v>27.794685693641618</v>
      </c>
      <c r="O42" s="198">
        <f>('Activity Data Calculations'!I246*'Activity Data Calculations'!$F$276/100*'Activity Data Calculations'!$F$277*'Activity Data Calculations'!$F$272)/1000000</f>
        <v>28.961304190751445</v>
      </c>
      <c r="P42" s="198">
        <f>('Activity Data Calculations'!J246*'Activity Data Calculations'!$F$276/100*'Activity Data Calculations'!$F$277*'Activity Data Calculations'!$F$272)/1000000</f>
        <v>30.110803829479767</v>
      </c>
      <c r="Q42" s="198">
        <f>('Activity Data Calculations'!K246*'Activity Data Calculations'!$F$276/100*'Activity Data Calculations'!$F$277*'Activity Data Calculations'!$F$272)/1000000</f>
        <v>31.771333092485552</v>
      </c>
      <c r="R42" s="198">
        <f>('Activity Data Calculations'!L246*'Activity Data Calculations'!$F$276/100*'Activity Data Calculations'!$F$277*'Activity Data Calculations'!$F$272)/1000000</f>
        <v>33.286669075144509</v>
      </c>
      <c r="S42" s="198">
        <f>('Activity Data Calculations'!M246*'Activity Data Calculations'!$F$276/100*'Activity Data Calculations'!$F$277*'Activity Data Calculations'!$F$272)/1000000</f>
        <v>34.808345375722546</v>
      </c>
      <c r="T42" s="198">
        <f>('Activity Data Calculations'!N246*'Activity Data Calculations'!$F$276/100*'Activity Data Calculations'!$F$277*'Activity Data Calculations'!$F$272)/1000000</f>
        <v>36.411177745664737</v>
      </c>
      <c r="U42" s="198">
        <f>('Activity Data Calculations'!O246*'Activity Data Calculations'!$F$276/100*'Activity Data Calculations'!$F$277*'Activity Data Calculations'!$F$272)/1000000</f>
        <v>38.292350072254337</v>
      </c>
      <c r="V42" s="198">
        <f>('Activity Data Calculations'!P246*'Activity Data Calculations'!$F$276/100*'Activity Data Calculations'!$F$277*'Activity Data Calculations'!$F$272)/1000000</f>
        <v>39.938930635838148</v>
      </c>
      <c r="W42" s="198">
        <f>('Activity Data Calculations'!Q246*'Activity Data Calculations'!$F$276/100*'Activity Data Calculations'!$F$277*'Activity Data Calculations'!$F$272)/1000000</f>
        <v>41.855608742774578</v>
      </c>
      <c r="X42" s="198">
        <f>('Activity Data Calculations'!R246*'Activity Data Calculations'!$F$276/100*'Activity Data Calculations'!$F$277*'Activity Data Calculations'!$F$272)/1000000</f>
        <v>43.68796062138729</v>
      </c>
      <c r="Y42" s="198">
        <f>('Activity Data Calculations'!S246*'Activity Data Calculations'!$F$276/100*'Activity Data Calculations'!$F$277*'Activity Data Calculations'!$F$272)/1000000</f>
        <v>45.978083453757222</v>
      </c>
      <c r="Z42" s="198">
        <f>('Activity Data Calculations'!T246*'Activity Data Calculations'!$F$276/100*'Activity Data Calculations'!$F$277*'Activity Data Calculations'!$F$272)/1000000</f>
        <v>48.331609465317918</v>
      </c>
      <c r="AA42" s="413">
        <f>'Transport Data 14-16'!Q55+'Transport Data 14-16'!Q61</f>
        <v>42.359264585659012</v>
      </c>
      <c r="AB42" s="413">
        <f>'Transport Data 14-16'!R55+'Transport Data 14-16'!R61</f>
        <v>55.593807052013801</v>
      </c>
      <c r="AC42" s="413">
        <f>'Transport Data 14-16'!S55+'Transport Data 14-16'!S61</f>
        <v>66.696436808626245</v>
      </c>
      <c r="AD42" s="50"/>
    </row>
    <row r="43" spans="2:30" s="110" customFormat="1" x14ac:dyDescent="0.35">
      <c r="B43" s="644"/>
      <c r="C43" s="253" t="s">
        <v>541</v>
      </c>
      <c r="D43" s="614" t="s">
        <v>2</v>
      </c>
      <c r="E43" s="389">
        <f>'Emission Factors EF'!D$18</f>
        <v>74100</v>
      </c>
      <c r="F43" s="389">
        <f>'Emission Factors EF'!E$18</f>
        <v>3.9</v>
      </c>
      <c r="G43" s="389">
        <f>'Emission Factors EF'!F$18</f>
        <v>3.9</v>
      </c>
      <c r="H43" s="389">
        <f>'Emission Factors EF'!G$18</f>
        <v>0</v>
      </c>
      <c r="I43" s="614" t="str">
        <f>'Emission Factors EF'!H$18</f>
        <v>kg GEI/TJ</v>
      </c>
      <c r="J43" s="389">
        <f>'Conversion Factors CF'!D$20</f>
        <v>43.33</v>
      </c>
      <c r="K43" s="614" t="str">
        <f>'Conversion Factors CF'!E$20</f>
        <v>TJ/Gg</v>
      </c>
      <c r="L43" s="529" t="s">
        <v>76</v>
      </c>
      <c r="M43" s="198">
        <f>('Activity Data Calculations'!G247*'Activity Data Calculations'!$F$278/100*'Activity Data Calculations'!$F$279*'Activity Data Calculations'!$F$273)/1000000</f>
        <v>3.3959241722305493</v>
      </c>
      <c r="N43" s="198">
        <f>('Activity Data Calculations'!H247*'Activity Data Calculations'!$F$278/100*'Activity Data Calculations'!$F$279*'Activity Data Calculations'!$F$273)/1000000</f>
        <v>3.5418185379479494</v>
      </c>
      <c r="O43" s="198">
        <f>('Activity Data Calculations'!I247*'Activity Data Calculations'!$F$278/100*'Activity Data Calculations'!$F$279*'Activity Data Calculations'!$F$273)/1000000</f>
        <v>3.6908170391061454</v>
      </c>
      <c r="P43" s="198">
        <f>('Activity Data Calculations'!J247*'Activity Data Calculations'!$F$278/100*'Activity Data Calculations'!$F$279*'Activity Data Calculations'!$F$273)/1000000</f>
        <v>3.837746116637144</v>
      </c>
      <c r="Q43" s="198">
        <f>('Activity Data Calculations'!K247*'Activity Data Calculations'!$F$278/100*'Activity Data Calculations'!$F$279*'Activity Data Calculations'!$F$273)/1000000</f>
        <v>4.0508967502384525</v>
      </c>
      <c r="R43" s="198">
        <f>('Activity Data Calculations'!L247*'Activity Data Calculations'!$F$278/100*'Activity Data Calculations'!$F$279*'Activity Data Calculations'!$F$273)/1000000</f>
        <v>4.243353147567789</v>
      </c>
      <c r="S43" s="198">
        <f>('Activity Data Calculations'!M247*'Activity Data Calculations'!$F$278/100*'Activity Data Calculations'!$F$279*'Activity Data Calculations'!$F$273)/1000000</f>
        <v>4.4378789685243216</v>
      </c>
      <c r="T43" s="198">
        <f>('Activity Data Calculations'!N247*'Activity Data Calculations'!$F$278/100*'Activity Data Calculations'!$F$279*'Activity Data Calculations'!$F$273)/1000000</f>
        <v>4.6437866194304407</v>
      </c>
      <c r="U43" s="198">
        <f>('Activity Data Calculations'!O247*'Activity Data Calculations'!$F$278/100*'Activity Data Calculations'!$F$279*'Activity Data Calculations'!$F$273)/1000000</f>
        <v>4.8828050483717123</v>
      </c>
      <c r="V43" s="198">
        <f>('Activity Data Calculations'!P247*'Activity Data Calculations'!$F$278/100*'Activity Data Calculations'!$F$279*'Activity Data Calculations'!$F$273)/1000000</f>
        <v>5.0928515465322262</v>
      </c>
      <c r="W43" s="198">
        <f>('Activity Data Calculations'!Q247*'Activity Data Calculations'!$F$278/100*'Activity Data Calculations'!$F$279*'Activity Data Calculations'!$F$273)/1000000</f>
        <v>5.3370435345414915</v>
      </c>
      <c r="X43" s="198">
        <f>('Activity Data Calculations'!R247*'Activity Data Calculations'!$F$278/100*'Activity Data Calculations'!$F$279*'Activity Data Calculations'!$F$273)/1000000</f>
        <v>5.5708884044147711</v>
      </c>
      <c r="Y43" s="198">
        <f>('Activity Data Calculations'!S247*'Activity Data Calculations'!$F$278/100*'Activity Data Calculations'!$F$279*'Activity Data Calculations'!$F$273)/1000000</f>
        <v>5.8626771358495713</v>
      </c>
      <c r="Z43" s="198">
        <f>('Activity Data Calculations'!T247*'Activity Data Calculations'!$F$278/100*'Activity Data Calculations'!$F$279*'Activity Data Calculations'!$F$273)/1000000</f>
        <v>6.1637782736067583</v>
      </c>
      <c r="AA43" s="413">
        <f>'Transport Data 14-16'!Q57+'Transport Data 14-16'!Q63</f>
        <v>4.8147915186404244</v>
      </c>
      <c r="AB43" s="413">
        <f>'Transport Data 14-16'!R57+'Transport Data 14-16'!R63</f>
        <v>5.2963459068209158</v>
      </c>
      <c r="AC43" s="413">
        <f>'Transport Data 14-16'!S57+'Transport Data 14-16'!S63</f>
        <v>7.1966467657236386</v>
      </c>
      <c r="AD43" s="50"/>
    </row>
    <row r="44" spans="2:30" s="110" customFormat="1" x14ac:dyDescent="0.35">
      <c r="B44" s="644"/>
      <c r="C44" s="253" t="s">
        <v>542</v>
      </c>
      <c r="D44" s="614" t="s">
        <v>2</v>
      </c>
      <c r="E44" s="389">
        <f>'Emission Factors EF'!D$19</f>
        <v>63100</v>
      </c>
      <c r="F44" s="389">
        <f>'Emission Factors EF'!E$19</f>
        <v>62</v>
      </c>
      <c r="G44" s="389">
        <f>'Emission Factors EF'!F$19</f>
        <v>0.2</v>
      </c>
      <c r="H44" s="389">
        <f>'Emission Factors EF'!G$19</f>
        <v>0</v>
      </c>
      <c r="I44" s="614" t="str">
        <f>'Emission Factors EF'!H$19</f>
        <v>kg GEI/TJ</v>
      </c>
      <c r="J44" s="389">
        <f>'Conversion Factors CF'!D$21</f>
        <v>47.309999999999995</v>
      </c>
      <c r="K44" s="614" t="str">
        <f>'Conversion Factors CF'!E$21</f>
        <v>TJ/Gg</v>
      </c>
      <c r="L44" s="529" t="s">
        <v>76</v>
      </c>
      <c r="M44" s="198">
        <f>('Activity Data Calculations'!G248*'Activity Data Calculations'!$F$280/100*'Activity Data Calculations'!$F$281*'Activity Data Calculations'!$F$274)/1000000</f>
        <v>2.5399740098310638E-2</v>
      </c>
      <c r="N44" s="198">
        <f>('Activity Data Calculations'!H248*'Activity Data Calculations'!$F$280/100*'Activity Data Calculations'!$F$281*'Activity Data Calculations'!$F$274)/1000000</f>
        <v>2.6772699022543645E-2</v>
      </c>
      <c r="O44" s="198">
        <f>('Activity Data Calculations'!I248*'Activity Data Calculations'!$F$280/100*'Activity Data Calculations'!$F$281*'Activity Data Calculations'!$F$274)/1000000</f>
        <v>2.8145657946776655E-2</v>
      </c>
      <c r="P44" s="198">
        <f>('Activity Data Calculations'!J248*'Activity Data Calculations'!$F$280/100*'Activity Data Calculations'!$F$281*'Activity Data Calculations'!$F$274)/1000000</f>
        <v>2.883213740889316E-2</v>
      </c>
      <c r="Q44" s="198">
        <f>('Activity Data Calculations'!K248*'Activity Data Calculations'!$F$280/100*'Activity Data Calculations'!$F$281*'Activity Data Calculations'!$F$274)/1000000</f>
        <v>3.0205096333126166E-2</v>
      </c>
      <c r="R44" s="198">
        <f>('Activity Data Calculations'!L248*'Activity Data Calculations'!$F$280/100*'Activity Data Calculations'!$F$281*'Activity Data Calculations'!$F$274)/1000000</f>
        <v>3.2264534719475678E-2</v>
      </c>
      <c r="S44" s="198">
        <f>('Activity Data Calculations'!M248*'Activity Data Calculations'!$F$280/100*'Activity Data Calculations'!$F$281*'Activity Data Calculations'!$F$274)/1000000</f>
        <v>3.3637493643708688E-2</v>
      </c>
      <c r="T44" s="198">
        <f>('Activity Data Calculations'!N248*'Activity Data Calculations'!$F$280/100*'Activity Data Calculations'!$F$281*'Activity Data Calculations'!$F$274)/1000000</f>
        <v>3.5010452567941691E-2</v>
      </c>
      <c r="U44" s="198">
        <f>('Activity Data Calculations'!O248*'Activity Data Calculations'!$F$280/100*'Activity Data Calculations'!$F$281*'Activity Data Calculations'!$F$274)/1000000</f>
        <v>3.7069890954291203E-2</v>
      </c>
      <c r="V44" s="198">
        <f>('Activity Data Calculations'!P248*'Activity Data Calculations'!$F$280/100*'Activity Data Calculations'!$F$281*'Activity Data Calculations'!$F$274)/1000000</f>
        <v>3.8442849878524213E-2</v>
      </c>
      <c r="W44" s="198">
        <f>('Activity Data Calculations'!Q248*'Activity Data Calculations'!$F$280/100*'Activity Data Calculations'!$F$281*'Activity Data Calculations'!$F$274)/1000000</f>
        <v>4.0502288264873725E-2</v>
      </c>
      <c r="X44" s="198">
        <f>('Activity Data Calculations'!R248*'Activity Data Calculations'!$F$280/100*'Activity Data Calculations'!$F$281*'Activity Data Calculations'!$F$274)/1000000</f>
        <v>4.1875247189106735E-2</v>
      </c>
      <c r="Y44" s="198">
        <f>('Activity Data Calculations'!S248*'Activity Data Calculations'!$F$280/100*'Activity Data Calculations'!$F$281*'Activity Data Calculations'!$F$274)/1000000</f>
        <v>4.3934685575456239E-2</v>
      </c>
      <c r="Z44" s="198">
        <f>('Activity Data Calculations'!T248*'Activity Data Calculations'!$F$280/100*'Activity Data Calculations'!$F$281*'Activity Data Calculations'!$F$274)/1000000</f>
        <v>4.6680603423922259E-2</v>
      </c>
      <c r="AA44" s="413">
        <f>'Transport Data 14-16'!Q59</f>
        <v>8.0799230873973074E-2</v>
      </c>
      <c r="AB44" s="413">
        <f>'Transport Data 14-16'!R59</f>
        <v>9.8210791696409765E-3</v>
      </c>
      <c r="AC44" s="413">
        <f>'Transport Data 14-16'!S59</f>
        <v>1.1554261758674331E-2</v>
      </c>
      <c r="AD44" s="50"/>
    </row>
    <row r="45" spans="2:30" s="110" customFormat="1" x14ac:dyDescent="0.35">
      <c r="B45" s="644"/>
      <c r="C45" s="253" t="s">
        <v>543</v>
      </c>
      <c r="D45" s="614" t="s">
        <v>2</v>
      </c>
      <c r="E45" s="389">
        <f>'Emission Factors EF'!D$17</f>
        <v>69300</v>
      </c>
      <c r="F45" s="389">
        <f>'Emission Factors EF'!E$17</f>
        <v>33</v>
      </c>
      <c r="G45" s="389">
        <f>'Emission Factors EF'!F$17</f>
        <v>3.2</v>
      </c>
      <c r="H45" s="389">
        <f>'Emission Factors EF'!G$17</f>
        <v>0</v>
      </c>
      <c r="I45" s="614" t="str">
        <f>'Emission Factors EF'!H$17</f>
        <v>kg GEI/TJ</v>
      </c>
      <c r="J45" s="389">
        <f>'Conversion Factors CF'!D$19</f>
        <v>44.8</v>
      </c>
      <c r="K45" s="614" t="str">
        <f>'Conversion Factors CF'!E$19</f>
        <v>TJ/Gg</v>
      </c>
      <c r="L45" s="529" t="s">
        <v>76</v>
      </c>
      <c r="M45" s="198">
        <f>('Activity Data Calculations'!G251*'Activity Data Calculations'!$F$276/100*'Activity Data Calculations'!$F$277*'Activity Data Calculations'!$F$272)/1000000</f>
        <v>31.588731936416185</v>
      </c>
      <c r="N45" s="198">
        <f>('Activity Data Calculations'!H251*'Activity Data Calculations'!$F$276/100*'Activity Data Calculations'!$F$277*'Activity Data Calculations'!$F$272)/1000000</f>
        <v>32.943657875722543</v>
      </c>
      <c r="O45" s="198">
        <f>('Activity Data Calculations'!I251*'Activity Data Calculations'!$F$276/100*'Activity Data Calculations'!$F$277*'Activity Data Calculations'!$F$272)/1000000</f>
        <v>34.329651372832373</v>
      </c>
      <c r="P45" s="198">
        <f>('Activity Data Calculations'!J251*'Activity Data Calculations'!$F$276/100*'Activity Data Calculations'!$F$277*'Activity Data Calculations'!$F$272)/1000000</f>
        <v>35.695989884393065</v>
      </c>
      <c r="Q45" s="198">
        <f>('Activity Data Calculations'!K251*'Activity Data Calculations'!$F$276/100*'Activity Data Calculations'!$F$277*'Activity Data Calculations'!$F$272)/1000000</f>
        <v>37.667828757225429</v>
      </c>
      <c r="R45" s="198">
        <f>('Activity Data Calculations'!L251*'Activity Data Calculations'!$F$276/100*'Activity Data Calculations'!$F$277*'Activity Data Calculations'!$F$272)/1000000</f>
        <v>39.467845014450873</v>
      </c>
      <c r="S45" s="198">
        <f>('Activity Data Calculations'!M251*'Activity Data Calculations'!$F$276/100*'Activity Data Calculations'!$F$277*'Activity Data Calculations'!$F$272)/1000000</f>
        <v>41.276737716763002</v>
      </c>
      <c r="T45" s="198">
        <f>('Activity Data Calculations'!N251*'Activity Data Calculations'!$F$276/100*'Activity Data Calculations'!$F$277*'Activity Data Calculations'!$F$272)/1000000</f>
        <v>43.178199060693636</v>
      </c>
      <c r="U45" s="198">
        <f>('Activity Data Calculations'!O251*'Activity Data Calculations'!$F$276/100*'Activity Data Calculations'!$F$277*'Activity Data Calculations'!$F$272)/1000000</f>
        <v>45.409990968208099</v>
      </c>
      <c r="V45" s="198">
        <f>('Activity Data Calculations'!P251*'Activity Data Calculations'!$F$276/100*'Activity Data Calculations'!$F$277*'Activity Data Calculations'!$F$272)/1000000</f>
        <v>47.360906791907517</v>
      </c>
      <c r="W45" s="198">
        <f>('Activity Data Calculations'!Q251*'Activity Data Calculations'!$F$276/100*'Activity Data Calculations'!$F$277*'Activity Data Calculations'!$F$272)/1000000</f>
        <v>49.633910765895955</v>
      </c>
      <c r="X45" s="198">
        <f>('Activity Data Calculations'!R251*'Activity Data Calculations'!$F$276/100*'Activity Data Calculations'!$F$277*'Activity Data Calculations'!$F$272)/1000000</f>
        <v>51.807371748554914</v>
      </c>
      <c r="Y45" s="198">
        <f>('Activity Data Calculations'!S251*'Activity Data Calculations'!$F$276/100*'Activity Data Calculations'!$F$277*'Activity Data Calculations'!$F$272)/1000000</f>
        <v>54.527368135838152</v>
      </c>
      <c r="Z45" s="198">
        <f>('Activity Data Calculations'!T251*'Activity Data Calculations'!$F$276/100*'Activity Data Calculations'!$F$277*'Activity Data Calculations'!$F$272)/1000000</f>
        <v>57.322180274566477</v>
      </c>
      <c r="AA45" s="413">
        <f>'Transport Data 14-16'!Q56+'Transport Data 14-16'!Q62</f>
        <v>59.395518326848574</v>
      </c>
      <c r="AB45" s="413">
        <f>'Transport Data 14-16'!R56+'Transport Data 14-16'!R62</f>
        <v>65.72317361865619</v>
      </c>
      <c r="AC45" s="413">
        <f>'Transport Data 14-16'!S56+'Transport Data 14-16'!S62</f>
        <v>67.336775719686841</v>
      </c>
      <c r="AD45" s="50"/>
    </row>
    <row r="46" spans="2:30" s="110" customFormat="1" x14ac:dyDescent="0.35">
      <c r="B46" s="644"/>
      <c r="C46" s="253" t="s">
        <v>544</v>
      </c>
      <c r="D46" s="614" t="s">
        <v>2</v>
      </c>
      <c r="E46" s="389">
        <f>'Emission Factors EF'!D$18</f>
        <v>74100</v>
      </c>
      <c r="F46" s="389">
        <f>'Emission Factors EF'!E$18</f>
        <v>3.9</v>
      </c>
      <c r="G46" s="389">
        <f>'Emission Factors EF'!F$18</f>
        <v>3.9</v>
      </c>
      <c r="H46" s="389">
        <f>'Emission Factors EF'!G$18</f>
        <v>0</v>
      </c>
      <c r="I46" s="614" t="str">
        <f>'Emission Factors EF'!H$18</f>
        <v>kg GEI/TJ</v>
      </c>
      <c r="J46" s="389">
        <f>'Conversion Factors CF'!D$20</f>
        <v>43.33</v>
      </c>
      <c r="K46" s="614" t="str">
        <f>'Conversion Factors CF'!E$20</f>
        <v>TJ/Gg</v>
      </c>
      <c r="L46" s="529" t="s">
        <v>76</v>
      </c>
      <c r="M46" s="198">
        <f>('Activity Data Calculations'!G252*'Activity Data Calculations'!$F$278/100*'Activity Data Calculations'!$F$279*'Activity Data Calculations'!$F$273)/1000000</f>
        <v>5.3546336353726662</v>
      </c>
      <c r="N46" s="198">
        <f>('Activity Data Calculations'!H252*'Activity Data Calculations'!$F$278/100*'Activity Data Calculations'!$F$279*'Activity Data Calculations'!$F$273)/1000000</f>
        <v>5.5884785052459467</v>
      </c>
      <c r="O46" s="198">
        <f>('Activity Data Calculations'!I252*'Activity Data Calculations'!$F$278/100*'Activity Data Calculations'!$F$279*'Activity Data Calculations'!$F$273)/1000000</f>
        <v>5.8285316460008172</v>
      </c>
      <c r="P46" s="198">
        <f>('Activity Data Calculations'!J252*'Activity Data Calculations'!$F$278/100*'Activity Data Calculations'!$F$279*'Activity Data Calculations'!$F$273)/1000000</f>
        <v>6.0654806513148936</v>
      </c>
      <c r="Q46" s="198">
        <f>('Activity Data Calculations'!K252*'Activity Data Calculations'!$F$278/100*'Activity Data Calculations'!$F$279*'Activity Data Calculations'!$F$273)/1000000</f>
        <v>6.4048661261752287</v>
      </c>
      <c r="R46" s="198">
        <f>('Activity Data Calculations'!L252*'Activity Data Calculations'!$F$278/100*'Activity Data Calculations'!$F$279*'Activity Data Calculations'!$F$273)/1000000</f>
        <v>6.7163143820684033</v>
      </c>
      <c r="S46" s="198">
        <f>('Activity Data Calculations'!M252*'Activity Data Calculations'!$F$278/100*'Activity Data Calculations'!$F$279*'Activity Data Calculations'!$F$273)/1000000</f>
        <v>7.0298320615887739</v>
      </c>
      <c r="T46" s="198">
        <f>('Activity Data Calculations'!N252*'Activity Data Calculations'!$F$278/100*'Activity Data Calculations'!$F$279*'Activity Data Calculations'!$F$273)/1000000</f>
        <v>7.3557662828723265</v>
      </c>
      <c r="U46" s="198">
        <f>('Activity Data Calculations'!O252*'Activity Data Calculations'!$F$278/100*'Activity Data Calculations'!$F$279*'Activity Data Calculations'!$F$273)/1000000</f>
        <v>7.7355055184630066</v>
      </c>
      <c r="V46" s="198">
        <f>('Activity Data Calculations'!P252*'Activity Data Calculations'!$F$278/100*'Activity Data Calculations'!$F$279*'Activity Data Calculations'!$F$273)/1000000</f>
        <v>8.067648010628151</v>
      </c>
      <c r="W46" s="198">
        <f>('Activity Data Calculations'!Q252*'Activity Data Calculations'!$F$278/100*'Activity Data Calculations'!$F$279*'Activity Data Calculations'!$F$273)/1000000</f>
        <v>8.4535955171004229</v>
      </c>
      <c r="X46" s="198">
        <f>('Activity Data Calculations'!R252*'Activity Data Calculations'!$F$278/100*'Activity Data Calculations'!$F$279*'Activity Data Calculations'!$F$273)/1000000</f>
        <v>8.8260917699959123</v>
      </c>
      <c r="Y46" s="198">
        <f>('Activity Data Calculations'!S252*'Activity Data Calculations'!$F$278/100*'Activity Data Calculations'!$F$279*'Activity Data Calculations'!$F$273)/1000000</f>
        <v>9.2948162215560703</v>
      </c>
      <c r="Z46" s="198">
        <f>('Activity Data Calculations'!T252*'Activity Data Calculations'!$F$278/100*'Activity Data Calculations'!$F$279*'Activity Data Calculations'!$F$273)/1000000</f>
        <v>9.776991926693011</v>
      </c>
      <c r="AA46" s="413">
        <f>'Transport Data 14-16'!Q58+'Transport Data 14-16'!Q64</f>
        <v>10.179207669647671</v>
      </c>
      <c r="AB46" s="413">
        <f>'Transport Data 14-16'!R58+'Transport Data 14-16'!R64</f>
        <v>10.074551373877824</v>
      </c>
      <c r="AC46" s="413">
        <f>'Transport Data 14-16'!S58+'Transport Data 14-16'!S64</f>
        <v>11.18629380646118</v>
      </c>
      <c r="AD46" s="50"/>
    </row>
    <row r="47" spans="2:30" s="110" customFormat="1" x14ac:dyDescent="0.35">
      <c r="B47" s="644"/>
      <c r="C47" s="253" t="s">
        <v>545</v>
      </c>
      <c r="D47" s="614" t="s">
        <v>2</v>
      </c>
      <c r="E47" s="389">
        <f>'Emission Factors EF'!D$19</f>
        <v>63100</v>
      </c>
      <c r="F47" s="389">
        <f>'Emission Factors EF'!E$19</f>
        <v>62</v>
      </c>
      <c r="G47" s="389">
        <f>'Emission Factors EF'!F$19</f>
        <v>0.2</v>
      </c>
      <c r="H47" s="389">
        <f>'Emission Factors EF'!G$19</f>
        <v>0</v>
      </c>
      <c r="I47" s="614" t="str">
        <f>'Emission Factors EF'!H$19</f>
        <v>kg GEI/TJ</v>
      </c>
      <c r="J47" s="389">
        <f>'Conversion Factors CF'!D$21</f>
        <v>47.309999999999995</v>
      </c>
      <c r="K47" s="614" t="str">
        <f>'Conversion Factors CF'!E$21</f>
        <v>TJ/Gg</v>
      </c>
      <c r="L47" s="529" t="s">
        <v>76</v>
      </c>
      <c r="M47" s="198">
        <f>('Activity Data Calculations'!G253*'Activity Data Calculations'!$F$280/100*'Activity Data Calculations'!$F$281*'Activity Data Calculations'!$F$274)/1000000</f>
        <v>5.0799480196621276E-2</v>
      </c>
      <c r="N47" s="198">
        <f>('Activity Data Calculations'!H253*'Activity Data Calculations'!$F$280/100*'Activity Data Calculations'!$F$281*'Activity Data Calculations'!$F$274)/1000000</f>
        <v>5.2858918582970787E-2</v>
      </c>
      <c r="O47" s="198">
        <f>('Activity Data Calculations'!I253*'Activity Data Calculations'!$F$280/100*'Activity Data Calculations'!$F$281*'Activity Data Calculations'!$F$274)/1000000</f>
        <v>5.4918356969320299E-2</v>
      </c>
      <c r="P47" s="198">
        <f>('Activity Data Calculations'!J253*'Activity Data Calculations'!$F$280/100*'Activity Data Calculations'!$F$281*'Activity Data Calculations'!$F$274)/1000000</f>
        <v>5.6977795355669811E-2</v>
      </c>
      <c r="Q47" s="198">
        <f>('Activity Data Calculations'!K253*'Activity Data Calculations'!$F$280/100*'Activity Data Calculations'!$F$281*'Activity Data Calculations'!$F$274)/1000000</f>
        <v>6.0410192666252333E-2</v>
      </c>
      <c r="R47" s="198">
        <f>('Activity Data Calculations'!L253*'Activity Data Calculations'!$F$280/100*'Activity Data Calculations'!$F$281*'Activity Data Calculations'!$F$274)/1000000</f>
        <v>6.3156110514718339E-2</v>
      </c>
      <c r="S47" s="198">
        <f>('Activity Data Calculations'!M253*'Activity Data Calculations'!$F$280/100*'Activity Data Calculations'!$F$281*'Activity Data Calculations'!$F$274)/1000000</f>
        <v>6.5902028363184359E-2</v>
      </c>
      <c r="T47" s="198">
        <f>('Activity Data Calculations'!N253*'Activity Data Calculations'!$F$280/100*'Activity Data Calculations'!$F$281*'Activity Data Calculations'!$F$274)/1000000</f>
        <v>6.9334425673766881E-2</v>
      </c>
      <c r="U47" s="198">
        <f>('Activity Data Calculations'!O253*'Activity Data Calculations'!$F$280/100*'Activity Data Calculations'!$F$281*'Activity Data Calculations'!$F$274)/1000000</f>
        <v>7.2766822984349389E-2</v>
      </c>
      <c r="V47" s="198">
        <f>('Activity Data Calculations'!P253*'Activity Data Calculations'!$F$280/100*'Activity Data Calculations'!$F$281*'Activity Data Calculations'!$F$274)/1000000</f>
        <v>7.6199220294931924E-2</v>
      </c>
      <c r="W47" s="198">
        <f>('Activity Data Calculations'!Q253*'Activity Data Calculations'!$F$280/100*'Activity Data Calculations'!$F$281*'Activity Data Calculations'!$F$274)/1000000</f>
        <v>7.9631617605514432E-2</v>
      </c>
      <c r="X47" s="198">
        <f>('Activity Data Calculations'!R253*'Activity Data Calculations'!$F$280/100*'Activity Data Calculations'!$F$281*'Activity Data Calculations'!$F$274)/1000000</f>
        <v>8.3064014916096954E-2</v>
      </c>
      <c r="Y47" s="198">
        <f>('Activity Data Calculations'!S253*'Activity Data Calculations'!$F$280/100*'Activity Data Calculations'!$F$281*'Activity Data Calculations'!$F$274)/1000000</f>
        <v>8.7182891688795977E-2</v>
      </c>
      <c r="Z47" s="198">
        <f>('Activity Data Calculations'!T253*'Activity Data Calculations'!$F$280/100*'Activity Data Calculations'!$F$281*'Activity Data Calculations'!$F$274)/1000000</f>
        <v>9.1988247923611502E-2</v>
      </c>
      <c r="AA47" s="413">
        <f>'Transport Data 14-16'!Q60</f>
        <v>1.815660627266838E-2</v>
      </c>
      <c r="AB47" s="413">
        <f>'Transport Data 14-16'!R60</f>
        <v>0.11785572285055269</v>
      </c>
      <c r="AC47" s="413">
        <f>'Transport Data 14-16'!S60</f>
        <v>0.11727805308785118</v>
      </c>
      <c r="AD47" s="50"/>
    </row>
    <row r="48" spans="2:30" s="110" customFormat="1" x14ac:dyDescent="0.35">
      <c r="B48" s="644"/>
      <c r="C48" s="253" t="s">
        <v>546</v>
      </c>
      <c r="D48" s="614" t="s">
        <v>2</v>
      </c>
      <c r="E48" s="389">
        <f>'Emission Factors EF'!D$17</f>
        <v>69300</v>
      </c>
      <c r="F48" s="389">
        <f>'Emission Factors EF'!E$17</f>
        <v>33</v>
      </c>
      <c r="G48" s="389">
        <f>'Emission Factors EF'!F$17</f>
        <v>3.2</v>
      </c>
      <c r="H48" s="389">
        <f>'Emission Factors EF'!G$17</f>
        <v>0</v>
      </c>
      <c r="I48" s="614" t="str">
        <f>'Emission Factors EF'!H$17</f>
        <v>kg GEI/TJ</v>
      </c>
      <c r="J48" s="389">
        <f>'Conversion Factors CF'!D$19</f>
        <v>44.8</v>
      </c>
      <c r="K48" s="614" t="str">
        <f>'Conversion Factors CF'!E$19</f>
        <v>TJ/Gg</v>
      </c>
      <c r="L48" s="529" t="s">
        <v>76</v>
      </c>
      <c r="M48" s="198">
        <f>('Activity Data Calculations'!G256*'Activity Data Calculations'!$F$282/100*'Activity Data Calculations'!$F$283*'Activity Data Calculations'!$F$272)/1000000</f>
        <v>11.795687861271675</v>
      </c>
      <c r="N48" s="198">
        <f>('Activity Data Calculations'!H256*'Activity Data Calculations'!$F$282/100*'Activity Data Calculations'!$F$283*'Activity Data Calculations'!$F$272)/1000000</f>
        <v>12.311209537572255</v>
      </c>
      <c r="O48" s="198">
        <f>('Activity Data Calculations'!I256*'Activity Data Calculations'!$F$282/100*'Activity Data Calculations'!$F$283*'Activity Data Calculations'!$F$272)/1000000</f>
        <v>12.839638728323701</v>
      </c>
      <c r="P48" s="198">
        <f>('Activity Data Calculations'!J256*'Activity Data Calculations'!$F$282/100*'Activity Data Calculations'!$F$283*'Activity Data Calculations'!$F$272)/1000000</f>
        <v>13.362504335260116</v>
      </c>
      <c r="Q48" s="198">
        <f>('Activity Data Calculations'!K256*'Activity Data Calculations'!$F$282/100*'Activity Data Calculations'!$F$283*'Activity Data Calculations'!$F$272)/1000000</f>
        <v>14.108692196531793</v>
      </c>
      <c r="R48" s="198">
        <f>('Activity Data Calculations'!L256*'Activity Data Calculations'!$F$282/100*'Activity Data Calculations'!$F$283*'Activity Data Calculations'!$F$272)/1000000</f>
        <v>14.794236994219654</v>
      </c>
      <c r="S48" s="198">
        <f>('Activity Data Calculations'!M256*'Activity Data Calculations'!$F$282/100*'Activity Data Calculations'!$F$283*'Activity Data Calculations'!$F$272)/1000000</f>
        <v>15.484789017341042</v>
      </c>
      <c r="T48" s="198">
        <f>('Activity Data Calculations'!N256*'Activity Data Calculations'!$F$282/100*'Activity Data Calculations'!$F$283*'Activity Data Calculations'!$F$272)/1000000</f>
        <v>16.20249132947977</v>
      </c>
      <c r="U48" s="198">
        <f>('Activity Data Calculations'!O256*'Activity Data Calculations'!$F$282/100*'Activity Data Calculations'!$F$283*'Activity Data Calculations'!$F$272)/1000000</f>
        <v>17.041479768786129</v>
      </c>
      <c r="V48" s="198">
        <f>('Activity Data Calculations'!P256*'Activity Data Calculations'!$F$282/100*'Activity Data Calculations'!$F$283*'Activity Data Calculations'!$F$272)/1000000</f>
        <v>17.770976878612714</v>
      </c>
      <c r="W48" s="198">
        <f>('Activity Data Calculations'!Q256*'Activity Data Calculations'!$F$282/100*'Activity Data Calculations'!$F$283*'Activity Data Calculations'!$F$272)/1000000</f>
        <v>18.620869942196531</v>
      </c>
      <c r="X48" s="198">
        <f>('Activity Data Calculations'!R256*'Activity Data Calculations'!$F$282/100*'Activity Data Calculations'!$F$283*'Activity Data Calculations'!$F$272)/1000000</f>
        <v>19.441387283236995</v>
      </c>
      <c r="Y48" s="198">
        <f>('Activity Data Calculations'!S256*'Activity Data Calculations'!$F$282/100*'Activity Data Calculations'!$F$283*'Activity Data Calculations'!$F$272)/1000000</f>
        <v>20.472764450867054</v>
      </c>
      <c r="Z48" s="198">
        <f>('Activity Data Calculations'!T256*'Activity Data Calculations'!$F$282/100*'Activity Data Calculations'!$F$283*'Activity Data Calculations'!$F$272)/1000000</f>
        <v>21.535186416184974</v>
      </c>
      <c r="AA48" s="413">
        <f>'Transport Data 14-16'!Q65</f>
        <v>15.133921965317917</v>
      </c>
      <c r="AB48" s="413">
        <f>'Transport Data 14-16'!R65</f>
        <v>20.344677745664736</v>
      </c>
      <c r="AC48" s="413">
        <f>'Transport Data 14-16'!S65</f>
        <v>22.532797687861272</v>
      </c>
      <c r="AD48" s="50"/>
    </row>
    <row r="49" spans="2:30" s="110" customFormat="1" x14ac:dyDescent="0.35">
      <c r="B49" s="644"/>
      <c r="C49" s="253" t="s">
        <v>547</v>
      </c>
      <c r="D49" s="614" t="s">
        <v>2</v>
      </c>
      <c r="E49" s="389">
        <f>'Emission Factors EF'!D$17</f>
        <v>69300</v>
      </c>
      <c r="F49" s="389">
        <f>'Emission Factors EF'!E$17</f>
        <v>33</v>
      </c>
      <c r="G49" s="389">
        <f>'Emission Factors EF'!F$17</f>
        <v>3.2</v>
      </c>
      <c r="H49" s="389">
        <f>'Emission Factors EF'!G$17</f>
        <v>0</v>
      </c>
      <c r="I49" s="614" t="str">
        <f>'Emission Factors EF'!H$17</f>
        <v>kg GEI/TJ</v>
      </c>
      <c r="J49" s="389">
        <f>'Conversion Factors CF'!D$19</f>
        <v>44.8</v>
      </c>
      <c r="K49" s="614" t="str">
        <f>'Conversion Factors CF'!E$19</f>
        <v>TJ/Gg</v>
      </c>
      <c r="L49" s="529" t="s">
        <v>76</v>
      </c>
      <c r="M49" s="198">
        <f>('Activity Data Calculations'!G257*'Activity Data Calculations'!$F$284/100*'Activity Data Calculations'!$F$285*'Activity Data Calculations'!$F$272)/1000000</f>
        <v>0.39485549132947978</v>
      </c>
      <c r="N49" s="198">
        <f>('Activity Data Calculations'!H257*'Activity Data Calculations'!$F$284/100*'Activity Data Calculations'!$F$285*'Activity Data Calculations'!$F$272)/1000000</f>
        <v>0.41168171965317923</v>
      </c>
      <c r="O49" s="198">
        <f>('Activity Data Calculations'!I257*'Activity Data Calculations'!$F$284/100*'Activity Data Calculations'!$F$285*'Activity Data Calculations'!$F$272)/1000000</f>
        <v>0.42962969653179195</v>
      </c>
      <c r="P49" s="198">
        <f>('Activity Data Calculations'!J257*'Activity Data Calculations'!$F$284/100*'Activity Data Calculations'!$F$285*'Activity Data Calculations'!$F$272)/1000000</f>
        <v>0.44645592485549135</v>
      </c>
      <c r="Q49" s="198">
        <f>('Activity Data Calculations'!K257*'Activity Data Calculations'!$F$284/100*'Activity Data Calculations'!$F$285*'Activity Data Calculations'!$F$272)/1000000</f>
        <v>0.47113439306358385</v>
      </c>
      <c r="R49" s="198">
        <f>('Activity Data Calculations'!L257*'Activity Data Calculations'!$F$284/100*'Activity Data Calculations'!$F$285*'Activity Data Calculations'!$F$272)/1000000</f>
        <v>0.49356936416184971</v>
      </c>
      <c r="S49" s="198">
        <f>('Activity Data Calculations'!M257*'Activity Data Calculations'!$F$284/100*'Activity Data Calculations'!$F$285*'Activity Data Calculations'!$F$272)/1000000</f>
        <v>0.51600433526011558</v>
      </c>
      <c r="T49" s="198">
        <f>('Activity Data Calculations'!N257*'Activity Data Calculations'!$F$284/100*'Activity Data Calculations'!$F$285*'Activity Data Calculations'!$F$272)/1000000</f>
        <v>0.53956105491329487</v>
      </c>
      <c r="U49" s="198">
        <f>('Activity Data Calculations'!O257*'Activity Data Calculations'!$F$284/100*'Activity Data Calculations'!$F$285*'Activity Data Calculations'!$F$272)/1000000</f>
        <v>0.56872651734104052</v>
      </c>
      <c r="V49" s="198">
        <f>('Activity Data Calculations'!P257*'Activity Data Calculations'!$F$284/100*'Activity Data Calculations'!$F$285*'Activity Data Calculations'!$F$272)/1000000</f>
        <v>0.5922832369942197</v>
      </c>
      <c r="W49" s="198">
        <f>('Activity Data Calculations'!Q257*'Activity Data Calculations'!$F$284/100*'Activity Data Calculations'!$F$285*'Activity Data Calculations'!$F$272)/1000000</f>
        <v>0.62032695086705203</v>
      </c>
      <c r="X49" s="198">
        <f>('Activity Data Calculations'!R257*'Activity Data Calculations'!$F$284/100*'Activity Data Calculations'!$F$285*'Activity Data Calculations'!$F$272)/1000000</f>
        <v>0.64724891618497116</v>
      </c>
      <c r="Y49" s="198">
        <f>('Activity Data Calculations'!S257*'Activity Data Calculations'!$F$284/100*'Activity Data Calculations'!$F$285*'Activity Data Calculations'!$F$272)/1000000</f>
        <v>0.68202312138728327</v>
      </c>
      <c r="Z49" s="198">
        <f>('Activity Data Calculations'!T257*'Activity Data Calculations'!$F$284/100*'Activity Data Calculations'!$F$285*'Activity Data Calculations'!$F$272)/1000000</f>
        <v>0.71679732658959538</v>
      </c>
      <c r="AA49" s="413">
        <f>'Transport Data 14-16'!Q66</f>
        <v>0.55324673338593799</v>
      </c>
      <c r="AB49" s="413">
        <f>'Transport Data 14-16'!R66</f>
        <v>0.81752383619870483</v>
      </c>
      <c r="AC49" s="413">
        <f>'Transport Data 14-16'!S66</f>
        <v>0.90086336829762481</v>
      </c>
      <c r="AD49" s="50"/>
    </row>
    <row r="50" spans="2:30" s="110" customFormat="1" x14ac:dyDescent="0.35">
      <c r="B50" s="644"/>
      <c r="C50" s="253" t="s">
        <v>548</v>
      </c>
      <c r="D50" s="614" t="s">
        <v>2</v>
      </c>
      <c r="E50" s="389">
        <f>'Emission Factors EF'!D$18</f>
        <v>74100</v>
      </c>
      <c r="F50" s="389">
        <f>'Emission Factors EF'!E$18</f>
        <v>3.9</v>
      </c>
      <c r="G50" s="389">
        <f>'Emission Factors EF'!F$18</f>
        <v>3.9</v>
      </c>
      <c r="H50" s="389">
        <f>'Emission Factors EF'!G$18</f>
        <v>0</v>
      </c>
      <c r="I50" s="614" t="str">
        <f>'Emission Factors EF'!H$18</f>
        <v>kg GEI/TJ</v>
      </c>
      <c r="J50" s="389">
        <f>'Conversion Factors CF'!D$20</f>
        <v>43.33</v>
      </c>
      <c r="K50" s="614" t="str">
        <f>'Conversion Factors CF'!E$20</f>
        <v>TJ/Gg</v>
      </c>
      <c r="L50" s="529" t="s">
        <v>76</v>
      </c>
      <c r="M50" s="198">
        <f>('Activity Data Calculations'!G258*'Activity Data Calculations'!$F$284/100*'Activity Data Calculations'!$F$285*'Activity Data Calculations'!$F$273)/1000000</f>
        <v>8.4814752520779404</v>
      </c>
      <c r="N50" s="198">
        <f>('Activity Data Calculations'!H258*'Activity Data Calculations'!$F$284/100*'Activity Data Calculations'!$F$285*'Activity Data Calculations'!$F$273)/1000000</f>
        <v>8.8516721453876546</v>
      </c>
      <c r="O50" s="198">
        <f>('Activity Data Calculations'!I258*'Activity Data Calculations'!$F$284/100*'Activity Data Calculations'!$F$285*'Activity Data Calculations'!$F$273)/1000000</f>
        <v>9.2337682245537547</v>
      </c>
      <c r="P50" s="198">
        <f>('Activity Data Calculations'!J258*'Activity Data Calculations'!$F$284/100*'Activity Data Calculations'!$F$285*'Activity Data Calculations'!$F$273)/1000000</f>
        <v>9.6092536449107513</v>
      </c>
      <c r="Q50" s="198">
        <f>('Activity Data Calculations'!K258*'Activity Data Calculations'!$F$284/100*'Activity Data Calculations'!$F$285*'Activity Data Calculations'!$F$273)/1000000</f>
        <v>10.147361271971659</v>
      </c>
      <c r="R50" s="198">
        <f>('Activity Data Calculations'!L258*'Activity Data Calculations'!$F$284/100*'Activity Data Calculations'!$F$285*'Activity Data Calculations'!$F$273)/1000000</f>
        <v>10.641838550892492</v>
      </c>
      <c r="S50" s="198">
        <f>('Activity Data Calculations'!M258*'Activity Data Calculations'!$F$284/100*'Activity Data Calculations'!$F$285*'Activity Data Calculations'!$F$273)/1000000</f>
        <v>11.138960093336967</v>
      </c>
      <c r="T50" s="198">
        <f>('Activity Data Calculations'!N258*'Activity Data Calculations'!$F$284/100*'Activity Data Calculations'!$F$285*'Activity Data Calculations'!$F$273)/1000000</f>
        <v>11.655913612208748</v>
      </c>
      <c r="U50" s="198">
        <f>('Activity Data Calculations'!O258*'Activity Data Calculations'!$F$284/100*'Activity Data Calculations'!$F$285*'Activity Data Calculations'!$F$273)/1000000</f>
        <v>12.258805695598856</v>
      </c>
      <c r="V50" s="198">
        <f>('Activity Data Calculations'!P258*'Activity Data Calculations'!$F$284/100*'Activity Data Calculations'!$F$285*'Activity Data Calculations'!$F$273)/1000000</f>
        <v>12.78501413680338</v>
      </c>
      <c r="W50" s="198">
        <f>('Activity Data Calculations'!Q258*'Activity Data Calculations'!$F$284/100*'Activity Data Calculations'!$F$285*'Activity Data Calculations'!$F$273)/1000000</f>
        <v>13.394516879002589</v>
      </c>
      <c r="X50" s="198">
        <f>('Activity Data Calculations'!R258*'Activity Data Calculations'!$F$284/100*'Activity Data Calculations'!$F$285*'Activity Data Calculations'!$F$273)/1000000</f>
        <v>13.985509776536313</v>
      </c>
      <c r="Y50" s="198">
        <f>('Activity Data Calculations'!S258*'Activity Data Calculations'!$F$284/100*'Activity Data Calculations'!$F$285*'Activity Data Calculations'!$F$273)/1000000</f>
        <v>14.728547826679383</v>
      </c>
      <c r="Z50" s="198">
        <f>('Activity Data Calculations'!T258*'Activity Data Calculations'!$F$284/100*'Activity Data Calculations'!$F$285*'Activity Data Calculations'!$F$273)/1000000</f>
        <v>15.494062116773403</v>
      </c>
      <c r="AA50" s="413">
        <f>'Transport Data 14-16'!Q68</f>
        <v>12.421925214027503</v>
      </c>
      <c r="AB50" s="413">
        <f>'Transport Data 14-16'!R68</f>
        <v>12.703810819068597</v>
      </c>
      <c r="AC50" s="413">
        <f>'Transport Data 14-16'!S68</f>
        <v>15.111663175941688</v>
      </c>
      <c r="AD50" s="50"/>
    </row>
    <row r="51" spans="2:30" s="110" customFormat="1" x14ac:dyDescent="0.35">
      <c r="B51" s="644"/>
      <c r="C51" s="253" t="s">
        <v>549</v>
      </c>
      <c r="D51" s="614" t="s">
        <v>2</v>
      </c>
      <c r="E51" s="389">
        <f>'Emission Factors EF'!D$19</f>
        <v>63100</v>
      </c>
      <c r="F51" s="389">
        <f>'Emission Factors EF'!E$19</f>
        <v>62</v>
      </c>
      <c r="G51" s="389">
        <f>'Emission Factors EF'!F$19</f>
        <v>0.2</v>
      </c>
      <c r="H51" s="389">
        <f>'Emission Factors EF'!G$19</f>
        <v>0</v>
      </c>
      <c r="I51" s="614" t="str">
        <f>'Emission Factors EF'!H$19</f>
        <v>kg GEI/TJ</v>
      </c>
      <c r="J51" s="389">
        <f>'Conversion Factors CF'!D$21</f>
        <v>47.309999999999995</v>
      </c>
      <c r="K51" s="614" t="str">
        <f>'Conversion Factors CF'!E$21</f>
        <v>TJ/Gg</v>
      </c>
      <c r="L51" s="529" t="s">
        <v>76</v>
      </c>
      <c r="M51" s="198">
        <f>('Activity Data Calculations'!G259*'Activity Data Calculations'!$F$284/100*'Activity Data Calculations'!$F$285*'Activity Data Calculations'!$F$274)/1000000</f>
        <v>2.6315046047799312E-3</v>
      </c>
      <c r="N51" s="198">
        <f>('Activity Data Calculations'!H259*'Activity Data Calculations'!$F$284/100*'Activity Data Calculations'!$F$285*'Activity Data Calculations'!$F$274)/1000000</f>
        <v>2.6315046047799312E-3</v>
      </c>
      <c r="O51" s="198">
        <f>('Activity Data Calculations'!I259*'Activity Data Calculations'!$F$284/100*'Activity Data Calculations'!$F$285*'Activity Data Calculations'!$F$274)/1000000</f>
        <v>3.5086728063732412E-3</v>
      </c>
      <c r="P51" s="198">
        <f>('Activity Data Calculations'!J259*'Activity Data Calculations'!$F$284/100*'Activity Data Calculations'!$F$285*'Activity Data Calculations'!$F$274)/1000000</f>
        <v>3.5086728063732412E-3</v>
      </c>
      <c r="Q51" s="198">
        <f>('Activity Data Calculations'!K259*'Activity Data Calculations'!$F$284/100*'Activity Data Calculations'!$F$285*'Activity Data Calculations'!$F$274)/1000000</f>
        <v>3.5086728063732412E-3</v>
      </c>
      <c r="R51" s="198">
        <f>('Activity Data Calculations'!L259*'Activity Data Calculations'!$F$284/100*'Activity Data Calculations'!$F$285*'Activity Data Calculations'!$F$274)/1000000</f>
        <v>3.5086728063732412E-3</v>
      </c>
      <c r="S51" s="198">
        <f>('Activity Data Calculations'!M259*'Activity Data Calculations'!$F$284/100*'Activity Data Calculations'!$F$285*'Activity Data Calculations'!$F$274)/1000000</f>
        <v>3.5086728063732412E-3</v>
      </c>
      <c r="T51" s="198">
        <f>('Activity Data Calculations'!N259*'Activity Data Calculations'!$F$284/100*'Activity Data Calculations'!$F$285*'Activity Data Calculations'!$F$274)/1000000</f>
        <v>3.5086728063732412E-3</v>
      </c>
      <c r="U51" s="198">
        <f>('Activity Data Calculations'!O259*'Activity Data Calculations'!$F$284/100*'Activity Data Calculations'!$F$285*'Activity Data Calculations'!$F$274)/1000000</f>
        <v>3.5086728063732412E-3</v>
      </c>
      <c r="V51" s="198">
        <f>('Activity Data Calculations'!P259*'Activity Data Calculations'!$F$284/100*'Activity Data Calculations'!$F$285*'Activity Data Calculations'!$F$274)/1000000</f>
        <v>4.3858410079665507E-3</v>
      </c>
      <c r="W51" s="198">
        <f>('Activity Data Calculations'!Q259*'Activity Data Calculations'!$F$284/100*'Activity Data Calculations'!$F$285*'Activity Data Calculations'!$F$274)/1000000</f>
        <v>4.3858410079665507E-3</v>
      </c>
      <c r="X51" s="198">
        <f>('Activity Data Calculations'!R259*'Activity Data Calculations'!$F$284/100*'Activity Data Calculations'!$F$285*'Activity Data Calculations'!$F$274)/1000000</f>
        <v>4.3858410079665507E-3</v>
      </c>
      <c r="Y51" s="198">
        <f>('Activity Data Calculations'!S259*'Activity Data Calculations'!$F$284/100*'Activity Data Calculations'!$F$285*'Activity Data Calculations'!$F$274)/1000000</f>
        <v>4.3858410079665507E-3</v>
      </c>
      <c r="Z51" s="198">
        <f>('Activity Data Calculations'!T259*'Activity Data Calculations'!$F$284/100*'Activity Data Calculations'!$F$285*'Activity Data Calculations'!$F$274)/1000000</f>
        <v>4.3858410079665507E-3</v>
      </c>
      <c r="AA51" s="413">
        <f>'Transport Data 14-16'!Q70</f>
        <v>3.7585351521823213E-3</v>
      </c>
      <c r="AB51" s="413">
        <f>'Transport Data 14-16'!R70</f>
        <v>4.8974851982981765E-3</v>
      </c>
      <c r="AC51" s="413">
        <f>'Transport Data 14-16'!S70</f>
        <v>6.756995477671E-3</v>
      </c>
      <c r="AD51" s="50"/>
    </row>
    <row r="52" spans="2:30" s="110" customFormat="1" x14ac:dyDescent="0.35">
      <c r="B52" s="644"/>
      <c r="C52" s="253" t="s">
        <v>550</v>
      </c>
      <c r="D52" s="614" t="s">
        <v>2</v>
      </c>
      <c r="E52" s="389">
        <f>'Emission Factors EF'!D$17</f>
        <v>69300</v>
      </c>
      <c r="F52" s="389">
        <f>'Emission Factors EF'!E$17</f>
        <v>33</v>
      </c>
      <c r="G52" s="389">
        <f>'Emission Factors EF'!F$17</f>
        <v>3.2</v>
      </c>
      <c r="H52" s="389">
        <f>'Emission Factors EF'!G$17</f>
        <v>0</v>
      </c>
      <c r="I52" s="614" t="str">
        <f>'Emission Factors EF'!H$17</f>
        <v>kg GEI/TJ</v>
      </c>
      <c r="J52" s="389">
        <f>'Conversion Factors CF'!D$19</f>
        <v>44.8</v>
      </c>
      <c r="K52" s="614" t="str">
        <f>'Conversion Factors CF'!E$19</f>
        <v>TJ/Gg</v>
      </c>
      <c r="L52" s="529" t="s">
        <v>76</v>
      </c>
      <c r="M52" s="198">
        <f>('Activity Data Calculations'!G260*'Activity Data Calculations'!$F$284/100*'Activity Data Calculations'!$F$285*'Activity Data Calculations'!$F$272)/1000000</f>
        <v>3.1936181358381504</v>
      </c>
      <c r="N52" s="198">
        <f>('Activity Data Calculations'!H260*'Activity Data Calculations'!$F$284/100*'Activity Data Calculations'!$F$285*'Activity Data Calculations'!$F$272)/1000000</f>
        <v>3.3304714595375722</v>
      </c>
      <c r="O52" s="198">
        <f>('Activity Data Calculations'!I260*'Activity Data Calculations'!$F$284/100*'Activity Data Calculations'!$F$285*'Activity Data Calculations'!$F$272)/1000000</f>
        <v>3.4695682803468211</v>
      </c>
      <c r="P52" s="198">
        <f>('Activity Data Calculations'!J260*'Activity Data Calculations'!$F$284/100*'Activity Data Calculations'!$F$285*'Activity Data Calculations'!$F$272)/1000000</f>
        <v>3.607543352601156</v>
      </c>
      <c r="Q52" s="198">
        <f>('Activity Data Calculations'!K260*'Activity Data Calculations'!$F$284/100*'Activity Data Calculations'!$F$285*'Activity Data Calculations'!$F$272)/1000000</f>
        <v>3.8060928468208095</v>
      </c>
      <c r="R52" s="198">
        <f>('Activity Data Calculations'!L260*'Activity Data Calculations'!$F$284/100*'Activity Data Calculations'!$F$285*'Activity Data Calculations'!$F$272)/1000000</f>
        <v>3.9889378612716766</v>
      </c>
      <c r="S52" s="198">
        <f>('Activity Data Calculations'!M260*'Activity Data Calculations'!$F$284/100*'Activity Data Calculations'!$F$285*'Activity Data Calculations'!$F$272)/1000000</f>
        <v>4.1706611271676302</v>
      </c>
      <c r="T52" s="198">
        <f>('Activity Data Calculations'!N260*'Activity Data Calculations'!$F$284/100*'Activity Data Calculations'!$F$285*'Activity Data Calculations'!$F$272)/1000000</f>
        <v>4.3624801300578033</v>
      </c>
      <c r="U52" s="198">
        <f>('Activity Data Calculations'!O260*'Activity Data Calculations'!$F$284/100*'Activity Data Calculations'!$F$285*'Activity Data Calculations'!$F$272)/1000000</f>
        <v>4.5879515895953755</v>
      </c>
      <c r="V52" s="198">
        <f>('Activity Data Calculations'!P260*'Activity Data Calculations'!$F$284/100*'Activity Data Calculations'!$F$285*'Activity Data Calculations'!$F$272)/1000000</f>
        <v>4.786501083815029</v>
      </c>
      <c r="W52" s="198">
        <f>('Activity Data Calculations'!Q260*'Activity Data Calculations'!$F$284/100*'Activity Data Calculations'!$F$285*'Activity Data Calculations'!$F$272)/1000000</f>
        <v>5.0153377890173401</v>
      </c>
      <c r="X52" s="198">
        <f>('Activity Data Calculations'!R260*'Activity Data Calculations'!$F$284/100*'Activity Data Calculations'!$F$285*'Activity Data Calculations'!$F$272)/1000000</f>
        <v>5.2352005057803472</v>
      </c>
      <c r="Y52" s="198">
        <f>('Activity Data Calculations'!S260*'Activity Data Calculations'!$F$284/100*'Activity Data Calculations'!$F$285*'Activity Data Calculations'!$F$272)/1000000</f>
        <v>5.5089071531791909</v>
      </c>
      <c r="Z52" s="198">
        <f>('Activity Data Calculations'!T260*'Activity Data Calculations'!$F$284/100*'Activity Data Calculations'!$F$285*'Activity Data Calculations'!$F$272)/1000000</f>
        <v>5.7915877890173411</v>
      </c>
      <c r="AA52" s="413">
        <f>'Transport Data 14-16'!Q67</f>
        <v>4.0378729621673015</v>
      </c>
      <c r="AB52" s="413">
        <f>'Transport Data 14-16'!R67</f>
        <v>5.5208923035603545</v>
      </c>
      <c r="AC52" s="413">
        <f>'Transport Data 14-16'!S67</f>
        <v>5.471742575789202</v>
      </c>
      <c r="AD52" s="50"/>
    </row>
    <row r="53" spans="2:30" s="110" customFormat="1" x14ac:dyDescent="0.35">
      <c r="B53" s="644"/>
      <c r="C53" s="253" t="s">
        <v>551</v>
      </c>
      <c r="D53" s="614" t="s">
        <v>2</v>
      </c>
      <c r="E53" s="389">
        <f>'Emission Factors EF'!D$18</f>
        <v>74100</v>
      </c>
      <c r="F53" s="389">
        <f>'Emission Factors EF'!E$18</f>
        <v>3.9</v>
      </c>
      <c r="G53" s="389">
        <f>'Emission Factors EF'!F$18</f>
        <v>3.9</v>
      </c>
      <c r="H53" s="389">
        <f>'Emission Factors EF'!G$18</f>
        <v>0</v>
      </c>
      <c r="I53" s="614" t="str">
        <f>'Emission Factors EF'!H$18</f>
        <v>kg GEI/TJ</v>
      </c>
      <c r="J53" s="389">
        <f>'Conversion Factors CF'!D$20</f>
        <v>43.33</v>
      </c>
      <c r="K53" s="614" t="str">
        <f>'Conversion Factors CF'!E$20</f>
        <v>TJ/Gg</v>
      </c>
      <c r="L53" s="529" t="s">
        <v>76</v>
      </c>
      <c r="M53" s="198">
        <f>('Activity Data Calculations'!G261*'Activity Data Calculations'!$F$284/100*'Activity Data Calculations'!$F$285*'Activity Data Calculations'!$F$273)/1000000</f>
        <v>13.516153001090068</v>
      </c>
      <c r="N53" s="198">
        <f>('Activity Data Calculations'!H261*'Activity Data Calculations'!$F$284/100*'Activity Data Calculations'!$F$285*'Activity Data Calculations'!$F$273)/1000000</f>
        <v>14.109790162147432</v>
      </c>
      <c r="O53" s="198">
        <f>('Activity Data Calculations'!I261*'Activity Data Calculations'!$F$284/100*'Activity Data Calculations'!$F$285*'Activity Data Calculations'!$F$273)/1000000</f>
        <v>14.719292904346641</v>
      </c>
      <c r="P53" s="198">
        <f>('Activity Data Calculations'!J261*'Activity Data Calculations'!$F$284/100*'Activity Data Calculations'!$F$285*'Activity Data Calculations'!$F$273)/1000000</f>
        <v>15.32086285597493</v>
      </c>
      <c r="Q53" s="198">
        <f>('Activity Data Calculations'!K261*'Activity Data Calculations'!$F$284/100*'Activity Data Calculations'!$F$285*'Activity Data Calculations'!$F$273)/1000000</f>
        <v>16.178926369396375</v>
      </c>
      <c r="R53" s="198">
        <f>('Activity Data Calculations'!L261*'Activity Data Calculations'!$F$284/100*'Activity Data Calculations'!$F$285*'Activity Data Calculations'!$F$273)/1000000</f>
        <v>16.968239031203161</v>
      </c>
      <c r="S53" s="198">
        <f>('Activity Data Calculations'!M261*'Activity Data Calculations'!$F$284/100*'Activity Data Calculations'!$F$285*'Activity Data Calculations'!$F$273)/1000000</f>
        <v>17.764162351819049</v>
      </c>
      <c r="T53" s="198">
        <f>('Activity Data Calculations'!N261*'Activity Data Calculations'!$F$284/100*'Activity Data Calculations'!$F$285*'Activity Data Calculations'!$F$273)/1000000</f>
        <v>18.587850439433165</v>
      </c>
      <c r="U53" s="198">
        <f>('Activity Data Calculations'!O261*'Activity Data Calculations'!$F$284/100*'Activity Data Calculations'!$F$285*'Activity Data Calculations'!$F$273)/1000000</f>
        <v>19.550362362038427</v>
      </c>
      <c r="V53" s="198">
        <f>('Activity Data Calculations'!P261*'Activity Data Calculations'!$F$284/100*'Activity Data Calculations'!$F$285*'Activity Data Calculations'!$F$273)/1000000</f>
        <v>20.387271767270747</v>
      </c>
      <c r="W53" s="198">
        <f>('Activity Data Calculations'!Q261*'Activity Data Calculations'!$F$284/100*'Activity Data Calculations'!$F$285*'Activity Data Calculations'!$F$273)/1000000</f>
        <v>21.361682875732388</v>
      </c>
      <c r="X53" s="198">
        <f>('Activity Data Calculations'!R261*'Activity Data Calculations'!$F$284/100*'Activity Data Calculations'!$F$285*'Activity Data Calculations'!$F$273)/1000000</f>
        <v>22.304362821910345</v>
      </c>
      <c r="Y53" s="198">
        <f>('Activity Data Calculations'!S261*'Activity Data Calculations'!$F$284/100*'Activity Data Calculations'!$F$285*'Activity Data Calculations'!$F$273)/1000000</f>
        <v>23.490315012263252</v>
      </c>
      <c r="Z53" s="198">
        <f>('Activity Data Calculations'!T261*'Activity Data Calculations'!$F$284/100*'Activity Data Calculations'!$F$285*'Activity Data Calculations'!$F$273)/1000000</f>
        <v>24.713286891947131</v>
      </c>
      <c r="AA53" s="413">
        <f>'Transport Data 14-16'!Q69</f>
        <v>21.378544426813896</v>
      </c>
      <c r="AB53" s="413">
        <f>'Transport Data 14-16'!R69</f>
        <v>21.17790038316036</v>
      </c>
      <c r="AC53" s="413">
        <f>'Transport Data 14-16'!S69</f>
        <v>21.205162573688842</v>
      </c>
      <c r="AD53" s="50"/>
    </row>
    <row r="54" spans="2:30" s="110" customFormat="1" x14ac:dyDescent="0.35">
      <c r="B54" s="644"/>
      <c r="C54" s="253" t="s">
        <v>552</v>
      </c>
      <c r="D54" s="614" t="s">
        <v>2</v>
      </c>
      <c r="E54" s="389">
        <f>'Emission Factors EF'!D$19</f>
        <v>63100</v>
      </c>
      <c r="F54" s="389">
        <f>'Emission Factors EF'!E$19</f>
        <v>62</v>
      </c>
      <c r="G54" s="389">
        <f>'Emission Factors EF'!F$19</f>
        <v>0.2</v>
      </c>
      <c r="H54" s="389">
        <f>'Emission Factors EF'!G$19</f>
        <v>0</v>
      </c>
      <c r="I54" s="614" t="str">
        <f>'Emission Factors EF'!H$19</f>
        <v>kg GEI/TJ</v>
      </c>
      <c r="J54" s="389">
        <f>'Conversion Factors CF'!D$21</f>
        <v>47.309999999999995</v>
      </c>
      <c r="K54" s="614" t="str">
        <f>'Conversion Factors CF'!E$21</f>
        <v>TJ/Gg</v>
      </c>
      <c r="L54" s="529" t="s">
        <v>76</v>
      </c>
      <c r="M54" s="198">
        <f>('Activity Data Calculations'!G262*'Activity Data Calculations'!$F$284/100*'Activity Data Calculations'!$F$285*'Activity Data Calculations'!$F$274)/1000000</f>
        <v>6.1401774111531724E-3</v>
      </c>
      <c r="N54" s="198">
        <f>('Activity Data Calculations'!H262*'Activity Data Calculations'!$F$284/100*'Activity Data Calculations'!$F$285*'Activity Data Calculations'!$F$274)/1000000</f>
        <v>6.1401774111531724E-3</v>
      </c>
      <c r="O54" s="198">
        <f>('Activity Data Calculations'!I262*'Activity Data Calculations'!$F$284/100*'Activity Data Calculations'!$F$285*'Activity Data Calculations'!$F$274)/1000000</f>
        <v>6.1401774111531724E-3</v>
      </c>
      <c r="P54" s="198">
        <f>('Activity Data Calculations'!J262*'Activity Data Calculations'!$F$284/100*'Activity Data Calculations'!$F$285*'Activity Data Calculations'!$F$274)/1000000</f>
        <v>6.1401774111531724E-3</v>
      </c>
      <c r="Q54" s="198">
        <f>('Activity Data Calculations'!K262*'Activity Data Calculations'!$F$284/100*'Activity Data Calculations'!$F$285*'Activity Data Calculations'!$F$274)/1000000</f>
        <v>7.0173456127464824E-3</v>
      </c>
      <c r="R54" s="198">
        <f>('Activity Data Calculations'!L262*'Activity Data Calculations'!$F$284/100*'Activity Data Calculations'!$F$285*'Activity Data Calculations'!$F$274)/1000000</f>
        <v>7.0173456127464824E-3</v>
      </c>
      <c r="S54" s="198">
        <f>('Activity Data Calculations'!M262*'Activity Data Calculations'!$F$284/100*'Activity Data Calculations'!$F$285*'Activity Data Calculations'!$F$274)/1000000</f>
        <v>7.8945138143397924E-3</v>
      </c>
      <c r="T54" s="198">
        <f>('Activity Data Calculations'!N262*'Activity Data Calculations'!$F$284/100*'Activity Data Calculations'!$F$285*'Activity Data Calculations'!$F$274)/1000000</f>
        <v>7.8945138143397924E-3</v>
      </c>
      <c r="U54" s="198">
        <f>('Activity Data Calculations'!O262*'Activity Data Calculations'!$F$284/100*'Activity Data Calculations'!$F$285*'Activity Data Calculations'!$F$274)/1000000</f>
        <v>8.7716820159331015E-3</v>
      </c>
      <c r="V54" s="198">
        <f>('Activity Data Calculations'!P262*'Activity Data Calculations'!$F$284/100*'Activity Data Calculations'!$F$285*'Activity Data Calculations'!$F$274)/1000000</f>
        <v>8.7716820159331015E-3</v>
      </c>
      <c r="W54" s="198">
        <f>('Activity Data Calculations'!Q262*'Activity Data Calculations'!$F$284/100*'Activity Data Calculations'!$F$285*'Activity Data Calculations'!$F$274)/1000000</f>
        <v>8.7716820159331015E-3</v>
      </c>
      <c r="X54" s="198">
        <f>('Activity Data Calculations'!R262*'Activity Data Calculations'!$F$284/100*'Activity Data Calculations'!$F$285*'Activity Data Calculations'!$F$274)/1000000</f>
        <v>9.648850217526414E-3</v>
      </c>
      <c r="Y54" s="198">
        <f>('Activity Data Calculations'!S262*'Activity Data Calculations'!$F$284/100*'Activity Data Calculations'!$F$285*'Activity Data Calculations'!$F$274)/1000000</f>
        <v>1.0526018419119725E-2</v>
      </c>
      <c r="Z54" s="198">
        <f>('Activity Data Calculations'!T262*'Activity Data Calculations'!$F$284/100*'Activity Data Calculations'!$F$285*'Activity Data Calculations'!$F$274)/1000000</f>
        <v>1.1403186620713036E-2</v>
      </c>
      <c r="AA54" s="413">
        <f>'Transport Data 14-16'!Q71</f>
        <v>1.0276655078580043E-2</v>
      </c>
      <c r="AB54" s="413">
        <f>'Transport Data 14-16'!R71</f>
        <v>1.2300660498051234E-2</v>
      </c>
      <c r="AC54" s="413">
        <f>'Transport Data 14-16'!S71</f>
        <v>1.1726536699294875E-2</v>
      </c>
      <c r="AD54" s="50"/>
    </row>
    <row r="55" spans="2:30" s="110" customFormat="1" x14ac:dyDescent="0.35">
      <c r="B55" s="644"/>
      <c r="C55" s="253" t="s">
        <v>553</v>
      </c>
      <c r="D55" s="614" t="s">
        <v>2</v>
      </c>
      <c r="E55" s="389">
        <f>'Emission Factors EF'!D$18</f>
        <v>74100</v>
      </c>
      <c r="F55" s="389">
        <f>'Emission Factors EF'!E$18</f>
        <v>3.9</v>
      </c>
      <c r="G55" s="389">
        <f>'Emission Factors EF'!F$18</f>
        <v>3.9</v>
      </c>
      <c r="H55" s="389">
        <f>'Emission Factors EF'!G$18</f>
        <v>0</v>
      </c>
      <c r="I55" s="614" t="str">
        <f>'Emission Factors EF'!H$18</f>
        <v>kg GEI/TJ</v>
      </c>
      <c r="J55" s="389">
        <f>'Conversion Factors CF'!D$20</f>
        <v>43.33</v>
      </c>
      <c r="K55" s="614" t="str">
        <f>'Conversion Factors CF'!E$20</f>
        <v>TJ/Gg</v>
      </c>
      <c r="L55" s="529" t="s">
        <v>76</v>
      </c>
      <c r="M55" s="198">
        <f>('Activity Data Calculations'!G263*'Activity Data Calculations'!$F$286/100*'Activity Data Calculations'!$F$287*'Activity Data Calculations'!$F$273)/1000000</f>
        <v>2.8518382102466275</v>
      </c>
      <c r="N55" s="198">
        <f>('Activity Data Calculations'!H263*'Activity Data Calculations'!$F$286/100*'Activity Data Calculations'!$F$287*'Activity Data Calculations'!$F$273)/1000000</f>
        <v>2.973474332334106</v>
      </c>
      <c r="O55" s="198">
        <f>('Activity Data Calculations'!I263*'Activity Data Calculations'!$F$286/100*'Activity Data Calculations'!$F$287*'Activity Data Calculations'!$F$273)/1000000</f>
        <v>3.0990768497070444</v>
      </c>
      <c r="P55" s="198">
        <f>('Activity Data Calculations'!J263*'Activity Data Calculations'!$F$286/100*'Activity Data Calculations'!$F$287*'Activity Data Calculations'!$F$273)/1000000</f>
        <v>3.2207129717945224</v>
      </c>
      <c r="Q55" s="198">
        <f>('Activity Data Calculations'!K263*'Activity Data Calculations'!$F$286/100*'Activity Data Calculations'!$F$287*'Activity Data Calculations'!$F$273)/1000000</f>
        <v>3.3992007596402787</v>
      </c>
      <c r="R55" s="198">
        <f>('Activity Data Calculations'!L263*'Activity Data Calculations'!$F$286/100*'Activity Data Calculations'!$F$287*'Activity Data Calculations'!$F$273)/1000000</f>
        <v>3.5605008345823683</v>
      </c>
      <c r="S55" s="198">
        <f>('Activity Data Calculations'!M263*'Activity Data Calculations'!$F$286/100*'Activity Data Calculations'!$F$287*'Activity Data Calculations'!$F$273)/1000000</f>
        <v>3.723123041286279</v>
      </c>
      <c r="T55" s="198">
        <f>('Activity Data Calculations'!N263*'Activity Data Calculations'!$F$286/100*'Activity Data Calculations'!$F$287*'Activity Data Calculations'!$F$273)/1000000</f>
        <v>3.8950001703229322</v>
      </c>
      <c r="U55" s="198">
        <f>('Activity Data Calculations'!O263*'Activity Data Calculations'!$F$286/100*'Activity Data Calculations'!$F$287*'Activity Data Calculations'!$F$273)/1000000</f>
        <v>4.0959641981196349</v>
      </c>
      <c r="V55" s="198">
        <f>('Activity Data Calculations'!P263*'Activity Data Calculations'!$F$286/100*'Activity Data Calculations'!$F$287*'Activity Data Calculations'!$F$273)/1000000</f>
        <v>4.2718077224417499</v>
      </c>
      <c r="W55" s="198">
        <f>('Activity Data Calculations'!Q263*'Activity Data Calculations'!$F$286/100*'Activity Data Calculations'!$F$287*'Activity Data Calculations'!$F$273)/1000000</f>
        <v>4.476738145523913</v>
      </c>
      <c r="X55" s="198">
        <f>('Activity Data Calculations'!R263*'Activity Data Calculations'!$F$286/100*'Activity Data Calculations'!$F$287*'Activity Data Calculations'!$F$273)/1000000</f>
        <v>4.6724136462733341</v>
      </c>
      <c r="Y55" s="198">
        <f>('Activity Data Calculations'!S263*'Activity Data Calculations'!$F$286/100*'Activity Data Calculations'!$F$287*'Activity Data Calculations'!$F$273)/1000000</f>
        <v>4.9170080222101111</v>
      </c>
      <c r="Z55" s="198">
        <f>('Activity Data Calculations'!T263*'Activity Data Calculations'!$F$286/100*'Activity Data Calculations'!$F$287*'Activity Data Calculations'!$F$273)/1000000</f>
        <v>5.1695351887178091</v>
      </c>
      <c r="AA55" s="413">
        <f>'Transport Data 14-16'!Q72</f>
        <v>4.0413117546848376</v>
      </c>
      <c r="AB55" s="413">
        <f>'Transport Data 14-16'!R72</f>
        <v>6.1413969335604772</v>
      </c>
      <c r="AC55" s="413">
        <f>'Transport Data 14-16'!S72</f>
        <v>8.4518739352640555</v>
      </c>
      <c r="AD55" s="50"/>
    </row>
    <row r="56" spans="2:30" s="110" customFormat="1" x14ac:dyDescent="0.35">
      <c r="B56" s="644"/>
      <c r="C56" s="253" t="s">
        <v>554</v>
      </c>
      <c r="D56" s="614" t="s">
        <v>2</v>
      </c>
      <c r="E56" s="389">
        <f>'Emission Factors EF'!D$18</f>
        <v>74100</v>
      </c>
      <c r="F56" s="389">
        <f>'Emission Factors EF'!E$18</f>
        <v>3.9</v>
      </c>
      <c r="G56" s="389">
        <f>'Emission Factors EF'!F$18</f>
        <v>3.9</v>
      </c>
      <c r="H56" s="389">
        <f>'Emission Factors EF'!G$18</f>
        <v>0</v>
      </c>
      <c r="I56" s="614" t="str">
        <f>'Emission Factors EF'!H$18</f>
        <v>kg GEI/TJ</v>
      </c>
      <c r="J56" s="389">
        <f>'Conversion Factors CF'!D$20</f>
        <v>43.33</v>
      </c>
      <c r="K56" s="614" t="str">
        <f>'Conversion Factors CF'!E$20</f>
        <v>TJ/Gg</v>
      </c>
      <c r="L56" s="529" t="s">
        <v>76</v>
      </c>
      <c r="M56" s="198">
        <f>('Activity Data Calculations'!G264*'Activity Data Calculations'!$F$286/100*'Activity Data Calculations'!$F$287*'Activity Data Calculations'!$F$273)/1000000</f>
        <v>10.841480446927374</v>
      </c>
      <c r="N56" s="198">
        <f>('Activity Data Calculations'!H264*'Activity Data Calculations'!$F$286/100*'Activity Data Calculations'!$F$287*'Activity Data Calculations'!$F$273)/1000000</f>
        <v>11.304226563564518</v>
      </c>
      <c r="O56" s="198">
        <f>('Activity Data Calculations'!I264*'Activity Data Calculations'!$F$286/100*'Activity Data Calculations'!$F$287*'Activity Data Calculations'!$F$273)/1000000</f>
        <v>11.777549734296228</v>
      </c>
      <c r="P56" s="198">
        <f>('Activity Data Calculations'!J264*'Activity Data Calculations'!$F$286/100*'Activity Data Calculations'!$F$287*'Activity Data Calculations'!$F$273)/1000000</f>
        <v>12.244262246218835</v>
      </c>
      <c r="Q56" s="198">
        <f>('Activity Data Calculations'!K264*'Activity Data Calculations'!$F$286/100*'Activity Data Calculations'!$F$287*'Activity Data Calculations'!$F$273)/1000000</f>
        <v>12.919871576509061</v>
      </c>
      <c r="R56" s="198">
        <f>('Activity Data Calculations'!L264*'Activity Data Calculations'!$F$286/100*'Activity Data Calculations'!$F$287*'Activity Data Calculations'!$F$273)/1000000</f>
        <v>13.534662845755555</v>
      </c>
      <c r="S56" s="198">
        <f>('Activity Data Calculations'!M264*'Activity Data Calculations'!$F$286/100*'Activity Data Calculations'!$F$287*'Activity Data Calculations'!$F$273)/1000000</f>
        <v>14.152098378525686</v>
      </c>
      <c r="T56" s="198">
        <f>('Activity Data Calculations'!N264*'Activity Data Calculations'!$F$286/100*'Activity Data Calculations'!$F$287*'Activity Data Calculations'!$F$273)/1000000</f>
        <v>14.803909337103148</v>
      </c>
      <c r="U56" s="198">
        <f>('Activity Data Calculations'!O264*'Activity Data Calculations'!$F$286/100*'Activity Data Calculations'!$F$287*'Activity Data Calculations'!$F$273)/1000000</f>
        <v>15.569423627197168</v>
      </c>
      <c r="V56" s="198">
        <f>('Activity Data Calculations'!P264*'Activity Data Calculations'!$F$286/100*'Activity Data Calculations'!$F$287*'Activity Data Calculations'!$F$273)/1000000</f>
        <v>16.238422298678294</v>
      </c>
      <c r="W56" s="198">
        <f>('Activity Data Calculations'!Q264*'Activity Data Calculations'!$F$286/100*'Activity Data Calculations'!$F$287*'Activity Data Calculations'!$F$273)/1000000</f>
        <v>17.018480038152337</v>
      </c>
      <c r="X56" s="198">
        <f>('Activity Data Calculations'!R264*'Activity Data Calculations'!$F$286/100*'Activity Data Calculations'!$F$287*'Activity Data Calculations'!$F$273)/1000000</f>
        <v>17.762840220057232</v>
      </c>
      <c r="Y56" s="198">
        <f>('Activity Data Calculations'!S264*'Activity Data Calculations'!$F$286/100*'Activity Data Calculations'!$F$287*'Activity Data Calculations'!$F$273)/1000000</f>
        <v>18.6936209803788</v>
      </c>
      <c r="Z56" s="198">
        <f>('Activity Data Calculations'!T264*'Activity Data Calculations'!$F$286/100*'Activity Data Calculations'!$F$287*'Activity Data Calculations'!$F$273)/1000000</f>
        <v>19.648200112413139</v>
      </c>
      <c r="AA56" s="413">
        <f>'Transport Data 14-16'!Q73</f>
        <v>21.204429301533217</v>
      </c>
      <c r="AB56" s="413">
        <f>'Transport Data 14-16'!R73</f>
        <v>24.203364565587734</v>
      </c>
      <c r="AC56" s="413">
        <f>'Transport Data 14-16'!S73</f>
        <v>23.790459965928452</v>
      </c>
      <c r="AD56" s="50"/>
    </row>
    <row r="57" spans="2:30" s="110" customFormat="1" x14ac:dyDescent="0.35">
      <c r="B57" s="644"/>
      <c r="C57" s="253" t="s">
        <v>555</v>
      </c>
      <c r="D57" s="614" t="s">
        <v>2</v>
      </c>
      <c r="E57" s="389">
        <f>'Emission Factors EF'!D$18</f>
        <v>74100</v>
      </c>
      <c r="F57" s="389">
        <f>'Emission Factors EF'!E$18</f>
        <v>3.9</v>
      </c>
      <c r="G57" s="389">
        <f>'Emission Factors EF'!F$18</f>
        <v>3.9</v>
      </c>
      <c r="H57" s="389">
        <f>'Emission Factors EF'!G$18</f>
        <v>0</v>
      </c>
      <c r="I57" s="614" t="str">
        <f>'Emission Factors EF'!H$18</f>
        <v>kg GEI/TJ</v>
      </c>
      <c r="J57" s="389">
        <f>'Conversion Factors CF'!D$20</f>
        <v>43.33</v>
      </c>
      <c r="K57" s="614" t="str">
        <f>'Conversion Factors CF'!E$20</f>
        <v>TJ/Gg</v>
      </c>
      <c r="L57" s="529" t="s">
        <v>76</v>
      </c>
      <c r="M57" s="198">
        <f>(('Activity Data Calculations'!G265*'Activity Data Calculations'!$F$288/100*'Activity Data Calculations'!$F$289*'Activity Data Calculations'!$F$273)+('Activity Data Calculations'!G266*'Activity Data Calculations'!$F$290/100*'Activity Data Calculations'!$F$291*'Activity Data Calculations'!$F$273))/1000000</f>
        <v>48.947979970023169</v>
      </c>
      <c r="N57" s="198">
        <f>(('Activity Data Calculations'!H265*'Activity Data Calculations'!$F$288/100*'Activity Data Calculations'!$F$289*'Activity Data Calculations'!$F$273)+('Activity Data Calculations'!H266*'Activity Data Calculations'!$F$290/100*'Activity Data Calculations'!$F$291*'Activity Data Calculations'!$F$273))/1000000</f>
        <v>51.104284899168832</v>
      </c>
      <c r="O57" s="198">
        <f>(('Activity Data Calculations'!I265*'Activity Data Calculations'!$F$288/100*'Activity Data Calculations'!$F$289*'Activity Data Calculations'!$F$273)+('Activity Data Calculations'!I266*'Activity Data Calculations'!$F$290/100*'Activity Data Calculations'!$F$291*'Activity Data Calculations'!$F$273))/1000000</f>
        <v>53.315036108461648</v>
      </c>
      <c r="P57" s="198">
        <f>(('Activity Data Calculations'!J265*'Activity Data Calculations'!$F$288/100*'Activity Data Calculations'!$F$289*'Activity Data Calculations'!$F$273)+('Activity Data Calculations'!J266*'Activity Data Calculations'!$F$290/100*'Activity Data Calculations'!$F$291*'Activity Data Calculations'!$F$273))/1000000</f>
        <v>55.495725746014458</v>
      </c>
      <c r="Q57" s="198">
        <f>(('Activity Data Calculations'!K265*'Activity Data Calculations'!$F$288/100*'Activity Data Calculations'!$F$289*'Activity Data Calculations'!$F$273)+('Activity Data Calculations'!K266*'Activity Data Calculations'!$F$290/100*'Activity Data Calculations'!$F$291*'Activity Data Calculations'!$F$273))/1000000</f>
        <v>58.614646068946726</v>
      </c>
      <c r="R57" s="198">
        <f>(('Activity Data Calculations'!L265*'Activity Data Calculations'!$F$288/100*'Activity Data Calculations'!$F$289*'Activity Data Calculations'!$F$273)+('Activity Data Calculations'!L266*'Activity Data Calculations'!$F$290/100*'Activity Data Calculations'!$F$291*'Activity Data Calculations'!$F$273))/1000000</f>
        <v>61.485074601444339</v>
      </c>
      <c r="S57" s="198">
        <f>(('Activity Data Calculations'!M265*'Activity Data Calculations'!$F$288/100*'Activity Data Calculations'!$F$289*'Activity Data Calculations'!$F$273)+('Activity Data Calculations'!M266*'Activity Data Calculations'!$F$290/100*'Activity Data Calculations'!$F$291*'Activity Data Calculations'!$F$273))/1000000</f>
        <v>64.386209803787992</v>
      </c>
      <c r="T57" s="198">
        <f>(('Activity Data Calculations'!N265*'Activity Data Calculations'!$F$288/100*'Activity Data Calculations'!$F$289*'Activity Data Calculations'!$F$273)+('Activity Data Calculations'!N266*'Activity Data Calculations'!$F$290/100*'Activity Data Calculations'!$F$291*'Activity Data Calculations'!$F$273))/1000000</f>
        <v>67.372497956124818</v>
      </c>
      <c r="U57" s="198">
        <f>(('Activity Data Calculations'!O265*'Activity Data Calculations'!$F$288/100*'Activity Data Calculations'!$F$289*'Activity Data Calculations'!$F$273)+('Activity Data Calculations'!O266*'Activity Data Calculations'!$F$290/100*'Activity Data Calculations'!$F$291*'Activity Data Calculations'!$F$273))/1000000</f>
        <v>70.862091650769869</v>
      </c>
      <c r="V57" s="198">
        <f>(('Activity Data Calculations'!P265*'Activity Data Calculations'!$F$288/100*'Activity Data Calculations'!$F$289*'Activity Data Calculations'!$F$273)+('Activity Data Calculations'!P266*'Activity Data Calculations'!$F$290/100*'Activity Data Calculations'!$F$291*'Activity Data Calculations'!$F$273))/1000000</f>
        <v>73.892375493936512</v>
      </c>
      <c r="W57" s="198">
        <f>(('Activity Data Calculations'!Q265*'Activity Data Calculations'!$F$288/100*'Activity Data Calculations'!$F$289*'Activity Data Calculations'!$F$273)+('Activity Data Calculations'!Q266*'Activity Data Calculations'!$F$290/100*'Activity Data Calculations'!$F$291*'Activity Data Calculations'!$F$273))/1000000</f>
        <v>77.416159388200029</v>
      </c>
      <c r="X57" s="198">
        <f>(('Activity Data Calculations'!R265*'Activity Data Calculations'!$F$288/100*'Activity Data Calculations'!$F$289*'Activity Data Calculations'!$F$273)+('Activity Data Calculations'!R266*'Activity Data Calculations'!$F$290/100*'Activity Data Calculations'!$F$291*'Activity Data Calculations'!$F$273))/1000000</f>
        <v>80.847178174819476</v>
      </c>
      <c r="Y57" s="198">
        <f>(('Activity Data Calculations'!S265*'Activity Data Calculations'!$F$288/100*'Activity Data Calculations'!$F$289*'Activity Data Calculations'!$F$273)+('Activity Data Calculations'!S266*'Activity Data Calculations'!$F$290/100*'Activity Data Calculations'!$F$291*'Activity Data Calculations'!$F$273))/1000000</f>
        <v>85.143660580460562</v>
      </c>
      <c r="Z57" s="198">
        <f>(('Activity Data Calculations'!T265*'Activity Data Calculations'!$F$288/100*'Activity Data Calculations'!$F$289*'Activity Data Calculations'!$F$273)+('Activity Data Calculations'!T266*'Activity Data Calculations'!$F$290/100*'Activity Data Calculations'!$F$291*'Activity Data Calculations'!$F$273))/1000000</f>
        <v>89.585419079574862</v>
      </c>
      <c r="AA57" s="413">
        <f>'Transport Data 14-16'!Q74+'Transport Data 14-16'!Q75</f>
        <v>96.172369676320272</v>
      </c>
      <c r="AB57" s="413">
        <f>'Transport Data 14-16'!R74+'Transport Data 14-16'!R75</f>
        <v>89.295793867120949</v>
      </c>
      <c r="AC57" s="413">
        <f>'Transport Data 14-16'!S74+'Transport Data 14-16'!S75</f>
        <v>89.304390119250428</v>
      </c>
      <c r="AD57" s="50"/>
    </row>
    <row r="58" spans="2:30" s="110" customFormat="1" x14ac:dyDescent="0.35">
      <c r="B58" s="644" t="s">
        <v>459</v>
      </c>
      <c r="C58" s="389" t="s">
        <v>41</v>
      </c>
      <c r="D58" s="487" t="s">
        <v>2</v>
      </c>
      <c r="E58" s="390">
        <f>'Emission Factors EF'!D20</f>
        <v>74100</v>
      </c>
      <c r="F58" s="390">
        <f>'Emission Factors EF'!E20</f>
        <v>7</v>
      </c>
      <c r="G58" s="390">
        <f>'Emission Factors EF'!F20</f>
        <v>2</v>
      </c>
      <c r="H58" s="390">
        <f>'Emission Factors EF'!G20</f>
        <v>0</v>
      </c>
      <c r="I58" s="431" t="str">
        <f>'Emission Factors EF'!H20</f>
        <v>kg GEI/TJ</v>
      </c>
      <c r="J58" s="390">
        <f>'Conversion Factors CF'!D17</f>
        <v>43</v>
      </c>
      <c r="K58" s="431" t="str">
        <f>'Conversion Factors CF'!E17</f>
        <v>TJ/Gg</v>
      </c>
      <c r="L58" s="530" t="s">
        <v>453</v>
      </c>
      <c r="M58" s="542">
        <f>'Activity Data Calculations'!F165</f>
        <v>160</v>
      </c>
      <c r="N58" s="477">
        <f>'Activity Data Calculations'!G165</f>
        <v>157</v>
      </c>
      <c r="O58" s="477">
        <f>'Activity Data Calculations'!H165</f>
        <v>139</v>
      </c>
      <c r="P58" s="477">
        <f>'Activity Data Calculations'!I165</f>
        <v>98</v>
      </c>
      <c r="Q58" s="477">
        <f>'Activity Data Calculations'!J165</f>
        <v>105</v>
      </c>
      <c r="R58" s="477">
        <f>'Activity Data Calculations'!K165</f>
        <v>135</v>
      </c>
      <c r="S58" s="477">
        <f>'Activity Data Calculations'!L165</f>
        <v>122</v>
      </c>
      <c r="T58" s="477">
        <f>'Activity Data Calculations'!M165</f>
        <v>118</v>
      </c>
      <c r="U58" s="477">
        <f>'Activity Data Calculations'!N165</f>
        <v>117</v>
      </c>
      <c r="V58" s="477">
        <f>'Activity Data Calculations'!O165</f>
        <v>109</v>
      </c>
      <c r="W58" s="477">
        <f>'Activity Data Calculations'!P165</f>
        <v>113</v>
      </c>
      <c r="X58" s="477">
        <f>'Activity Data Calculations'!Q165</f>
        <v>100</v>
      </c>
      <c r="Y58" s="477">
        <f>'Activity Data Calculations'!R165</f>
        <v>103</v>
      </c>
      <c r="Z58" s="477">
        <f>'Activity Data Calculations'!S165</f>
        <v>114</v>
      </c>
      <c r="AA58" s="477">
        <f>'Activity Data Calculations'!T165</f>
        <v>117</v>
      </c>
      <c r="AB58" s="477">
        <f>'Activity Data Calculations'!U165</f>
        <v>116</v>
      </c>
      <c r="AC58" s="478">
        <f>'Activity Data Calculations'!V165</f>
        <v>120</v>
      </c>
    </row>
    <row r="59" spans="2:30" s="110" customFormat="1" x14ac:dyDescent="0.35">
      <c r="B59" s="644"/>
      <c r="C59" s="389" t="s">
        <v>58</v>
      </c>
      <c r="D59" s="487" t="s">
        <v>2</v>
      </c>
      <c r="E59" s="390">
        <f>'Emission Factors EF'!D21</f>
        <v>77400</v>
      </c>
      <c r="F59" s="390">
        <f>'Emission Factors EF'!E21</f>
        <v>7</v>
      </c>
      <c r="G59" s="390">
        <f>'Emission Factors EF'!F21</f>
        <v>2</v>
      </c>
      <c r="H59" s="390">
        <f>'Emission Factors EF'!G21</f>
        <v>0</v>
      </c>
      <c r="I59" s="431" t="str">
        <f>'Emission Factors EF'!H21</f>
        <v>kg GEI/TJ</v>
      </c>
      <c r="J59" s="390">
        <f>'Conversion Factors CF'!D18</f>
        <v>40.4</v>
      </c>
      <c r="K59" s="431" t="str">
        <f>'Conversion Factors CF'!E18</f>
        <v>TJ/Gg</v>
      </c>
      <c r="L59" s="530" t="s">
        <v>453</v>
      </c>
      <c r="M59" s="542">
        <f>'Activity Data Calculations'!F166</f>
        <v>58</v>
      </c>
      <c r="N59" s="477">
        <f>'Activity Data Calculations'!G166</f>
        <v>44</v>
      </c>
      <c r="O59" s="477">
        <f>'Activity Data Calculations'!H166</f>
        <v>27</v>
      </c>
      <c r="P59" s="477">
        <f>'Activity Data Calculations'!I166</f>
        <v>35</v>
      </c>
      <c r="Q59" s="477">
        <f>'Activity Data Calculations'!J166</f>
        <v>40</v>
      </c>
      <c r="R59" s="477">
        <f>'Activity Data Calculations'!K166</f>
        <v>55</v>
      </c>
      <c r="S59" s="477">
        <f>'Activity Data Calculations'!L166</f>
        <v>49</v>
      </c>
      <c r="T59" s="477">
        <f>'Activity Data Calculations'!M166</f>
        <v>76</v>
      </c>
      <c r="U59" s="477">
        <f>'Activity Data Calculations'!N166</f>
        <v>96</v>
      </c>
      <c r="V59" s="477">
        <f>'Activity Data Calculations'!O166</f>
        <v>108</v>
      </c>
      <c r="W59" s="477">
        <f>'Activity Data Calculations'!P166</f>
        <v>123</v>
      </c>
      <c r="X59" s="477">
        <f>'Activity Data Calculations'!Q166</f>
        <v>185</v>
      </c>
      <c r="Y59" s="477">
        <f>'Activity Data Calculations'!R166</f>
        <v>163</v>
      </c>
      <c r="Z59" s="477">
        <f>'Activity Data Calculations'!S166</f>
        <v>156</v>
      </c>
      <c r="AA59" s="477">
        <f>'Activity Data Calculations'!T166</f>
        <v>171</v>
      </c>
      <c r="AB59" s="477">
        <f>'Activity Data Calculations'!U166</f>
        <v>167</v>
      </c>
      <c r="AC59" s="478">
        <f>'Activity Data Calculations'!V166</f>
        <v>217</v>
      </c>
    </row>
    <row r="60" spans="2:30" ht="15" customHeight="1" x14ac:dyDescent="0.35">
      <c r="B60" s="641" t="s">
        <v>6</v>
      </c>
      <c r="C60" s="389" t="s">
        <v>136</v>
      </c>
      <c r="D60" s="375" t="s">
        <v>2</v>
      </c>
      <c r="E60" s="36">
        <f>'Emission Factors EF'!D23</f>
        <v>69300</v>
      </c>
      <c r="F60" s="36">
        <f>'Emission Factors EF'!E23</f>
        <v>7</v>
      </c>
      <c r="G60" s="36">
        <f>'Emission Factors EF'!F23</f>
        <v>2</v>
      </c>
      <c r="H60" s="36">
        <f>'Emission Factors EF'!G23</f>
        <v>0</v>
      </c>
      <c r="I60" s="615" t="str">
        <f>'Emission Factors EF'!H23</f>
        <v>kg GEI/TJ</v>
      </c>
      <c r="J60" s="36">
        <f>'Conversion Factors CF'!D10</f>
        <v>44.8</v>
      </c>
      <c r="K60" s="615" t="str">
        <f>'Conversion Factors CF'!E10</f>
        <v>TJ/Gg</v>
      </c>
      <c r="L60" s="530" t="s">
        <v>105</v>
      </c>
      <c r="M60" s="541">
        <f>'Activity Data Calculations'!F162/1000</f>
        <v>9.464590708867858</v>
      </c>
      <c r="N60" s="198">
        <f>'Activity Data Calculations'!G162/1000</f>
        <v>10.026548220147872</v>
      </c>
      <c r="O60" s="198">
        <f>'Activity Data Calculations'!H162/1000</f>
        <v>11.729381005852179</v>
      </c>
      <c r="P60" s="198">
        <f>'Activity Data Calculations'!I162/1000</f>
        <v>12.481238271174394</v>
      </c>
      <c r="Q60" s="198">
        <f>'Activity Data Calculations'!J162/1000</f>
        <v>11.930173250033658</v>
      </c>
      <c r="R60" s="198">
        <f>'Activity Data Calculations'!K162/1000</f>
        <v>10.685823185780436</v>
      </c>
      <c r="S60" s="198">
        <f>'Activity Data Calculations'!L162/1000</f>
        <v>11.083862424586433</v>
      </c>
      <c r="T60" s="198">
        <f>'Activity Data Calculations'!M162/1000</f>
        <v>12.401380082882699</v>
      </c>
      <c r="U60" s="198">
        <f>'Activity Data Calculations'!N162/1000</f>
        <v>11.090212902992302</v>
      </c>
      <c r="V60" s="198">
        <f>'Activity Data Calculations'!O162/1000</f>
        <v>10.866506151500122</v>
      </c>
      <c r="W60" s="198">
        <f>'Activity Data Calculations'!P162/1000</f>
        <v>12.626195884438937</v>
      </c>
      <c r="X60" s="198">
        <f>'Activity Data Calculations'!Q162/1000</f>
        <v>13.608691029244589</v>
      </c>
      <c r="Y60" s="198">
        <f>'Activity Data Calculations'!R162/1000</f>
        <v>14.186277413775771</v>
      </c>
      <c r="Z60" s="198">
        <f>'Activity Data Calculations'!S162/1000</f>
        <v>14.656310822563675</v>
      </c>
      <c r="AA60" s="198">
        <f>'Activity Data Calculations'!T162/1000</f>
        <v>14.610678002288518</v>
      </c>
      <c r="AB60" s="198">
        <f>'Activity Data Calculations'!U162/1000</f>
        <v>17.322862356581307</v>
      </c>
      <c r="AC60" s="237">
        <f>'Activity Data Calculations'!V162/1000</f>
        <v>20.123843770968719</v>
      </c>
    </row>
    <row r="61" spans="2:30" x14ac:dyDescent="0.35">
      <c r="B61" s="638"/>
      <c r="C61" s="36" t="s">
        <v>41</v>
      </c>
      <c r="D61" s="375" t="s">
        <v>2</v>
      </c>
      <c r="E61" s="36">
        <f>'Emission Factors EF'!D24</f>
        <v>74100</v>
      </c>
      <c r="F61" s="36">
        <f>'Emission Factors EF'!E24</f>
        <v>7</v>
      </c>
      <c r="G61" s="36">
        <f>'Emission Factors EF'!F24</f>
        <v>2</v>
      </c>
      <c r="H61" s="36">
        <f>'Emission Factors EF'!G24</f>
        <v>0</v>
      </c>
      <c r="I61" s="615" t="str">
        <f>'Emission Factors EF'!H24</f>
        <v>kg GEI/TJ</v>
      </c>
      <c r="J61" s="36">
        <f>'Conversion Factors CF'!D5</f>
        <v>43.3</v>
      </c>
      <c r="K61" s="615" t="str">
        <f>'Conversion Factors CF'!E5</f>
        <v>TJ/Gg</v>
      </c>
      <c r="L61" s="530" t="s">
        <v>105</v>
      </c>
      <c r="M61" s="541">
        <f>'Activity Data Calculations'!F163/1000</f>
        <v>0.34502906486204088</v>
      </c>
      <c r="N61" s="198">
        <f>'Activity Data Calculations'!G163/1000</f>
        <v>0.36551507218906409</v>
      </c>
      <c r="O61" s="198">
        <f>'Activity Data Calculations'!H163/1000</f>
        <v>0.42759137551166815</v>
      </c>
      <c r="P61" s="198">
        <f>'Activity Data Calculations'!I163/1000</f>
        <v>0.45500012641737808</v>
      </c>
      <c r="Q61" s="198">
        <f>'Activity Data Calculations'!J163/1000</f>
        <v>0.43491120183829157</v>
      </c>
      <c r="R61" s="198">
        <f>'Activity Data Calculations'!K163/1000</f>
        <v>0.3895487606893</v>
      </c>
      <c r="S61" s="198">
        <f>'Activity Data Calculations'!L163/1000</f>
        <v>0.4040591722398974</v>
      </c>
      <c r="T61" s="198">
        <f>'Activity Data Calculations'!M163/1000</f>
        <v>0.45208891801171036</v>
      </c>
      <c r="U61" s="198">
        <f>'Activity Data Calculations'!N163/1000</f>
        <v>0.40429067719274758</v>
      </c>
      <c r="V61" s="198">
        <f>'Activity Data Calculations'!O163/1000</f>
        <v>0.39613550877132253</v>
      </c>
      <c r="W61" s="198">
        <f>'Activity Data Calculations'!P163/1000</f>
        <v>0.46028451654979413</v>
      </c>
      <c r="X61" s="198">
        <f>'Activity Data Calculations'!Q163/1000</f>
        <v>0.49610110825155396</v>
      </c>
      <c r="Y61" s="198">
        <f>'Activity Data Calculations'!R163/1000</f>
        <v>0.5171568618770247</v>
      </c>
      <c r="Z61" s="198">
        <f>'Activity Data Calculations'!S163/1000</f>
        <v>0.53429180119733322</v>
      </c>
      <c r="AA61" s="198">
        <f>'Activity Data Calculations'!T163/1000</f>
        <v>0.53262826921894535</v>
      </c>
      <c r="AB61" s="198">
        <f>'Activity Data Calculations'!U163/1000</f>
        <v>0.63150020782462823</v>
      </c>
      <c r="AC61" s="237">
        <f>'Activity Data Calculations'!V163/1000</f>
        <v>0.73360921896195697</v>
      </c>
    </row>
    <row r="62" spans="2:30" x14ac:dyDescent="0.35">
      <c r="B62" s="642" t="s">
        <v>42</v>
      </c>
      <c r="C62" s="36" t="s">
        <v>43</v>
      </c>
      <c r="D62" s="375" t="s">
        <v>2</v>
      </c>
      <c r="E62" s="36">
        <f>'Emission Factors EF'!D25</f>
        <v>63100</v>
      </c>
      <c r="F62" s="36">
        <f>'Emission Factors EF'!E25</f>
        <v>5</v>
      </c>
      <c r="G62" s="36">
        <f>'Emission Factors EF'!F25</f>
        <v>0.1</v>
      </c>
      <c r="H62" s="36">
        <f>'Emission Factors EF'!G25</f>
        <v>0</v>
      </c>
      <c r="I62" s="615" t="str">
        <f>'Emission Factors EF'!H25</f>
        <v>kg GEI/TJ</v>
      </c>
      <c r="J62" s="36">
        <f>'Conversion Factors CF'!D12</f>
        <v>47.3</v>
      </c>
      <c r="K62" s="615" t="str">
        <f>'Conversion Factors CF'!E12</f>
        <v>TJ/Gg</v>
      </c>
      <c r="L62" s="530" t="s">
        <v>82</v>
      </c>
      <c r="M62" s="535">
        <f>'Activity Data Calculations'!F168/1000</f>
        <v>4.1500000000000004</v>
      </c>
      <c r="N62" s="196">
        <f>'Activity Data Calculations'!G168/1000</f>
        <v>4.45</v>
      </c>
      <c r="O62" s="196">
        <f>'Activity Data Calculations'!H168/1000</f>
        <v>4.5590000000000002</v>
      </c>
      <c r="P62" s="196">
        <f>'Activity Data Calculations'!I168/1000</f>
        <v>5.7489999999999997</v>
      </c>
      <c r="Q62" s="196">
        <f>'Activity Data Calculations'!J168/1000</f>
        <v>6.3719999999999999</v>
      </c>
      <c r="R62" s="196">
        <f>'Activity Data Calculations'!K168/1000</f>
        <v>6.9850000000000003</v>
      </c>
      <c r="S62" s="196">
        <f>'Activity Data Calculations'!L168/1000</f>
        <v>11.436</v>
      </c>
      <c r="T62" s="196">
        <f>'Activity Data Calculations'!M168/1000</f>
        <v>10.927</v>
      </c>
      <c r="U62" s="196">
        <f>'Activity Data Calculations'!N168/1000</f>
        <v>10.093999999999999</v>
      </c>
      <c r="V62" s="196">
        <f>'Activity Data Calculations'!O168/1000</f>
        <v>10.574999999999999</v>
      </c>
      <c r="W62" s="196">
        <f>'Activity Data Calculations'!P168/1000</f>
        <v>10.925000000000001</v>
      </c>
      <c r="X62" s="196">
        <f>'Activity Data Calculations'!Q168/1000</f>
        <v>11.26</v>
      </c>
      <c r="Y62" s="196">
        <f>'Activity Data Calculations'!R168/1000</f>
        <v>11.917999999999999</v>
      </c>
      <c r="Z62" s="196">
        <f>'Activity Data Calculations'!S168/1000</f>
        <v>13.285</v>
      </c>
      <c r="AA62" s="393">
        <v>14.028</v>
      </c>
      <c r="AB62" s="393">
        <v>15.099</v>
      </c>
      <c r="AC62" s="394">
        <v>16.082999999999998</v>
      </c>
    </row>
    <row r="63" spans="2:30" x14ac:dyDescent="0.35">
      <c r="B63" s="642"/>
      <c r="C63" s="36" t="s">
        <v>44</v>
      </c>
      <c r="D63" s="375" t="s">
        <v>2</v>
      </c>
      <c r="E63" s="36">
        <f>'Emission Factors EF'!D26</f>
        <v>112000</v>
      </c>
      <c r="F63" s="36">
        <f>'Emission Factors EF'!E26</f>
        <v>200</v>
      </c>
      <c r="G63" s="36">
        <f>'Emission Factors EF'!F26</f>
        <v>1</v>
      </c>
      <c r="H63" s="36">
        <f>'Emission Factors EF'!G26</f>
        <v>0</v>
      </c>
      <c r="I63" s="615" t="str">
        <f>'Emission Factors EF'!H26</f>
        <v>kg GEI/TJ</v>
      </c>
      <c r="J63" s="36">
        <f>'Conversion Factors CF'!D14</f>
        <v>29.5</v>
      </c>
      <c r="K63" s="615" t="str">
        <f>'Conversion Factors CF'!E14</f>
        <v>TJ/Gg</v>
      </c>
      <c r="L63" s="530" t="s">
        <v>82</v>
      </c>
      <c r="M63" s="535">
        <f>'Activity Data Calculations'!F169/1000</f>
        <v>0.3</v>
      </c>
      <c r="N63" s="196">
        <f>'Activity Data Calculations'!G169/1000</f>
        <v>0.33</v>
      </c>
      <c r="O63" s="196">
        <f>'Activity Data Calculations'!H169/1000</f>
        <v>0.34</v>
      </c>
      <c r="P63" s="196">
        <f>'Activity Data Calculations'!I169/1000</f>
        <v>0.35</v>
      </c>
      <c r="Q63" s="196">
        <f>'Activity Data Calculations'!J169/1000</f>
        <v>0.36</v>
      </c>
      <c r="R63" s="196">
        <f>'Activity Data Calculations'!K169/1000</f>
        <v>0.38</v>
      </c>
      <c r="S63" s="196">
        <f>'Activity Data Calculations'!L169/1000</f>
        <v>0.39300000000000002</v>
      </c>
      <c r="T63" s="196">
        <f>'Activity Data Calculations'!M169/1000</f>
        <v>0.40699999999999997</v>
      </c>
      <c r="U63" s="196">
        <f>'Activity Data Calculations'!N169/1000</f>
        <v>0.42199999999999999</v>
      </c>
      <c r="V63" s="196">
        <f>'Activity Data Calculations'!O169/1000</f>
        <v>0.43719999999999998</v>
      </c>
      <c r="W63" s="196">
        <f>'Activity Data Calculations'!P169/1000</f>
        <v>0.45300000000000001</v>
      </c>
      <c r="X63" s="196">
        <f>'Activity Data Calculations'!Q169/1000</f>
        <v>0.46899999999999997</v>
      </c>
      <c r="Y63" s="196">
        <f>'Activity Data Calculations'!R169/1000</f>
        <v>0.47399999999999998</v>
      </c>
      <c r="Z63" s="196">
        <f>'Activity Data Calculations'!S169/1000</f>
        <v>0.48299999999999998</v>
      </c>
      <c r="AA63" s="393">
        <v>0.497</v>
      </c>
      <c r="AB63" s="393">
        <v>0.45</v>
      </c>
      <c r="AC63" s="394">
        <v>0.42</v>
      </c>
    </row>
    <row r="64" spans="2:30" x14ac:dyDescent="0.35">
      <c r="B64" s="639" t="s">
        <v>45</v>
      </c>
      <c r="C64" s="36" t="s">
        <v>14</v>
      </c>
      <c r="D64" s="375" t="s">
        <v>2</v>
      </c>
      <c r="E64" s="36">
        <f>'Emission Factors EF'!D27</f>
        <v>71900</v>
      </c>
      <c r="F64" s="36">
        <f>'Emission Factors EF'!E27</f>
        <v>10</v>
      </c>
      <c r="G64" s="36">
        <f>'Emission Factors EF'!F27</f>
        <v>0.6</v>
      </c>
      <c r="H64" s="36">
        <f>'Emission Factors EF'!G27</f>
        <v>0</v>
      </c>
      <c r="I64" s="615" t="str">
        <f>'Emission Factors EF'!H27</f>
        <v>kg GEI/TJ</v>
      </c>
      <c r="J64" s="36">
        <f>'Conversion Factors CF'!D3</f>
        <v>43.54</v>
      </c>
      <c r="K64" s="615" t="str">
        <f>'Conversion Factors CF'!E3</f>
        <v>TJ/Gg</v>
      </c>
      <c r="L64" s="530" t="s">
        <v>82</v>
      </c>
      <c r="M64" s="535">
        <f>'Activity Data Calculations'!F171/1000</f>
        <v>9.6</v>
      </c>
      <c r="N64" s="196">
        <f>'Activity Data Calculations'!G171/1000</f>
        <v>9.48</v>
      </c>
      <c r="O64" s="196">
        <f>'Activity Data Calculations'!H171/1000</f>
        <v>8.4090000000000007</v>
      </c>
      <c r="P64" s="196">
        <f>'Activity Data Calculations'!I171/1000</f>
        <v>8.2650000000000006</v>
      </c>
      <c r="Q64" s="196">
        <f>'Activity Data Calculations'!J171/1000</f>
        <v>8.7260000000000009</v>
      </c>
      <c r="R64" s="196">
        <f>'Activity Data Calculations'!K171/1000</f>
        <v>9.7650000000000006</v>
      </c>
      <c r="S64" s="196">
        <f>'Activity Data Calculations'!L171/1000</f>
        <v>3.923</v>
      </c>
      <c r="T64" s="196">
        <f>'Activity Data Calculations'!M171/1000</f>
        <v>1.238</v>
      </c>
      <c r="U64" s="196">
        <f>'Activity Data Calculations'!N171/1000</f>
        <v>1.772</v>
      </c>
      <c r="V64" s="196">
        <f>'Activity Data Calculations'!O171/1000</f>
        <v>1.476</v>
      </c>
      <c r="W64" s="196">
        <f>'Activity Data Calculations'!P171/1000</f>
        <v>1.7310000000000001</v>
      </c>
      <c r="X64" s="196">
        <f>'Activity Data Calculations'!Q171/1000</f>
        <v>0.51500000000000001</v>
      </c>
      <c r="Y64" s="196">
        <f>'Activity Data Calculations'!R171/1000</f>
        <v>0.24299999999999999</v>
      </c>
      <c r="Z64" s="196">
        <f>'Activity Data Calculations'!S171/1000</f>
        <v>0.20200000000000001</v>
      </c>
      <c r="AA64" s="393">
        <v>0.153</v>
      </c>
      <c r="AB64" s="393">
        <v>0.13100000000000001</v>
      </c>
      <c r="AC64" s="394">
        <v>7.0999999999999994E-2</v>
      </c>
    </row>
    <row r="65" spans="2:29" x14ac:dyDescent="0.35">
      <c r="B65" s="639"/>
      <c r="C65" s="36" t="s">
        <v>43</v>
      </c>
      <c r="D65" s="375" t="s">
        <v>2</v>
      </c>
      <c r="E65" s="36">
        <f>'Emission Factors EF'!D28</f>
        <v>63100</v>
      </c>
      <c r="F65" s="36">
        <f>'Emission Factors EF'!E28</f>
        <v>5</v>
      </c>
      <c r="G65" s="36">
        <f>'Emission Factors EF'!F28</f>
        <v>0.1</v>
      </c>
      <c r="H65" s="36">
        <f>'Emission Factors EF'!G28</f>
        <v>0</v>
      </c>
      <c r="I65" s="615" t="str">
        <f>'Emission Factors EF'!H28</f>
        <v>kg GEI/TJ</v>
      </c>
      <c r="J65" s="36">
        <f>'Conversion Factors CF'!D12</f>
        <v>47.3</v>
      </c>
      <c r="K65" s="615" t="str">
        <f>'Conversion Factors CF'!E12</f>
        <v>TJ/Gg</v>
      </c>
      <c r="L65" s="530" t="s">
        <v>82</v>
      </c>
      <c r="M65" s="535">
        <f>'Activity Data Calculations'!F172/1000</f>
        <v>37.71</v>
      </c>
      <c r="N65" s="196">
        <f>'Activity Data Calculations'!G172/1000</f>
        <v>37.85</v>
      </c>
      <c r="O65" s="196">
        <f>'Activity Data Calculations'!H172/1000</f>
        <v>39.023000000000003</v>
      </c>
      <c r="P65" s="196">
        <f>'Activity Data Calculations'!I172/1000</f>
        <v>40.558999999999997</v>
      </c>
      <c r="Q65" s="196">
        <f>'Activity Data Calculations'!J172/1000</f>
        <v>42.856000000000002</v>
      </c>
      <c r="R65" s="196">
        <f>'Activity Data Calculations'!K172/1000</f>
        <v>43.206000000000003</v>
      </c>
      <c r="S65" s="196">
        <f>'Activity Data Calculations'!L172/1000</f>
        <v>41.598999999999997</v>
      </c>
      <c r="T65" s="196">
        <f>'Activity Data Calculations'!M172/1000</f>
        <v>42.088000000000001</v>
      </c>
      <c r="U65" s="196">
        <f>'Activity Data Calculations'!N172/1000</f>
        <v>42.393999999999998</v>
      </c>
      <c r="V65" s="196">
        <f>'Activity Data Calculations'!O172/1000</f>
        <v>43.237000000000002</v>
      </c>
      <c r="W65" s="196">
        <f>'Activity Data Calculations'!P172/1000</f>
        <v>44.058999999999997</v>
      </c>
      <c r="X65" s="196">
        <f>'Activity Data Calculations'!Q172/1000</f>
        <v>44.64</v>
      </c>
      <c r="Y65" s="196">
        <f>'Activity Data Calculations'!R172/1000</f>
        <v>45.329000000000001</v>
      </c>
      <c r="Z65" s="196">
        <f>'Activity Data Calculations'!S172/1000</f>
        <v>46.36</v>
      </c>
      <c r="AA65" s="393">
        <v>47.57</v>
      </c>
      <c r="AB65" s="393">
        <v>49.093000000000004</v>
      </c>
      <c r="AC65" s="394">
        <v>49.454999999999998</v>
      </c>
    </row>
    <row r="66" spans="2:29" x14ac:dyDescent="0.35">
      <c r="B66" s="639"/>
      <c r="C66" s="36" t="s">
        <v>46</v>
      </c>
      <c r="D66" s="375" t="s">
        <v>2</v>
      </c>
      <c r="E66" s="36">
        <f>'Emission Factors EF'!D29</f>
        <v>112000</v>
      </c>
      <c r="F66" s="36">
        <f>'Emission Factors EF'!E29</f>
        <v>300</v>
      </c>
      <c r="G66" s="36">
        <f>'Emission Factors EF'!F29</f>
        <v>4</v>
      </c>
      <c r="H66" s="36">
        <f>'Emission Factors EF'!G29</f>
        <v>0</v>
      </c>
      <c r="I66" s="615" t="str">
        <f>'Emission Factors EF'!H29</f>
        <v>kg GEI/TJ</v>
      </c>
      <c r="J66" s="36">
        <f>'Conversion Factors CF'!D13</f>
        <v>15.6</v>
      </c>
      <c r="K66" s="615" t="str">
        <f>'Conversion Factors CF'!E13</f>
        <v>TJ/Gg</v>
      </c>
      <c r="L66" s="530" t="s">
        <v>82</v>
      </c>
      <c r="M66" s="535">
        <f>'Activity Data Calculations'!F173/1000</f>
        <v>16</v>
      </c>
      <c r="N66" s="196">
        <f>'Activity Data Calculations'!G173/1000</f>
        <v>15.9</v>
      </c>
      <c r="O66" s="196">
        <f>'Activity Data Calculations'!H173/1000</f>
        <v>15.85</v>
      </c>
      <c r="P66" s="196">
        <f>'Activity Data Calculations'!I173/1000</f>
        <v>15.78</v>
      </c>
      <c r="Q66" s="196">
        <f>'Activity Data Calculations'!J173/1000</f>
        <v>15.94</v>
      </c>
      <c r="R66" s="196">
        <f>'Activity Data Calculations'!K173/1000</f>
        <v>16.54</v>
      </c>
      <c r="S66" s="196">
        <f>'Activity Data Calculations'!L173/1000</f>
        <v>17.472999999999999</v>
      </c>
      <c r="T66" s="196">
        <f>'Activity Data Calculations'!M173/1000</f>
        <v>17.497</v>
      </c>
      <c r="U66" s="196">
        <f>'Activity Data Calculations'!N173/1000</f>
        <v>16.725999999999999</v>
      </c>
      <c r="V66" s="196">
        <f>'Activity Data Calculations'!O173/1000</f>
        <v>16.619</v>
      </c>
      <c r="W66" s="196">
        <f>'Activity Data Calculations'!P173/1000</f>
        <v>16.597000000000001</v>
      </c>
      <c r="X66" s="196">
        <f>'Activity Data Calculations'!Q173/1000</f>
        <v>16.335999999999999</v>
      </c>
      <c r="Y66" s="196">
        <f>'Activity Data Calculations'!R173/1000</f>
        <v>16.003</v>
      </c>
      <c r="Z66" s="196">
        <f>'Activity Data Calculations'!S173/1000</f>
        <v>15.465999999999999</v>
      </c>
      <c r="AA66" s="393">
        <v>14.529</v>
      </c>
      <c r="AB66" s="393">
        <v>13.625</v>
      </c>
      <c r="AC66" s="394">
        <v>13.564</v>
      </c>
    </row>
    <row r="67" spans="2:29" x14ac:dyDescent="0.35">
      <c r="B67" s="639"/>
      <c r="C67" s="36" t="s">
        <v>44</v>
      </c>
      <c r="D67" s="375" t="s">
        <v>2</v>
      </c>
      <c r="E67" s="36">
        <f>'Emission Factors EF'!D30</f>
        <v>112000</v>
      </c>
      <c r="F67" s="36">
        <f>'Emission Factors EF'!E30</f>
        <v>200</v>
      </c>
      <c r="G67" s="36">
        <f>'Emission Factors EF'!F30</f>
        <v>1</v>
      </c>
      <c r="H67" s="36">
        <f>'Emission Factors EF'!G30</f>
        <v>0</v>
      </c>
      <c r="I67" s="615" t="str">
        <f>'Emission Factors EF'!H30</f>
        <v>kg GEI/TJ</v>
      </c>
      <c r="J67" s="36">
        <f>'Conversion Factors CF'!D14</f>
        <v>29.5</v>
      </c>
      <c r="K67" s="615" t="str">
        <f>'Conversion Factors CF'!E14</f>
        <v>TJ/Gg</v>
      </c>
      <c r="L67" s="530" t="s">
        <v>82</v>
      </c>
      <c r="M67" s="535">
        <f>'Activity Data Calculations'!F174/1000</f>
        <v>0.15</v>
      </c>
      <c r="N67" s="196">
        <f>'Activity Data Calculations'!G174/1000</f>
        <v>0.15</v>
      </c>
      <c r="O67" s="196">
        <f>'Activity Data Calculations'!H174/1000</f>
        <v>0.13</v>
      </c>
      <c r="P67" s="196">
        <f>'Activity Data Calculations'!I174/1000</f>
        <v>0.125</v>
      </c>
      <c r="Q67" s="196">
        <f>'Activity Data Calculations'!J174/1000</f>
        <v>0.12</v>
      </c>
      <c r="R67" s="196">
        <f>'Activity Data Calculations'!K174/1000</f>
        <v>0.13</v>
      </c>
      <c r="S67" s="196">
        <f>'Activity Data Calculations'!L174/1000</f>
        <v>0.123</v>
      </c>
      <c r="T67" s="196">
        <f>'Activity Data Calculations'!M174/1000</f>
        <v>0.126</v>
      </c>
      <c r="U67" s="196">
        <f>'Activity Data Calculations'!N174/1000</f>
        <v>0.11899999999999999</v>
      </c>
      <c r="V67" s="196">
        <f>'Activity Data Calculations'!O174/1000</f>
        <v>0.11899999999999999</v>
      </c>
      <c r="W67" s="196">
        <f>'Activity Data Calculations'!P174/1000</f>
        <v>0.11899999999999999</v>
      </c>
      <c r="X67" s="196">
        <f>'Activity Data Calculations'!Q174/1000</f>
        <v>0.11600000000000001</v>
      </c>
      <c r="Y67" s="196">
        <f>'Activity Data Calculations'!R174/1000</f>
        <v>0.114</v>
      </c>
      <c r="Z67" s="196">
        <f>'Activity Data Calculations'!S174/1000</f>
        <v>0.111</v>
      </c>
      <c r="AA67" s="393">
        <v>0.10299999999999999</v>
      </c>
      <c r="AB67" s="393">
        <v>9.8000000000000004E-2</v>
      </c>
      <c r="AC67" s="394">
        <v>9.5000000000000001E-2</v>
      </c>
    </row>
    <row r="68" spans="2:29" s="1" customFormat="1" ht="29" x14ac:dyDescent="0.35">
      <c r="B68" s="368" t="s">
        <v>392</v>
      </c>
      <c r="C68" s="36" t="s">
        <v>41</v>
      </c>
      <c r="D68" s="375" t="s">
        <v>2</v>
      </c>
      <c r="E68" s="36">
        <f>'Emission Factors EF'!D31</f>
        <v>74100</v>
      </c>
      <c r="F68" s="36">
        <f>'Emission Factors EF'!E31</f>
        <v>10</v>
      </c>
      <c r="G68" s="36">
        <f>'Emission Factors EF'!F31</f>
        <v>0.6</v>
      </c>
      <c r="H68" s="36">
        <f>'Emission Factors EF'!G31</f>
        <v>0</v>
      </c>
      <c r="I68" s="615" t="str">
        <f>'Emission Factors EF'!H31</f>
        <v>kg GEI/TJ</v>
      </c>
      <c r="J68" s="36">
        <f>'Conversion Factors CF'!D5</f>
        <v>43.3</v>
      </c>
      <c r="K68" s="615" t="str">
        <f>'Conversion Factors CF'!E5</f>
        <v>TJ/Gg</v>
      </c>
      <c r="L68" s="530" t="s">
        <v>82</v>
      </c>
      <c r="M68" s="543">
        <f>'Activity Data Calculations'!F176/1000</f>
        <v>2.456</v>
      </c>
      <c r="N68" s="472">
        <f>'Activity Data Calculations'!G176/1000</f>
        <v>2.7909999999999999</v>
      </c>
      <c r="O68" s="472">
        <f>'Activity Data Calculations'!H176/1000</f>
        <v>2.75</v>
      </c>
      <c r="P68" s="472">
        <f>'Activity Data Calculations'!I176/1000</f>
        <v>2.9289999999999998</v>
      </c>
      <c r="Q68" s="472">
        <f>'Activity Data Calculations'!J176/1000</f>
        <v>3.1469999999999998</v>
      </c>
      <c r="R68" s="472">
        <f>'Activity Data Calculations'!K176/1000</f>
        <v>2.9950000000000001</v>
      </c>
      <c r="S68" s="472">
        <f>'Activity Data Calculations'!L176/1000</f>
        <v>3.0489999999999999</v>
      </c>
      <c r="T68" s="470">
        <f>'Activity Data Calculations'!M176/1000</f>
        <v>3.1039736227045074</v>
      </c>
      <c r="U68" s="470">
        <f>'Activity Data Calculations'!N176/1000</f>
        <v>3.1599384225796472</v>
      </c>
      <c r="V68" s="470">
        <f>'Activity Data Calculations'!O176/1000</f>
        <v>3.2169122705994471</v>
      </c>
      <c r="W68" s="470">
        <f>'Activity Data Calculations'!P176/1000</f>
        <v>3.274913359952492</v>
      </c>
      <c r="X68" s="470">
        <f>'Activity Data Calculations'!Q176/1000</f>
        <v>3.3339602118514686</v>
      </c>
      <c r="Y68" s="470">
        <f>'Activity Data Calculations'!R176/1000</f>
        <v>3.3940716814474547</v>
      </c>
      <c r="Z68" s="470">
        <f>'Activity Data Calculations'!S176/1000</f>
        <v>3.4552669638508484</v>
      </c>
      <c r="AA68" s="470">
        <v>2.2829999999999999</v>
      </c>
      <c r="AB68" s="470">
        <v>2.306</v>
      </c>
      <c r="AC68" s="471">
        <v>2.2669999999999999</v>
      </c>
    </row>
    <row r="69" spans="2:29" s="110" customFormat="1" x14ac:dyDescent="0.35">
      <c r="B69" s="643" t="s">
        <v>339</v>
      </c>
      <c r="C69" s="36" t="s">
        <v>136</v>
      </c>
      <c r="D69" s="375" t="s">
        <v>2</v>
      </c>
      <c r="E69" s="36">
        <f>'Emission Factors EF'!D32</f>
        <v>69300</v>
      </c>
      <c r="F69" s="36">
        <f>'Emission Factors EF'!E32</f>
        <v>10</v>
      </c>
      <c r="G69" s="36">
        <f>'Emission Factors EF'!F32</f>
        <v>0.6</v>
      </c>
      <c r="H69" s="36">
        <f>'Emission Factors EF'!G32</f>
        <v>0</v>
      </c>
      <c r="I69" s="615" t="str">
        <f>'Emission Factors EF'!H33</f>
        <v>kg GEI/TJ</v>
      </c>
      <c r="J69" s="36">
        <f>'Conversion Factors CF'!D10</f>
        <v>44.8</v>
      </c>
      <c r="K69" s="615" t="str">
        <f>'Conversion Factors CF'!E10</f>
        <v>TJ/Gg</v>
      </c>
      <c r="L69" s="530" t="s">
        <v>82</v>
      </c>
      <c r="M69" s="544">
        <f>'Activity Data Calculations'!F179/1000</f>
        <v>8.9250000000000007</v>
      </c>
      <c r="N69" s="197">
        <f>'Activity Data Calculations'!G179/1000</f>
        <v>9.0350000000000001</v>
      </c>
      <c r="O69" s="197">
        <f>'Activity Data Calculations'!H179/1000</f>
        <v>9.1</v>
      </c>
      <c r="P69" s="197">
        <f>'Activity Data Calculations'!I179/1000</f>
        <v>11.635</v>
      </c>
      <c r="Q69" s="197">
        <f>'Activity Data Calculations'!J179/1000</f>
        <v>8.9049999999999994</v>
      </c>
      <c r="R69" s="197">
        <f>'Activity Data Calculations'!K179/1000</f>
        <v>9.36</v>
      </c>
      <c r="S69" s="197">
        <f>'Activity Data Calculations'!L179/1000</f>
        <v>10.01</v>
      </c>
      <c r="T69" s="197">
        <f>'Activity Data Calculations'!M179/1000</f>
        <v>9.8541156269654788</v>
      </c>
      <c r="U69" s="197">
        <f>'Activity Data Calculations'!N179/1000</f>
        <v>12.54160170704697</v>
      </c>
      <c r="V69" s="197">
        <f>'Activity Data Calculations'!O179/1000</f>
        <v>14.333259093767968</v>
      </c>
      <c r="W69" s="197">
        <f>'Activity Data Calculations'!P179/1000</f>
        <v>14.557216267108091</v>
      </c>
      <c r="X69" s="197">
        <f>'Activity Data Calculations'!Q179/1000</f>
        <v>15.453044960468588</v>
      </c>
      <c r="Y69" s="197">
        <f>'Activity Data Calculations'!R179/1000</f>
        <v>13.213473227067345</v>
      </c>
      <c r="Z69" s="197">
        <f>'Activity Data Calculations'!S179/1000</f>
        <v>11.197858667006223</v>
      </c>
      <c r="AA69" s="199">
        <f>'Activity Data Calculations'!T179/1000</f>
        <v>11.645773013686474</v>
      </c>
      <c r="AB69" s="199">
        <f>'Activity Data Calculations'!U179/1000</f>
        <v>12.317644533706845</v>
      </c>
      <c r="AC69" s="260">
        <f>'Activity Data Calculations'!V179/1000</f>
        <v>11.645773013686474</v>
      </c>
    </row>
    <row r="70" spans="2:29" s="110" customFormat="1" x14ac:dyDescent="0.35">
      <c r="B70" s="638"/>
      <c r="C70" s="36" t="s">
        <v>41</v>
      </c>
      <c r="D70" s="375" t="s">
        <v>2</v>
      </c>
      <c r="E70" s="36">
        <f>'Emission Factors EF'!D33</f>
        <v>74100</v>
      </c>
      <c r="F70" s="36">
        <f>'Emission Factors EF'!E33</f>
        <v>10</v>
      </c>
      <c r="G70" s="36">
        <f>'Emission Factors EF'!F33</f>
        <v>0.6</v>
      </c>
      <c r="H70" s="36">
        <f>'Emission Factors EF'!G33</f>
        <v>0</v>
      </c>
      <c r="I70" s="615" t="str">
        <f>'Emission Factors EF'!H31</f>
        <v>kg GEI/TJ</v>
      </c>
      <c r="J70" s="36">
        <f>'Conversion Factors CF'!D5</f>
        <v>43.3</v>
      </c>
      <c r="K70" s="615" t="str">
        <f>'Conversion Factors CF'!E5</f>
        <v>TJ/Gg</v>
      </c>
      <c r="L70" s="530" t="s">
        <v>82</v>
      </c>
      <c r="M70" s="544">
        <f>'Activity Data Calculations'!F180/1000</f>
        <v>1.6319999999999999</v>
      </c>
      <c r="N70" s="197">
        <f>'Activity Data Calculations'!G180/1000</f>
        <v>1.6220000000000001</v>
      </c>
      <c r="O70" s="197">
        <f>'Activity Data Calculations'!H180/1000</f>
        <v>1.486</v>
      </c>
      <c r="P70" s="197">
        <f>'Activity Data Calculations'!I180/1000</f>
        <v>1.7789999999999999</v>
      </c>
      <c r="Q70" s="197">
        <f>'Activity Data Calculations'!J180/1000</f>
        <v>1.8740000000000001</v>
      </c>
      <c r="R70" s="197">
        <f>'Activity Data Calculations'!K180/1000</f>
        <v>1.6719999999999999</v>
      </c>
      <c r="S70" s="197">
        <f>'Activity Data Calculations'!L180/1000</f>
        <v>1.5189999999999999</v>
      </c>
      <c r="T70" s="197">
        <f>'Activity Data Calculations'!M180/1000</f>
        <v>1.7067406014022173</v>
      </c>
      <c r="U70" s="197">
        <f>'Activity Data Calculations'!N180/1000</f>
        <v>2.1722153108755489</v>
      </c>
      <c r="V70" s="197">
        <f>'Activity Data Calculations'!O180/1000</f>
        <v>2.4825317838577701</v>
      </c>
      <c r="W70" s="197">
        <f>'Activity Data Calculations'!P180/1000</f>
        <v>2.5213213429805479</v>
      </c>
      <c r="X70" s="197">
        <f>'Activity Data Calculations'!Q180/1000</f>
        <v>2.6764795794716587</v>
      </c>
      <c r="Y70" s="197">
        <f>'Activity Data Calculations'!R180/1000</f>
        <v>2.2885839882438823</v>
      </c>
      <c r="Z70" s="197">
        <f>'Activity Data Calculations'!S180/1000</f>
        <v>1.9394779561388831</v>
      </c>
      <c r="AA70" s="199">
        <f>'Activity Data Calculations'!T180/1000</f>
        <v>2.0170570743844385</v>
      </c>
      <c r="AB70" s="199">
        <f>'Activity Data Calculations'!U180/1000</f>
        <v>2.133425751752771</v>
      </c>
      <c r="AC70" s="260">
        <f>'Activity Data Calculations'!V180/1000</f>
        <v>2.0170570743844385</v>
      </c>
    </row>
    <row r="71" spans="2:29" s="1" customFormat="1" ht="29" x14ac:dyDescent="0.35">
      <c r="B71" s="480" t="s">
        <v>419</v>
      </c>
      <c r="C71" s="36" t="s">
        <v>117</v>
      </c>
      <c r="D71" s="481" t="s">
        <v>2</v>
      </c>
      <c r="E71" s="36">
        <f>'Emission Factors EF'!D25</f>
        <v>63100</v>
      </c>
      <c r="F71" s="36">
        <f>'Emission Factors EF'!E25</f>
        <v>5</v>
      </c>
      <c r="G71" s="36">
        <f>'Emission Factors EF'!F25</f>
        <v>0.1</v>
      </c>
      <c r="H71" s="36">
        <f>'Emission Factors EF'!G25</f>
        <v>0</v>
      </c>
      <c r="I71" s="615" t="str">
        <f>'Emission Factors EF'!H25</f>
        <v>kg GEI/TJ</v>
      </c>
      <c r="J71" s="36">
        <f>'Conversion Factors CF'!D12</f>
        <v>47.3</v>
      </c>
      <c r="K71" s="615" t="str">
        <f>'Conversion Factors CF'!E12</f>
        <v>TJ/Gg</v>
      </c>
      <c r="L71" s="530" t="s">
        <v>82</v>
      </c>
      <c r="M71" s="536" t="str">
        <f>IFERROR('Activity Data Calculations'!F182/1000,"NA")</f>
        <v>NA</v>
      </c>
      <c r="N71" s="391" t="str">
        <f>IFERROR('Activity Data Calculations'!G182/1000,"NA")</f>
        <v>NA</v>
      </c>
      <c r="O71" s="391" t="str">
        <f>IFERROR('Activity Data Calculations'!H182/1000,"NA")</f>
        <v>NA</v>
      </c>
      <c r="P71" s="391" t="str">
        <f>IFERROR('Activity Data Calculations'!I182/1000,"NA")</f>
        <v>NA</v>
      </c>
      <c r="Q71" s="391" t="str">
        <f>IFERROR('Activity Data Calculations'!J182/1000,"NA")</f>
        <v>NA</v>
      </c>
      <c r="R71" s="391" t="str">
        <f>IFERROR('Activity Data Calculations'!K182/1000,"NA")</f>
        <v>NA</v>
      </c>
      <c r="S71" s="391" t="str">
        <f>IFERROR('Activity Data Calculations'!L182/1000,"NA")</f>
        <v>NA</v>
      </c>
      <c r="T71" s="391" t="str">
        <f>IFERROR('Activity Data Calculations'!M182/1000,"NA")</f>
        <v>NA</v>
      </c>
      <c r="U71" s="391" t="str">
        <f>IFERROR('Activity Data Calculations'!N182/1000,"NA")</f>
        <v>NA</v>
      </c>
      <c r="V71" s="391" t="str">
        <f>IFERROR('Activity Data Calculations'!O182/1000,"NA")</f>
        <v>NA</v>
      </c>
      <c r="W71" s="391" t="str">
        <f>IFERROR('Activity Data Calculations'!P182/1000,"NA")</f>
        <v>NA</v>
      </c>
      <c r="X71" s="391" t="str">
        <f>IFERROR('Activity Data Calculations'!Q182/1000,"NA")</f>
        <v>NA</v>
      </c>
      <c r="Y71" s="391" t="str">
        <f>IFERROR('Activity Data Calculations'!R182/1000,"NA")</f>
        <v>NA</v>
      </c>
      <c r="Z71" s="391">
        <f>IFERROR('Activity Data Calculations'!S182/1000,"NA")</f>
        <v>0.25800000000000001</v>
      </c>
      <c r="AA71" s="391">
        <f>IFERROR('Activity Data Calculations'!T182/1000,"NA")</f>
        <v>0.27</v>
      </c>
      <c r="AB71" s="391">
        <f>IFERROR('Activity Data Calculations'!U182/1000,"NA")</f>
        <v>0.28499999999999998</v>
      </c>
      <c r="AC71" s="392">
        <f>IFERROR('Activity Data Calculations'!V182/1000,"NA")</f>
        <v>0.29199999999999998</v>
      </c>
    </row>
    <row r="72" spans="2:29" s="1" customFormat="1" ht="29" x14ac:dyDescent="0.35">
      <c r="B72" s="331" t="s">
        <v>7</v>
      </c>
      <c r="C72" s="36" t="s">
        <v>337</v>
      </c>
      <c r="D72" s="375" t="s">
        <v>1</v>
      </c>
      <c r="E72" s="36">
        <f>'Emission Factors EF'!D34</f>
        <v>0.59</v>
      </c>
      <c r="F72" s="36">
        <f>'Emission Factors EF'!E34</f>
        <v>0</v>
      </c>
      <c r="G72" s="36">
        <f>'Emission Factors EF'!F34</f>
        <v>0</v>
      </c>
      <c r="H72" s="36">
        <f>'Emission Factors EF'!G34</f>
        <v>0</v>
      </c>
      <c r="I72" s="615" t="str">
        <f>'Emission Factors EF'!H34</f>
        <v>ton GEI/ton</v>
      </c>
      <c r="J72" s="375" t="s">
        <v>101</v>
      </c>
      <c r="K72" s="615" t="s">
        <v>101</v>
      </c>
      <c r="L72" s="530" t="s">
        <v>77</v>
      </c>
      <c r="M72" s="539">
        <f>'Activity Data Calculations'!F26</f>
        <v>4669</v>
      </c>
      <c r="N72" s="200">
        <f>'Activity Data Calculations'!G26</f>
        <v>4573</v>
      </c>
      <c r="O72" s="200">
        <f>'Activity Data Calculations'!H26</f>
        <v>4190</v>
      </c>
      <c r="P72" s="200">
        <f>'Activity Data Calculations'!I26</f>
        <v>3981</v>
      </c>
      <c r="Q72" s="200">
        <f>'Activity Data Calculations'!J26</f>
        <v>3249</v>
      </c>
      <c r="R72" s="200">
        <f>'Activity Data Calculations'!K26</f>
        <v>3340</v>
      </c>
      <c r="S72" s="200">
        <f>'Activity Data Calculations'!L26</f>
        <v>3450</v>
      </c>
      <c r="T72" s="200">
        <f>'Activity Data Calculations'!M26</f>
        <v>2441</v>
      </c>
      <c r="U72" s="200">
        <f>'Activity Data Calculations'!N26</f>
        <v>2309</v>
      </c>
      <c r="V72" s="200">
        <f>'Activity Data Calculations'!O26</f>
        <v>3298</v>
      </c>
      <c r="W72" s="200">
        <f>'Activity Data Calculations'!P26</f>
        <v>3654</v>
      </c>
      <c r="X72" s="200">
        <f>'Activity Data Calculations'!Q26</f>
        <v>2315</v>
      </c>
      <c r="Y72" s="200">
        <f>'Activity Data Calculations'!R26</f>
        <v>3037</v>
      </c>
      <c r="Z72" s="200">
        <f>'Activity Data Calculations'!S26</f>
        <v>2188</v>
      </c>
      <c r="AA72" s="200">
        <f>'Activity Data Calculations'!T26</f>
        <v>1360</v>
      </c>
      <c r="AB72" s="199">
        <f>'Activity Data Calculations'!U26</f>
        <v>0</v>
      </c>
      <c r="AC72" s="260">
        <f>'Activity Data Calculations'!V26</f>
        <v>0</v>
      </c>
    </row>
    <row r="73" spans="2:29" s="1" customFormat="1" ht="29" x14ac:dyDescent="0.35">
      <c r="B73" s="259" t="s">
        <v>8</v>
      </c>
      <c r="C73" s="36" t="s">
        <v>103</v>
      </c>
      <c r="D73" s="375" t="s">
        <v>1</v>
      </c>
      <c r="E73" s="36">
        <f>'Emission Factors EF'!D35</f>
        <v>1.06</v>
      </c>
      <c r="F73" s="36">
        <f>'Emission Factors EF'!E35</f>
        <v>0</v>
      </c>
      <c r="G73" s="36">
        <f>'Emission Factors EF'!F35</f>
        <v>0</v>
      </c>
      <c r="H73" s="36">
        <f>'Emission Factors EF'!G35</f>
        <v>0</v>
      </c>
      <c r="I73" s="615" t="str">
        <f>'Emission Factors EF'!H35</f>
        <v>ton GEI/ton</v>
      </c>
      <c r="J73" s="375" t="s">
        <v>101</v>
      </c>
      <c r="K73" s="615" t="s">
        <v>101</v>
      </c>
      <c r="L73" s="530" t="s">
        <v>83</v>
      </c>
      <c r="M73" s="536">
        <f>'Activity Data Calculations'!F32</f>
        <v>18462.795122908439</v>
      </c>
      <c r="N73" s="391">
        <f>'Activity Data Calculations'!G32</f>
        <v>19079.129542550312</v>
      </c>
      <c r="O73" s="391">
        <f>'Activity Data Calculations'!H32</f>
        <v>19716.038751345532</v>
      </c>
      <c r="P73" s="391">
        <f>'Activity Data Calculations'!I32</f>
        <v>20352.947960140751</v>
      </c>
      <c r="Q73" s="391">
        <f>'Activity Data Calculations'!J32</f>
        <v>20989.857168935974</v>
      </c>
      <c r="R73" s="391">
        <f>'Activity Data Calculations'!K32</f>
        <v>21626.766377731194</v>
      </c>
      <c r="S73" s="391">
        <f>'Activity Data Calculations'!L32</f>
        <v>22263.675586526417</v>
      </c>
      <c r="T73" s="391">
        <f>'Activity Data Calculations'!M32</f>
        <v>22900.584795321636</v>
      </c>
      <c r="U73" s="391">
        <f>'Activity Data Calculations'!N32</f>
        <v>26950.292397660818</v>
      </c>
      <c r="V73" s="200">
        <f>'Activity Data Calculations'!O32</f>
        <v>31000</v>
      </c>
      <c r="W73" s="200">
        <f>'Activity Data Calculations'!P32</f>
        <v>33000</v>
      </c>
      <c r="X73" s="200">
        <f>'Activity Data Calculations'!Q32</f>
        <v>35000</v>
      </c>
      <c r="Y73" s="200">
        <f>'Activity Data Calculations'!R32</f>
        <v>32200</v>
      </c>
      <c r="Z73" s="200">
        <f>'Activity Data Calculations'!S32</f>
        <v>26700</v>
      </c>
      <c r="AA73" s="199">
        <f>'Activity Data Calculations'!T32</f>
        <v>25000</v>
      </c>
      <c r="AB73" s="199">
        <f>'Activity Data Calculations'!U32</f>
        <v>24000</v>
      </c>
      <c r="AC73" s="260">
        <f>'Activity Data Calculations'!V32</f>
        <v>20200</v>
      </c>
    </row>
    <row r="74" spans="2:29" s="1" customFormat="1" x14ac:dyDescent="0.35">
      <c r="B74" s="491" t="s">
        <v>476</v>
      </c>
      <c r="C74" s="36" t="s">
        <v>477</v>
      </c>
      <c r="D74" s="493" t="s">
        <v>5</v>
      </c>
      <c r="E74" s="493" t="s">
        <v>101</v>
      </c>
      <c r="F74" s="493" t="s">
        <v>101</v>
      </c>
      <c r="G74" s="493" t="s">
        <v>101</v>
      </c>
      <c r="H74" s="493" t="s">
        <v>101</v>
      </c>
      <c r="I74" s="615" t="s">
        <v>101</v>
      </c>
      <c r="J74" s="550">
        <f>'Conversion Factors CF'!D28*'Conversion Factors CF'!D29*'Conversion Factors CF'!D30</f>
        <v>14.666666666666666</v>
      </c>
      <c r="K74" s="615" t="s">
        <v>484</v>
      </c>
      <c r="L74" s="530" t="s">
        <v>453</v>
      </c>
      <c r="M74" s="539">
        <f>'Activity Data Calculations'!F298*'Conversion Factors CF'!$D$27</f>
        <v>0</v>
      </c>
      <c r="N74" s="200">
        <f>'Activity Data Calculations'!G298*'Conversion Factors CF'!$D$27</f>
        <v>0</v>
      </c>
      <c r="O74" s="200">
        <f>'Activity Data Calculations'!H298*'Conversion Factors CF'!$D$27</f>
        <v>0</v>
      </c>
      <c r="P74" s="200">
        <f>'Activity Data Calculations'!I298*'Conversion Factors CF'!$D$27</f>
        <v>0</v>
      </c>
      <c r="Q74" s="200">
        <f>'Activity Data Calculations'!J298*'Conversion Factors CF'!$D$27</f>
        <v>0</v>
      </c>
      <c r="R74" s="200">
        <f>'Activity Data Calculations'!K298*'Conversion Factors CF'!$D$27</f>
        <v>0</v>
      </c>
      <c r="S74" s="200">
        <f>'Activity Data Calculations'!L298*'Conversion Factors CF'!$D$27</f>
        <v>0</v>
      </c>
      <c r="T74" s="200">
        <f>'Activity Data Calculations'!M298*'Conversion Factors CF'!$D$27</f>
        <v>0</v>
      </c>
      <c r="U74" s="200">
        <f>'Activity Data Calculations'!N298*'Conversion Factors CF'!$D$27</f>
        <v>0</v>
      </c>
      <c r="V74" s="200">
        <f>'Activity Data Calculations'!O298*'Conversion Factors CF'!$D$27</f>
        <v>0</v>
      </c>
      <c r="W74" s="200">
        <f>'Activity Data Calculations'!P298*'Conversion Factors CF'!$D$27</f>
        <v>0</v>
      </c>
      <c r="X74" s="200">
        <f>'Activity Data Calculations'!Q298*'Conversion Factors CF'!$D$27</f>
        <v>643.20000000000005</v>
      </c>
      <c r="Y74" s="200">
        <f>'Activity Data Calculations'!R298*'Conversion Factors CF'!$D$27</f>
        <v>723.6</v>
      </c>
      <c r="Z74" s="200">
        <f>'Activity Data Calculations'!S298*'Conversion Factors CF'!$D$27</f>
        <v>683.40000000000009</v>
      </c>
      <c r="AA74" s="199">
        <f>'Activity Data Calculations'!T298*'Conversion Factors CF'!$D$27</f>
        <v>603</v>
      </c>
      <c r="AB74" s="199">
        <f>'Activity Data Calculations'!U298*'Conversion Factors CF'!$D$27</f>
        <v>442.20000000000005</v>
      </c>
      <c r="AC74" s="260">
        <f>'Activity Data Calculations'!V298*'Conversion Factors CF'!$D$27</f>
        <v>522.6</v>
      </c>
    </row>
    <row r="75" spans="2:29" s="1" customFormat="1" x14ac:dyDescent="0.35">
      <c r="B75" s="643" t="s">
        <v>310</v>
      </c>
      <c r="C75" s="36" t="s">
        <v>49</v>
      </c>
      <c r="D75" s="375" t="s">
        <v>1</v>
      </c>
      <c r="E75" s="375" t="s">
        <v>101</v>
      </c>
      <c r="F75" s="375" t="s">
        <v>101</v>
      </c>
      <c r="G75" s="375" t="s">
        <v>101</v>
      </c>
      <c r="H75" s="375" t="s">
        <v>101</v>
      </c>
      <c r="I75" s="615" t="s">
        <v>101</v>
      </c>
      <c r="J75" s="375" t="s">
        <v>101</v>
      </c>
      <c r="K75" s="615" t="s">
        <v>101</v>
      </c>
      <c r="L75" s="530" t="s">
        <v>84</v>
      </c>
      <c r="M75" s="536">
        <f>'Activity Data Calculations'!P40</f>
        <v>0</v>
      </c>
      <c r="N75" s="391">
        <f>'Activity Data Calculations'!Q40</f>
        <v>0</v>
      </c>
      <c r="O75" s="391">
        <f>'Activity Data Calculations'!R40</f>
        <v>0</v>
      </c>
      <c r="P75" s="391">
        <f>'Activity Data Calculations'!S40</f>
        <v>0</v>
      </c>
      <c r="Q75" s="391">
        <f>'Activity Data Calculations'!T40</f>
        <v>0</v>
      </c>
      <c r="R75" s="391">
        <f>'Activity Data Calculations'!U40</f>
        <v>0</v>
      </c>
      <c r="S75" s="200">
        <f>'Activity Data Calculations'!V40</f>
        <v>0</v>
      </c>
      <c r="T75" s="200">
        <f>'Activity Data Calculations'!W40</f>
        <v>0.21480000000000002</v>
      </c>
      <c r="U75" s="200">
        <f>'Activity Data Calculations'!X40</f>
        <v>0</v>
      </c>
      <c r="V75" s="200">
        <f>'Activity Data Calculations'!Y40</f>
        <v>0</v>
      </c>
      <c r="W75" s="200">
        <f>'Activity Data Calculations'!Z40</f>
        <v>0</v>
      </c>
      <c r="X75" s="200">
        <f>'Activity Data Calculations'!AA40</f>
        <v>0</v>
      </c>
      <c r="Y75" s="200">
        <f>'Activity Data Calculations'!AB40</f>
        <v>5.0999999999999997E-2</v>
      </c>
      <c r="Z75" s="200">
        <f>'Activity Data Calculations'!AC40</f>
        <v>0.26400000000000001</v>
      </c>
      <c r="AA75" s="200">
        <f>'Activity Data Calculations'!AD40</f>
        <v>0.255</v>
      </c>
      <c r="AB75" s="200">
        <f>'Activity Data Calculations'!AE40</f>
        <v>0</v>
      </c>
      <c r="AC75" s="396">
        <f>'Activity Data Calculations'!AF40</f>
        <v>8.5000000000000006E-2</v>
      </c>
    </row>
    <row r="76" spans="2:29" s="1" customFormat="1" x14ac:dyDescent="0.35">
      <c r="B76" s="641"/>
      <c r="C76" s="36" t="s">
        <v>50</v>
      </c>
      <c r="D76" s="375" t="s">
        <v>1</v>
      </c>
      <c r="E76" s="375" t="s">
        <v>101</v>
      </c>
      <c r="F76" s="375" t="s">
        <v>101</v>
      </c>
      <c r="G76" s="375" t="s">
        <v>101</v>
      </c>
      <c r="H76" s="375" t="s">
        <v>101</v>
      </c>
      <c r="I76" s="615" t="s">
        <v>101</v>
      </c>
      <c r="J76" s="375" t="s">
        <v>101</v>
      </c>
      <c r="K76" s="615" t="s">
        <v>101</v>
      </c>
      <c r="L76" s="530" t="s">
        <v>84</v>
      </c>
      <c r="M76" s="536">
        <f>'Activity Data Calculations'!P41</f>
        <v>1.1806273693399547</v>
      </c>
      <c r="N76" s="391">
        <f>'Activity Data Calculations'!Q41</f>
        <v>1.2129406993482541</v>
      </c>
      <c r="O76" s="391">
        <f>'Activity Data Calculations'!R41</f>
        <v>1.2244520943067512</v>
      </c>
      <c r="P76" s="391">
        <f>'Activity Data Calculations'!S41</f>
        <v>1.2770651967304616</v>
      </c>
      <c r="Q76" s="391">
        <f>'Activity Data Calculations'!T41</f>
        <v>1.3255122282570662</v>
      </c>
      <c r="R76" s="391">
        <f>'Activity Data Calculations'!U41</f>
        <v>1.3813740229133908</v>
      </c>
      <c r="S76" s="200">
        <f>'Activity Data Calculations'!V41</f>
        <v>1.3069999999999999</v>
      </c>
      <c r="T76" s="200">
        <f>'Activity Data Calculations'!W41</f>
        <v>3.0182600000000002</v>
      </c>
      <c r="U76" s="200">
        <f>'Activity Data Calculations'!X41</f>
        <v>5.569</v>
      </c>
      <c r="V76" s="200">
        <f>'Activity Data Calculations'!Y41</f>
        <v>15.202999999999999</v>
      </c>
      <c r="W76" s="200">
        <f>'Activity Data Calculations'!Z41</f>
        <v>7.0716999999999999</v>
      </c>
      <c r="X76" s="200">
        <f>'Activity Data Calculations'!AA41</f>
        <v>12.887969999999999</v>
      </c>
      <c r="Y76" s="200">
        <f>'Activity Data Calculations'!AB41</f>
        <v>16.848650000000003</v>
      </c>
      <c r="Z76" s="200">
        <f>'Activity Data Calculations'!AC41</f>
        <v>12.009</v>
      </c>
      <c r="AA76" s="200">
        <f>'Activity Data Calculations'!AD41</f>
        <v>17.886700000000001</v>
      </c>
      <c r="AB76" s="200">
        <f>'Activity Data Calculations'!AE41</f>
        <v>22.968630000000001</v>
      </c>
      <c r="AC76" s="397">
        <f>'Activity Data Calculations'!AF41</f>
        <v>2.4171</v>
      </c>
    </row>
    <row r="77" spans="2:29" s="1" customFormat="1" x14ac:dyDescent="0.35">
      <c r="B77" s="641"/>
      <c r="C77" s="36" t="s">
        <v>51</v>
      </c>
      <c r="D77" s="375" t="s">
        <v>1</v>
      </c>
      <c r="E77" s="375" t="s">
        <v>101</v>
      </c>
      <c r="F77" s="375" t="s">
        <v>101</v>
      </c>
      <c r="G77" s="375" t="s">
        <v>101</v>
      </c>
      <c r="H77" s="375" t="s">
        <v>101</v>
      </c>
      <c r="I77" s="615" t="s">
        <v>101</v>
      </c>
      <c r="J77" s="375" t="s">
        <v>101</v>
      </c>
      <c r="K77" s="615" t="s">
        <v>101</v>
      </c>
      <c r="L77" s="530" t="s">
        <v>84</v>
      </c>
      <c r="M77" s="536">
        <f>'Activity Data Calculations'!P42</f>
        <v>6.8140355760359705</v>
      </c>
      <c r="N77" s="391">
        <f>'Activity Data Calculations'!Q42</f>
        <v>7.0005331839813465</v>
      </c>
      <c r="O77" s="391">
        <f>'Activity Data Calculations'!R42</f>
        <v>7.0669716359552766</v>
      </c>
      <c r="P77" s="391">
        <f>'Activity Data Calculations'!S42</f>
        <v>7.3706301492093074</v>
      </c>
      <c r="Q77" s="391">
        <f>'Activity Data Calculations'!T42</f>
        <v>7.6502440264991227</v>
      </c>
      <c r="R77" s="391">
        <f>'Activity Data Calculations'!U42</f>
        <v>7.9726524900113791</v>
      </c>
      <c r="S77" s="200">
        <f>'Activity Data Calculations'!V42</f>
        <v>7.5433999999999992</v>
      </c>
      <c r="T77" s="200">
        <f>'Activity Data Calculations'!W42</f>
        <v>14.9002</v>
      </c>
      <c r="U77" s="200">
        <f>'Activity Data Calculations'!X42</f>
        <v>15.563000000000001</v>
      </c>
      <c r="V77" s="200">
        <f>'Activity Data Calculations'!Y42</f>
        <v>29.893999999999998</v>
      </c>
      <c r="W77" s="200">
        <f>'Activity Data Calculations'!Z42</f>
        <v>24.260035999999999</v>
      </c>
      <c r="X77" s="200">
        <f>'Activity Data Calculations'!AA42</f>
        <v>45.92953</v>
      </c>
      <c r="Y77" s="200">
        <f>'Activity Data Calculations'!AB42</f>
        <v>45.940239999999996</v>
      </c>
      <c r="Z77" s="200">
        <f>'Activity Data Calculations'!AC42</f>
        <v>52.730400000000003</v>
      </c>
      <c r="AA77" s="200">
        <f>'Activity Data Calculations'!AD42</f>
        <v>66.442800000000005</v>
      </c>
      <c r="AB77" s="200">
        <f>'Activity Data Calculations'!AE42</f>
        <v>57.10933</v>
      </c>
      <c r="AC77" s="397">
        <f>'Activity Data Calculations'!AF42</f>
        <v>66.6631</v>
      </c>
    </row>
    <row r="78" spans="2:29" s="1" customFormat="1" x14ac:dyDescent="0.35">
      <c r="B78" s="641"/>
      <c r="C78" s="36" t="s">
        <v>52</v>
      </c>
      <c r="D78" s="375" t="s">
        <v>1</v>
      </c>
      <c r="E78" s="375" t="s">
        <v>101</v>
      </c>
      <c r="F78" s="375" t="s">
        <v>101</v>
      </c>
      <c r="G78" s="375" t="s">
        <v>101</v>
      </c>
      <c r="H78" s="375" t="s">
        <v>101</v>
      </c>
      <c r="I78" s="615" t="s">
        <v>101</v>
      </c>
      <c r="J78" s="375" t="s">
        <v>101</v>
      </c>
      <c r="K78" s="615" t="s">
        <v>101</v>
      </c>
      <c r="L78" s="530" t="s">
        <v>84</v>
      </c>
      <c r="M78" s="536">
        <f>'Activity Data Calculations'!P43</f>
        <v>13.691997722892948</v>
      </c>
      <c r="N78" s="391">
        <f>'Activity Data Calculations'!Q43</f>
        <v>13.69470712752193</v>
      </c>
      <c r="O78" s="391">
        <f>'Activity Data Calculations'!R43</f>
        <v>13.612390021804728</v>
      </c>
      <c r="P78" s="391">
        <f>'Activity Data Calculations'!S43</f>
        <v>13.51180906022854</v>
      </c>
      <c r="Q78" s="391">
        <f>'Activity Data Calculations'!T43</f>
        <v>13.461730063405536</v>
      </c>
      <c r="R78" s="391">
        <f>'Activity Data Calculations'!U43</f>
        <v>13.380717933218797</v>
      </c>
      <c r="S78" s="200">
        <f>'Activity Data Calculations'!V43</f>
        <v>13.336929999999999</v>
      </c>
      <c r="T78" s="200">
        <f>'Activity Data Calculations'!W43</f>
        <v>22.661799999999999</v>
      </c>
      <c r="U78" s="200">
        <f>'Activity Data Calculations'!X43</f>
        <v>79.990960000000001</v>
      </c>
      <c r="V78" s="200">
        <f>'Activity Data Calculations'!Y43</f>
        <v>38.557199999999995</v>
      </c>
      <c r="W78" s="200">
        <f>'Activity Data Calculations'!Z43</f>
        <v>24.075076000000003</v>
      </c>
      <c r="X78" s="200">
        <f>'Activity Data Calculations'!AA43</f>
        <v>41.355139999999999</v>
      </c>
      <c r="Y78" s="200">
        <f>'Activity Data Calculations'!AB43</f>
        <v>34.056840000000001</v>
      </c>
      <c r="Z78" s="200">
        <f>'Activity Data Calculations'!AC43</f>
        <v>4.9940000000000033</v>
      </c>
      <c r="AA78" s="200">
        <f>'Activity Data Calculations'!AD43</f>
        <v>5.52318</v>
      </c>
      <c r="AB78" s="200">
        <f>'Activity Data Calculations'!AE43</f>
        <v>7.2954399999999993</v>
      </c>
      <c r="AC78" s="397">
        <f>'Activity Data Calculations'!AF43</f>
        <v>8.8007960999999995</v>
      </c>
    </row>
    <row r="79" spans="2:29" s="1" customFormat="1" x14ac:dyDescent="0.35">
      <c r="B79" s="641"/>
      <c r="C79" s="36" t="s">
        <v>54</v>
      </c>
      <c r="D79" s="375" t="s">
        <v>1</v>
      </c>
      <c r="E79" s="375" t="s">
        <v>101</v>
      </c>
      <c r="F79" s="375" t="s">
        <v>101</v>
      </c>
      <c r="G79" s="375" t="s">
        <v>101</v>
      </c>
      <c r="H79" s="375" t="s">
        <v>101</v>
      </c>
      <c r="I79" s="615" t="s">
        <v>101</v>
      </c>
      <c r="J79" s="375" t="s">
        <v>101</v>
      </c>
      <c r="K79" s="615" t="s">
        <v>101</v>
      </c>
      <c r="L79" s="530" t="s">
        <v>84</v>
      </c>
      <c r="M79" s="536">
        <f>'Activity Data Calculations'!P45</f>
        <v>6.6221723371317598</v>
      </c>
      <c r="N79" s="391">
        <f>'Activity Data Calculations'!Q45</f>
        <v>6.8034187199097573</v>
      </c>
      <c r="O79" s="391">
        <f>'Activity Data Calculations'!R45</f>
        <v>6.867986460109254</v>
      </c>
      <c r="P79" s="391">
        <f>'Activity Data Calculations'!S45</f>
        <v>7.1630948410336774</v>
      </c>
      <c r="Q79" s="391">
        <f>'Activity Data Calculations'!T45</f>
        <v>7.434835612358496</v>
      </c>
      <c r="R79" s="391">
        <f>'Activity Data Calculations'!U45</f>
        <v>7.7481659999832209</v>
      </c>
      <c r="S79" s="200">
        <f>'Activity Data Calculations'!V45</f>
        <v>7.3310000000000004</v>
      </c>
      <c r="T79" s="200">
        <f>'Activity Data Calculations'!W45</f>
        <v>13.081700000000001</v>
      </c>
      <c r="U79" s="200">
        <f>'Activity Data Calculations'!X45</f>
        <v>11.65</v>
      </c>
      <c r="V79" s="200">
        <f>'Activity Data Calculations'!Y45</f>
        <v>16.724</v>
      </c>
      <c r="W79" s="200">
        <f>'Activity Data Calculations'!Z45</f>
        <v>20.107088000000001</v>
      </c>
      <c r="X79" s="200">
        <f>'Activity Data Calculations'!AA45</f>
        <v>36.962482000000001</v>
      </c>
      <c r="Y79" s="200">
        <f>'Activity Data Calculations'!AB45</f>
        <v>33.886519999999997</v>
      </c>
      <c r="Z79" s="200">
        <f>'Activity Data Calculations'!AC45</f>
        <v>164.40379999999999</v>
      </c>
      <c r="AA79" s="200">
        <f>'Activity Data Calculations'!AD45</f>
        <v>23.596499999999999</v>
      </c>
      <c r="AB79" s="200">
        <f>'Activity Data Calculations'!AE45</f>
        <v>38.398760000000003</v>
      </c>
      <c r="AC79" s="397">
        <f>'Activity Data Calculations'!AF45</f>
        <v>43.2669</v>
      </c>
    </row>
    <row r="80" spans="2:29" s="1" customFormat="1" x14ac:dyDescent="0.35">
      <c r="B80" s="638"/>
      <c r="C80" s="36" t="s">
        <v>55</v>
      </c>
      <c r="D80" s="375" t="s">
        <v>1</v>
      </c>
      <c r="E80" s="375" t="s">
        <v>101</v>
      </c>
      <c r="F80" s="375" t="s">
        <v>101</v>
      </c>
      <c r="G80" s="375" t="s">
        <v>101</v>
      </c>
      <c r="H80" s="375" t="s">
        <v>101</v>
      </c>
      <c r="I80" s="615" t="s">
        <v>101</v>
      </c>
      <c r="J80" s="375" t="s">
        <v>101</v>
      </c>
      <c r="K80" s="615" t="s">
        <v>101</v>
      </c>
      <c r="L80" s="530" t="s">
        <v>84</v>
      </c>
      <c r="M80" s="536">
        <f>'Activity Data Calculations'!P46</f>
        <v>0</v>
      </c>
      <c r="N80" s="391">
        <f>'Activity Data Calculations'!Q46</f>
        <v>0</v>
      </c>
      <c r="O80" s="391">
        <f>'Activity Data Calculations'!R46</f>
        <v>0</v>
      </c>
      <c r="P80" s="391">
        <f>'Activity Data Calculations'!S46</f>
        <v>0</v>
      </c>
      <c r="Q80" s="391">
        <f>'Activity Data Calculations'!T46</f>
        <v>0</v>
      </c>
      <c r="R80" s="391">
        <f>'Activity Data Calculations'!U46</f>
        <v>0</v>
      </c>
      <c r="S80" s="200">
        <f>'Activity Data Calculations'!V46</f>
        <v>0</v>
      </c>
      <c r="T80" s="200">
        <f>'Activity Data Calculations'!W46</f>
        <v>0</v>
      </c>
      <c r="U80" s="200">
        <f>'Activity Data Calculations'!X46</f>
        <v>0</v>
      </c>
      <c r="V80" s="200">
        <f>'Activity Data Calculations'!Y46</f>
        <v>0</v>
      </c>
      <c r="W80" s="200">
        <f>'Activity Data Calculations'!Z46</f>
        <v>0</v>
      </c>
      <c r="X80" s="200">
        <f>'Activity Data Calculations'!AA46</f>
        <v>0</v>
      </c>
      <c r="Y80" s="200">
        <f>'Activity Data Calculations'!AB46</f>
        <v>0</v>
      </c>
      <c r="Z80" s="200">
        <f>'Activity Data Calculations'!AC46</f>
        <v>0.78400000000000003</v>
      </c>
      <c r="AA80" s="200">
        <f>'Activity Data Calculations'!AD46</f>
        <v>0</v>
      </c>
      <c r="AB80" s="200">
        <f>'Activity Data Calculations'!AE46</f>
        <v>0</v>
      </c>
      <c r="AC80" s="397">
        <f>'Activity Data Calculations'!AF46</f>
        <v>0</v>
      </c>
    </row>
    <row r="81" spans="2:31" s="1" customFormat="1" ht="15" customHeight="1" x14ac:dyDescent="0.35">
      <c r="B81" s="643" t="s">
        <v>312</v>
      </c>
      <c r="C81" s="36" t="s">
        <v>49</v>
      </c>
      <c r="D81" s="375" t="s">
        <v>1</v>
      </c>
      <c r="E81" s="375" t="s">
        <v>101</v>
      </c>
      <c r="F81" s="375" t="s">
        <v>101</v>
      </c>
      <c r="G81" s="375" t="s">
        <v>101</v>
      </c>
      <c r="H81" s="375" t="s">
        <v>101</v>
      </c>
      <c r="I81" s="615" t="s">
        <v>101</v>
      </c>
      <c r="J81" s="375" t="s">
        <v>101</v>
      </c>
      <c r="K81" s="615" t="s">
        <v>101</v>
      </c>
      <c r="L81" s="530" t="s">
        <v>84</v>
      </c>
      <c r="M81" s="536">
        <f>'Activity Data Calculations'!AU40</f>
        <v>0</v>
      </c>
      <c r="N81" s="391">
        <f>'Activity Data Calculations'!AV40</f>
        <v>0</v>
      </c>
      <c r="O81" s="391">
        <f>'Activity Data Calculations'!AW40</f>
        <v>0</v>
      </c>
      <c r="P81" s="391">
        <f>'Activity Data Calculations'!AX40</f>
        <v>0</v>
      </c>
      <c r="Q81" s="391">
        <f>'Activity Data Calculations'!AY40</f>
        <v>0</v>
      </c>
      <c r="R81" s="391">
        <f>'Activity Data Calculations'!AZ40</f>
        <v>0</v>
      </c>
      <c r="S81" s="200">
        <f>'Activity Data Calculations'!BA40</f>
        <v>0</v>
      </c>
      <c r="T81" s="200">
        <f>'Activity Data Calculations'!BB40</f>
        <v>0</v>
      </c>
      <c r="U81" s="200">
        <f>'Activity Data Calculations'!BC40</f>
        <v>0</v>
      </c>
      <c r="V81" s="200">
        <f>'Activity Data Calculations'!BD40</f>
        <v>0</v>
      </c>
      <c r="W81" s="200">
        <f>'Activity Data Calculations'!BE40</f>
        <v>0</v>
      </c>
      <c r="X81" s="200">
        <f>'Activity Data Calculations'!BF40</f>
        <v>0</v>
      </c>
      <c r="Y81" s="200">
        <f>'Activity Data Calculations'!BG40</f>
        <v>0</v>
      </c>
      <c r="Z81" s="200">
        <f>'Activity Data Calculations'!BH40</f>
        <v>0</v>
      </c>
      <c r="AA81" s="200">
        <f>'Activity Data Calculations'!BI40</f>
        <v>0</v>
      </c>
      <c r="AB81" s="200">
        <f>'Activity Data Calculations'!BJ40</f>
        <v>0</v>
      </c>
      <c r="AC81" s="396">
        <f>'Activity Data Calculations'!BK40</f>
        <v>0</v>
      </c>
      <c r="AD81" s="221">
        <f>AC81/SUM($AC$81:$AC$85)</f>
        <v>0</v>
      </c>
    </row>
    <row r="82" spans="2:31" s="1" customFormat="1" x14ac:dyDescent="0.35">
      <c r="B82" s="641"/>
      <c r="C82" s="36" t="s">
        <v>50</v>
      </c>
      <c r="D82" s="375" t="s">
        <v>1</v>
      </c>
      <c r="E82" s="375" t="s">
        <v>101</v>
      </c>
      <c r="F82" s="375" t="s">
        <v>101</v>
      </c>
      <c r="G82" s="375" t="s">
        <v>101</v>
      </c>
      <c r="H82" s="375" t="s">
        <v>101</v>
      </c>
      <c r="I82" s="615" t="s">
        <v>101</v>
      </c>
      <c r="J82" s="375" t="s">
        <v>101</v>
      </c>
      <c r="K82" s="615" t="s">
        <v>101</v>
      </c>
      <c r="L82" s="530" t="s">
        <v>84</v>
      </c>
      <c r="M82" s="536">
        <f>'Activity Data Calculations'!AU41</f>
        <v>4.6972167716662315E-3</v>
      </c>
      <c r="N82" s="391">
        <f>'Activity Data Calculations'!AV41</f>
        <v>4.8257778397941256E-3</v>
      </c>
      <c r="O82" s="391">
        <f>'Activity Data Calculations'!AW41</f>
        <v>4.8715768097896761E-3</v>
      </c>
      <c r="P82" s="391">
        <f>'Activity Data Calculations'!AX41</f>
        <v>5.0809020833958692E-3</v>
      </c>
      <c r="Q82" s="391">
        <f>'Activity Data Calculations'!AY41</f>
        <v>5.2736523235935306E-3</v>
      </c>
      <c r="R82" s="391">
        <f>'Activity Data Calculations'!AZ41</f>
        <v>5.4959027690509813E-3</v>
      </c>
      <c r="S82" s="200">
        <f>'Activity Data Calculations'!BA41</f>
        <v>5.1999999999999998E-3</v>
      </c>
      <c r="T82" s="200">
        <f>'Activity Data Calculations'!BB41</f>
        <v>4.8799999999999998E-3</v>
      </c>
      <c r="U82" s="200">
        <f>'Activity Data Calculations'!BC41</f>
        <v>3.0000000000000001E-3</v>
      </c>
      <c r="V82" s="200">
        <f>'Activity Data Calculations'!BD41</f>
        <v>4.3999999999999997E-2</v>
      </c>
      <c r="W82" s="200">
        <f>'Activity Data Calculations'!BE41</f>
        <v>9.3790000000000012E-2</v>
      </c>
      <c r="X82" s="200">
        <f>'Activity Data Calculations'!BF41</f>
        <v>3.8984999999999999E-2</v>
      </c>
      <c r="Y82" s="200">
        <f>'Activity Data Calculations'!BG41</f>
        <v>0.11990000000000001</v>
      </c>
      <c r="Z82" s="200">
        <f>'Activity Data Calculations'!BH41</f>
        <v>0</v>
      </c>
      <c r="AA82" s="200">
        <f>'Activity Data Calculations'!BI41</f>
        <v>0.42569999999999997</v>
      </c>
      <c r="AB82" s="200">
        <f>'Activity Data Calculations'!BJ41</f>
        <v>0.59344000000000008</v>
      </c>
      <c r="AC82" s="397">
        <f>'Activity Data Calculations'!BK41</f>
        <v>1.5599999999999999E-2</v>
      </c>
      <c r="AD82" s="221">
        <f>AC82/SUM($AC$81:$AC$85)</f>
        <v>3.8870464178126394E-3</v>
      </c>
    </row>
    <row r="83" spans="2:31" s="1" customFormat="1" x14ac:dyDescent="0.35">
      <c r="B83" s="641"/>
      <c r="C83" s="36" t="s">
        <v>51</v>
      </c>
      <c r="D83" s="375" t="s">
        <v>1</v>
      </c>
      <c r="E83" s="375" t="s">
        <v>101</v>
      </c>
      <c r="F83" s="375" t="s">
        <v>101</v>
      </c>
      <c r="G83" s="375" t="s">
        <v>101</v>
      </c>
      <c r="H83" s="375" t="s">
        <v>101</v>
      </c>
      <c r="I83" s="615" t="s">
        <v>101</v>
      </c>
      <c r="J83" s="375" t="s">
        <v>101</v>
      </c>
      <c r="K83" s="615" t="s">
        <v>101</v>
      </c>
      <c r="L83" s="530" t="s">
        <v>84</v>
      </c>
      <c r="M83" s="536">
        <f>'Activity Data Calculations'!AU42</f>
        <v>0.1096709785092302</v>
      </c>
      <c r="N83" s="391">
        <f>'Activity Data Calculations'!AV42</f>
        <v>0.1126726322171932</v>
      </c>
      <c r="O83" s="391">
        <f>'Activity Data Calculations'!AW42</f>
        <v>0.11374195009164702</v>
      </c>
      <c r="P83" s="391">
        <f>'Activity Data Calculations'!AX42</f>
        <v>0.11862929268174854</v>
      </c>
      <c r="Q83" s="391">
        <f>'Activity Data Calculations'!AY42</f>
        <v>0.12312964011682509</v>
      </c>
      <c r="R83" s="391">
        <f>'Activity Data Calculations'!AZ42</f>
        <v>0.12831876061355377</v>
      </c>
      <c r="S83" s="200">
        <f>'Activity Data Calculations'!BA42</f>
        <v>0.12140999999999999</v>
      </c>
      <c r="T83" s="200">
        <f>'Activity Data Calculations'!BB42</f>
        <v>5.3259999999999995E-2</v>
      </c>
      <c r="U83" s="200">
        <f>'Activity Data Calculations'!BC42</f>
        <v>0.59599999999999997</v>
      </c>
      <c r="V83" s="200">
        <f>'Activity Data Calculations'!BD42</f>
        <v>2.625</v>
      </c>
      <c r="W83" s="200">
        <f>'Activity Data Calculations'!BE42</f>
        <v>1.9035260000000001</v>
      </c>
      <c r="X83" s="200">
        <f>'Activity Data Calculations'!BF42</f>
        <v>0.28217500000000001</v>
      </c>
      <c r="Y83" s="200">
        <f>'Activity Data Calculations'!BG42</f>
        <v>0.49031999999999998</v>
      </c>
      <c r="Z83" s="200">
        <f>'Activity Data Calculations'!BH42</f>
        <v>0</v>
      </c>
      <c r="AA83" s="200">
        <f>'Activity Data Calculations'!BI42</f>
        <v>1.1172299999999999</v>
      </c>
      <c r="AB83" s="200">
        <f>'Activity Data Calculations'!BJ42</f>
        <v>6.01084</v>
      </c>
      <c r="AC83" s="397">
        <f>'Activity Data Calculations'!BK42</f>
        <v>1.7244000000000002</v>
      </c>
      <c r="AD83" s="221">
        <f>AC83/SUM($AC$81:$AC$85)</f>
        <v>0.42966813095359718</v>
      </c>
    </row>
    <row r="84" spans="2:31" s="1" customFormat="1" x14ac:dyDescent="0.35">
      <c r="B84" s="641"/>
      <c r="C84" s="36" t="s">
        <v>52</v>
      </c>
      <c r="D84" s="375" t="s">
        <v>1</v>
      </c>
      <c r="E84" s="375" t="s">
        <v>101</v>
      </c>
      <c r="F84" s="375" t="s">
        <v>101</v>
      </c>
      <c r="G84" s="375" t="s">
        <v>101</v>
      </c>
      <c r="H84" s="375" t="s">
        <v>101</v>
      </c>
      <c r="I84" s="615" t="s">
        <v>101</v>
      </c>
      <c r="J84" s="375" t="s">
        <v>101</v>
      </c>
      <c r="K84" s="615" t="s">
        <v>101</v>
      </c>
      <c r="L84" s="530" t="s">
        <v>84</v>
      </c>
      <c r="M84" s="536">
        <f>'Activity Data Calculations'!AU43</f>
        <v>0.87549797447435163</v>
      </c>
      <c r="N84" s="391">
        <f>'Activity Data Calculations'!AV43</f>
        <v>0.89946002694362781</v>
      </c>
      <c r="O84" s="391">
        <f>'Activity Data Calculations'!AW43</f>
        <v>0.90799633842620242</v>
      </c>
      <c r="P84" s="391">
        <f>'Activity Data Calculations'!AX43</f>
        <v>0.94701175158617523</v>
      </c>
      <c r="Q84" s="391">
        <f>'Activity Data Calculations'!AY43</f>
        <v>0.98293780164424738</v>
      </c>
      <c r="R84" s="391">
        <f>'Activity Data Calculations'!AZ43</f>
        <v>1.0243622928445966</v>
      </c>
      <c r="S84" s="200">
        <f>'Activity Data Calculations'!BA43</f>
        <v>0.96921000000000002</v>
      </c>
      <c r="T84" s="200">
        <f>'Activity Data Calculations'!BB43</f>
        <v>0.15162999999999999</v>
      </c>
      <c r="U84" s="200">
        <f>'Activity Data Calculations'!BC43</f>
        <v>0.33200000000000002</v>
      </c>
      <c r="V84" s="200">
        <f>'Activity Data Calculations'!BD43</f>
        <v>4.5679999999999996</v>
      </c>
      <c r="W84" s="200">
        <f>'Activity Data Calculations'!BE43</f>
        <v>0.33859</v>
      </c>
      <c r="X84" s="200">
        <f>'Activity Data Calculations'!BF43</f>
        <v>0.10994</v>
      </c>
      <c r="Y84" s="200">
        <f>'Activity Data Calculations'!BG43</f>
        <v>1.85528</v>
      </c>
      <c r="Z84" s="200">
        <f>'Activity Data Calculations'!BH43</f>
        <v>0</v>
      </c>
      <c r="AA84" s="200">
        <f>'Activity Data Calculations'!BI43</f>
        <v>7.3200000000000001E-2</v>
      </c>
      <c r="AB84" s="200">
        <f>'Activity Data Calculations'!BJ43</f>
        <v>0.62657000000000007</v>
      </c>
      <c r="AC84" s="397">
        <f>'Activity Data Calculations'!BK43</f>
        <v>0.25552000000000002</v>
      </c>
      <c r="AD84" s="221">
        <f>AC84/SUM($AC$81:$AC$85)</f>
        <v>6.36678269666337E-2</v>
      </c>
    </row>
    <row r="85" spans="2:31" s="1" customFormat="1" x14ac:dyDescent="0.35">
      <c r="B85" s="641"/>
      <c r="C85" s="36" t="s">
        <v>54</v>
      </c>
      <c r="D85" s="375" t="s">
        <v>1</v>
      </c>
      <c r="E85" s="375" t="s">
        <v>101</v>
      </c>
      <c r="F85" s="375" t="s">
        <v>101</v>
      </c>
      <c r="G85" s="375" t="s">
        <v>101</v>
      </c>
      <c r="H85" s="375" t="s">
        <v>101</v>
      </c>
      <c r="I85" s="615" t="s">
        <v>101</v>
      </c>
      <c r="J85" s="375" t="s">
        <v>101</v>
      </c>
      <c r="K85" s="615" t="s">
        <v>101</v>
      </c>
      <c r="L85" s="530" t="s">
        <v>84</v>
      </c>
      <c r="M85" s="536">
        <f>'Activity Data Calculations'!AU45</f>
        <v>0.11217314975106013</v>
      </c>
      <c r="N85" s="391">
        <f>'Activity Data Calculations'!AV45</f>
        <v>0.11524328695108356</v>
      </c>
      <c r="O85" s="391">
        <f>'Activity Data Calculations'!AW45</f>
        <v>0.11633700158455423</v>
      </c>
      <c r="P85" s="391">
        <f>'Activity Data Calculations'!AX45</f>
        <v>0.12133585013771137</v>
      </c>
      <c r="Q85" s="391">
        <f>'Activity Data Calculations'!AY45</f>
        <v>0.12593887414304705</v>
      </c>
      <c r="R85" s="391">
        <f>'Activity Data Calculations'!AZ45</f>
        <v>0.13124638574245209</v>
      </c>
      <c r="S85" s="200">
        <f>'Activity Data Calculations'!BA45</f>
        <v>0.12418000000000001</v>
      </c>
      <c r="T85" s="200">
        <f>'Activity Data Calculations'!BB45</f>
        <v>5.6680000000000001E-2</v>
      </c>
      <c r="U85" s="200">
        <f>'Activity Data Calculations'!BC45</f>
        <v>0.70099999999999996</v>
      </c>
      <c r="V85" s="200">
        <f>'Activity Data Calculations'!BD45</f>
        <v>3.0489999999999999</v>
      </c>
      <c r="W85" s="200">
        <f>'Activity Data Calculations'!BE45</f>
        <v>2.1361080000000001</v>
      </c>
      <c r="X85" s="200">
        <f>'Activity Data Calculations'!BF45</f>
        <v>0.28339999999999999</v>
      </c>
      <c r="Y85" s="200">
        <f>'Activity Data Calculations'!BG45</f>
        <v>0.34949000000000002</v>
      </c>
      <c r="Z85" s="200">
        <f>'Activity Data Calculations'!BH45</f>
        <v>0</v>
      </c>
      <c r="AA85" s="200">
        <f>'Activity Data Calculations'!BI45</f>
        <v>0.80489999999999995</v>
      </c>
      <c r="AB85" s="200">
        <f>'Activity Data Calculations'!BJ45</f>
        <v>6.3401800000000001</v>
      </c>
      <c r="AC85" s="397">
        <f>'Activity Data Calculations'!BK45</f>
        <v>2.0178099999999999</v>
      </c>
      <c r="AD85" s="221">
        <f>AC85/SUM($AC$81:$AC$85)</f>
        <v>0.50277699566195655</v>
      </c>
    </row>
    <row r="86" spans="2:31" s="1" customFormat="1" x14ac:dyDescent="0.35">
      <c r="B86" s="638"/>
      <c r="C86" s="36" t="s">
        <v>55</v>
      </c>
      <c r="D86" s="375" t="s">
        <v>1</v>
      </c>
      <c r="E86" s="375" t="s">
        <v>101</v>
      </c>
      <c r="F86" s="375" t="s">
        <v>101</v>
      </c>
      <c r="G86" s="375" t="s">
        <v>101</v>
      </c>
      <c r="H86" s="375" t="s">
        <v>101</v>
      </c>
      <c r="I86" s="615" t="s">
        <v>101</v>
      </c>
      <c r="J86" s="375" t="s">
        <v>101</v>
      </c>
      <c r="K86" s="615" t="s">
        <v>101</v>
      </c>
      <c r="L86" s="530" t="s">
        <v>84</v>
      </c>
      <c r="M86" s="536">
        <f>'Activity Data Calculations'!AU46</f>
        <v>0</v>
      </c>
      <c r="N86" s="391">
        <f>'Activity Data Calculations'!AV46</f>
        <v>0</v>
      </c>
      <c r="O86" s="391">
        <f>'Activity Data Calculations'!AW46</f>
        <v>0</v>
      </c>
      <c r="P86" s="391">
        <f>'Activity Data Calculations'!AX46</f>
        <v>0</v>
      </c>
      <c r="Q86" s="391">
        <f>'Activity Data Calculations'!AY46</f>
        <v>0</v>
      </c>
      <c r="R86" s="391">
        <f>'Activity Data Calculations'!AZ46</f>
        <v>0</v>
      </c>
      <c r="S86" s="200">
        <f>'Activity Data Calculations'!BA46</f>
        <v>0</v>
      </c>
      <c r="T86" s="200">
        <f>'Activity Data Calculations'!BB46</f>
        <v>0</v>
      </c>
      <c r="U86" s="200">
        <f>'Activity Data Calculations'!BC46</f>
        <v>0</v>
      </c>
      <c r="V86" s="200">
        <f>'Activity Data Calculations'!BD46</f>
        <v>0</v>
      </c>
      <c r="W86" s="200">
        <f>'Activity Data Calculations'!BE46</f>
        <v>0</v>
      </c>
      <c r="X86" s="200">
        <f>'Activity Data Calculations'!BF46</f>
        <v>0</v>
      </c>
      <c r="Y86" s="200">
        <f>'Activity Data Calculations'!BG46</f>
        <v>0</v>
      </c>
      <c r="Z86" s="200">
        <f>'Activity Data Calculations'!BH46</f>
        <v>0</v>
      </c>
      <c r="AA86" s="200">
        <f>'Activity Data Calculations'!BI46</f>
        <v>0</v>
      </c>
      <c r="AB86" s="200">
        <f>'Activity Data Calculations'!BJ46</f>
        <v>0</v>
      </c>
      <c r="AC86" s="397">
        <f>'Activity Data Calculations'!BK46</f>
        <v>0</v>
      </c>
      <c r="AD86" s="221"/>
    </row>
    <row r="87" spans="2:31" s="1" customFormat="1" ht="15" customHeight="1" x14ac:dyDescent="0.35">
      <c r="B87" s="643" t="s">
        <v>318</v>
      </c>
      <c r="C87" s="36" t="s">
        <v>49</v>
      </c>
      <c r="D87" s="375" t="s">
        <v>1</v>
      </c>
      <c r="E87" s="375" t="s">
        <v>101</v>
      </c>
      <c r="F87" s="375" t="s">
        <v>101</v>
      </c>
      <c r="G87" s="375" t="s">
        <v>101</v>
      </c>
      <c r="H87" s="375" t="s">
        <v>101</v>
      </c>
      <c r="I87" s="615" t="s">
        <v>101</v>
      </c>
      <c r="J87" s="375" t="s">
        <v>101</v>
      </c>
      <c r="K87" s="615" t="s">
        <v>101</v>
      </c>
      <c r="L87" s="530" t="s">
        <v>84</v>
      </c>
      <c r="M87" s="536">
        <f t="shared" ref="M87:AC87" si="7">M75-M81</f>
        <v>0</v>
      </c>
      <c r="N87" s="391">
        <f t="shared" si="7"/>
        <v>0</v>
      </c>
      <c r="O87" s="391">
        <f t="shared" si="7"/>
        <v>0</v>
      </c>
      <c r="P87" s="391">
        <f t="shared" si="7"/>
        <v>0</v>
      </c>
      <c r="Q87" s="391">
        <f t="shared" si="7"/>
        <v>0</v>
      </c>
      <c r="R87" s="391">
        <f t="shared" si="7"/>
        <v>0</v>
      </c>
      <c r="S87" s="200">
        <f t="shared" si="7"/>
        <v>0</v>
      </c>
      <c r="T87" s="200">
        <f t="shared" si="7"/>
        <v>0.21480000000000002</v>
      </c>
      <c r="U87" s="200">
        <f t="shared" si="7"/>
        <v>0</v>
      </c>
      <c r="V87" s="200">
        <f t="shared" si="7"/>
        <v>0</v>
      </c>
      <c r="W87" s="200">
        <f t="shared" si="7"/>
        <v>0</v>
      </c>
      <c r="X87" s="200">
        <f t="shared" si="7"/>
        <v>0</v>
      </c>
      <c r="Y87" s="200">
        <f t="shared" si="7"/>
        <v>5.0999999999999997E-2</v>
      </c>
      <c r="Z87" s="200">
        <f t="shared" si="7"/>
        <v>0.26400000000000001</v>
      </c>
      <c r="AA87" s="200">
        <f t="shared" si="7"/>
        <v>0.255</v>
      </c>
      <c r="AB87" s="200">
        <f t="shared" si="7"/>
        <v>0</v>
      </c>
      <c r="AC87" s="396">
        <f t="shared" si="7"/>
        <v>8.5000000000000006E-2</v>
      </c>
      <c r="AD87" s="221">
        <f>AC87/SUM($AC$81:$AC$85)</f>
        <v>2.1179419584235536E-2</v>
      </c>
      <c r="AE87" s="221">
        <f>AC87/(SUM($AC$87:$AC$92))</f>
        <v>7.2513491414467879E-4</v>
      </c>
    </row>
    <row r="88" spans="2:31" s="1" customFormat="1" x14ac:dyDescent="0.35">
      <c r="B88" s="641"/>
      <c r="C88" s="36" t="s">
        <v>50</v>
      </c>
      <c r="D88" s="375" t="s">
        <v>1</v>
      </c>
      <c r="E88" s="375" t="s">
        <v>101</v>
      </c>
      <c r="F88" s="375" t="s">
        <v>101</v>
      </c>
      <c r="G88" s="375" t="s">
        <v>101</v>
      </c>
      <c r="H88" s="375" t="s">
        <v>101</v>
      </c>
      <c r="I88" s="615" t="s">
        <v>101</v>
      </c>
      <c r="J88" s="375" t="s">
        <v>101</v>
      </c>
      <c r="K88" s="615" t="s">
        <v>101</v>
      </c>
      <c r="L88" s="530" t="s">
        <v>84</v>
      </c>
      <c r="M88" s="536">
        <f t="shared" ref="M88:AC88" si="8">M76-M82</f>
        <v>1.1759301525682886</v>
      </c>
      <c r="N88" s="391">
        <f t="shared" si="8"/>
        <v>1.2081149215084599</v>
      </c>
      <c r="O88" s="391">
        <f t="shared" si="8"/>
        <v>1.2195805174969614</v>
      </c>
      <c r="P88" s="391">
        <f t="shared" si="8"/>
        <v>1.2719842946470656</v>
      </c>
      <c r="Q88" s="391">
        <f t="shared" si="8"/>
        <v>1.3202385759334727</v>
      </c>
      <c r="R88" s="391">
        <f t="shared" si="8"/>
        <v>1.37587812014434</v>
      </c>
      <c r="S88" s="200">
        <f t="shared" si="8"/>
        <v>1.3017999999999998</v>
      </c>
      <c r="T88" s="200">
        <f t="shared" si="8"/>
        <v>3.0133800000000002</v>
      </c>
      <c r="U88" s="200">
        <f t="shared" si="8"/>
        <v>5.5659999999999998</v>
      </c>
      <c r="V88" s="200">
        <f t="shared" si="8"/>
        <v>15.158999999999999</v>
      </c>
      <c r="W88" s="200">
        <f t="shared" si="8"/>
        <v>6.9779099999999996</v>
      </c>
      <c r="X88" s="200">
        <f t="shared" si="8"/>
        <v>12.848984999999999</v>
      </c>
      <c r="Y88" s="200">
        <f t="shared" si="8"/>
        <v>16.728750000000002</v>
      </c>
      <c r="Z88" s="200">
        <f t="shared" si="8"/>
        <v>12.009</v>
      </c>
      <c r="AA88" s="200">
        <f t="shared" si="8"/>
        <v>17.461000000000002</v>
      </c>
      <c r="AB88" s="200">
        <f t="shared" si="8"/>
        <v>22.37519</v>
      </c>
      <c r="AC88" s="397">
        <f t="shared" si="8"/>
        <v>2.4015</v>
      </c>
      <c r="AD88" s="221">
        <f>AC88/SUM($AC$81:$AC$85)</f>
        <v>0.5983808956651957</v>
      </c>
      <c r="AE88" s="221">
        <f t="shared" ref="AE88:AE92" si="9">AC88/(SUM($AC$87:$AC$92))</f>
        <v>2.0487194074334657E-2</v>
      </c>
    </row>
    <row r="89" spans="2:31" s="1" customFormat="1" x14ac:dyDescent="0.35">
      <c r="B89" s="641"/>
      <c r="C89" s="36" t="s">
        <v>51</v>
      </c>
      <c r="D89" s="375" t="s">
        <v>1</v>
      </c>
      <c r="E89" s="375" t="s">
        <v>101</v>
      </c>
      <c r="F89" s="375" t="s">
        <v>101</v>
      </c>
      <c r="G89" s="375" t="s">
        <v>101</v>
      </c>
      <c r="H89" s="375" t="s">
        <v>101</v>
      </c>
      <c r="I89" s="615" t="s">
        <v>101</v>
      </c>
      <c r="J89" s="375" t="s">
        <v>101</v>
      </c>
      <c r="K89" s="615" t="s">
        <v>101</v>
      </c>
      <c r="L89" s="530" t="s">
        <v>84</v>
      </c>
      <c r="M89" s="536">
        <f t="shared" ref="M89:AC89" si="10">M77-M83</f>
        <v>6.7043645975267401</v>
      </c>
      <c r="N89" s="391">
        <f t="shared" si="10"/>
        <v>6.8878605517641533</v>
      </c>
      <c r="O89" s="391">
        <f t="shared" si="10"/>
        <v>6.9532296858636293</v>
      </c>
      <c r="P89" s="391">
        <f t="shared" si="10"/>
        <v>7.2520008565275589</v>
      </c>
      <c r="Q89" s="391">
        <f t="shared" si="10"/>
        <v>7.5271143863822978</v>
      </c>
      <c r="R89" s="391">
        <f t="shared" si="10"/>
        <v>7.8443337293978255</v>
      </c>
      <c r="S89" s="200">
        <f t="shared" si="10"/>
        <v>7.4219899999999992</v>
      </c>
      <c r="T89" s="200">
        <f t="shared" si="10"/>
        <v>14.84694</v>
      </c>
      <c r="U89" s="200">
        <f t="shared" si="10"/>
        <v>14.967000000000001</v>
      </c>
      <c r="V89" s="200">
        <f t="shared" si="10"/>
        <v>27.268999999999998</v>
      </c>
      <c r="W89" s="200">
        <f t="shared" si="10"/>
        <v>22.35651</v>
      </c>
      <c r="X89" s="200">
        <f t="shared" si="10"/>
        <v>45.647354999999997</v>
      </c>
      <c r="Y89" s="200">
        <f t="shared" si="10"/>
        <v>45.449919999999999</v>
      </c>
      <c r="Z89" s="200">
        <f t="shared" si="10"/>
        <v>52.730400000000003</v>
      </c>
      <c r="AA89" s="200">
        <f t="shared" si="10"/>
        <v>65.325569999999999</v>
      </c>
      <c r="AB89" s="200">
        <f t="shared" si="10"/>
        <v>51.098489999999998</v>
      </c>
      <c r="AC89" s="397">
        <f t="shared" si="10"/>
        <v>64.938699999999997</v>
      </c>
      <c r="AD89" s="221">
        <f>AC89/SUM($AC$81:$AC$85)</f>
        <v>16.18075264182113</v>
      </c>
      <c r="AE89" s="221">
        <f t="shared" si="9"/>
        <v>0.55399198410784756</v>
      </c>
    </row>
    <row r="90" spans="2:31" s="1" customFormat="1" x14ac:dyDescent="0.35">
      <c r="B90" s="641"/>
      <c r="C90" s="36" t="s">
        <v>52</v>
      </c>
      <c r="D90" s="375" t="s">
        <v>1</v>
      </c>
      <c r="E90" s="375" t="s">
        <v>101</v>
      </c>
      <c r="F90" s="375" t="s">
        <v>101</v>
      </c>
      <c r="G90" s="375" t="s">
        <v>101</v>
      </c>
      <c r="H90" s="375" t="s">
        <v>101</v>
      </c>
      <c r="I90" s="615" t="s">
        <v>101</v>
      </c>
      <c r="J90" s="375" t="s">
        <v>101</v>
      </c>
      <c r="K90" s="615" t="s">
        <v>101</v>
      </c>
      <c r="L90" s="530" t="s">
        <v>84</v>
      </c>
      <c r="M90" s="536">
        <f t="shared" ref="M90:AC90" si="11">M78-M84</f>
        <v>12.816499748418597</v>
      </c>
      <c r="N90" s="391">
        <f t="shared" si="11"/>
        <v>12.795247100578303</v>
      </c>
      <c r="O90" s="391">
        <f t="shared" si="11"/>
        <v>12.704393683378527</v>
      </c>
      <c r="P90" s="391">
        <f t="shared" si="11"/>
        <v>12.564797308642365</v>
      </c>
      <c r="Q90" s="391">
        <f t="shared" si="11"/>
        <v>12.478792261761289</v>
      </c>
      <c r="R90" s="391">
        <f t="shared" si="11"/>
        <v>12.356355640374201</v>
      </c>
      <c r="S90" s="200">
        <f t="shared" si="11"/>
        <v>12.367719999999998</v>
      </c>
      <c r="T90" s="200">
        <f t="shared" si="11"/>
        <v>22.510169999999999</v>
      </c>
      <c r="U90" s="200">
        <f t="shared" si="11"/>
        <v>79.658960000000008</v>
      </c>
      <c r="V90" s="200">
        <f t="shared" si="11"/>
        <v>33.989199999999997</v>
      </c>
      <c r="W90" s="200">
        <f t="shared" si="11"/>
        <v>23.736486000000003</v>
      </c>
      <c r="X90" s="200">
        <f t="shared" si="11"/>
        <v>41.245199999999997</v>
      </c>
      <c r="Y90" s="200">
        <f t="shared" si="11"/>
        <v>32.201560000000001</v>
      </c>
      <c r="Z90" s="200">
        <f t="shared" si="11"/>
        <v>4.9940000000000033</v>
      </c>
      <c r="AA90" s="200">
        <f t="shared" si="11"/>
        <v>5.44998</v>
      </c>
      <c r="AB90" s="200">
        <f t="shared" si="11"/>
        <v>6.6688699999999992</v>
      </c>
      <c r="AC90" s="397">
        <f t="shared" si="11"/>
        <v>8.5452760999999988</v>
      </c>
      <c r="AD90" s="221">
        <f>AC90/SUM($AC$81:$AC$85)</f>
        <v>2.1292233880592923</v>
      </c>
      <c r="AE90" s="221">
        <f t="shared" si="9"/>
        <v>7.2899741777836174E-2</v>
      </c>
    </row>
    <row r="91" spans="2:31" s="1" customFormat="1" x14ac:dyDescent="0.35">
      <c r="B91" s="641"/>
      <c r="C91" s="36" t="s">
        <v>54</v>
      </c>
      <c r="D91" s="375" t="s">
        <v>1</v>
      </c>
      <c r="E91" s="375" t="s">
        <v>101</v>
      </c>
      <c r="F91" s="375" t="s">
        <v>101</v>
      </c>
      <c r="G91" s="375" t="s">
        <v>101</v>
      </c>
      <c r="H91" s="375" t="s">
        <v>101</v>
      </c>
      <c r="I91" s="615" t="s">
        <v>101</v>
      </c>
      <c r="J91" s="375" t="s">
        <v>101</v>
      </c>
      <c r="K91" s="615" t="s">
        <v>101</v>
      </c>
      <c r="L91" s="530" t="s">
        <v>84</v>
      </c>
      <c r="M91" s="536">
        <f t="shared" ref="M91:AC91" si="12">M79-M85</f>
        <v>6.5099991873806999</v>
      </c>
      <c r="N91" s="391">
        <f t="shared" si="12"/>
        <v>6.6881754329586736</v>
      </c>
      <c r="O91" s="391">
        <f t="shared" si="12"/>
        <v>6.7516494585246996</v>
      </c>
      <c r="P91" s="391">
        <f t="shared" si="12"/>
        <v>7.0417589908959659</v>
      </c>
      <c r="Q91" s="391">
        <f t="shared" si="12"/>
        <v>7.3088967382154486</v>
      </c>
      <c r="R91" s="391">
        <f t="shared" si="12"/>
        <v>7.6169196142407687</v>
      </c>
      <c r="S91" s="200">
        <f t="shared" si="12"/>
        <v>7.2068200000000004</v>
      </c>
      <c r="T91" s="200">
        <f t="shared" si="12"/>
        <v>13.025020000000001</v>
      </c>
      <c r="U91" s="200">
        <f t="shared" si="12"/>
        <v>10.949</v>
      </c>
      <c r="V91" s="200">
        <f t="shared" si="12"/>
        <v>13.675000000000001</v>
      </c>
      <c r="W91" s="200">
        <f t="shared" si="12"/>
        <v>17.970980000000001</v>
      </c>
      <c r="X91" s="200">
        <f t="shared" si="12"/>
        <v>36.679082000000001</v>
      </c>
      <c r="Y91" s="200">
        <f t="shared" si="12"/>
        <v>33.537029999999994</v>
      </c>
      <c r="Z91" s="200">
        <f t="shared" si="12"/>
        <v>164.40379999999999</v>
      </c>
      <c r="AA91" s="200">
        <f t="shared" si="12"/>
        <v>22.791599999999999</v>
      </c>
      <c r="AB91" s="200">
        <f t="shared" si="12"/>
        <v>32.058580000000006</v>
      </c>
      <c r="AC91" s="397">
        <f t="shared" si="12"/>
        <v>41.249090000000002</v>
      </c>
      <c r="AD91" s="221">
        <f>AC91/SUM($AC$81:$AC$85)</f>
        <v>10.27802099503405</v>
      </c>
      <c r="AE91" s="221">
        <f t="shared" si="9"/>
        <v>0.35189594512583677</v>
      </c>
    </row>
    <row r="92" spans="2:31" s="1" customFormat="1" x14ac:dyDescent="0.35">
      <c r="B92" s="638"/>
      <c r="C92" s="36" t="s">
        <v>55</v>
      </c>
      <c r="D92" s="375" t="s">
        <v>1</v>
      </c>
      <c r="E92" s="375" t="s">
        <v>101</v>
      </c>
      <c r="F92" s="375" t="s">
        <v>101</v>
      </c>
      <c r="G92" s="375" t="s">
        <v>101</v>
      </c>
      <c r="H92" s="375" t="s">
        <v>101</v>
      </c>
      <c r="I92" s="615" t="s">
        <v>101</v>
      </c>
      <c r="J92" s="375" t="s">
        <v>101</v>
      </c>
      <c r="K92" s="615" t="s">
        <v>101</v>
      </c>
      <c r="L92" s="530" t="s">
        <v>84</v>
      </c>
      <c r="M92" s="536">
        <f t="shared" ref="M92:AC92" si="13">M80-M86</f>
        <v>0</v>
      </c>
      <c r="N92" s="391">
        <f t="shared" si="13"/>
        <v>0</v>
      </c>
      <c r="O92" s="391">
        <f t="shared" si="13"/>
        <v>0</v>
      </c>
      <c r="P92" s="391">
        <f t="shared" si="13"/>
        <v>0</v>
      </c>
      <c r="Q92" s="391">
        <f t="shared" si="13"/>
        <v>0</v>
      </c>
      <c r="R92" s="391">
        <f t="shared" si="13"/>
        <v>0</v>
      </c>
      <c r="S92" s="200">
        <f t="shared" si="13"/>
        <v>0</v>
      </c>
      <c r="T92" s="200">
        <f t="shared" si="13"/>
        <v>0</v>
      </c>
      <c r="U92" s="200">
        <f t="shared" si="13"/>
        <v>0</v>
      </c>
      <c r="V92" s="200">
        <f t="shared" si="13"/>
        <v>0</v>
      </c>
      <c r="W92" s="200">
        <f t="shared" si="13"/>
        <v>0</v>
      </c>
      <c r="X92" s="200">
        <f t="shared" si="13"/>
        <v>0</v>
      </c>
      <c r="Y92" s="200">
        <f t="shared" si="13"/>
        <v>0</v>
      </c>
      <c r="Z92" s="200">
        <f t="shared" si="13"/>
        <v>0.78400000000000003</v>
      </c>
      <c r="AA92" s="200">
        <f t="shared" si="13"/>
        <v>0</v>
      </c>
      <c r="AB92" s="200">
        <f t="shared" si="13"/>
        <v>0</v>
      </c>
      <c r="AC92" s="397">
        <f t="shared" si="13"/>
        <v>0</v>
      </c>
      <c r="AD92" s="221"/>
      <c r="AE92" s="221">
        <f t="shared" si="9"/>
        <v>0</v>
      </c>
    </row>
    <row r="93" spans="2:31" s="1" customFormat="1" ht="43.5" x14ac:dyDescent="0.35">
      <c r="B93" s="259" t="s">
        <v>314</v>
      </c>
      <c r="C93" s="36" t="s">
        <v>52</v>
      </c>
      <c r="D93" s="375" t="s">
        <v>1</v>
      </c>
      <c r="E93" s="375" t="s">
        <v>101</v>
      </c>
      <c r="F93" s="375" t="s">
        <v>101</v>
      </c>
      <c r="G93" s="375" t="s">
        <v>101</v>
      </c>
      <c r="H93" s="375" t="s">
        <v>101</v>
      </c>
      <c r="I93" s="615" t="s">
        <v>101</v>
      </c>
      <c r="J93" s="375" t="s">
        <v>101</v>
      </c>
      <c r="K93" s="615" t="s">
        <v>101</v>
      </c>
      <c r="L93" s="530" t="s">
        <v>84</v>
      </c>
      <c r="M93" s="536">
        <f>'Activity Data Calculations'!P65</f>
        <v>2.2328022771070515</v>
      </c>
      <c r="N93" s="391">
        <f>'Activity Data Calculations'!Q65</f>
        <v>2.2300928724780693</v>
      </c>
      <c r="O93" s="391">
        <f>'Activity Data Calculations'!R65</f>
        <v>2.3124099781952712</v>
      </c>
      <c r="P93" s="391">
        <f>'Activity Data Calculations'!S65</f>
        <v>2.41299093977146</v>
      </c>
      <c r="Q93" s="391">
        <f>'Activity Data Calculations'!T65</f>
        <v>2.4630699365944628</v>
      </c>
      <c r="R93" s="391">
        <f>'Activity Data Calculations'!U65</f>
        <v>2.5440820667812014</v>
      </c>
      <c r="S93" s="200">
        <f>'Activity Data Calculations'!V65</f>
        <v>2.5878699999999997</v>
      </c>
      <c r="T93" s="200">
        <f>'Activity Data Calculations'!W65</f>
        <v>4.4506399999999999</v>
      </c>
      <c r="U93" s="200">
        <f>'Activity Data Calculations'!X65</f>
        <v>17.041040000000002</v>
      </c>
      <c r="V93" s="200">
        <f>'Activity Data Calculations'!Y65</f>
        <v>5.9378000000000002</v>
      </c>
      <c r="W93" s="200">
        <f>'Activity Data Calculations'!Z65</f>
        <v>4.9000000000000004</v>
      </c>
      <c r="X93" s="200">
        <f>'Activity Data Calculations'!AA65</f>
        <v>9.2269199999999998</v>
      </c>
      <c r="Y93" s="200">
        <f>'Activity Data Calculations'!AB65</f>
        <v>5.7426300000000001</v>
      </c>
      <c r="Z93" s="200">
        <f>'Activity Data Calculations'!AC65</f>
        <v>4.9939999999999998</v>
      </c>
      <c r="AA93" s="200">
        <f>'Activity Data Calculations'!AD65</f>
        <v>5.4499799999999992</v>
      </c>
      <c r="AB93" s="200">
        <f>'Activity Data Calculations'!AE65</f>
        <v>6.6684399999999995</v>
      </c>
      <c r="AC93" s="397">
        <f>'Activity Data Calculations'!AF65</f>
        <v>8.5452760999999988</v>
      </c>
      <c r="AD93" s="221"/>
    </row>
    <row r="94" spans="2:31" s="1" customFormat="1" ht="43.5" x14ac:dyDescent="0.35">
      <c r="B94" s="259" t="s">
        <v>316</v>
      </c>
      <c r="C94" s="36" t="s">
        <v>52</v>
      </c>
      <c r="D94" s="375" t="s">
        <v>1</v>
      </c>
      <c r="E94" s="375" t="s">
        <v>101</v>
      </c>
      <c r="F94" s="375" t="s">
        <v>101</v>
      </c>
      <c r="G94" s="375" t="s">
        <v>101</v>
      </c>
      <c r="H94" s="375" t="s">
        <v>101</v>
      </c>
      <c r="I94" s="615" t="s">
        <v>101</v>
      </c>
      <c r="J94" s="375" t="s">
        <v>101</v>
      </c>
      <c r="K94" s="615" t="s">
        <v>101</v>
      </c>
      <c r="L94" s="530" t="s">
        <v>84</v>
      </c>
      <c r="M94" s="536">
        <f>'Activity Data Calculations'!AU65</f>
        <v>0</v>
      </c>
      <c r="N94" s="391">
        <f>'Activity Data Calculations'!AV65</f>
        <v>0</v>
      </c>
      <c r="O94" s="391">
        <f>'Activity Data Calculations'!AW65</f>
        <v>0</v>
      </c>
      <c r="P94" s="391">
        <f>'Activity Data Calculations'!AX65</f>
        <v>0</v>
      </c>
      <c r="Q94" s="391">
        <f>'Activity Data Calculations'!AY65</f>
        <v>0</v>
      </c>
      <c r="R94" s="391">
        <f>'Activity Data Calculations'!AZ65</f>
        <v>0</v>
      </c>
      <c r="S94" s="200">
        <f>'Activity Data Calculations'!BA65</f>
        <v>0</v>
      </c>
      <c r="T94" s="200">
        <f>'Activity Data Calculations'!BB65</f>
        <v>0</v>
      </c>
      <c r="U94" s="200">
        <f>'Activity Data Calculations'!BC65</f>
        <v>0</v>
      </c>
      <c r="V94" s="200">
        <f>'Activity Data Calculations'!BD65</f>
        <v>0</v>
      </c>
      <c r="W94" s="200">
        <f>'Activity Data Calculations'!BE65</f>
        <v>0</v>
      </c>
      <c r="X94" s="200">
        <f>'Activity Data Calculations'!BF65</f>
        <v>0</v>
      </c>
      <c r="Y94" s="200">
        <f>'Activity Data Calculations'!BG65</f>
        <v>0</v>
      </c>
      <c r="Z94" s="200">
        <f>'Activity Data Calculations'!BH65</f>
        <v>0</v>
      </c>
      <c r="AA94" s="200">
        <f>'Activity Data Calculations'!BI65</f>
        <v>0</v>
      </c>
      <c r="AB94" s="200">
        <f>'Activity Data Calculations'!BJ65</f>
        <v>0</v>
      </c>
      <c r="AC94" s="397">
        <f>'Activity Data Calculations'!BK65</f>
        <v>0</v>
      </c>
      <c r="AD94" s="221"/>
    </row>
    <row r="95" spans="2:31" s="1" customFormat="1" ht="44" thickBot="1" x14ac:dyDescent="0.4">
      <c r="B95" s="261" t="s">
        <v>319</v>
      </c>
      <c r="C95" s="262" t="s">
        <v>52</v>
      </c>
      <c r="D95" s="263" t="s">
        <v>1</v>
      </c>
      <c r="E95" s="263" t="s">
        <v>101</v>
      </c>
      <c r="F95" s="263" t="s">
        <v>101</v>
      </c>
      <c r="G95" s="263" t="s">
        <v>101</v>
      </c>
      <c r="H95" s="263" t="s">
        <v>101</v>
      </c>
      <c r="I95" s="263" t="s">
        <v>101</v>
      </c>
      <c r="J95" s="263" t="s">
        <v>101</v>
      </c>
      <c r="K95" s="263" t="s">
        <v>101</v>
      </c>
      <c r="L95" s="533" t="s">
        <v>84</v>
      </c>
      <c r="M95" s="545">
        <f t="shared" ref="M95:AC95" si="14">M93-M94</f>
        <v>2.2328022771070515</v>
      </c>
      <c r="N95" s="395">
        <f t="shared" si="14"/>
        <v>2.2300928724780693</v>
      </c>
      <c r="O95" s="395">
        <f t="shared" si="14"/>
        <v>2.3124099781952712</v>
      </c>
      <c r="P95" s="395">
        <f t="shared" si="14"/>
        <v>2.41299093977146</v>
      </c>
      <c r="Q95" s="395">
        <f t="shared" si="14"/>
        <v>2.4630699365944628</v>
      </c>
      <c r="R95" s="395">
        <f t="shared" si="14"/>
        <v>2.5440820667812014</v>
      </c>
      <c r="S95" s="264">
        <f t="shared" si="14"/>
        <v>2.5878699999999997</v>
      </c>
      <c r="T95" s="264">
        <f t="shared" si="14"/>
        <v>4.4506399999999999</v>
      </c>
      <c r="U95" s="264">
        <f t="shared" si="14"/>
        <v>17.041040000000002</v>
      </c>
      <c r="V95" s="264">
        <f t="shared" si="14"/>
        <v>5.9378000000000002</v>
      </c>
      <c r="W95" s="264">
        <f t="shared" si="14"/>
        <v>4.9000000000000004</v>
      </c>
      <c r="X95" s="264">
        <f t="shared" si="14"/>
        <v>9.2269199999999998</v>
      </c>
      <c r="Y95" s="264">
        <f t="shared" si="14"/>
        <v>5.7426300000000001</v>
      </c>
      <c r="Z95" s="264">
        <f t="shared" si="14"/>
        <v>4.9939999999999998</v>
      </c>
      <c r="AA95" s="264">
        <f t="shared" si="14"/>
        <v>5.4499799999999992</v>
      </c>
      <c r="AB95" s="264">
        <f t="shared" si="14"/>
        <v>6.6684399999999995</v>
      </c>
      <c r="AC95" s="398">
        <f t="shared" si="14"/>
        <v>8.5452760999999988</v>
      </c>
      <c r="AD95" s="221"/>
    </row>
  </sheetData>
  <mergeCells count="17">
    <mergeCell ref="B69:B70"/>
    <mergeCell ref="B58:B59"/>
    <mergeCell ref="B87:B92"/>
    <mergeCell ref="B81:B86"/>
    <mergeCell ref="B75:B80"/>
    <mergeCell ref="B3:B7"/>
    <mergeCell ref="B33:B39"/>
    <mergeCell ref="B62:B63"/>
    <mergeCell ref="B64:B67"/>
    <mergeCell ref="B60:B61"/>
    <mergeCell ref="B8:B9"/>
    <mergeCell ref="B10:B13"/>
    <mergeCell ref="B15:B18"/>
    <mergeCell ref="B19:B22"/>
    <mergeCell ref="B23:B26"/>
    <mergeCell ref="B27:B32"/>
    <mergeCell ref="B42:B57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F505E-3D57-4E18-9457-0095F384DD92}">
  <sheetPr>
    <tabColor theme="5" tint="0.39997558519241921"/>
  </sheetPr>
  <dimension ref="B2:AM166"/>
  <sheetViews>
    <sheetView zoomScale="55" zoomScaleNormal="55" workbookViewId="0">
      <pane xSplit="3" topLeftCell="D1" activePane="topRight" state="frozen"/>
      <selection activeCell="H265" sqref="H265"/>
      <selection pane="topRight" activeCell="H265" sqref="H265"/>
    </sheetView>
  </sheetViews>
  <sheetFormatPr baseColWidth="10" defaultRowHeight="14.5" x14ac:dyDescent="0.35"/>
  <cols>
    <col min="1" max="1" width="4.7265625" customWidth="1"/>
    <col min="2" max="2" width="36.7265625" customWidth="1"/>
    <col min="3" max="3" width="12.81640625" bestFit="1" customWidth="1"/>
    <col min="4" max="4" width="13.1796875" customWidth="1"/>
    <col min="5" max="6" width="13.453125" bestFit="1" customWidth="1"/>
    <col min="7" max="7" width="13.453125" customWidth="1"/>
    <col min="8" max="20" width="13.453125" bestFit="1" customWidth="1"/>
    <col min="21" max="21" width="13" bestFit="1" customWidth="1"/>
    <col min="22" max="32" width="13.453125" bestFit="1" customWidth="1"/>
    <col min="34" max="34" width="12.7265625" bestFit="1" customWidth="1"/>
    <col min="35" max="35" width="16.453125" customWidth="1"/>
  </cols>
  <sheetData>
    <row r="2" spans="2:32" x14ac:dyDescent="0.35">
      <c r="B2" s="3" t="s">
        <v>184</v>
      </c>
    </row>
    <row r="3" spans="2:32" ht="6.75" customHeight="1" x14ac:dyDescent="0.35"/>
    <row r="4" spans="2:32" s="2" customFormat="1" x14ac:dyDescent="0.35">
      <c r="C4" s="72" t="s">
        <v>13</v>
      </c>
      <c r="D4" s="72">
        <v>1990</v>
      </c>
      <c r="E4" s="72">
        <v>1991</v>
      </c>
      <c r="F4" s="72">
        <v>1992</v>
      </c>
      <c r="G4" s="72">
        <v>1993</v>
      </c>
      <c r="H4" s="72">
        <v>1994</v>
      </c>
      <c r="I4" s="72">
        <v>1995</v>
      </c>
      <c r="J4" s="72">
        <v>1996</v>
      </c>
      <c r="K4" s="72">
        <v>1997</v>
      </c>
      <c r="L4" s="72">
        <v>1998</v>
      </c>
      <c r="M4" s="72">
        <v>1999</v>
      </c>
      <c r="N4" s="72">
        <v>2000</v>
      </c>
      <c r="O4" s="72">
        <v>2001</v>
      </c>
      <c r="P4" s="72">
        <v>2002</v>
      </c>
      <c r="Q4" s="72">
        <v>2003</v>
      </c>
      <c r="R4" s="72">
        <v>2004</v>
      </c>
      <c r="S4" s="72">
        <v>2005</v>
      </c>
      <c r="T4" s="72">
        <v>2006</v>
      </c>
      <c r="U4" s="72">
        <v>2007</v>
      </c>
      <c r="V4" s="72">
        <v>2008</v>
      </c>
      <c r="W4" s="72">
        <v>2009</v>
      </c>
      <c r="X4" s="72">
        <v>2010</v>
      </c>
      <c r="Y4" s="72">
        <v>2011</v>
      </c>
      <c r="Z4" s="72">
        <v>2012</v>
      </c>
      <c r="AA4" s="72">
        <v>2013</v>
      </c>
      <c r="AB4" s="72">
        <v>2014</v>
      </c>
      <c r="AC4" s="72">
        <v>2015</v>
      </c>
      <c r="AD4" s="72">
        <v>2016</v>
      </c>
      <c r="AE4" s="72">
        <v>2017</v>
      </c>
      <c r="AF4" s="72">
        <v>2018</v>
      </c>
    </row>
    <row r="5" spans="2:32" s="3" customFormat="1" x14ac:dyDescent="0.35">
      <c r="B5" s="3" t="s">
        <v>185</v>
      </c>
      <c r="C5" s="72" t="s">
        <v>111</v>
      </c>
      <c r="D5" s="118">
        <f>D6+D14</f>
        <v>730.76854983599992</v>
      </c>
      <c r="E5" s="118">
        <f t="shared" ref="E5:AE5" si="0">E6+E14</f>
        <v>742.02170262799996</v>
      </c>
      <c r="F5" s="118">
        <f t="shared" si="0"/>
        <v>796.63358314800007</v>
      </c>
      <c r="G5" s="118">
        <f t="shared" si="0"/>
        <v>808.02750133199993</v>
      </c>
      <c r="H5" s="118">
        <f t="shared" si="0"/>
        <v>818.15393560400003</v>
      </c>
      <c r="I5" s="118">
        <f t="shared" si="0"/>
        <v>871.46451122999997</v>
      </c>
      <c r="J5" s="118">
        <f t="shared" si="0"/>
        <v>910.31257680199997</v>
      </c>
      <c r="K5" s="118">
        <f t="shared" si="0"/>
        <v>943.68905975999996</v>
      </c>
      <c r="L5" s="118">
        <f t="shared" si="0"/>
        <v>1007.7185396</v>
      </c>
      <c r="M5" s="118">
        <f t="shared" si="0"/>
        <v>999.47799436000003</v>
      </c>
      <c r="N5" s="118">
        <f t="shared" si="0"/>
        <v>1113.12266746</v>
      </c>
      <c r="O5" s="118">
        <f t="shared" si="0"/>
        <v>1182.0406886380001</v>
      </c>
      <c r="P5" s="118">
        <f t="shared" si="0"/>
        <v>1157.331880272</v>
      </c>
      <c r="Q5" s="118">
        <f t="shared" si="0"/>
        <v>1222.791580676</v>
      </c>
      <c r="R5" s="118">
        <f t="shared" si="0"/>
        <v>1255.7569433560002</v>
      </c>
      <c r="S5" s="118">
        <f t="shared" si="0"/>
        <v>1293.1604770360002</v>
      </c>
      <c r="T5" s="118">
        <f t="shared" si="0"/>
        <v>1376.7626643999999</v>
      </c>
      <c r="U5" s="118">
        <f t="shared" si="0"/>
        <v>1381.798857972</v>
      </c>
      <c r="V5" s="118">
        <f t="shared" si="0"/>
        <v>1404.39511631</v>
      </c>
      <c r="W5" s="118">
        <f t="shared" si="0"/>
        <v>1346.8965663039999</v>
      </c>
      <c r="X5" s="118">
        <f t="shared" si="0"/>
        <v>1430.665351078</v>
      </c>
      <c r="Y5" s="118">
        <f t="shared" si="0"/>
        <v>1426.8533051060001</v>
      </c>
      <c r="Z5" s="118">
        <f t="shared" si="0"/>
        <v>1427.6444679759998</v>
      </c>
      <c r="AA5" s="118">
        <f t="shared" si="0"/>
        <v>1454.8037015806365</v>
      </c>
      <c r="AB5" s="118">
        <f t="shared" si="0"/>
        <v>1491.7286558380058</v>
      </c>
      <c r="AC5" s="118">
        <f t="shared" si="0"/>
        <v>1534.4320914760001</v>
      </c>
      <c r="AD5" s="118">
        <f t="shared" si="0"/>
        <v>1555.2</v>
      </c>
      <c r="AE5" s="118">
        <f t="shared" si="0"/>
        <v>1599.7999999999997</v>
      </c>
      <c r="AF5" s="3">
        <v>1586.3</v>
      </c>
    </row>
    <row r="6" spans="2:32" s="3" customFormat="1" x14ac:dyDescent="0.35">
      <c r="B6" s="3" t="s">
        <v>186</v>
      </c>
      <c r="C6" s="72" t="s">
        <v>111</v>
      </c>
      <c r="D6" s="118">
        <f>SUM(D7:D13)</f>
        <v>433.85285999999996</v>
      </c>
      <c r="E6" s="118">
        <f t="shared" ref="E6:AE6" si="1">SUM(E7:E13)</f>
        <v>459.92153999999994</v>
      </c>
      <c r="F6" s="118">
        <f t="shared" si="1"/>
        <v>504.43569000000002</v>
      </c>
      <c r="G6" s="118">
        <f t="shared" si="1"/>
        <v>529.94237999999996</v>
      </c>
      <c r="H6" s="118">
        <f t="shared" si="1"/>
        <v>568.36617999999999</v>
      </c>
      <c r="I6" s="118">
        <f t="shared" si="1"/>
        <v>584.25667999999996</v>
      </c>
      <c r="J6" s="118">
        <f t="shared" si="1"/>
        <v>634.7008472</v>
      </c>
      <c r="K6" s="118">
        <f t="shared" si="1"/>
        <v>647.30975999999998</v>
      </c>
      <c r="L6" s="118">
        <f t="shared" si="1"/>
        <v>707.17747959999997</v>
      </c>
      <c r="M6" s="118">
        <f t="shared" si="1"/>
        <v>778.91744740000001</v>
      </c>
      <c r="N6" s="118">
        <f t="shared" si="1"/>
        <v>849.03452149999998</v>
      </c>
      <c r="O6" s="118">
        <f t="shared" si="1"/>
        <v>901.16857010000001</v>
      </c>
      <c r="P6" s="118">
        <f t="shared" si="1"/>
        <v>898.75805520000006</v>
      </c>
      <c r="Q6" s="118">
        <f t="shared" si="1"/>
        <v>956.27510340000003</v>
      </c>
      <c r="R6" s="118">
        <f t="shared" si="1"/>
        <v>980.08732170000007</v>
      </c>
      <c r="S6" s="118">
        <f t="shared" si="1"/>
        <v>1030.5398968000002</v>
      </c>
      <c r="T6" s="118">
        <f t="shared" si="1"/>
        <v>1122.1450444</v>
      </c>
      <c r="U6" s="118">
        <f t="shared" si="1"/>
        <v>1136.0031114999999</v>
      </c>
      <c r="V6" s="118">
        <f t="shared" si="1"/>
        <v>1140.918394</v>
      </c>
      <c r="W6" s="118">
        <f t="shared" si="1"/>
        <v>1110.5621530839999</v>
      </c>
      <c r="X6" s="118">
        <f t="shared" si="1"/>
        <v>1189.0491777</v>
      </c>
      <c r="Y6" s="118">
        <f t="shared" si="1"/>
        <v>1195.7117175000001</v>
      </c>
      <c r="Z6" s="118">
        <f t="shared" si="1"/>
        <v>1205.3032499999997</v>
      </c>
      <c r="AA6" s="118">
        <f t="shared" si="1"/>
        <v>1235.36292</v>
      </c>
      <c r="AB6" s="118">
        <f t="shared" si="1"/>
        <v>1279.3829399999997</v>
      </c>
      <c r="AC6" s="118">
        <f t="shared" si="1"/>
        <v>1283.1673978200001</v>
      </c>
      <c r="AD6" s="118">
        <f t="shared" si="1"/>
        <v>1328.4</v>
      </c>
      <c r="AE6" s="118">
        <f t="shared" si="1"/>
        <v>1385.1999999999998</v>
      </c>
      <c r="AF6" s="3">
        <v>1381.9</v>
      </c>
    </row>
    <row r="7" spans="2:32" x14ac:dyDescent="0.35">
      <c r="B7" s="112" t="s">
        <v>15</v>
      </c>
      <c r="C7" s="116" t="s">
        <v>111</v>
      </c>
      <c r="D7" s="69">
        <v>34.905999999999999</v>
      </c>
      <c r="E7" s="69">
        <v>37.1845</v>
      </c>
      <c r="F7" s="69">
        <v>37.689800000000005</v>
      </c>
      <c r="G7" s="69">
        <v>38.719000000000001</v>
      </c>
      <c r="H7" s="69">
        <v>38.811999999999998</v>
      </c>
      <c r="I7" s="69">
        <v>39.113320000000002</v>
      </c>
      <c r="J7" s="69">
        <v>24.975931200000002</v>
      </c>
      <c r="K7" s="69">
        <v>28.316329999999997</v>
      </c>
      <c r="L7" s="69">
        <v>43.86345</v>
      </c>
      <c r="M7" s="69">
        <v>84.700059999999993</v>
      </c>
      <c r="N7" s="69">
        <v>156.85007999999999</v>
      </c>
      <c r="O7" s="69">
        <v>185.47717259999999</v>
      </c>
      <c r="P7" s="69">
        <v>193.91988000000001</v>
      </c>
      <c r="Q7" s="69">
        <v>196.02911999999998</v>
      </c>
      <c r="R7" s="69">
        <v>179.39576</v>
      </c>
      <c r="S7" s="69">
        <v>225.57893999999999</v>
      </c>
      <c r="T7" s="69">
        <v>300.35899999999998</v>
      </c>
      <c r="U7" s="69">
        <v>355.00952000000001</v>
      </c>
      <c r="V7" s="69">
        <v>403.87854000000004</v>
      </c>
      <c r="W7" s="69">
        <v>369.34206</v>
      </c>
      <c r="X7" s="69">
        <v>414.05770000000001</v>
      </c>
      <c r="Y7" s="69">
        <v>397.72814</v>
      </c>
      <c r="Z7" s="69">
        <v>418.36111999999997</v>
      </c>
      <c r="AA7" s="69">
        <v>440.64268000000004</v>
      </c>
      <c r="AB7" s="69">
        <v>460.34132</v>
      </c>
      <c r="AC7" s="69">
        <v>446.88604342000002</v>
      </c>
      <c r="AD7" s="69">
        <v>455.3</v>
      </c>
      <c r="AE7" s="69">
        <v>471.3</v>
      </c>
      <c r="AF7" s="69">
        <v>447.7</v>
      </c>
    </row>
    <row r="8" spans="2:32" x14ac:dyDescent="0.35">
      <c r="B8" s="112" t="s">
        <v>130</v>
      </c>
      <c r="C8" s="116" t="s">
        <v>111</v>
      </c>
      <c r="D8" s="69">
        <v>63.934920000000005</v>
      </c>
      <c r="E8" s="69">
        <v>66.369240000000005</v>
      </c>
      <c r="F8" s="69">
        <v>73.275840000000017</v>
      </c>
      <c r="G8" s="69">
        <v>78.092640000000003</v>
      </c>
      <c r="H8" s="69">
        <v>85.962600000000009</v>
      </c>
      <c r="I8" s="69">
        <v>90.674639999999997</v>
      </c>
      <c r="J8" s="69">
        <v>94.377960000000002</v>
      </c>
      <c r="K8" s="69">
        <v>94.684680000000014</v>
      </c>
      <c r="L8" s="69">
        <v>95.679360000000003</v>
      </c>
      <c r="M8" s="69">
        <v>96.665400000000005</v>
      </c>
      <c r="N8" s="69">
        <v>99.360000000000014</v>
      </c>
      <c r="O8" s="69">
        <v>94.768919999999994</v>
      </c>
      <c r="P8" s="69">
        <v>94.507560000000012</v>
      </c>
      <c r="Q8" s="69">
        <v>96.381360000000001</v>
      </c>
      <c r="R8" s="69">
        <v>97.578000000000003</v>
      </c>
      <c r="S8" s="69">
        <v>100.08684000000001</v>
      </c>
      <c r="T8" s="69">
        <v>96.246359999999996</v>
      </c>
      <c r="U8" s="69">
        <v>106.85520000000001</v>
      </c>
      <c r="V8" s="69">
        <v>109.51848000000001</v>
      </c>
      <c r="W8" s="69">
        <v>120.60036000000001</v>
      </c>
      <c r="X8" s="69">
        <v>127.68408000000001</v>
      </c>
      <c r="Y8" s="69">
        <v>130.01472000000001</v>
      </c>
      <c r="Z8" s="69">
        <v>136.57356000000001</v>
      </c>
      <c r="AA8" s="69">
        <v>142.66584000000003</v>
      </c>
      <c r="AB8" s="69">
        <v>151.74431999999999</v>
      </c>
      <c r="AC8" s="69">
        <v>163.03648680000001</v>
      </c>
      <c r="AD8" s="69">
        <v>178.9</v>
      </c>
      <c r="AE8" s="69">
        <v>187.7</v>
      </c>
      <c r="AF8" s="69">
        <v>191.5</v>
      </c>
    </row>
    <row r="9" spans="2:32" x14ac:dyDescent="0.35">
      <c r="B9" s="112" t="s">
        <v>63</v>
      </c>
      <c r="C9" s="116" t="s">
        <v>111</v>
      </c>
      <c r="D9" s="69">
        <v>93.31389999999999</v>
      </c>
      <c r="E9" s="69">
        <v>99.646600000000007</v>
      </c>
      <c r="F9" s="69">
        <v>108.37805</v>
      </c>
      <c r="G9" s="69">
        <v>118.2003</v>
      </c>
      <c r="H9" s="69">
        <v>125.6541</v>
      </c>
      <c r="I9" s="69">
        <v>127.58319999999999</v>
      </c>
      <c r="J9" s="69">
        <v>137.3903</v>
      </c>
      <c r="K9" s="69">
        <v>146.97014999999999</v>
      </c>
      <c r="L9" s="69">
        <v>156.6701496</v>
      </c>
      <c r="M9" s="69">
        <v>166.60452980000002</v>
      </c>
      <c r="N9" s="69">
        <v>191.25750870000002</v>
      </c>
      <c r="O9" s="69">
        <v>190.57256710000001</v>
      </c>
      <c r="P9" s="69">
        <v>198.725176</v>
      </c>
      <c r="Q9" s="69">
        <v>210.934157</v>
      </c>
      <c r="R9" s="69">
        <v>215.97319850000002</v>
      </c>
      <c r="S9" s="69">
        <v>214.22980720000001</v>
      </c>
      <c r="T9" s="69">
        <v>230.55839640000002</v>
      </c>
      <c r="U9" s="69">
        <v>207.37060430000002</v>
      </c>
      <c r="V9" s="69">
        <v>205.38612599999999</v>
      </c>
      <c r="W9" s="69">
        <v>206.68258583599999</v>
      </c>
      <c r="X9" s="69">
        <v>213.57424649999999</v>
      </c>
      <c r="Y9" s="69">
        <v>210.07146549999999</v>
      </c>
      <c r="Z9" s="69">
        <v>213.39785000000001</v>
      </c>
      <c r="AA9" s="69">
        <v>207.02575999999999</v>
      </c>
      <c r="AB9" s="69">
        <v>208.01758000000001</v>
      </c>
      <c r="AC9" s="69">
        <v>209.56906120000005</v>
      </c>
      <c r="AD9" s="69">
        <v>210.5</v>
      </c>
      <c r="AE9" s="69">
        <v>214.4</v>
      </c>
      <c r="AF9" s="69">
        <v>216.6</v>
      </c>
    </row>
    <row r="10" spans="2:32" x14ac:dyDescent="0.35">
      <c r="B10" s="112" t="s">
        <v>14</v>
      </c>
      <c r="C10" s="116" t="s">
        <v>111</v>
      </c>
      <c r="D10" s="69">
        <v>27.66816</v>
      </c>
      <c r="E10" s="69">
        <v>28.745600000000003</v>
      </c>
      <c r="F10" s="69">
        <v>34.971040000000002</v>
      </c>
      <c r="G10" s="69">
        <v>24.929839999999999</v>
      </c>
      <c r="H10" s="69">
        <v>26.605280000000004</v>
      </c>
      <c r="I10" s="69">
        <v>44.638880000000007</v>
      </c>
      <c r="J10" s="69">
        <v>79.384240000000005</v>
      </c>
      <c r="K10" s="69">
        <v>58.787039999999998</v>
      </c>
      <c r="L10" s="69">
        <v>61.513920000000006</v>
      </c>
      <c r="M10" s="69">
        <v>53.090336000000001</v>
      </c>
      <c r="N10" s="69">
        <v>23.587823999999998</v>
      </c>
      <c r="O10" s="69">
        <v>13.769184000000001</v>
      </c>
      <c r="P10" s="69">
        <v>14.405736800000001</v>
      </c>
      <c r="Q10" s="69">
        <v>18.8544616</v>
      </c>
      <c r="R10" s="69">
        <v>26.292614400000001</v>
      </c>
      <c r="S10" s="69">
        <v>28.596287200000003</v>
      </c>
      <c r="T10" s="69">
        <v>6.0014032000000004</v>
      </c>
      <c r="U10" s="69">
        <v>2.3968256000000006</v>
      </c>
      <c r="V10" s="69">
        <v>4.0220128000000006</v>
      </c>
      <c r="W10" s="69">
        <v>6.6558866399999994</v>
      </c>
      <c r="X10" s="69">
        <v>8.0484664000000006</v>
      </c>
      <c r="Y10" s="69">
        <v>4.3409600000000008</v>
      </c>
      <c r="Z10" s="69">
        <v>3.8272000000000004</v>
      </c>
      <c r="AA10" s="69">
        <v>0.88088</v>
      </c>
      <c r="AB10" s="69">
        <v>0.86736000000000002</v>
      </c>
      <c r="AC10" s="69">
        <v>0.90717119999999996</v>
      </c>
      <c r="AD10" s="69">
        <v>0.8</v>
      </c>
      <c r="AE10" s="69">
        <v>1</v>
      </c>
      <c r="AF10" s="69">
        <v>0.7</v>
      </c>
    </row>
    <row r="11" spans="2:32" x14ac:dyDescent="0.35">
      <c r="B11" s="112" t="s">
        <v>187</v>
      </c>
      <c r="C11" s="116" t="s">
        <v>111</v>
      </c>
      <c r="D11" s="69">
        <v>75.109839999999991</v>
      </c>
      <c r="E11" s="69">
        <v>72.959119999999999</v>
      </c>
      <c r="F11" s="69">
        <v>88.872160000000008</v>
      </c>
      <c r="G11" s="69">
        <v>83.254080000000002</v>
      </c>
      <c r="H11" s="69">
        <v>83.577520000000007</v>
      </c>
      <c r="I11" s="69">
        <v>75.197199999999995</v>
      </c>
      <c r="J11" s="69">
        <v>83.791760000000011</v>
      </c>
      <c r="K11" s="69">
        <v>82.186000000000007</v>
      </c>
      <c r="L11" s="69">
        <v>93.118479999999991</v>
      </c>
      <c r="M11" s="69">
        <v>101.01104000000001</v>
      </c>
      <c r="N11" s="69">
        <v>112.40527999999999</v>
      </c>
      <c r="O11" s="69">
        <v>129.63808</v>
      </c>
      <c r="P11" s="69">
        <v>113.33087999999999</v>
      </c>
      <c r="Q11" s="69">
        <v>128.57208</v>
      </c>
      <c r="R11" s="69">
        <v>142.48208000000002</v>
      </c>
      <c r="S11" s="69">
        <v>143.0624</v>
      </c>
      <c r="T11" s="69">
        <v>146.69512</v>
      </c>
      <c r="U11" s="69">
        <v>143.62816000000001</v>
      </c>
      <c r="V11" s="69">
        <v>136.89624000000001</v>
      </c>
      <c r="W11" s="69">
        <v>110.49584</v>
      </c>
      <c r="X11" s="69">
        <v>123.29512</v>
      </c>
      <c r="Y11" s="69">
        <v>134.33679999999998</v>
      </c>
      <c r="Z11" s="69">
        <v>115.00528</v>
      </c>
      <c r="AA11" s="69">
        <v>120.73672000000001</v>
      </c>
      <c r="AB11" s="69">
        <v>126.84672</v>
      </c>
      <c r="AC11" s="69">
        <v>124.33720000000001</v>
      </c>
      <c r="AD11" s="69">
        <v>147.6</v>
      </c>
      <c r="AE11" s="69">
        <v>160.19999999999999</v>
      </c>
      <c r="AF11" s="69">
        <v>162.5</v>
      </c>
    </row>
    <row r="12" spans="2:32" x14ac:dyDescent="0.35">
      <c r="B12" s="112" t="s">
        <v>62</v>
      </c>
      <c r="C12" s="116" t="s">
        <v>111</v>
      </c>
      <c r="D12" s="69">
        <v>114.56927999999999</v>
      </c>
      <c r="E12" s="69">
        <v>127.04447999999999</v>
      </c>
      <c r="F12" s="69">
        <v>129.60479999999998</v>
      </c>
      <c r="G12" s="69">
        <v>151.18751999999998</v>
      </c>
      <c r="H12" s="69">
        <v>171.78528</v>
      </c>
      <c r="I12" s="69">
        <v>170.00543999999999</v>
      </c>
      <c r="J12" s="69">
        <v>175.29585599999999</v>
      </c>
      <c r="K12" s="69">
        <v>194.08895999999999</v>
      </c>
      <c r="L12" s="69">
        <v>212.65151999999998</v>
      </c>
      <c r="M12" s="69">
        <v>229.99028159999997</v>
      </c>
      <c r="N12" s="69">
        <v>215.53418879999998</v>
      </c>
      <c r="O12" s="69">
        <v>236.12864640000001</v>
      </c>
      <c r="P12" s="69">
        <v>231.4132224</v>
      </c>
      <c r="Q12" s="69">
        <v>249.67116479999996</v>
      </c>
      <c r="R12" s="69">
        <v>259.12658880000004</v>
      </c>
      <c r="S12" s="69">
        <v>253.26330240000001</v>
      </c>
      <c r="T12" s="69">
        <v>273.25332480000003</v>
      </c>
      <c r="U12" s="69">
        <v>251.89172160000004</v>
      </c>
      <c r="V12" s="69">
        <v>213.29795519999999</v>
      </c>
      <c r="W12" s="69">
        <v>227.93110060799998</v>
      </c>
      <c r="X12" s="69">
        <v>232.21548479999998</v>
      </c>
      <c r="Y12" s="69">
        <v>248.07139200000003</v>
      </c>
      <c r="Z12" s="69">
        <v>245.43263999999999</v>
      </c>
      <c r="AA12" s="69">
        <v>248.54111999999998</v>
      </c>
      <c r="AB12" s="69">
        <v>254.84351999999998</v>
      </c>
      <c r="AC12" s="69">
        <v>259.22531519999995</v>
      </c>
      <c r="AD12" s="69">
        <v>254.4</v>
      </c>
      <c r="AE12" s="69">
        <v>269.3</v>
      </c>
      <c r="AF12" s="69">
        <v>278.7</v>
      </c>
    </row>
    <row r="13" spans="2:32" x14ac:dyDescent="0.35">
      <c r="B13" s="112" t="s">
        <v>117</v>
      </c>
      <c r="C13" s="116" t="s">
        <v>111</v>
      </c>
      <c r="D13" s="69">
        <v>24.350760000000001</v>
      </c>
      <c r="E13" s="69">
        <v>27.972000000000005</v>
      </c>
      <c r="F13" s="69">
        <v>31.644000000000002</v>
      </c>
      <c r="G13" s="69">
        <v>35.558999999999997</v>
      </c>
      <c r="H13" s="69">
        <v>35.9694</v>
      </c>
      <c r="I13" s="69">
        <v>37.043999999999997</v>
      </c>
      <c r="J13" s="69">
        <v>39.4848</v>
      </c>
      <c r="K13" s="69">
        <v>42.276600000000009</v>
      </c>
      <c r="L13" s="69">
        <v>43.680600000000005</v>
      </c>
      <c r="M13" s="69">
        <v>46.855800000000002</v>
      </c>
      <c r="N13" s="69">
        <v>50.039639999999999</v>
      </c>
      <c r="O13" s="69">
        <v>50.814</v>
      </c>
      <c r="P13" s="69">
        <v>52.455600000000004</v>
      </c>
      <c r="Q13" s="69">
        <v>55.832760000000007</v>
      </c>
      <c r="R13" s="69">
        <v>59.239080000000001</v>
      </c>
      <c r="S13" s="69">
        <v>65.722320000000011</v>
      </c>
      <c r="T13" s="69">
        <v>69.031440000000003</v>
      </c>
      <c r="U13" s="69">
        <v>68.851079999999996</v>
      </c>
      <c r="V13" s="69">
        <v>67.919039999999995</v>
      </c>
      <c r="W13" s="69">
        <v>68.854320000000001</v>
      </c>
      <c r="X13" s="69">
        <v>70.174080000000004</v>
      </c>
      <c r="Y13" s="69">
        <v>71.148240000000001</v>
      </c>
      <c r="Z13" s="69">
        <v>72.705600000000004</v>
      </c>
      <c r="AA13" s="69">
        <v>74.869920000000008</v>
      </c>
      <c r="AB13" s="69">
        <v>76.722120000000004</v>
      </c>
      <c r="AC13" s="69">
        <v>79.206119999999999</v>
      </c>
      <c r="AD13" s="69">
        <v>80.900000000000006</v>
      </c>
      <c r="AE13" s="69">
        <v>81.3</v>
      </c>
      <c r="AF13" s="69">
        <v>84.2</v>
      </c>
    </row>
    <row r="14" spans="2:32" s="3" customFormat="1" x14ac:dyDescent="0.35">
      <c r="B14" s="3" t="s">
        <v>188</v>
      </c>
      <c r="C14" s="72" t="s">
        <v>111</v>
      </c>
      <c r="D14" s="118">
        <f>SUM(D15:D20)</f>
        <v>296.91568983599996</v>
      </c>
      <c r="E14" s="118">
        <f t="shared" ref="E14:AC14" si="2">SUM(E15:E20)</f>
        <v>282.10016262800002</v>
      </c>
      <c r="F14" s="118">
        <f t="shared" si="2"/>
        <v>292.19789314799999</v>
      </c>
      <c r="G14" s="118">
        <f t="shared" si="2"/>
        <v>278.08512133199997</v>
      </c>
      <c r="H14" s="118">
        <f t="shared" si="2"/>
        <v>249.78775560400001</v>
      </c>
      <c r="I14" s="118">
        <f t="shared" si="2"/>
        <v>287.20783123000001</v>
      </c>
      <c r="J14" s="118">
        <f t="shared" si="2"/>
        <v>275.61172960199997</v>
      </c>
      <c r="K14" s="118">
        <f t="shared" si="2"/>
        <v>296.37929975999998</v>
      </c>
      <c r="L14" s="118">
        <f t="shared" si="2"/>
        <v>300.54106000000002</v>
      </c>
      <c r="M14" s="118">
        <f t="shared" si="2"/>
        <v>220.56054695999998</v>
      </c>
      <c r="N14" s="118">
        <f t="shared" si="2"/>
        <v>264.08814596000002</v>
      </c>
      <c r="O14" s="118">
        <f t="shared" si="2"/>
        <v>280.87211853800005</v>
      </c>
      <c r="P14" s="118">
        <f t="shared" si="2"/>
        <v>258.57382507200003</v>
      </c>
      <c r="Q14" s="118">
        <f t="shared" si="2"/>
        <v>266.51647727599999</v>
      </c>
      <c r="R14" s="118">
        <f t="shared" si="2"/>
        <v>275.669621656</v>
      </c>
      <c r="S14" s="118">
        <f t="shared" si="2"/>
        <v>262.62058023600002</v>
      </c>
      <c r="T14" s="118">
        <f t="shared" si="2"/>
        <v>254.61762000000002</v>
      </c>
      <c r="U14" s="118">
        <f t="shared" si="2"/>
        <v>245.79574647200002</v>
      </c>
      <c r="V14" s="118">
        <f t="shared" si="2"/>
        <v>263.47672230999996</v>
      </c>
      <c r="W14" s="118">
        <f t="shared" si="2"/>
        <v>236.33441321999999</v>
      </c>
      <c r="X14" s="118">
        <f t="shared" si="2"/>
        <v>241.61617337799998</v>
      </c>
      <c r="Y14" s="118">
        <f t="shared" si="2"/>
        <v>231.141587606</v>
      </c>
      <c r="Z14" s="118">
        <f t="shared" si="2"/>
        <v>222.341217976</v>
      </c>
      <c r="AA14" s="118">
        <f t="shared" si="2"/>
        <v>219.4407815806365</v>
      </c>
      <c r="AB14" s="118">
        <f t="shared" si="2"/>
        <v>212.34571583800604</v>
      </c>
      <c r="AC14" s="118">
        <f t="shared" si="2"/>
        <v>251.26469365599999</v>
      </c>
      <c r="AD14" s="118">
        <f>SUM(AD15:AD20)</f>
        <v>226.8</v>
      </c>
      <c r="AE14" s="118">
        <f>SUM(AE15:AE20)</f>
        <v>214.60000000000002</v>
      </c>
      <c r="AF14" s="3">
        <v>204.4</v>
      </c>
    </row>
    <row r="15" spans="2:32" x14ac:dyDescent="0.35">
      <c r="B15" s="112" t="s">
        <v>189</v>
      </c>
      <c r="C15" s="116" t="s">
        <v>111</v>
      </c>
      <c r="D15" s="69">
        <v>7.3458298360000001</v>
      </c>
      <c r="E15" s="69">
        <v>6.4947026279999989</v>
      </c>
      <c r="F15" s="69">
        <v>9.7472931480000007</v>
      </c>
      <c r="G15" s="69">
        <v>8.9651613319999992</v>
      </c>
      <c r="H15" s="69">
        <v>6.5325956039999999</v>
      </c>
      <c r="I15" s="69">
        <v>11.615831230000001</v>
      </c>
      <c r="J15" s="69">
        <v>8.9957296019999973</v>
      </c>
      <c r="K15" s="69">
        <v>8.0152997600000013</v>
      </c>
      <c r="L15" s="69">
        <v>9.0050600000000003</v>
      </c>
      <c r="M15" s="69">
        <v>2.5805469599999999</v>
      </c>
      <c r="N15" s="69">
        <v>8.2261459600000002</v>
      </c>
      <c r="O15" s="69">
        <v>6.0905185379999995</v>
      </c>
      <c r="P15" s="69">
        <v>7.3841450720000008</v>
      </c>
      <c r="Q15" s="69">
        <v>10.128277275999999</v>
      </c>
      <c r="R15" s="69">
        <v>10.514480055999998</v>
      </c>
      <c r="S15" s="69">
        <v>9.8797940359999998</v>
      </c>
      <c r="T15" s="69">
        <v>6.5912205999999989</v>
      </c>
      <c r="U15" s="69">
        <v>7.2118294519999999</v>
      </c>
      <c r="V15" s="69">
        <v>9.2910001099999988</v>
      </c>
      <c r="W15" s="69">
        <v>10.52730214</v>
      </c>
      <c r="X15" s="69">
        <v>8.6627232400000018</v>
      </c>
      <c r="Y15" s="69">
        <v>4.85762787</v>
      </c>
      <c r="Z15" s="69">
        <v>6.3702752479999996</v>
      </c>
      <c r="AA15" s="69">
        <v>8.1558784559999982</v>
      </c>
      <c r="AB15" s="69">
        <v>7.812179972</v>
      </c>
      <c r="AC15" s="69">
        <v>10.482012992000001</v>
      </c>
      <c r="AD15" s="69">
        <v>8.6</v>
      </c>
      <c r="AE15" s="69">
        <v>7.7</v>
      </c>
      <c r="AF15" s="69">
        <v>10.7</v>
      </c>
    </row>
    <row r="16" spans="2:32" x14ac:dyDescent="0.35">
      <c r="B16" s="112" t="s">
        <v>190</v>
      </c>
      <c r="C16" s="116" t="s">
        <v>111</v>
      </c>
      <c r="D16" s="69" t="s">
        <v>134</v>
      </c>
      <c r="E16" s="69" t="s">
        <v>134</v>
      </c>
      <c r="F16" s="69" t="s">
        <v>134</v>
      </c>
      <c r="G16" s="69" t="s">
        <v>134</v>
      </c>
      <c r="H16" s="69" t="s">
        <v>134</v>
      </c>
      <c r="I16" s="69" t="s">
        <v>134</v>
      </c>
      <c r="J16" s="69" t="s">
        <v>134</v>
      </c>
      <c r="K16" s="69" t="s">
        <v>134</v>
      </c>
      <c r="L16" s="69" t="s">
        <v>134</v>
      </c>
      <c r="M16" s="69" t="s">
        <v>134</v>
      </c>
      <c r="N16" s="69" t="s">
        <v>134</v>
      </c>
      <c r="O16" s="69" t="s">
        <v>134</v>
      </c>
      <c r="P16" s="69" t="s">
        <v>134</v>
      </c>
      <c r="Q16" s="69" t="s">
        <v>134</v>
      </c>
      <c r="R16" s="69">
        <v>3.8321599999999997E-2</v>
      </c>
      <c r="S16" s="69">
        <v>3.7986199999999998E-2</v>
      </c>
      <c r="T16" s="69">
        <v>3.5079399999999997E-2</v>
      </c>
      <c r="U16" s="69">
        <v>3.4277019999999998E-2</v>
      </c>
      <c r="V16" s="69">
        <v>3.1622200000000003E-2</v>
      </c>
      <c r="W16" s="69">
        <v>0.12906708</v>
      </c>
      <c r="X16" s="69">
        <v>0.215910138</v>
      </c>
      <c r="Y16" s="69">
        <v>0.24296634</v>
      </c>
      <c r="Z16" s="69">
        <v>0.30683793799999998</v>
      </c>
      <c r="AA16" s="69">
        <v>0.31047808008898781</v>
      </c>
      <c r="AB16" s="69">
        <v>0.27298937000000001</v>
      </c>
      <c r="AC16" s="69">
        <v>0.23100890000000002</v>
      </c>
      <c r="AD16" s="69">
        <v>1.5</v>
      </c>
      <c r="AE16" s="69">
        <v>1.3</v>
      </c>
      <c r="AF16" s="69">
        <v>1.3</v>
      </c>
    </row>
    <row r="17" spans="2:39" x14ac:dyDescent="0.35">
      <c r="B17" s="112" t="s">
        <v>191</v>
      </c>
      <c r="C17" s="116" t="s">
        <v>111</v>
      </c>
      <c r="D17" s="69" t="s">
        <v>134</v>
      </c>
      <c r="E17" s="69" t="s">
        <v>134</v>
      </c>
      <c r="F17" s="69" t="s">
        <v>134</v>
      </c>
      <c r="G17" s="69" t="s">
        <v>134</v>
      </c>
      <c r="H17" s="69" t="s">
        <v>134</v>
      </c>
      <c r="I17" s="69" t="s">
        <v>134</v>
      </c>
      <c r="J17" s="69" t="s">
        <v>134</v>
      </c>
      <c r="K17" s="69" t="s">
        <v>134</v>
      </c>
      <c r="L17" s="69" t="s">
        <v>134</v>
      </c>
      <c r="M17" s="69" t="s">
        <v>134</v>
      </c>
      <c r="N17" s="69" t="s">
        <v>134</v>
      </c>
      <c r="O17" s="69" t="s">
        <v>134</v>
      </c>
      <c r="P17" s="69" t="s">
        <v>134</v>
      </c>
      <c r="Q17" s="69" t="s">
        <v>134</v>
      </c>
      <c r="R17" s="69" t="s">
        <v>134</v>
      </c>
      <c r="S17" s="69" t="s">
        <v>134</v>
      </c>
      <c r="T17" s="69" t="s">
        <v>134</v>
      </c>
      <c r="U17" s="69" t="s">
        <v>134</v>
      </c>
      <c r="V17" s="69" t="s">
        <v>134</v>
      </c>
      <c r="W17" s="69" t="s">
        <v>134</v>
      </c>
      <c r="X17" s="69" t="s">
        <v>134</v>
      </c>
      <c r="Y17" s="69">
        <v>0.27013339600000003</v>
      </c>
      <c r="Z17" s="69">
        <v>1.5304397460000001</v>
      </c>
      <c r="AA17" s="69">
        <v>1.721220942</v>
      </c>
      <c r="AB17" s="69">
        <v>1.8340983499999999</v>
      </c>
      <c r="AC17" s="69">
        <v>1.7508164660000001</v>
      </c>
      <c r="AD17" s="69">
        <v>1.6</v>
      </c>
      <c r="AE17" s="69">
        <v>1.5</v>
      </c>
      <c r="AF17" s="69">
        <v>1.9</v>
      </c>
    </row>
    <row r="18" spans="2:39" x14ac:dyDescent="0.35">
      <c r="B18" s="112" t="s">
        <v>192</v>
      </c>
      <c r="C18" s="116" t="s">
        <v>111</v>
      </c>
      <c r="D18" s="69" t="s">
        <v>134</v>
      </c>
      <c r="E18" s="69" t="s">
        <v>134</v>
      </c>
      <c r="F18" s="69" t="s">
        <v>134</v>
      </c>
      <c r="G18" s="69" t="s">
        <v>134</v>
      </c>
      <c r="H18" s="69" t="s">
        <v>134</v>
      </c>
      <c r="I18" s="69" t="s">
        <v>134</v>
      </c>
      <c r="J18" s="69" t="s">
        <v>134</v>
      </c>
      <c r="K18" s="69" t="s">
        <v>134</v>
      </c>
      <c r="L18" s="69" t="s">
        <v>134</v>
      </c>
      <c r="M18" s="69" t="s">
        <v>134</v>
      </c>
      <c r="N18" s="69" t="s">
        <v>134</v>
      </c>
      <c r="O18" s="69" t="s">
        <v>134</v>
      </c>
      <c r="P18" s="69" t="s">
        <v>134</v>
      </c>
      <c r="Q18" s="69" t="s">
        <v>134</v>
      </c>
      <c r="R18" s="69" t="s">
        <v>134</v>
      </c>
      <c r="S18" s="69" t="s">
        <v>134</v>
      </c>
      <c r="T18" s="69" t="s">
        <v>134</v>
      </c>
      <c r="U18" s="69" t="s">
        <v>134</v>
      </c>
      <c r="V18" s="69" t="s">
        <v>134</v>
      </c>
      <c r="W18" s="69" t="s">
        <v>134</v>
      </c>
      <c r="X18" s="69" t="s">
        <v>134</v>
      </c>
      <c r="Y18" s="69" t="s">
        <v>134</v>
      </c>
      <c r="Z18" s="69">
        <v>7.7525043999999987E-2</v>
      </c>
      <c r="AA18" s="69">
        <v>0.23318410254749034</v>
      </c>
      <c r="AB18" s="69">
        <v>2.1173281460060003</v>
      </c>
      <c r="AC18" s="69">
        <v>2.2248752979999997</v>
      </c>
      <c r="AD18" s="69">
        <v>2.6</v>
      </c>
      <c r="AE18" s="69">
        <v>3.4</v>
      </c>
      <c r="AF18" s="69">
        <v>4.2</v>
      </c>
    </row>
    <row r="19" spans="2:39" x14ac:dyDescent="0.35">
      <c r="B19" s="112" t="s">
        <v>16</v>
      </c>
      <c r="C19" s="116" t="s">
        <v>111</v>
      </c>
      <c r="D19" s="69">
        <v>252.16</v>
      </c>
      <c r="E19" s="69">
        <v>246.928</v>
      </c>
      <c r="F19" s="69">
        <v>260.08</v>
      </c>
      <c r="G19" s="69">
        <v>249.952</v>
      </c>
      <c r="H19" s="69">
        <v>227.87200000000001</v>
      </c>
      <c r="I19" s="69">
        <v>262.36799999999999</v>
      </c>
      <c r="J19" s="69">
        <v>255.21600000000001</v>
      </c>
      <c r="K19" s="69">
        <v>278.56</v>
      </c>
      <c r="L19" s="69">
        <v>282.72000000000003</v>
      </c>
      <c r="M19" s="69">
        <v>210.304</v>
      </c>
      <c r="N19" s="69">
        <v>248.52799999999999</v>
      </c>
      <c r="O19" s="69">
        <v>267.44</v>
      </c>
      <c r="P19" s="69">
        <v>243.90128000000001</v>
      </c>
      <c r="Q19" s="69">
        <v>249.12639999999999</v>
      </c>
      <c r="R19" s="69">
        <v>257.79232000000002</v>
      </c>
      <c r="S19" s="69">
        <v>245.11040000000003</v>
      </c>
      <c r="T19" s="69">
        <v>240.02576000000002</v>
      </c>
      <c r="U19" s="69">
        <v>230.54912000000002</v>
      </c>
      <c r="V19" s="69">
        <v>246.43439999999998</v>
      </c>
      <c r="W19" s="69">
        <v>217.97551999999999</v>
      </c>
      <c r="X19" s="69">
        <v>225.01936000000001</v>
      </c>
      <c r="Y19" s="69">
        <v>218.13247999999999</v>
      </c>
      <c r="Z19" s="69">
        <v>206.54544000000001</v>
      </c>
      <c r="AA19" s="69">
        <v>201.71376000000001</v>
      </c>
      <c r="AB19" s="69">
        <v>193.36576000000002</v>
      </c>
      <c r="AC19" s="69">
        <v>230.07151999999999</v>
      </c>
      <c r="AD19" s="69">
        <v>206.1</v>
      </c>
      <c r="AE19" s="69">
        <v>194.3</v>
      </c>
      <c r="AF19" s="69">
        <v>180.1</v>
      </c>
    </row>
    <row r="20" spans="2:39" x14ac:dyDescent="0.35">
      <c r="B20" s="112" t="s">
        <v>193</v>
      </c>
      <c r="C20" s="116" t="s">
        <v>111</v>
      </c>
      <c r="D20" s="69">
        <v>37.409860000000002</v>
      </c>
      <c r="E20" s="69">
        <v>28.67746</v>
      </c>
      <c r="F20" s="69">
        <v>22.3706</v>
      </c>
      <c r="G20" s="69">
        <v>19.167960000000001</v>
      </c>
      <c r="H20" s="69">
        <v>15.38316</v>
      </c>
      <c r="I20" s="69">
        <v>13.224</v>
      </c>
      <c r="J20" s="69">
        <v>11.4</v>
      </c>
      <c r="K20" s="69">
        <v>9.8040000000000003</v>
      </c>
      <c r="L20" s="69">
        <v>8.8160000000000007</v>
      </c>
      <c r="M20" s="69">
        <v>7.6760000000000002</v>
      </c>
      <c r="N20" s="69">
        <v>7.3340000000000005</v>
      </c>
      <c r="O20" s="69">
        <v>7.3416000000000006</v>
      </c>
      <c r="P20" s="69">
        <v>7.2884000000000002</v>
      </c>
      <c r="Q20" s="69">
        <v>7.2618</v>
      </c>
      <c r="R20" s="69">
        <v>7.3244999999999996</v>
      </c>
      <c r="S20" s="69">
        <v>7.5924000000000005</v>
      </c>
      <c r="T20" s="69">
        <v>7.96556</v>
      </c>
      <c r="U20" s="69">
        <v>8.0005199999999999</v>
      </c>
      <c r="V20" s="69">
        <v>7.7197000000000005</v>
      </c>
      <c r="W20" s="69">
        <v>7.7025240000000004</v>
      </c>
      <c r="X20" s="69">
        <v>7.7181800000000003</v>
      </c>
      <c r="Y20" s="69">
        <v>7.6383799999999997</v>
      </c>
      <c r="Z20" s="69">
        <v>7.5106999999999999</v>
      </c>
      <c r="AA20" s="69">
        <v>7.30626</v>
      </c>
      <c r="AB20" s="69">
        <v>6.9433599999999993</v>
      </c>
      <c r="AC20" s="69">
        <v>6.5044600000000008</v>
      </c>
      <c r="AD20" s="69">
        <v>6.4</v>
      </c>
      <c r="AE20" s="69">
        <v>6.4</v>
      </c>
      <c r="AF20" s="69">
        <v>6.1</v>
      </c>
    </row>
    <row r="21" spans="2:39" s="3" customFormat="1" x14ac:dyDescent="0.35">
      <c r="B21" s="3" t="s">
        <v>185</v>
      </c>
      <c r="C21" s="72" t="s">
        <v>5</v>
      </c>
      <c r="D21" s="118">
        <f>D22+D30</f>
        <v>30595.81764453365</v>
      </c>
      <c r="E21" s="118">
        <f t="shared" ref="E21" si="3">E22+E30</f>
        <v>31066.964645629108</v>
      </c>
      <c r="F21" s="118">
        <f t="shared" ref="F21" si="4">F22+F30</f>
        <v>33353.454859240468</v>
      </c>
      <c r="G21" s="118">
        <f t="shared" ref="G21" si="5">G22+G30</f>
        <v>33830.495425768175</v>
      </c>
      <c r="H21" s="118">
        <f t="shared" ref="H21" si="6">H22+H30</f>
        <v>34254.46897586828</v>
      </c>
      <c r="I21" s="118">
        <f t="shared" ref="I21" si="7">I22+I30</f>
        <v>36486.476156177639</v>
      </c>
      <c r="J21" s="118">
        <f t="shared" ref="J21" si="8">J22+J30</f>
        <v>38112.966965546133</v>
      </c>
      <c r="K21" s="118">
        <f t="shared" ref="K21" si="9">K22+K30</f>
        <v>39510.373554031685</v>
      </c>
      <c r="L21" s="118">
        <f t="shared" ref="L21" si="10">L22+L30</f>
        <v>42191.159815972802</v>
      </c>
      <c r="M21" s="118">
        <f t="shared" ref="M21" si="11">M22+M30</f>
        <v>41846.144667864479</v>
      </c>
      <c r="N21" s="118">
        <f t="shared" ref="N21" si="12">N22+N30</f>
        <v>46604.219841215279</v>
      </c>
      <c r="O21" s="118">
        <f t="shared" ref="O21" si="13">O22+O30</f>
        <v>49489.679551895795</v>
      </c>
      <c r="P21" s="118">
        <f t="shared" ref="P21" si="14">P22+P30</f>
        <v>48455.171163228093</v>
      </c>
      <c r="Q21" s="118">
        <f t="shared" ref="Q21" si="15">Q22+Q30</f>
        <v>51195.837899742764</v>
      </c>
      <c r="R21" s="118">
        <f t="shared" ref="R21" si="16">R22+R30</f>
        <v>52576.031704429013</v>
      </c>
      <c r="S21" s="118">
        <f t="shared" ref="S21" si="17">S22+S30</f>
        <v>54142.042852543251</v>
      </c>
      <c r="T21" s="118">
        <f t="shared" ref="T21" si="18">T22+T30</f>
        <v>57642.299233099213</v>
      </c>
      <c r="U21" s="118">
        <f t="shared" ref="U21" si="19">U22+U30</f>
        <v>57853.154585571705</v>
      </c>
      <c r="V21" s="118">
        <f t="shared" ref="V21" si="20">V22+V30</f>
        <v>58799.214729667081</v>
      </c>
      <c r="W21" s="118">
        <f t="shared" ref="W21" si="21">W22+W30</f>
        <v>56391.86543801587</v>
      </c>
      <c r="X21" s="118">
        <f t="shared" ref="X21" si="22">X22+X30</f>
        <v>59899.096918933705</v>
      </c>
      <c r="Y21" s="118">
        <f t="shared" ref="Y21" si="23">Y22+Y30</f>
        <v>59739.494178178007</v>
      </c>
      <c r="Z21" s="118">
        <f t="shared" ref="Z21" si="24">Z22+Z30</f>
        <v>59772.61858521917</v>
      </c>
      <c r="AA21" s="118">
        <f t="shared" ref="AA21" si="25">AA22+AA30</f>
        <v>60909.721377778085</v>
      </c>
      <c r="AB21" s="118">
        <f t="shared" ref="AB21" si="26">AB22+AB30</f>
        <v>62455.695362625644</v>
      </c>
      <c r="AC21" s="118">
        <f t="shared" ref="AC21" si="27">AC22+AC30</f>
        <v>64243.602805917173</v>
      </c>
      <c r="AD21" s="118">
        <f t="shared" ref="AD21" si="28">AD22+AD30</f>
        <v>65113.113600000012</v>
      </c>
      <c r="AE21" s="118">
        <f t="shared" ref="AE21:AF21" si="29">AE22+AE30</f>
        <v>66980.426400000011</v>
      </c>
      <c r="AF21" s="118">
        <f t="shared" si="29"/>
        <v>66411.021600000007</v>
      </c>
      <c r="AG21" s="125">
        <f>(AF21-AA21)/AA21</f>
        <v>9.0318919505499182E-2</v>
      </c>
      <c r="AH21" s="125">
        <f>(AF22-AA22)/AA22</f>
        <v>0.11861864851828342</v>
      </c>
    </row>
    <row r="22" spans="2:39" s="3" customFormat="1" x14ac:dyDescent="0.35">
      <c r="B22" s="3" t="s">
        <v>186</v>
      </c>
      <c r="C22" s="72" t="s">
        <v>5</v>
      </c>
      <c r="D22" s="118">
        <f>SUM(D23:D29)</f>
        <v>18164.55154248</v>
      </c>
      <c r="E22" s="118">
        <f t="shared" ref="E22" si="30">SUM(E23:E29)</f>
        <v>19255.995036720004</v>
      </c>
      <c r="F22" s="118">
        <f t="shared" ref="F22" si="31">SUM(F23:F29)</f>
        <v>21119.713468920003</v>
      </c>
      <c r="G22" s="118">
        <f t="shared" ref="G22" si="32">SUM(G23:G29)</f>
        <v>22187.627565840001</v>
      </c>
      <c r="H22" s="118">
        <f t="shared" ref="H22" si="33">SUM(H23:H29)</f>
        <v>23796.355224240004</v>
      </c>
      <c r="I22" s="118">
        <f t="shared" ref="I22" si="34">SUM(I23:I29)</f>
        <v>24461.658678240005</v>
      </c>
      <c r="J22" s="118">
        <f t="shared" ref="J22" si="35">SUM(J23:J29)</f>
        <v>26573.655070569599</v>
      </c>
      <c r="K22" s="118">
        <f t="shared" ref="K22" si="36">SUM(K23:K29)</f>
        <v>27101.565031680002</v>
      </c>
      <c r="L22" s="118">
        <f t="shared" ref="L22" si="37">SUM(L23:L29)</f>
        <v>29608.106715892798</v>
      </c>
      <c r="M22" s="118">
        <f t="shared" ref="M22" si="38">SUM(M23:M29)</f>
        <v>32611.715687743199</v>
      </c>
      <c r="N22" s="118">
        <f t="shared" ref="N22" si="39">SUM(N23:N29)</f>
        <v>35547.377346162</v>
      </c>
      <c r="O22" s="118">
        <f t="shared" ref="O22" si="40">SUM(O23:O29)</f>
        <v>37730.125692946807</v>
      </c>
      <c r="P22" s="118">
        <f t="shared" ref="P22" si="41">SUM(P23:P29)</f>
        <v>37629.202255113596</v>
      </c>
      <c r="Q22" s="118">
        <f t="shared" ref="Q22" si="42">SUM(Q23:Q29)</f>
        <v>40037.326029151198</v>
      </c>
      <c r="R22" s="118">
        <f t="shared" ref="R22" si="43">SUM(R23:R29)</f>
        <v>41034.295984935605</v>
      </c>
      <c r="S22" s="118">
        <f t="shared" ref="S22" si="44">SUM(S23:S29)</f>
        <v>43146.644399222401</v>
      </c>
      <c r="T22" s="118">
        <f t="shared" ref="T22" si="45">SUM(T23:T29)</f>
        <v>46981.968718939213</v>
      </c>
      <c r="U22" s="118">
        <f t="shared" ref="U22" si="46">SUM(U23:U29)</f>
        <v>47562.178272282006</v>
      </c>
      <c r="V22" s="118">
        <f t="shared" ref="V22" si="47">SUM(V23:V29)</f>
        <v>47767.971319992001</v>
      </c>
      <c r="W22" s="118">
        <f t="shared" ref="W22" si="48">SUM(W23:W29)</f>
        <v>46497.016225320913</v>
      </c>
      <c r="X22" s="118">
        <f t="shared" ref="X22" si="49">SUM(X23:X29)</f>
        <v>49783.110971943599</v>
      </c>
      <c r="Y22" s="118">
        <f t="shared" ref="Y22" si="50">SUM(Y23:Y29)</f>
        <v>50062.058188290001</v>
      </c>
      <c r="Z22" s="118">
        <f t="shared" ref="Z22" si="51">SUM(Z23:Z29)</f>
        <v>50463.636470999998</v>
      </c>
      <c r="AA22" s="118">
        <f t="shared" ref="AA22" si="52">SUM(AA23:AA29)</f>
        <v>51722.174734559994</v>
      </c>
      <c r="AB22" s="118">
        <f t="shared" ref="AB22" si="53">SUM(AB23:AB29)</f>
        <v>53565.204931920009</v>
      </c>
      <c r="AC22" s="118">
        <f t="shared" ref="AC22" si="54">SUM(AC23:AC29)</f>
        <v>53723.652611927762</v>
      </c>
      <c r="AD22" s="118">
        <f t="shared" ref="AD22" si="55">SUM(AD23:AD29)</f>
        <v>55617.45120000001</v>
      </c>
      <c r="AE22" s="118">
        <f t="shared" ref="AE22:AF22" si="56">SUM(AE23:AE29)</f>
        <v>57995.553600000007</v>
      </c>
      <c r="AF22" s="118">
        <f t="shared" si="56"/>
        <v>57857.389200000005</v>
      </c>
      <c r="AG22" s="121">
        <f>AF22/AF$21</f>
        <v>0.87120161392006046</v>
      </c>
    </row>
    <row r="23" spans="2:39" x14ac:dyDescent="0.35">
      <c r="B23" s="112" t="s">
        <v>15</v>
      </c>
      <c r="C23" s="116" t="s">
        <v>5</v>
      </c>
      <c r="D23" s="69">
        <f>D7*0.041868*1000</f>
        <v>1461.4444080000001</v>
      </c>
      <c r="E23" s="69">
        <f t="shared" ref="E23:AE29" si="57">E7*0.041868*1000</f>
        <v>1556.8406460000001</v>
      </c>
      <c r="F23" s="69">
        <f t="shared" si="57"/>
        <v>1577.9965464000004</v>
      </c>
      <c r="G23" s="69">
        <f t="shared" si="57"/>
        <v>1621.0870920000002</v>
      </c>
      <c r="H23" s="69">
        <f t="shared" si="57"/>
        <v>1624.9808159999998</v>
      </c>
      <c r="I23" s="69">
        <f t="shared" si="57"/>
        <v>1637.5964817600002</v>
      </c>
      <c r="J23" s="69">
        <f t="shared" si="57"/>
        <v>1045.6922874816</v>
      </c>
      <c r="K23" s="69">
        <f t="shared" si="57"/>
        <v>1185.5481044400001</v>
      </c>
      <c r="L23" s="69">
        <f t="shared" si="57"/>
        <v>1836.4749246000001</v>
      </c>
      <c r="M23" s="69">
        <f t="shared" si="57"/>
        <v>3546.2221120799995</v>
      </c>
      <c r="N23" s="69">
        <f t="shared" si="57"/>
        <v>6566.9991494400001</v>
      </c>
      <c r="O23" s="69">
        <f t="shared" si="57"/>
        <v>7765.5582624168001</v>
      </c>
      <c r="P23" s="69">
        <f t="shared" si="57"/>
        <v>8119.0375358400006</v>
      </c>
      <c r="Q23" s="69">
        <f t="shared" si="57"/>
        <v>8207.3471961599989</v>
      </c>
      <c r="R23" s="69">
        <f t="shared" si="57"/>
        <v>7510.9416796800006</v>
      </c>
      <c r="S23" s="69">
        <f t="shared" si="57"/>
        <v>9444.53905992</v>
      </c>
      <c r="T23" s="69">
        <f t="shared" si="57"/>
        <v>12575.430612</v>
      </c>
      <c r="U23" s="69">
        <f t="shared" si="57"/>
        <v>14863.538583360001</v>
      </c>
      <c r="V23" s="69">
        <f t="shared" si="57"/>
        <v>16909.586712720004</v>
      </c>
      <c r="W23" s="69">
        <f t="shared" si="57"/>
        <v>15463.613368080001</v>
      </c>
      <c r="X23" s="69">
        <f t="shared" si="57"/>
        <v>17335.7677836</v>
      </c>
      <c r="Y23" s="69">
        <f t="shared" si="57"/>
        <v>16652.081765520001</v>
      </c>
      <c r="Z23" s="69">
        <f t="shared" si="57"/>
        <v>17515.94337216</v>
      </c>
      <c r="AA23" s="69">
        <f t="shared" si="57"/>
        <v>18448.827726240001</v>
      </c>
      <c r="AB23" s="69">
        <f t="shared" si="57"/>
        <v>19273.570385759998</v>
      </c>
      <c r="AC23" s="69">
        <f t="shared" si="57"/>
        <v>18710.22486590856</v>
      </c>
      <c r="AD23" s="69">
        <f t="shared" si="57"/>
        <v>19062.500400000001</v>
      </c>
      <c r="AE23" s="69">
        <f t="shared" si="57"/>
        <v>19732.3884</v>
      </c>
      <c r="AF23" s="69">
        <f t="shared" ref="AF23" si="58">AF7*0.041868*1000</f>
        <v>18744.303600000003</v>
      </c>
      <c r="AG23" s="122">
        <f>AF23/AF$21</f>
        <v>0.28224687933425796</v>
      </c>
    </row>
    <row r="24" spans="2:39" x14ac:dyDescent="0.35">
      <c r="B24" s="112" t="s">
        <v>130</v>
      </c>
      <c r="C24" s="116" t="s">
        <v>5</v>
      </c>
      <c r="D24" s="69">
        <f t="shared" ref="D24:S29" si="59">D8*0.041868*1000</f>
        <v>2676.8272305600003</v>
      </c>
      <c r="E24" s="69">
        <f t="shared" si="59"/>
        <v>2778.7473403200001</v>
      </c>
      <c r="F24" s="69">
        <f t="shared" si="59"/>
        <v>3067.9128691200012</v>
      </c>
      <c r="G24" s="69">
        <f t="shared" si="59"/>
        <v>3269.5826515200006</v>
      </c>
      <c r="H24" s="69">
        <f t="shared" si="59"/>
        <v>3599.0821368000006</v>
      </c>
      <c r="I24" s="69">
        <f t="shared" si="59"/>
        <v>3796.3658275200005</v>
      </c>
      <c r="J24" s="69">
        <f t="shared" si="59"/>
        <v>3951.4164292800006</v>
      </c>
      <c r="K24" s="69">
        <f t="shared" si="59"/>
        <v>3964.2581822400011</v>
      </c>
      <c r="L24" s="69">
        <f t="shared" si="59"/>
        <v>4005.9034444800004</v>
      </c>
      <c r="M24" s="69">
        <f t="shared" si="59"/>
        <v>4047.1869672000003</v>
      </c>
      <c r="N24" s="69">
        <f t="shared" si="59"/>
        <v>4160.0044800000005</v>
      </c>
      <c r="O24" s="69">
        <f t="shared" si="59"/>
        <v>3967.7851425599997</v>
      </c>
      <c r="P24" s="69">
        <f t="shared" si="59"/>
        <v>3956.8425220800004</v>
      </c>
      <c r="Q24" s="69">
        <f t="shared" si="59"/>
        <v>4035.2947804800001</v>
      </c>
      <c r="R24" s="69">
        <f t="shared" si="59"/>
        <v>4085.3957040000005</v>
      </c>
      <c r="S24" s="69">
        <f t="shared" si="59"/>
        <v>4190.435817120001</v>
      </c>
      <c r="T24" s="69">
        <f t="shared" si="57"/>
        <v>4029.6426004800001</v>
      </c>
      <c r="U24" s="69">
        <f t="shared" si="57"/>
        <v>4473.813513600001</v>
      </c>
      <c r="V24" s="69">
        <f t="shared" si="57"/>
        <v>4585.3197206400009</v>
      </c>
      <c r="W24" s="69">
        <f t="shared" si="57"/>
        <v>5049.295872480001</v>
      </c>
      <c r="X24" s="69">
        <f t="shared" si="57"/>
        <v>5345.87706144</v>
      </c>
      <c r="Y24" s="69">
        <f t="shared" si="57"/>
        <v>5443.4562969600011</v>
      </c>
      <c r="Z24" s="69">
        <f t="shared" si="57"/>
        <v>5718.0618100800011</v>
      </c>
      <c r="AA24" s="69">
        <f t="shared" si="57"/>
        <v>5973.133389120002</v>
      </c>
      <c r="AB24" s="69">
        <f t="shared" si="57"/>
        <v>6353.2311897600002</v>
      </c>
      <c r="AC24" s="69">
        <f t="shared" si="57"/>
        <v>6826.0116293424007</v>
      </c>
      <c r="AD24" s="69">
        <f t="shared" si="57"/>
        <v>7490.1852000000008</v>
      </c>
      <c r="AE24" s="69">
        <f t="shared" si="57"/>
        <v>7858.6235999999999</v>
      </c>
      <c r="AF24" s="69">
        <f t="shared" ref="AF24" si="60">AF8*0.041868*1000</f>
        <v>8017.7220000000007</v>
      </c>
      <c r="AG24" s="122">
        <f t="shared" ref="AG24:AG28" si="61">AF24/AF$21</f>
        <v>0.12072878577732947</v>
      </c>
    </row>
    <row r="25" spans="2:39" x14ac:dyDescent="0.35">
      <c r="B25" s="112" t="s">
        <v>63</v>
      </c>
      <c r="C25" s="116" t="s">
        <v>5</v>
      </c>
      <c r="D25" s="69">
        <f t="shared" si="59"/>
        <v>3906.8663652</v>
      </c>
      <c r="E25" s="69">
        <f t="shared" si="57"/>
        <v>4172.0038488</v>
      </c>
      <c r="F25" s="69">
        <f t="shared" si="57"/>
        <v>4537.5721974000007</v>
      </c>
      <c r="G25" s="69">
        <f t="shared" si="57"/>
        <v>4948.8101604000003</v>
      </c>
      <c r="H25" s="69">
        <f t="shared" si="57"/>
        <v>5260.8858588000003</v>
      </c>
      <c r="I25" s="69">
        <f t="shared" si="57"/>
        <v>5341.6534175999996</v>
      </c>
      <c r="J25" s="69">
        <f t="shared" si="57"/>
        <v>5752.2570804000006</v>
      </c>
      <c r="K25" s="69">
        <f t="shared" si="57"/>
        <v>6153.3462402000005</v>
      </c>
      <c r="L25" s="69">
        <f t="shared" si="57"/>
        <v>6559.4658234528006</v>
      </c>
      <c r="M25" s="69">
        <f t="shared" si="57"/>
        <v>6975.3984536664011</v>
      </c>
      <c r="N25" s="69">
        <f t="shared" si="57"/>
        <v>8007.5693742516005</v>
      </c>
      <c r="O25" s="69">
        <f t="shared" si="57"/>
        <v>7978.8922393428011</v>
      </c>
      <c r="P25" s="69">
        <f t="shared" si="57"/>
        <v>8320.2256687680001</v>
      </c>
      <c r="Q25" s="69">
        <f t="shared" si="57"/>
        <v>8831.3912852760004</v>
      </c>
      <c r="R25" s="69">
        <f t="shared" si="57"/>
        <v>9042.3658747980007</v>
      </c>
      <c r="S25" s="69">
        <f t="shared" si="57"/>
        <v>8969.3735678496014</v>
      </c>
      <c r="T25" s="69">
        <f t="shared" si="57"/>
        <v>9653.0189404752018</v>
      </c>
      <c r="U25" s="69">
        <f t="shared" si="57"/>
        <v>8682.1924608324025</v>
      </c>
      <c r="V25" s="69">
        <f t="shared" si="57"/>
        <v>8599.1063233679997</v>
      </c>
      <c r="W25" s="69">
        <f t="shared" si="57"/>
        <v>8653.3865037816486</v>
      </c>
      <c r="X25" s="69">
        <f t="shared" si="57"/>
        <v>8941.9265524620005</v>
      </c>
      <c r="Y25" s="69">
        <f t="shared" si="57"/>
        <v>8795.2721175539991</v>
      </c>
      <c r="Z25" s="69">
        <f t="shared" si="57"/>
        <v>8934.5411838</v>
      </c>
      <c r="AA25" s="69">
        <f t="shared" si="57"/>
        <v>8667.7545196800002</v>
      </c>
      <c r="AB25" s="69">
        <f t="shared" si="57"/>
        <v>8709.2800394400019</v>
      </c>
      <c r="AC25" s="69">
        <f t="shared" si="57"/>
        <v>8774.2374543216029</v>
      </c>
      <c r="AD25" s="69">
        <f t="shared" si="57"/>
        <v>8813.2139999999999</v>
      </c>
      <c r="AE25" s="69">
        <f t="shared" si="57"/>
        <v>8976.4992000000002</v>
      </c>
      <c r="AF25" s="69">
        <f t="shared" ref="AF25" si="62">AF9*0.041868*1000</f>
        <v>9068.6088</v>
      </c>
      <c r="AG25" s="122">
        <f t="shared" si="61"/>
        <v>0.13655276762072877</v>
      </c>
    </row>
    <row r="26" spans="2:39" x14ac:dyDescent="0.35">
      <c r="B26" s="112" t="s">
        <v>14</v>
      </c>
      <c r="C26" s="116" t="s">
        <v>5</v>
      </c>
      <c r="D26" s="69">
        <f t="shared" si="59"/>
        <v>1158.4105228800001</v>
      </c>
      <c r="E26" s="69">
        <f t="shared" si="57"/>
        <v>1203.5207808000002</v>
      </c>
      <c r="F26" s="69">
        <f t="shared" si="57"/>
        <v>1464.1675027200001</v>
      </c>
      <c r="G26" s="69">
        <f t="shared" si="57"/>
        <v>1043.7625411199999</v>
      </c>
      <c r="H26" s="69">
        <f t="shared" si="57"/>
        <v>1113.9098630400001</v>
      </c>
      <c r="I26" s="69">
        <f t="shared" si="57"/>
        <v>1868.9406278400004</v>
      </c>
      <c r="J26" s="69">
        <f t="shared" si="57"/>
        <v>3323.6593603200008</v>
      </c>
      <c r="K26" s="69">
        <f t="shared" si="57"/>
        <v>2461.2957907199998</v>
      </c>
      <c r="L26" s="69">
        <f t="shared" si="57"/>
        <v>2575.4648025600004</v>
      </c>
      <c r="M26" s="69">
        <f t="shared" si="57"/>
        <v>2222.7861876480001</v>
      </c>
      <c r="N26" s="69">
        <f t="shared" si="57"/>
        <v>987.57501523199994</v>
      </c>
      <c r="O26" s="69">
        <f t="shared" si="57"/>
        <v>576.48819571200011</v>
      </c>
      <c r="P26" s="69">
        <f t="shared" si="57"/>
        <v>603.13938834240014</v>
      </c>
      <c r="Q26" s="69">
        <f t="shared" si="57"/>
        <v>789.39859826880013</v>
      </c>
      <c r="R26" s="69">
        <f t="shared" si="57"/>
        <v>1100.8191796992003</v>
      </c>
      <c r="S26" s="69">
        <f t="shared" si="57"/>
        <v>1197.2693524896001</v>
      </c>
      <c r="T26" s="69">
        <f t="shared" si="57"/>
        <v>251.26674917760005</v>
      </c>
      <c r="U26" s="69">
        <f t="shared" si="57"/>
        <v>100.35029422080002</v>
      </c>
      <c r="V26" s="69">
        <f t="shared" si="57"/>
        <v>168.39363191040005</v>
      </c>
      <c r="W26" s="69">
        <f t="shared" si="57"/>
        <v>278.66866184352</v>
      </c>
      <c r="X26" s="69">
        <f t="shared" si="57"/>
        <v>336.97319123520003</v>
      </c>
      <c r="Y26" s="69">
        <f t="shared" si="57"/>
        <v>181.74731328000004</v>
      </c>
      <c r="Z26" s="69">
        <f t="shared" si="57"/>
        <v>160.2372096</v>
      </c>
      <c r="AA26" s="69">
        <f t="shared" si="57"/>
        <v>36.880683840000003</v>
      </c>
      <c r="AB26" s="69">
        <f t="shared" si="57"/>
        <v>36.314628479999996</v>
      </c>
      <c r="AC26" s="69">
        <f t="shared" si="57"/>
        <v>37.981443801600001</v>
      </c>
      <c r="AD26" s="69">
        <f t="shared" si="57"/>
        <v>33.494399999999999</v>
      </c>
      <c r="AE26" s="69">
        <f t="shared" si="57"/>
        <v>41.868000000000002</v>
      </c>
      <c r="AF26" s="69">
        <f t="shared" ref="AF26" si="63">AF10*0.041868*1000</f>
        <v>29.307600000000001</v>
      </c>
      <c r="AG26" s="122">
        <f t="shared" si="61"/>
        <v>4.4130626654898496E-4</v>
      </c>
    </row>
    <row r="27" spans="2:39" x14ac:dyDescent="0.35">
      <c r="B27" s="112" t="s">
        <v>187</v>
      </c>
      <c r="C27" s="116" t="s">
        <v>5</v>
      </c>
      <c r="D27" s="69">
        <f t="shared" si="59"/>
        <v>3144.6987811199997</v>
      </c>
      <c r="E27" s="69">
        <f t="shared" si="57"/>
        <v>3054.65243616</v>
      </c>
      <c r="F27" s="69">
        <f t="shared" si="57"/>
        <v>3720.8995948800007</v>
      </c>
      <c r="G27" s="69">
        <f t="shared" si="57"/>
        <v>3485.6818214400005</v>
      </c>
      <c r="H27" s="69">
        <f t="shared" si="57"/>
        <v>3499.2236073600006</v>
      </c>
      <c r="I27" s="69">
        <f t="shared" si="57"/>
        <v>3148.3563696000001</v>
      </c>
      <c r="J27" s="69">
        <f t="shared" si="57"/>
        <v>3508.1934076800007</v>
      </c>
      <c r="K27" s="69">
        <f t="shared" si="57"/>
        <v>3440.9634480000004</v>
      </c>
      <c r="L27" s="69">
        <f t="shared" si="57"/>
        <v>3898.6845206399998</v>
      </c>
      <c r="M27" s="69">
        <f t="shared" si="57"/>
        <v>4229.1302227200003</v>
      </c>
      <c r="N27" s="69">
        <f t="shared" si="57"/>
        <v>4706.1842630399997</v>
      </c>
      <c r="O27" s="69">
        <f t="shared" si="57"/>
        <v>5427.6871334400003</v>
      </c>
      <c r="P27" s="69">
        <f t="shared" si="57"/>
        <v>4744.9372838399995</v>
      </c>
      <c r="Q27" s="69">
        <f t="shared" si="57"/>
        <v>5383.0558454400007</v>
      </c>
      <c r="R27" s="69">
        <f t="shared" si="57"/>
        <v>5965.439725440001</v>
      </c>
      <c r="S27" s="69">
        <f t="shared" si="57"/>
        <v>5989.7365632000001</v>
      </c>
      <c r="T27" s="69">
        <f t="shared" si="57"/>
        <v>6141.83128416</v>
      </c>
      <c r="U27" s="69">
        <f t="shared" si="57"/>
        <v>6013.4238028800009</v>
      </c>
      <c r="V27" s="69">
        <f t="shared" si="57"/>
        <v>5731.5717763200009</v>
      </c>
      <c r="W27" s="69">
        <f t="shared" si="57"/>
        <v>4626.2398291200006</v>
      </c>
      <c r="X27" s="69">
        <f t="shared" si="57"/>
        <v>5162.1200841600003</v>
      </c>
      <c r="Y27" s="69">
        <f t="shared" si="57"/>
        <v>5624.4131423999997</v>
      </c>
      <c r="Z27" s="69">
        <f t="shared" si="57"/>
        <v>4815.0410630400011</v>
      </c>
      <c r="AA27" s="69">
        <f t="shared" si="57"/>
        <v>5055.0049929600009</v>
      </c>
      <c r="AB27" s="69">
        <f t="shared" si="57"/>
        <v>5310.8184729600007</v>
      </c>
      <c r="AC27" s="69">
        <f t="shared" si="57"/>
        <v>5205.7498896000006</v>
      </c>
      <c r="AD27" s="69">
        <f t="shared" si="57"/>
        <v>6179.7168000000001</v>
      </c>
      <c r="AE27" s="69">
        <f t="shared" si="57"/>
        <v>6707.2536</v>
      </c>
      <c r="AF27" s="69">
        <f t="shared" ref="AF27" si="64">AF11*0.041868*1000</f>
        <v>6803.55</v>
      </c>
      <c r="AG27" s="122">
        <f t="shared" si="61"/>
        <v>0.10244609759172865</v>
      </c>
    </row>
    <row r="28" spans="2:39" x14ac:dyDescent="0.35">
      <c r="B28" s="112" t="s">
        <v>62</v>
      </c>
      <c r="C28" s="116" t="s">
        <v>5</v>
      </c>
      <c r="D28" s="69">
        <f t="shared" si="59"/>
        <v>4796.7866150400005</v>
      </c>
      <c r="E28" s="69">
        <f t="shared" si="57"/>
        <v>5319.0982886400006</v>
      </c>
      <c r="F28" s="69">
        <f t="shared" si="57"/>
        <v>5426.2937664000001</v>
      </c>
      <c r="G28" s="69">
        <f t="shared" si="57"/>
        <v>6329.9190873599991</v>
      </c>
      <c r="H28" s="69">
        <f t="shared" si="57"/>
        <v>7192.3061030400013</v>
      </c>
      <c r="I28" s="69">
        <f t="shared" si="57"/>
        <v>7117.7877619199999</v>
      </c>
      <c r="J28" s="69">
        <f t="shared" si="57"/>
        <v>7339.2868990079996</v>
      </c>
      <c r="K28" s="69">
        <f t="shared" si="57"/>
        <v>8126.1165772799995</v>
      </c>
      <c r="L28" s="69">
        <f t="shared" si="57"/>
        <v>8903.2938393599998</v>
      </c>
      <c r="M28" s="69">
        <f t="shared" si="57"/>
        <v>9629.2331100287993</v>
      </c>
      <c r="N28" s="69">
        <f t="shared" si="57"/>
        <v>9023.9854166784007</v>
      </c>
      <c r="O28" s="69">
        <f t="shared" si="57"/>
        <v>9886.2341674752024</v>
      </c>
      <c r="P28" s="69">
        <f t="shared" si="57"/>
        <v>9688.8087954432012</v>
      </c>
      <c r="Q28" s="69">
        <f t="shared" si="57"/>
        <v>10453.232327846399</v>
      </c>
      <c r="R28" s="69">
        <f t="shared" si="57"/>
        <v>10849.112019878403</v>
      </c>
      <c r="S28" s="69">
        <f t="shared" si="57"/>
        <v>10603.627944883201</v>
      </c>
      <c r="T28" s="69">
        <f t="shared" si="57"/>
        <v>11440.570202726401</v>
      </c>
      <c r="U28" s="69">
        <f t="shared" si="57"/>
        <v>10546.202599948803</v>
      </c>
      <c r="V28" s="69">
        <f t="shared" si="57"/>
        <v>8930.3587883135988</v>
      </c>
      <c r="W28" s="69">
        <f t="shared" si="57"/>
        <v>9543.0193202557421</v>
      </c>
      <c r="X28" s="69">
        <f t="shared" si="57"/>
        <v>9722.3979176064004</v>
      </c>
      <c r="Y28" s="69">
        <f t="shared" si="57"/>
        <v>10386.253040256001</v>
      </c>
      <c r="Z28" s="69">
        <f t="shared" si="57"/>
        <v>10275.77377152</v>
      </c>
      <c r="AA28" s="69">
        <f t="shared" si="57"/>
        <v>10405.91961216</v>
      </c>
      <c r="AB28" s="69">
        <f t="shared" si="57"/>
        <v>10669.788495360001</v>
      </c>
      <c r="AC28" s="69">
        <f t="shared" si="57"/>
        <v>10853.245496793599</v>
      </c>
      <c r="AD28" s="69">
        <f t="shared" si="57"/>
        <v>10651.219200000001</v>
      </c>
      <c r="AE28" s="69">
        <f t="shared" si="57"/>
        <v>11275.052400000002</v>
      </c>
      <c r="AF28" s="69">
        <f t="shared" ref="AF28" si="65">AF12*0.041868*1000</f>
        <v>11668.6116</v>
      </c>
      <c r="AG28" s="122">
        <f t="shared" si="61"/>
        <v>0.17570293783886015</v>
      </c>
    </row>
    <row r="29" spans="2:39" x14ac:dyDescent="0.35">
      <c r="B29" s="112" t="s">
        <v>117</v>
      </c>
      <c r="C29" s="116" t="s">
        <v>5</v>
      </c>
      <c r="D29" s="69">
        <f t="shared" si="59"/>
        <v>1019.5176196800002</v>
      </c>
      <c r="E29" s="69">
        <f t="shared" si="57"/>
        <v>1171.1316960000001</v>
      </c>
      <c r="F29" s="69">
        <f t="shared" si="57"/>
        <v>1324.8709920000001</v>
      </c>
      <c r="G29" s="69">
        <f t="shared" si="57"/>
        <v>1488.7842119999998</v>
      </c>
      <c r="H29" s="69">
        <f t="shared" si="57"/>
        <v>1505.9668392000001</v>
      </c>
      <c r="I29" s="69">
        <f t="shared" si="57"/>
        <v>1550.9581920000001</v>
      </c>
      <c r="J29" s="69">
        <f t="shared" si="57"/>
        <v>1653.1496064000003</v>
      </c>
      <c r="K29" s="69">
        <f t="shared" si="57"/>
        <v>1770.0366888000005</v>
      </c>
      <c r="L29" s="69">
        <f t="shared" si="57"/>
        <v>1828.8193608000004</v>
      </c>
      <c r="M29" s="69">
        <f t="shared" si="57"/>
        <v>1961.7586344000001</v>
      </c>
      <c r="N29" s="69">
        <f t="shared" si="57"/>
        <v>2095.05964752</v>
      </c>
      <c r="O29" s="69">
        <f t="shared" si="57"/>
        <v>2127.480552</v>
      </c>
      <c r="P29" s="69">
        <f t="shared" si="57"/>
        <v>2196.2110608000007</v>
      </c>
      <c r="Q29" s="69">
        <f t="shared" si="57"/>
        <v>2337.6059956800004</v>
      </c>
      <c r="R29" s="69">
        <f t="shared" si="57"/>
        <v>2480.2218014400005</v>
      </c>
      <c r="S29" s="69">
        <f t="shared" si="57"/>
        <v>2751.6620937600005</v>
      </c>
      <c r="T29" s="69">
        <f t="shared" si="57"/>
        <v>2890.2083299200003</v>
      </c>
      <c r="U29" s="69">
        <f t="shared" si="57"/>
        <v>2882.6570174400003</v>
      </c>
      <c r="V29" s="69">
        <f t="shared" si="57"/>
        <v>2843.6343667199999</v>
      </c>
      <c r="W29" s="69">
        <f t="shared" si="57"/>
        <v>2882.7926697600001</v>
      </c>
      <c r="X29" s="69">
        <f t="shared" si="57"/>
        <v>2938.0483814400004</v>
      </c>
      <c r="Y29" s="69">
        <f t="shared" si="57"/>
        <v>2978.8345123200002</v>
      </c>
      <c r="Z29" s="69">
        <f t="shared" si="57"/>
        <v>3044.0380608</v>
      </c>
      <c r="AA29" s="69">
        <f t="shared" si="57"/>
        <v>3134.6538105600007</v>
      </c>
      <c r="AB29" s="69">
        <f t="shared" si="57"/>
        <v>3212.2017201600006</v>
      </c>
      <c r="AC29" s="69">
        <f t="shared" si="57"/>
        <v>3316.2018321599999</v>
      </c>
      <c r="AD29" s="69">
        <f t="shared" si="57"/>
        <v>3387.1212000000005</v>
      </c>
      <c r="AE29" s="69">
        <f t="shared" si="57"/>
        <v>3403.8683999999998</v>
      </c>
      <c r="AF29" s="69">
        <f t="shared" ref="AF29" si="66">AF13*0.041868*1000</f>
        <v>3525.2856000000002</v>
      </c>
      <c r="AG29" s="122">
        <f>AF29/AF$21</f>
        <v>5.3082839490606479E-2</v>
      </c>
    </row>
    <row r="30" spans="2:39" s="3" customFormat="1" x14ac:dyDescent="0.35">
      <c r="B30" s="3" t="s">
        <v>223</v>
      </c>
      <c r="C30" s="72" t="s">
        <v>5</v>
      </c>
      <c r="D30" s="118">
        <f>SUM(D31:D36)</f>
        <v>12431.266102053649</v>
      </c>
      <c r="E30" s="118">
        <f t="shared" ref="E30" si="67">SUM(E31:E36)</f>
        <v>11810.969608909105</v>
      </c>
      <c r="F30" s="118">
        <f t="shared" ref="F30" si="68">SUM(F31:F36)</f>
        <v>12233.741390320465</v>
      </c>
      <c r="G30" s="118">
        <f t="shared" ref="G30" si="69">SUM(G31:G36)</f>
        <v>11642.867859928176</v>
      </c>
      <c r="H30" s="118">
        <f t="shared" ref="H30" si="70">SUM(H31:H36)</f>
        <v>10458.113751628274</v>
      </c>
      <c r="I30" s="118">
        <f t="shared" ref="I30" si="71">SUM(I31:I36)</f>
        <v>12024.817477937639</v>
      </c>
      <c r="J30" s="118">
        <f t="shared" ref="J30" si="72">SUM(J31:J36)</f>
        <v>11539.311894976538</v>
      </c>
      <c r="K30" s="118">
        <f t="shared" ref="K30" si="73">SUM(K31:K36)</f>
        <v>12408.808522351681</v>
      </c>
      <c r="L30" s="118">
        <f t="shared" ref="L30" si="74">SUM(L31:L36)</f>
        <v>12583.053100080002</v>
      </c>
      <c r="M30" s="118">
        <f t="shared" ref="M30" si="75">SUM(M31:M36)</f>
        <v>9234.4289801212799</v>
      </c>
      <c r="N30" s="118">
        <f t="shared" ref="N30" si="76">SUM(N31:N36)</f>
        <v>11056.842495053281</v>
      </c>
      <c r="O30" s="118">
        <f t="shared" ref="O30" si="77">SUM(O31:O36)</f>
        <v>11759.553858948984</v>
      </c>
      <c r="P30" s="118">
        <f t="shared" ref="P30" si="78">SUM(P31:P36)</f>
        <v>10825.968908114497</v>
      </c>
      <c r="Q30" s="118">
        <f t="shared" ref="Q30" si="79">SUM(Q31:Q36)</f>
        <v>11158.511870591568</v>
      </c>
      <c r="R30" s="118">
        <f t="shared" ref="R30" si="80">SUM(R31:R36)</f>
        <v>11541.73571949341</v>
      </c>
      <c r="S30" s="118">
        <f t="shared" ref="S30" si="81">SUM(S31:S36)</f>
        <v>10995.39845332085</v>
      </c>
      <c r="T30" s="118">
        <f t="shared" ref="T30" si="82">SUM(T31:T36)</f>
        <v>10660.330514160003</v>
      </c>
      <c r="U30" s="118">
        <f t="shared" ref="U30" si="83">SUM(U31:U36)</f>
        <v>10290.976313289699</v>
      </c>
      <c r="V30" s="118">
        <f t="shared" ref="V30" si="84">SUM(V31:V36)</f>
        <v>11031.24340967508</v>
      </c>
      <c r="W30" s="118">
        <f t="shared" ref="W30" si="85">SUM(W31:W36)</f>
        <v>9894.8492126949604</v>
      </c>
      <c r="X30" s="118">
        <f t="shared" ref="X30" si="86">SUM(X31:X36)</f>
        <v>10115.985946990106</v>
      </c>
      <c r="Y30" s="118">
        <f t="shared" ref="Y30" si="87">SUM(Y31:Y36)</f>
        <v>9677.4359898880066</v>
      </c>
      <c r="Z30" s="118">
        <f t="shared" ref="Z30" si="88">SUM(Z31:Z36)</f>
        <v>9308.9821142191686</v>
      </c>
      <c r="AA30" s="118">
        <f t="shared" ref="AA30" si="89">SUM(AA31:AA36)</f>
        <v>9187.5466432180892</v>
      </c>
      <c r="AB30" s="118">
        <f t="shared" ref="AB30" si="90">SUM(AB31:AB36)</f>
        <v>8890.4904307056368</v>
      </c>
      <c r="AC30" s="118">
        <f t="shared" ref="AC30" si="91">SUM(AC31:AC36)</f>
        <v>10519.950193989409</v>
      </c>
      <c r="AD30" s="118">
        <f>SUM(AD31:AD36)</f>
        <v>9495.6624000000011</v>
      </c>
      <c r="AE30" s="118">
        <f>SUM(AE31:AE36)</f>
        <v>8984.872800000001</v>
      </c>
      <c r="AF30" s="118">
        <f>SUM(AF31:AF36)</f>
        <v>8553.6324000000004</v>
      </c>
      <c r="AG30" s="121">
        <f>AF30/AF$21</f>
        <v>0.12879838607993946</v>
      </c>
      <c r="AM30" s="3">
        <v>2016</v>
      </c>
    </row>
    <row r="31" spans="2:39" x14ac:dyDescent="0.35">
      <c r="B31" s="112" t="s">
        <v>189</v>
      </c>
      <c r="C31" s="116" t="s">
        <v>5</v>
      </c>
      <c r="D31" s="69">
        <f>IFERROR(D15*0.041868*1000,"NA")</f>
        <v>307.55520357364804</v>
      </c>
      <c r="E31" s="69">
        <f t="shared" ref="E31:AE36" si="92">IFERROR(E15*0.041868*1000,"NA")</f>
        <v>271.92020962910397</v>
      </c>
      <c r="F31" s="69">
        <f t="shared" si="92"/>
        <v>408.09966952046403</v>
      </c>
      <c r="G31" s="69">
        <f t="shared" si="92"/>
        <v>375.35337464817599</v>
      </c>
      <c r="H31" s="69">
        <f t="shared" si="92"/>
        <v>273.50671274827204</v>
      </c>
      <c r="I31" s="69">
        <f t="shared" si="92"/>
        <v>486.33162193764008</v>
      </c>
      <c r="J31" s="69">
        <f t="shared" si="92"/>
        <v>376.63320697653592</v>
      </c>
      <c r="K31" s="69">
        <f t="shared" si="92"/>
        <v>335.5845703516801</v>
      </c>
      <c r="L31" s="69">
        <f t="shared" si="92"/>
        <v>377.02385208000004</v>
      </c>
      <c r="M31" s="69">
        <f t="shared" si="92"/>
        <v>108.04234012128001</v>
      </c>
      <c r="N31" s="69">
        <f t="shared" si="92"/>
        <v>344.41227905328003</v>
      </c>
      <c r="O31" s="69">
        <f t="shared" si="92"/>
        <v>254.99783014898398</v>
      </c>
      <c r="P31" s="69">
        <f t="shared" si="92"/>
        <v>309.15938587449602</v>
      </c>
      <c r="Q31" s="69">
        <f t="shared" si="92"/>
        <v>424.05071299156799</v>
      </c>
      <c r="R31" s="69">
        <f t="shared" si="92"/>
        <v>440.22025098460796</v>
      </c>
      <c r="S31" s="69">
        <f t="shared" si="92"/>
        <v>413.64721669924802</v>
      </c>
      <c r="T31" s="69">
        <f t="shared" si="92"/>
        <v>275.96122408079998</v>
      </c>
      <c r="U31" s="69">
        <f t="shared" si="92"/>
        <v>301.94487549633601</v>
      </c>
      <c r="V31" s="69">
        <f t="shared" si="92"/>
        <v>388.99559260548</v>
      </c>
      <c r="W31" s="69">
        <f t="shared" si="92"/>
        <v>440.75708599751999</v>
      </c>
      <c r="X31" s="69">
        <f t="shared" si="92"/>
        <v>362.6908966123201</v>
      </c>
      <c r="Y31" s="69">
        <f t="shared" si="92"/>
        <v>203.37916366116002</v>
      </c>
      <c r="Z31" s="69">
        <f t="shared" si="92"/>
        <v>266.71068408326397</v>
      </c>
      <c r="AA31" s="69">
        <f t="shared" si="92"/>
        <v>341.47031919580797</v>
      </c>
      <c r="AB31" s="69">
        <f t="shared" si="92"/>
        <v>327.08035106769603</v>
      </c>
      <c r="AC31" s="69">
        <f t="shared" si="92"/>
        <v>438.8609199490561</v>
      </c>
      <c r="AD31" s="69">
        <f t="shared" si="92"/>
        <v>360.06479999999999</v>
      </c>
      <c r="AE31" s="69">
        <f t="shared" si="92"/>
        <v>322.38360000000006</v>
      </c>
      <c r="AF31" s="69">
        <f t="shared" ref="AF31" si="93">IFERROR(AF15*0.041868*1000,"NA")</f>
        <v>447.98759999999999</v>
      </c>
      <c r="AG31" s="122">
        <f>AF31/AF$21</f>
        <v>6.7456815029630557E-3</v>
      </c>
      <c r="AL31" t="s">
        <v>256</v>
      </c>
      <c r="AM31" s="156">
        <f>AG22</f>
        <v>0.87120161392006046</v>
      </c>
    </row>
    <row r="32" spans="2:39" x14ac:dyDescent="0.35">
      <c r="B32" s="112" t="s">
        <v>190</v>
      </c>
      <c r="C32" s="116" t="s">
        <v>5</v>
      </c>
      <c r="D32" s="69" t="str">
        <f t="shared" ref="D32:S36" si="94">IFERROR(D16*0.041868*1000,"NA")</f>
        <v>NA</v>
      </c>
      <c r="E32" s="69" t="str">
        <f t="shared" si="94"/>
        <v>NA</v>
      </c>
      <c r="F32" s="69" t="str">
        <f t="shared" si="94"/>
        <v>NA</v>
      </c>
      <c r="G32" s="69" t="str">
        <f t="shared" si="94"/>
        <v>NA</v>
      </c>
      <c r="H32" s="69" t="str">
        <f t="shared" si="94"/>
        <v>NA</v>
      </c>
      <c r="I32" s="69" t="str">
        <f t="shared" si="94"/>
        <v>NA</v>
      </c>
      <c r="J32" s="69" t="str">
        <f t="shared" si="94"/>
        <v>NA</v>
      </c>
      <c r="K32" s="69" t="str">
        <f t="shared" si="94"/>
        <v>NA</v>
      </c>
      <c r="L32" s="69" t="str">
        <f t="shared" si="94"/>
        <v>NA</v>
      </c>
      <c r="M32" s="69" t="str">
        <f t="shared" si="94"/>
        <v>NA</v>
      </c>
      <c r="N32" s="69" t="str">
        <f t="shared" si="94"/>
        <v>NA</v>
      </c>
      <c r="O32" s="69" t="str">
        <f t="shared" si="94"/>
        <v>NA</v>
      </c>
      <c r="P32" s="69" t="str">
        <f t="shared" si="94"/>
        <v>NA</v>
      </c>
      <c r="Q32" s="69" t="str">
        <f t="shared" si="94"/>
        <v>NA</v>
      </c>
      <c r="R32" s="69">
        <f t="shared" si="94"/>
        <v>1.6044487487999999</v>
      </c>
      <c r="S32" s="69">
        <f t="shared" si="94"/>
        <v>1.5904062216000001</v>
      </c>
      <c r="T32" s="69">
        <f t="shared" si="92"/>
        <v>1.4687043192</v>
      </c>
      <c r="U32" s="69">
        <f t="shared" si="92"/>
        <v>1.4351102733600001</v>
      </c>
      <c r="V32" s="69">
        <f t="shared" si="92"/>
        <v>1.3239582696000001</v>
      </c>
      <c r="W32" s="69">
        <f t="shared" si="92"/>
        <v>5.4037805054400003</v>
      </c>
      <c r="X32" s="69">
        <f t="shared" si="92"/>
        <v>9.0397256577840004</v>
      </c>
      <c r="Y32" s="69">
        <f t="shared" si="92"/>
        <v>10.172514723120001</v>
      </c>
      <c r="Z32" s="69">
        <f t="shared" si="92"/>
        <v>12.846690788184</v>
      </c>
      <c r="AA32" s="69">
        <f t="shared" si="92"/>
        <v>12.999096257165741</v>
      </c>
      <c r="AB32" s="69">
        <f t="shared" si="92"/>
        <v>11.429518943160001</v>
      </c>
      <c r="AC32" s="69">
        <f t="shared" si="92"/>
        <v>9.6718806252000018</v>
      </c>
      <c r="AD32" s="69">
        <f t="shared" si="92"/>
        <v>62.802</v>
      </c>
      <c r="AE32" s="69">
        <f t="shared" si="92"/>
        <v>54.428400000000003</v>
      </c>
      <c r="AF32" s="69">
        <f t="shared" ref="AF32" si="95">IFERROR(AF16*0.041868*1000,"NA")</f>
        <v>54.428400000000003</v>
      </c>
      <c r="AG32" s="122">
        <f t="shared" ref="AG32:AG36" si="96">AF32/AF$21</f>
        <v>8.1956878073382927E-4</v>
      </c>
      <c r="AL32" t="s">
        <v>257</v>
      </c>
      <c r="AM32" s="156">
        <f>AG30</f>
        <v>0.12879838607993946</v>
      </c>
    </row>
    <row r="33" spans="2:33" x14ac:dyDescent="0.35">
      <c r="B33" s="112" t="s">
        <v>191</v>
      </c>
      <c r="C33" s="116" t="s">
        <v>5</v>
      </c>
      <c r="D33" s="69" t="str">
        <f t="shared" si="94"/>
        <v>NA</v>
      </c>
      <c r="E33" s="69" t="str">
        <f t="shared" si="92"/>
        <v>NA</v>
      </c>
      <c r="F33" s="69" t="str">
        <f t="shared" si="92"/>
        <v>NA</v>
      </c>
      <c r="G33" s="69" t="str">
        <f t="shared" si="92"/>
        <v>NA</v>
      </c>
      <c r="H33" s="69" t="str">
        <f t="shared" si="92"/>
        <v>NA</v>
      </c>
      <c r="I33" s="69" t="str">
        <f t="shared" si="92"/>
        <v>NA</v>
      </c>
      <c r="J33" s="69" t="str">
        <f t="shared" si="92"/>
        <v>NA</v>
      </c>
      <c r="K33" s="69" t="str">
        <f t="shared" si="92"/>
        <v>NA</v>
      </c>
      <c r="L33" s="69" t="str">
        <f t="shared" si="92"/>
        <v>NA</v>
      </c>
      <c r="M33" s="69" t="str">
        <f t="shared" si="92"/>
        <v>NA</v>
      </c>
      <c r="N33" s="69" t="str">
        <f t="shared" si="92"/>
        <v>NA</v>
      </c>
      <c r="O33" s="69" t="str">
        <f t="shared" si="92"/>
        <v>NA</v>
      </c>
      <c r="P33" s="69" t="str">
        <f t="shared" si="92"/>
        <v>NA</v>
      </c>
      <c r="Q33" s="69" t="str">
        <f t="shared" si="92"/>
        <v>NA</v>
      </c>
      <c r="R33" s="69" t="str">
        <f t="shared" si="92"/>
        <v>NA</v>
      </c>
      <c r="S33" s="69" t="str">
        <f t="shared" si="92"/>
        <v>NA</v>
      </c>
      <c r="T33" s="69" t="str">
        <f t="shared" si="92"/>
        <v>NA</v>
      </c>
      <c r="U33" s="69" t="str">
        <f t="shared" si="92"/>
        <v>NA</v>
      </c>
      <c r="V33" s="69" t="str">
        <f t="shared" si="92"/>
        <v>NA</v>
      </c>
      <c r="W33" s="69" t="str">
        <f t="shared" si="92"/>
        <v>NA</v>
      </c>
      <c r="X33" s="69" t="str">
        <f t="shared" si="92"/>
        <v>NA</v>
      </c>
      <c r="Y33" s="69">
        <f t="shared" si="92"/>
        <v>11.309945023728002</v>
      </c>
      <c r="Z33" s="69">
        <f t="shared" si="92"/>
        <v>64.076451285528009</v>
      </c>
      <c r="AA33" s="69">
        <f t="shared" si="92"/>
        <v>72.064078399656012</v>
      </c>
      <c r="AB33" s="69">
        <f t="shared" si="92"/>
        <v>76.790029717799996</v>
      </c>
      <c r="AC33" s="69">
        <f t="shared" si="92"/>
        <v>73.303183798488007</v>
      </c>
      <c r="AD33" s="69">
        <f t="shared" si="92"/>
        <v>66.988799999999998</v>
      </c>
      <c r="AE33" s="69">
        <f t="shared" si="92"/>
        <v>62.802</v>
      </c>
      <c r="AF33" s="69">
        <f t="shared" ref="AF33" si="97">IFERROR(AF17*0.041868*1000,"NA")</f>
        <v>79.549199999999999</v>
      </c>
      <c r="AG33" s="122">
        <f t="shared" si="96"/>
        <v>1.1978312949186734E-3</v>
      </c>
    </row>
    <row r="34" spans="2:33" x14ac:dyDescent="0.35">
      <c r="B34" s="112" t="s">
        <v>192</v>
      </c>
      <c r="C34" s="116" t="s">
        <v>5</v>
      </c>
      <c r="D34" s="69" t="str">
        <f t="shared" si="94"/>
        <v>NA</v>
      </c>
      <c r="E34" s="69" t="str">
        <f t="shared" si="92"/>
        <v>NA</v>
      </c>
      <c r="F34" s="69" t="str">
        <f t="shared" si="92"/>
        <v>NA</v>
      </c>
      <c r="G34" s="69" t="str">
        <f t="shared" si="92"/>
        <v>NA</v>
      </c>
      <c r="H34" s="69" t="str">
        <f t="shared" si="92"/>
        <v>NA</v>
      </c>
      <c r="I34" s="69" t="str">
        <f t="shared" si="92"/>
        <v>NA</v>
      </c>
      <c r="J34" s="69" t="str">
        <f t="shared" si="92"/>
        <v>NA</v>
      </c>
      <c r="K34" s="69" t="str">
        <f t="shared" si="92"/>
        <v>NA</v>
      </c>
      <c r="L34" s="69" t="str">
        <f t="shared" si="92"/>
        <v>NA</v>
      </c>
      <c r="M34" s="69" t="str">
        <f t="shared" si="92"/>
        <v>NA</v>
      </c>
      <c r="N34" s="69" t="str">
        <f t="shared" si="92"/>
        <v>NA</v>
      </c>
      <c r="O34" s="69" t="str">
        <f t="shared" si="92"/>
        <v>NA</v>
      </c>
      <c r="P34" s="69" t="str">
        <f t="shared" si="92"/>
        <v>NA</v>
      </c>
      <c r="Q34" s="69" t="str">
        <f t="shared" si="92"/>
        <v>NA</v>
      </c>
      <c r="R34" s="69" t="str">
        <f t="shared" si="92"/>
        <v>NA</v>
      </c>
      <c r="S34" s="69" t="str">
        <f t="shared" si="92"/>
        <v>NA</v>
      </c>
      <c r="T34" s="69" t="str">
        <f t="shared" si="92"/>
        <v>NA</v>
      </c>
      <c r="U34" s="69" t="str">
        <f t="shared" si="92"/>
        <v>NA</v>
      </c>
      <c r="V34" s="69" t="str">
        <f t="shared" si="92"/>
        <v>NA</v>
      </c>
      <c r="W34" s="69" t="str">
        <f t="shared" si="92"/>
        <v>NA</v>
      </c>
      <c r="X34" s="69" t="str">
        <f t="shared" si="92"/>
        <v>NA</v>
      </c>
      <c r="Y34" s="69" t="str">
        <f t="shared" si="92"/>
        <v>NA</v>
      </c>
      <c r="Z34" s="69">
        <f t="shared" si="92"/>
        <v>3.2458185421919996</v>
      </c>
      <c r="AA34" s="69">
        <f t="shared" si="92"/>
        <v>9.7629520054583274</v>
      </c>
      <c r="AB34" s="69">
        <f t="shared" si="92"/>
        <v>88.648294816979217</v>
      </c>
      <c r="AC34" s="69">
        <f t="shared" si="92"/>
        <v>93.151078976663996</v>
      </c>
      <c r="AD34" s="69">
        <f t="shared" si="92"/>
        <v>108.85680000000001</v>
      </c>
      <c r="AE34" s="69">
        <f t="shared" si="92"/>
        <v>142.35120000000001</v>
      </c>
      <c r="AF34" s="69">
        <f t="shared" ref="AF34" si="98">IFERROR(AF18*0.041868*1000,"NA")</f>
        <v>175.84560000000002</v>
      </c>
      <c r="AG34" s="122">
        <f t="shared" si="96"/>
        <v>2.6478375992939102E-3</v>
      </c>
    </row>
    <row r="35" spans="2:33" x14ac:dyDescent="0.35">
      <c r="B35" s="112" t="s">
        <v>16</v>
      </c>
      <c r="C35" s="116" t="s">
        <v>5</v>
      </c>
      <c r="D35" s="69">
        <f t="shared" si="94"/>
        <v>10557.434880000001</v>
      </c>
      <c r="E35" s="69">
        <f t="shared" si="92"/>
        <v>10338.381504000001</v>
      </c>
      <c r="F35" s="69">
        <f t="shared" si="92"/>
        <v>10889.02944</v>
      </c>
      <c r="G35" s="69">
        <f t="shared" si="92"/>
        <v>10464.990336000001</v>
      </c>
      <c r="H35" s="69">
        <f t="shared" si="92"/>
        <v>9540.5448960000012</v>
      </c>
      <c r="I35" s="69">
        <f t="shared" si="92"/>
        <v>10984.823424</v>
      </c>
      <c r="J35" s="69">
        <f t="shared" si="92"/>
        <v>10685.383488000001</v>
      </c>
      <c r="K35" s="69">
        <f t="shared" si="92"/>
        <v>11662.75008</v>
      </c>
      <c r="L35" s="69">
        <f t="shared" si="92"/>
        <v>11836.920960000003</v>
      </c>
      <c r="M35" s="69">
        <f t="shared" si="92"/>
        <v>8805.0078720000001</v>
      </c>
      <c r="N35" s="69">
        <f t="shared" si="92"/>
        <v>10405.370304</v>
      </c>
      <c r="O35" s="69">
        <f t="shared" si="92"/>
        <v>11197.17792</v>
      </c>
      <c r="P35" s="69">
        <f t="shared" si="92"/>
        <v>10211.658791040001</v>
      </c>
      <c r="Q35" s="69">
        <f t="shared" si="92"/>
        <v>10430.424115200001</v>
      </c>
      <c r="R35" s="69">
        <f t="shared" si="92"/>
        <v>10793.248853760002</v>
      </c>
      <c r="S35" s="69">
        <f t="shared" si="92"/>
        <v>10262.282227200001</v>
      </c>
      <c r="T35" s="69">
        <f t="shared" si="92"/>
        <v>10049.398519680002</v>
      </c>
      <c r="U35" s="69">
        <f t="shared" si="92"/>
        <v>9652.630556160002</v>
      </c>
      <c r="V35" s="69">
        <f t="shared" si="92"/>
        <v>10317.715459200001</v>
      </c>
      <c r="W35" s="69">
        <f t="shared" si="92"/>
        <v>9126.1990713600007</v>
      </c>
      <c r="X35" s="69">
        <f t="shared" si="92"/>
        <v>9421.1105644800009</v>
      </c>
      <c r="Y35" s="69">
        <f t="shared" si="92"/>
        <v>9132.7706726399992</v>
      </c>
      <c r="Z35" s="69">
        <f t="shared" si="92"/>
        <v>8647.6444819200005</v>
      </c>
      <c r="AA35" s="69">
        <f t="shared" si="92"/>
        <v>8445.3517036800004</v>
      </c>
      <c r="AB35" s="69">
        <f t="shared" si="92"/>
        <v>8095.8376396800013</v>
      </c>
      <c r="AC35" s="69">
        <f t="shared" si="92"/>
        <v>9632.6343993600003</v>
      </c>
      <c r="AD35" s="69">
        <f t="shared" si="92"/>
        <v>8628.9948000000004</v>
      </c>
      <c r="AE35" s="69">
        <f t="shared" si="92"/>
        <v>8134.952400000001</v>
      </c>
      <c r="AF35" s="69">
        <f t="shared" ref="AF35" si="99">IFERROR(AF19*0.041868*1000,"NA")</f>
        <v>7540.4268000000002</v>
      </c>
      <c r="AG35" s="122">
        <f t="shared" si="96"/>
        <v>0.11354179800781741</v>
      </c>
    </row>
    <row r="36" spans="2:33" x14ac:dyDescent="0.35">
      <c r="B36" s="112" t="s">
        <v>193</v>
      </c>
      <c r="C36" s="116" t="s">
        <v>5</v>
      </c>
      <c r="D36" s="69">
        <f t="shared" si="94"/>
        <v>1566.2760184800002</v>
      </c>
      <c r="E36" s="69">
        <f t="shared" si="92"/>
        <v>1200.66789528</v>
      </c>
      <c r="F36" s="69">
        <f t="shared" si="92"/>
        <v>936.61228080000001</v>
      </c>
      <c r="G36" s="69">
        <f t="shared" si="92"/>
        <v>802.52414928000007</v>
      </c>
      <c r="H36" s="69">
        <f t="shared" si="92"/>
        <v>644.06214288000012</v>
      </c>
      <c r="I36" s="69">
        <f t="shared" si="92"/>
        <v>553.66243200000008</v>
      </c>
      <c r="J36" s="69">
        <f t="shared" si="92"/>
        <v>477.29520000000002</v>
      </c>
      <c r="K36" s="69">
        <f t="shared" si="92"/>
        <v>410.47387200000003</v>
      </c>
      <c r="L36" s="69">
        <f t="shared" si="92"/>
        <v>369.10828800000007</v>
      </c>
      <c r="M36" s="69">
        <f t="shared" si="92"/>
        <v>321.37876800000004</v>
      </c>
      <c r="N36" s="69">
        <f t="shared" si="92"/>
        <v>307.05991200000005</v>
      </c>
      <c r="O36" s="69">
        <f t="shared" si="92"/>
        <v>307.37810880000006</v>
      </c>
      <c r="P36" s="69">
        <f t="shared" si="92"/>
        <v>305.15073120000005</v>
      </c>
      <c r="Q36" s="69">
        <f t="shared" si="92"/>
        <v>304.03704240000002</v>
      </c>
      <c r="R36" s="69">
        <f t="shared" si="92"/>
        <v>306.66216600000001</v>
      </c>
      <c r="S36" s="69">
        <f t="shared" si="92"/>
        <v>317.87860320000004</v>
      </c>
      <c r="T36" s="69">
        <f t="shared" si="92"/>
        <v>333.50206608000002</v>
      </c>
      <c r="U36" s="69">
        <f t="shared" si="92"/>
        <v>334.96577136000002</v>
      </c>
      <c r="V36" s="69">
        <f t="shared" si="92"/>
        <v>323.20839960000001</v>
      </c>
      <c r="W36" s="69">
        <f t="shared" si="92"/>
        <v>322.48927483200004</v>
      </c>
      <c r="X36" s="69">
        <f t="shared" si="92"/>
        <v>323.14476024000004</v>
      </c>
      <c r="Y36" s="69">
        <f t="shared" si="92"/>
        <v>319.80369383999999</v>
      </c>
      <c r="Z36" s="69">
        <f t="shared" si="92"/>
        <v>314.45798759999997</v>
      </c>
      <c r="AA36" s="69">
        <f t="shared" si="92"/>
        <v>305.89849368</v>
      </c>
      <c r="AB36" s="69">
        <f t="shared" si="92"/>
        <v>290.70459647999996</v>
      </c>
      <c r="AC36" s="69">
        <f t="shared" si="92"/>
        <v>272.32873128000006</v>
      </c>
      <c r="AD36" s="69">
        <f t="shared" si="92"/>
        <v>267.95519999999999</v>
      </c>
      <c r="AE36" s="69">
        <f t="shared" si="92"/>
        <v>267.95519999999999</v>
      </c>
      <c r="AF36" s="69">
        <f t="shared" ref="AF36" si="100">IFERROR(AF20*0.041868*1000,"NA")</f>
        <v>255.39479999999998</v>
      </c>
      <c r="AG36" s="122">
        <f t="shared" si="96"/>
        <v>3.8456688942125829E-3</v>
      </c>
    </row>
    <row r="38" spans="2:33" x14ac:dyDescent="0.35">
      <c r="B38" s="113" t="s">
        <v>194</v>
      </c>
    </row>
    <row r="39" spans="2:33" ht="6.75" customHeight="1" x14ac:dyDescent="0.35"/>
    <row r="40" spans="2:33" s="110" customFormat="1" x14ac:dyDescent="0.35">
      <c r="C40" s="115" t="s">
        <v>13</v>
      </c>
      <c r="D40" s="72">
        <v>1990</v>
      </c>
      <c r="E40" s="72">
        <v>1991</v>
      </c>
      <c r="F40" s="72">
        <v>1992</v>
      </c>
      <c r="G40" s="72">
        <v>1993</v>
      </c>
      <c r="H40" s="72">
        <v>1994</v>
      </c>
      <c r="I40" s="72">
        <v>1995</v>
      </c>
      <c r="J40" s="72">
        <v>1996</v>
      </c>
      <c r="K40" s="72">
        <v>1997</v>
      </c>
      <c r="L40" s="72">
        <v>1998</v>
      </c>
      <c r="M40" s="72">
        <v>1999</v>
      </c>
      <c r="N40" s="72">
        <v>2000</v>
      </c>
      <c r="O40" s="72">
        <v>2001</v>
      </c>
      <c r="P40" s="72">
        <v>2002</v>
      </c>
      <c r="Q40" s="72">
        <v>2003</v>
      </c>
      <c r="R40" s="72">
        <v>2004</v>
      </c>
      <c r="S40" s="72">
        <v>2005</v>
      </c>
      <c r="T40" s="72">
        <v>2006</v>
      </c>
      <c r="U40" s="72">
        <v>2007</v>
      </c>
      <c r="V40" s="72">
        <v>2008</v>
      </c>
      <c r="W40" s="72">
        <v>2009</v>
      </c>
      <c r="X40" s="72">
        <v>2010</v>
      </c>
      <c r="Y40" s="72">
        <v>2011</v>
      </c>
      <c r="Z40" s="72">
        <v>2012</v>
      </c>
      <c r="AA40" s="72">
        <v>2013</v>
      </c>
      <c r="AB40" s="72">
        <v>2014</v>
      </c>
      <c r="AC40" s="72">
        <v>2015</v>
      </c>
      <c r="AD40" s="72">
        <v>2016</v>
      </c>
      <c r="AE40" s="212">
        <v>2017</v>
      </c>
      <c r="AF40" s="72">
        <v>2018</v>
      </c>
    </row>
    <row r="41" spans="2:33" s="114" customFormat="1" x14ac:dyDescent="0.35">
      <c r="B41" s="113" t="s">
        <v>194</v>
      </c>
      <c r="C41" s="115" t="s">
        <v>111</v>
      </c>
      <c r="D41" s="119">
        <f>D42+D51+D62+D67+D74+D78</f>
        <v>587.14773155627995</v>
      </c>
      <c r="E41" s="119">
        <f t="shared" ref="E41:AF41" si="101">E42+E51+E62+E67+E74+E78</f>
        <v>582.15689598990014</v>
      </c>
      <c r="F41" s="119">
        <f t="shared" si="101"/>
        <v>638.82054303168013</v>
      </c>
      <c r="G41" s="119">
        <f t="shared" si="101"/>
        <v>650.45680310735997</v>
      </c>
      <c r="H41" s="119">
        <f t="shared" si="101"/>
        <v>644.08406364535995</v>
      </c>
      <c r="I41" s="119">
        <f t="shared" si="101"/>
        <v>684.03965488898029</v>
      </c>
      <c r="J41" s="119">
        <f t="shared" si="101"/>
        <v>693.11669213370021</v>
      </c>
      <c r="K41" s="119">
        <f t="shared" si="101"/>
        <v>724.52119463789984</v>
      </c>
      <c r="L41" s="119">
        <f t="shared" si="101"/>
        <v>736.56488874977993</v>
      </c>
      <c r="M41" s="119">
        <f t="shared" si="101"/>
        <v>698.29921176425989</v>
      </c>
      <c r="N41" s="119">
        <f t="shared" si="101"/>
        <v>748.70740731911997</v>
      </c>
      <c r="O41" s="119">
        <f t="shared" si="101"/>
        <v>784.42367572828607</v>
      </c>
      <c r="P41" s="119">
        <f t="shared" si="101"/>
        <v>765.04913312400015</v>
      </c>
      <c r="Q41" s="119">
        <f t="shared" si="101"/>
        <v>814.87045910400013</v>
      </c>
      <c r="R41" s="119">
        <f t="shared" si="101"/>
        <v>838.12353444799987</v>
      </c>
      <c r="S41" s="119">
        <f t="shared" si="101"/>
        <v>846.08038776600006</v>
      </c>
      <c r="T41" s="119">
        <f t="shared" si="101"/>
        <v>876.29636522199985</v>
      </c>
      <c r="U41" s="119">
        <f t="shared" si="101"/>
        <v>857.50119417200028</v>
      </c>
      <c r="V41" s="119">
        <f t="shared" si="101"/>
        <v>841.62956446600003</v>
      </c>
      <c r="W41" s="119">
        <f t="shared" si="101"/>
        <v>808.57195908599988</v>
      </c>
      <c r="X41" s="119">
        <f t="shared" si="101"/>
        <v>854.00654851199999</v>
      </c>
      <c r="Y41" s="119">
        <f t="shared" si="101"/>
        <v>863.02298092200022</v>
      </c>
      <c r="Z41" s="119">
        <f t="shared" si="101"/>
        <v>854.40665394000018</v>
      </c>
      <c r="AA41" s="119">
        <f t="shared" si="101"/>
        <v>870.57418081463641</v>
      </c>
      <c r="AB41" s="119">
        <f t="shared" si="101"/>
        <v>891.9307539160061</v>
      </c>
      <c r="AC41" s="119">
        <f t="shared" si="101"/>
        <v>912.85674650439989</v>
      </c>
      <c r="AD41" s="119">
        <f t="shared" si="101"/>
        <v>951.2</v>
      </c>
      <c r="AE41" s="213">
        <f t="shared" si="101"/>
        <v>978.90000000000009</v>
      </c>
      <c r="AF41" s="213">
        <f t="shared" si="101"/>
        <v>989.5060000000002</v>
      </c>
    </row>
    <row r="42" spans="2:33" s="3" customFormat="1" x14ac:dyDescent="0.35">
      <c r="B42" s="3" t="s">
        <v>195</v>
      </c>
      <c r="C42" s="3" t="s">
        <v>111</v>
      </c>
      <c r="D42" s="118">
        <f>SUM(D43:D50)-D49</f>
        <v>269.46127424073995</v>
      </c>
      <c r="E42" s="118">
        <f t="shared" ref="E42:AF42" si="102">SUM(E43:E50)-E49</f>
        <v>262.50793369643998</v>
      </c>
      <c r="F42" s="118">
        <f t="shared" si="102"/>
        <v>288.73008999894</v>
      </c>
      <c r="G42" s="118">
        <f t="shared" si="102"/>
        <v>289.72696776931997</v>
      </c>
      <c r="H42" s="118">
        <f t="shared" si="102"/>
        <v>268.80772248016001</v>
      </c>
      <c r="I42" s="118">
        <f t="shared" si="102"/>
        <v>305.29200988720004</v>
      </c>
      <c r="J42" s="118">
        <f t="shared" si="102"/>
        <v>292.21488974990007</v>
      </c>
      <c r="K42" s="118">
        <f t="shared" si="102"/>
        <v>311.76398137963997</v>
      </c>
      <c r="L42" s="118">
        <f t="shared" si="102"/>
        <v>299.33903078124001</v>
      </c>
      <c r="M42" s="118">
        <f t="shared" si="102"/>
        <v>240.19011853429993</v>
      </c>
      <c r="N42" s="118">
        <f t="shared" si="102"/>
        <v>245.75792959312002</v>
      </c>
      <c r="O42" s="118">
        <f t="shared" si="102"/>
        <v>258.04716078518004</v>
      </c>
      <c r="P42" s="118">
        <f t="shared" si="102"/>
        <v>244.75220443622004</v>
      </c>
      <c r="Q42" s="118">
        <f t="shared" si="102"/>
        <v>257.98407272964005</v>
      </c>
      <c r="R42" s="118">
        <f t="shared" si="102"/>
        <v>255.42033690217988</v>
      </c>
      <c r="S42" s="118">
        <f t="shared" si="102"/>
        <v>244.60926364611998</v>
      </c>
      <c r="T42" s="118">
        <f t="shared" si="102"/>
        <v>266.61040083942009</v>
      </c>
      <c r="U42" s="118">
        <f t="shared" si="102"/>
        <v>259.35991231242008</v>
      </c>
      <c r="V42" s="118">
        <f t="shared" si="102"/>
        <v>243.48937082407576</v>
      </c>
      <c r="W42" s="118">
        <f t="shared" si="102"/>
        <v>220.44592029267994</v>
      </c>
      <c r="X42" s="118">
        <f t="shared" si="102"/>
        <v>231.15597883962005</v>
      </c>
      <c r="Y42" s="118">
        <f t="shared" si="102"/>
        <v>222.41164440156012</v>
      </c>
      <c r="Z42" s="118">
        <f t="shared" si="102"/>
        <v>215.48460249460015</v>
      </c>
      <c r="AA42" s="118">
        <f t="shared" si="102"/>
        <v>212.26914481293409</v>
      </c>
      <c r="AB42" s="118">
        <f t="shared" si="102"/>
        <v>210.74065964290651</v>
      </c>
      <c r="AC42" s="118">
        <f t="shared" si="102"/>
        <v>216.22198868935197</v>
      </c>
      <c r="AD42" s="118">
        <f t="shared" si="102"/>
        <v>206.90000000000009</v>
      </c>
      <c r="AE42" s="214">
        <f t="shared" si="102"/>
        <v>205.90000000000009</v>
      </c>
      <c r="AF42" s="214">
        <f t="shared" si="102"/>
        <v>203.60000000000014</v>
      </c>
    </row>
    <row r="43" spans="2:33" x14ac:dyDescent="0.35">
      <c r="B43" s="112" t="s">
        <v>58</v>
      </c>
      <c r="C43" t="s">
        <v>111</v>
      </c>
      <c r="D43" s="69">
        <v>20.509439999999998</v>
      </c>
      <c r="E43" s="69">
        <v>22.739519999999999</v>
      </c>
      <c r="F43" s="69">
        <v>25.832639999999998</v>
      </c>
      <c r="G43" s="69">
        <v>28.187519999999999</v>
      </c>
      <c r="H43" s="69">
        <v>30.541439999999998</v>
      </c>
      <c r="I43" s="69">
        <v>32.834879999999998</v>
      </c>
      <c r="J43" s="69">
        <v>35.126400000000004</v>
      </c>
      <c r="K43" s="69">
        <v>37.937280000000001</v>
      </c>
      <c r="L43" s="69">
        <v>41.063040000000001</v>
      </c>
      <c r="M43" s="69">
        <v>43.344000000000001</v>
      </c>
      <c r="N43" s="69">
        <v>42.91104</v>
      </c>
      <c r="O43" s="69">
        <v>53.839439999999996</v>
      </c>
      <c r="P43" s="69">
        <v>54.557831999999998</v>
      </c>
      <c r="Q43" s="69">
        <v>49.119167999999995</v>
      </c>
      <c r="R43" s="69">
        <v>44.033702400000003</v>
      </c>
      <c r="S43" s="69">
        <v>40.852156799999996</v>
      </c>
      <c r="T43" s="69">
        <v>51.59328</v>
      </c>
      <c r="U43" s="69">
        <v>53.492774399999995</v>
      </c>
      <c r="V43" s="69">
        <v>48.257164799999998</v>
      </c>
      <c r="W43" s="69">
        <v>41.354956799999997</v>
      </c>
      <c r="X43" s="69">
        <v>39.813119999999998</v>
      </c>
      <c r="Y43" s="69">
        <v>38.703360000000004</v>
      </c>
      <c r="Z43" s="69">
        <v>37.394880000000001</v>
      </c>
      <c r="AA43" s="69">
        <v>37.614719999999998</v>
      </c>
      <c r="AB43" s="69">
        <v>38.856960000000001</v>
      </c>
      <c r="AC43" s="69">
        <v>35.714880000000001</v>
      </c>
      <c r="AD43" s="69">
        <v>35.299999999999997</v>
      </c>
      <c r="AE43" s="215">
        <v>35.700000000000003</v>
      </c>
      <c r="AF43" s="69">
        <v>37.200000000000003</v>
      </c>
    </row>
    <row r="44" spans="2:33" x14ac:dyDescent="0.35">
      <c r="B44" s="112" t="s">
        <v>61</v>
      </c>
      <c r="C44" s="110" t="s">
        <v>111</v>
      </c>
      <c r="D44" s="69">
        <v>12.12</v>
      </c>
      <c r="E44" s="69">
        <v>13.635</v>
      </c>
      <c r="F44" s="69">
        <v>15.15</v>
      </c>
      <c r="G44" s="69">
        <v>16.62359</v>
      </c>
      <c r="H44" s="69">
        <v>18.556729999999998</v>
      </c>
      <c r="I44" s="69">
        <v>17.42755</v>
      </c>
      <c r="J44" s="69">
        <v>23.600670000000001</v>
      </c>
      <c r="K44" s="69">
        <v>26.88822</v>
      </c>
      <c r="L44" s="69">
        <v>30.535532</v>
      </c>
      <c r="M44" s="69">
        <v>32.976500000000001</v>
      </c>
      <c r="N44" s="69">
        <v>42.015999999999998</v>
      </c>
      <c r="O44" s="69">
        <v>37.908329999999999</v>
      </c>
      <c r="P44" s="69">
        <v>37.783090000000001</v>
      </c>
      <c r="Q44" s="69">
        <v>41.685730000000007</v>
      </c>
      <c r="R44" s="69">
        <v>43.805720000000001</v>
      </c>
      <c r="S44" s="69">
        <v>41.538269999999997</v>
      </c>
      <c r="T44" s="69">
        <v>50.264669999999995</v>
      </c>
      <c r="U44" s="69">
        <v>48.819360000000003</v>
      </c>
      <c r="V44" s="69">
        <v>46.764009999999999</v>
      </c>
      <c r="W44" s="69">
        <v>46.340820000000001</v>
      </c>
      <c r="X44" s="69">
        <v>47.008429999999997</v>
      </c>
      <c r="Y44" s="69">
        <v>43.524940000000001</v>
      </c>
      <c r="Z44" s="69">
        <v>41.723099999999995</v>
      </c>
      <c r="AA44" s="69">
        <v>35.797429999999999</v>
      </c>
      <c r="AB44" s="69">
        <v>36.456960000000002</v>
      </c>
      <c r="AC44" s="69">
        <v>36.957920000000001</v>
      </c>
      <c r="AD44" s="69">
        <v>35.700000000000003</v>
      </c>
      <c r="AE44" s="215">
        <v>35.9</v>
      </c>
      <c r="AF44" s="69">
        <v>35.200000000000003</v>
      </c>
    </row>
    <row r="45" spans="2:33" x14ac:dyDescent="0.35">
      <c r="B45" s="112" t="s">
        <v>117</v>
      </c>
      <c r="C45" s="110" t="s">
        <v>111</v>
      </c>
      <c r="D45" s="69">
        <v>0.54</v>
      </c>
      <c r="E45" s="69">
        <v>1.4039999999999999</v>
      </c>
      <c r="F45" s="69">
        <v>1.9440000000000002</v>
      </c>
      <c r="G45" s="69">
        <v>2.3759999999999999</v>
      </c>
      <c r="H45" s="69">
        <v>2.6676000000000002</v>
      </c>
      <c r="I45" s="69">
        <v>2.754</v>
      </c>
      <c r="J45" s="69">
        <v>2.9818800000000003</v>
      </c>
      <c r="K45" s="69">
        <v>3.4333200000000001</v>
      </c>
      <c r="L45" s="69">
        <v>3.5377786799999997</v>
      </c>
      <c r="M45" s="69">
        <v>3.8880000000000003</v>
      </c>
      <c r="N45" s="69">
        <v>3.9841200000000003</v>
      </c>
      <c r="O45" s="69">
        <v>3.9420000000000006</v>
      </c>
      <c r="P45" s="69">
        <v>3.7821600000000002</v>
      </c>
      <c r="Q45" s="69">
        <v>3.2011200000000004</v>
      </c>
      <c r="R45" s="69">
        <v>2.97648</v>
      </c>
      <c r="S45" s="69">
        <v>4.2163200000000005</v>
      </c>
      <c r="T45" s="69">
        <v>4.2822000000000005</v>
      </c>
      <c r="U45" s="69">
        <v>4.3934400000000009</v>
      </c>
      <c r="V45" s="69">
        <v>5.3136000000000001</v>
      </c>
      <c r="W45" s="69">
        <v>5.4075600000000001</v>
      </c>
      <c r="X45" s="69">
        <v>5.5317600000000002</v>
      </c>
      <c r="Y45" s="69">
        <v>5.6570400000000003</v>
      </c>
      <c r="Z45" s="69">
        <v>5.9000399999999997</v>
      </c>
      <c r="AA45" s="69">
        <v>5.7812400000000004</v>
      </c>
      <c r="AB45" s="69">
        <v>5.8611600000000008</v>
      </c>
      <c r="AC45" s="69">
        <v>6.1257600000000005</v>
      </c>
      <c r="AD45" s="69">
        <v>6</v>
      </c>
      <c r="AE45" s="215">
        <v>5.9</v>
      </c>
      <c r="AF45" s="69">
        <v>6.1</v>
      </c>
    </row>
    <row r="46" spans="2:33" x14ac:dyDescent="0.35">
      <c r="B46" s="112" t="s">
        <v>15</v>
      </c>
      <c r="C46" s="110" t="s">
        <v>111</v>
      </c>
      <c r="D46" s="69">
        <v>12.4</v>
      </c>
      <c r="E46" s="69">
        <v>13.33</v>
      </c>
      <c r="F46" s="69">
        <v>16.739999999999998</v>
      </c>
      <c r="G46" s="69">
        <v>19.58766</v>
      </c>
      <c r="H46" s="69">
        <v>19.001139999999999</v>
      </c>
      <c r="I46" s="69">
        <v>20.334139999999998</v>
      </c>
      <c r="J46" s="69">
        <v>20.910740000000001</v>
      </c>
      <c r="K46" s="69">
        <v>16.890040000000003</v>
      </c>
      <c r="L46" s="69">
        <v>15.941750000000001</v>
      </c>
      <c r="M46" s="69">
        <v>15.1838</v>
      </c>
      <c r="N46" s="69">
        <v>15.167680000000001</v>
      </c>
      <c r="O46" s="69">
        <v>15.984052599999998</v>
      </c>
      <c r="P46" s="69">
        <v>16.050560000000001</v>
      </c>
      <c r="Q46" s="69">
        <v>17.98</v>
      </c>
      <c r="R46" s="69">
        <v>15.016399999999999</v>
      </c>
      <c r="S46" s="69">
        <v>14.360440000000001</v>
      </c>
      <c r="T46" s="69">
        <v>13.432919999999999</v>
      </c>
      <c r="U46" s="69">
        <v>12.37768</v>
      </c>
      <c r="V46" s="69">
        <v>25.836639999999999</v>
      </c>
      <c r="W46" s="69">
        <v>13.374639999999999</v>
      </c>
      <c r="X46" s="69">
        <v>15.367319999999999</v>
      </c>
      <c r="Y46" s="69">
        <v>15.004</v>
      </c>
      <c r="Z46" s="69">
        <v>15.88378</v>
      </c>
      <c r="AA46" s="69">
        <v>17.05434</v>
      </c>
      <c r="AB46" s="69">
        <v>19.375</v>
      </c>
      <c r="AC46" s="69">
        <v>22.590283420000002</v>
      </c>
      <c r="AD46" s="69">
        <v>20.6</v>
      </c>
      <c r="AE46" s="215">
        <v>20.8</v>
      </c>
      <c r="AF46" s="69">
        <v>19.8</v>
      </c>
    </row>
    <row r="47" spans="2:33" x14ac:dyDescent="0.35">
      <c r="B47" s="112" t="s">
        <v>196</v>
      </c>
      <c r="C47" s="110" t="s">
        <v>111</v>
      </c>
      <c r="D47" s="69">
        <v>4.6899600000000001</v>
      </c>
      <c r="E47" s="69">
        <v>4.28146</v>
      </c>
      <c r="F47" s="69">
        <v>2.6865999999999999</v>
      </c>
      <c r="G47" s="69">
        <v>2.7139600000000002</v>
      </c>
      <c r="H47" s="69">
        <v>1.66516</v>
      </c>
      <c r="I47" s="69">
        <v>1.482</v>
      </c>
      <c r="J47" s="69">
        <v>1.292</v>
      </c>
      <c r="K47" s="69">
        <v>0.95</v>
      </c>
      <c r="L47" s="69">
        <v>0.76</v>
      </c>
      <c r="M47" s="69">
        <v>0.68400000000000005</v>
      </c>
      <c r="N47" s="69">
        <v>0.56999999999999995</v>
      </c>
      <c r="O47" s="69">
        <v>0.56999999999999995</v>
      </c>
      <c r="P47" s="69">
        <v>0.55100000000000005</v>
      </c>
      <c r="Q47" s="69">
        <v>0.54339999999999999</v>
      </c>
      <c r="R47" s="69">
        <v>0.53770000000000007</v>
      </c>
      <c r="S47" s="69">
        <v>0.53200000000000003</v>
      </c>
      <c r="T47" s="69">
        <v>0.54149999999999998</v>
      </c>
      <c r="U47" s="69">
        <v>0.54149999999999998</v>
      </c>
      <c r="V47" s="69">
        <v>0.54149999999999998</v>
      </c>
      <c r="W47" s="69">
        <v>0.54188000000000003</v>
      </c>
      <c r="X47" s="69">
        <v>0.54188000000000003</v>
      </c>
      <c r="Y47" s="69">
        <v>0.54149999999999998</v>
      </c>
      <c r="Z47" s="69">
        <v>0.53579999999999994</v>
      </c>
      <c r="AA47" s="69">
        <v>0.52629999999999999</v>
      </c>
      <c r="AB47" s="69">
        <v>0.51034000000000002</v>
      </c>
      <c r="AC47" s="69">
        <v>0.49399999999999999</v>
      </c>
      <c r="AD47" s="69">
        <v>0.5</v>
      </c>
      <c r="AE47" s="215">
        <v>0.5</v>
      </c>
      <c r="AF47" s="69">
        <v>0.5</v>
      </c>
    </row>
    <row r="48" spans="2:33" x14ac:dyDescent="0.35">
      <c r="B48" s="112" t="s">
        <v>197</v>
      </c>
      <c r="C48" s="110" t="s">
        <v>111</v>
      </c>
      <c r="D48" s="69">
        <v>27.633874240740003</v>
      </c>
      <c r="E48" s="69">
        <v>29.645953696439999</v>
      </c>
      <c r="F48" s="69">
        <v>30.840849998940001</v>
      </c>
      <c r="G48" s="69">
        <v>31.758237769320001</v>
      </c>
      <c r="H48" s="69">
        <v>31.831652480159999</v>
      </c>
      <c r="I48" s="69">
        <v>35.755439887199998</v>
      </c>
      <c r="J48" s="69">
        <v>38.367199749899989</v>
      </c>
      <c r="K48" s="69">
        <v>42.657121379640003</v>
      </c>
      <c r="L48" s="69">
        <v>47.404930101240005</v>
      </c>
      <c r="M48" s="69">
        <v>48.049818534300002</v>
      </c>
      <c r="N48" s="69">
        <v>56.021089593120003</v>
      </c>
      <c r="O48" s="69">
        <v>61.16333818518001</v>
      </c>
      <c r="P48" s="69">
        <v>61.19204243622</v>
      </c>
      <c r="Q48" s="69">
        <v>63.815294729640001</v>
      </c>
      <c r="R48" s="69">
        <v>66.109694502179991</v>
      </c>
      <c r="S48" s="69">
        <v>66.918396846120004</v>
      </c>
      <c r="T48" s="69">
        <v>72.325750839419996</v>
      </c>
      <c r="U48" s="69">
        <v>75.631797912420012</v>
      </c>
      <c r="V48" s="69">
        <v>78.49229602407587</v>
      </c>
      <c r="W48" s="69">
        <v>77.144623492679997</v>
      </c>
      <c r="X48" s="69">
        <v>80.335388839620009</v>
      </c>
      <c r="Y48" s="69">
        <v>79.894724401559998</v>
      </c>
      <c r="Z48" s="69">
        <v>79.947322494600002</v>
      </c>
      <c r="AA48" s="69">
        <v>82.76471481293413</v>
      </c>
      <c r="AB48" s="69">
        <v>81.204559642906489</v>
      </c>
      <c r="AC48" s="69">
        <v>82.715785269351997</v>
      </c>
      <c r="AD48" s="69">
        <v>83.4</v>
      </c>
      <c r="AE48" s="215">
        <v>85.4</v>
      </c>
      <c r="AF48" s="69">
        <v>86.1</v>
      </c>
    </row>
    <row r="49" spans="2:36" s="110" customFormat="1" x14ac:dyDescent="0.35">
      <c r="B49" s="112" t="s">
        <v>197</v>
      </c>
      <c r="C49" s="110" t="s">
        <v>112</v>
      </c>
      <c r="D49" s="69">
        <v>321.39886300000001</v>
      </c>
      <c r="E49" s="69">
        <v>344.80057799999997</v>
      </c>
      <c r="F49" s="69">
        <v>358.69795299999998</v>
      </c>
      <c r="G49" s="69">
        <v>369.36773399999998</v>
      </c>
      <c r="H49" s="69">
        <v>370.22159199999999</v>
      </c>
      <c r="I49" s="69">
        <v>415.85763999999995</v>
      </c>
      <c r="J49" s="69">
        <v>446.23400499999991</v>
      </c>
      <c r="K49" s="69">
        <v>496.12841800000001</v>
      </c>
      <c r="L49" s="69">
        <v>551.34833800000001</v>
      </c>
      <c r="M49" s="69">
        <v>558.84878500000002</v>
      </c>
      <c r="N49" s="69">
        <v>651.55954399999996</v>
      </c>
      <c r="O49" s="69">
        <v>711.36704100000009</v>
      </c>
      <c r="P49" s="69">
        <v>711.70088899999996</v>
      </c>
      <c r="Q49" s="69">
        <v>742.21091799999999</v>
      </c>
      <c r="R49" s="69">
        <v>768.89619099999993</v>
      </c>
      <c r="S49" s="69">
        <v>778.30189399999995</v>
      </c>
      <c r="T49" s="69">
        <v>841.19272899999999</v>
      </c>
      <c r="U49" s="69">
        <v>879.64407900000003</v>
      </c>
      <c r="V49" s="69">
        <v>912.91342200599991</v>
      </c>
      <c r="W49" s="69">
        <v>897.23916599999995</v>
      </c>
      <c r="X49" s="69">
        <v>934.34971900000005</v>
      </c>
      <c r="Y49" s="69">
        <v>929.22452199999998</v>
      </c>
      <c r="Z49" s="69">
        <v>929.8362699999999</v>
      </c>
      <c r="AA49" s="69">
        <v>962.60426625882917</v>
      </c>
      <c r="AB49" s="69">
        <v>944.45870717499986</v>
      </c>
      <c r="AC49" s="69">
        <v>962.03518573333326</v>
      </c>
      <c r="AD49" s="69">
        <v>970.5</v>
      </c>
      <c r="AE49" s="215">
        <v>993</v>
      </c>
      <c r="AF49" s="69">
        <v>1002</v>
      </c>
    </row>
    <row r="50" spans="2:36" x14ac:dyDescent="0.35">
      <c r="B50" s="112" t="s">
        <v>16</v>
      </c>
      <c r="C50" s="110" t="s">
        <v>111</v>
      </c>
      <c r="D50" s="69">
        <v>191.56800000000001</v>
      </c>
      <c r="E50" s="69">
        <v>177.47200000000001</v>
      </c>
      <c r="F50" s="69">
        <v>195.536</v>
      </c>
      <c r="G50" s="69">
        <v>188.48</v>
      </c>
      <c r="H50" s="69">
        <v>164.54400000000001</v>
      </c>
      <c r="I50" s="69">
        <v>194.70400000000001</v>
      </c>
      <c r="J50" s="69">
        <v>169.93600000000001</v>
      </c>
      <c r="K50" s="69">
        <v>183.00800000000001</v>
      </c>
      <c r="L50" s="69">
        <v>160.096</v>
      </c>
      <c r="M50" s="69">
        <v>96.063999999999993</v>
      </c>
      <c r="N50" s="69">
        <v>85.087999999999994</v>
      </c>
      <c r="O50" s="69">
        <v>84.64</v>
      </c>
      <c r="P50" s="69">
        <v>70.835520000000002</v>
      </c>
      <c r="Q50" s="69">
        <v>81.639359999999996</v>
      </c>
      <c r="R50" s="69">
        <v>82.940640000000002</v>
      </c>
      <c r="S50" s="69">
        <v>76.191680000000005</v>
      </c>
      <c r="T50" s="69">
        <v>74.170079999999999</v>
      </c>
      <c r="U50" s="69">
        <v>64.103359999999995</v>
      </c>
      <c r="V50" s="69">
        <v>38.28416</v>
      </c>
      <c r="W50" s="69">
        <v>36.281440000000003</v>
      </c>
      <c r="X50" s="69">
        <v>42.558080000000004</v>
      </c>
      <c r="Y50" s="69">
        <v>39.086080000000003</v>
      </c>
      <c r="Z50" s="69">
        <v>34.099679999999999</v>
      </c>
      <c r="AA50" s="69">
        <v>32.730400000000003</v>
      </c>
      <c r="AB50" s="69">
        <v>28.475680000000001</v>
      </c>
      <c r="AC50" s="69">
        <v>31.623360000000002</v>
      </c>
      <c r="AD50" s="69">
        <v>25.4</v>
      </c>
      <c r="AE50" s="215">
        <v>21.7</v>
      </c>
      <c r="AF50" s="69">
        <v>18.7</v>
      </c>
    </row>
    <row r="51" spans="2:36" s="3" customFormat="1" x14ac:dyDescent="0.35">
      <c r="B51" s="113" t="s">
        <v>198</v>
      </c>
      <c r="C51" s="3" t="s">
        <v>111</v>
      </c>
      <c r="D51" s="118">
        <f>D52+D56+D58</f>
        <v>215.75425999999999</v>
      </c>
      <c r="E51" s="118">
        <f t="shared" ref="E51:AF51" si="103">E52+E56+E58</f>
        <v>220.29460600000002</v>
      </c>
      <c r="F51" s="118">
        <f t="shared" si="103"/>
        <v>249.33039200000002</v>
      </c>
      <c r="G51" s="118">
        <f t="shared" si="103"/>
        <v>256.37943799999999</v>
      </c>
      <c r="H51" s="118">
        <f t="shared" si="103"/>
        <v>269.73414000000002</v>
      </c>
      <c r="I51" s="118">
        <f t="shared" si="103"/>
        <v>268.76639799999998</v>
      </c>
      <c r="J51" s="118">
        <f t="shared" si="103"/>
        <v>285.455758</v>
      </c>
      <c r="K51" s="118">
        <f t="shared" si="103"/>
        <v>291.36549200000002</v>
      </c>
      <c r="L51" s="118">
        <f t="shared" si="103"/>
        <v>309.20576863999997</v>
      </c>
      <c r="M51" s="118">
        <f t="shared" si="103"/>
        <v>325.95983999999999</v>
      </c>
      <c r="N51" s="118">
        <f t="shared" si="103"/>
        <v>359.99787999999995</v>
      </c>
      <c r="O51" s="118">
        <f t="shared" si="103"/>
        <v>376.66851000000003</v>
      </c>
      <c r="P51" s="118">
        <f t="shared" si="103"/>
        <v>368.54669799999999</v>
      </c>
      <c r="Q51" s="118">
        <f t="shared" si="103"/>
        <v>394.50518199999999</v>
      </c>
      <c r="R51" s="118">
        <f t="shared" si="103"/>
        <v>412.55657760000003</v>
      </c>
      <c r="S51" s="118">
        <f t="shared" si="103"/>
        <v>422.62874319999992</v>
      </c>
      <c r="T51" s="118">
        <f t="shared" si="103"/>
        <v>429.98612999999995</v>
      </c>
      <c r="U51" s="118">
        <f t="shared" si="103"/>
        <v>415.59533560000006</v>
      </c>
      <c r="V51" s="118">
        <f t="shared" si="103"/>
        <v>410.6488152</v>
      </c>
      <c r="W51" s="118">
        <f t="shared" si="103"/>
        <v>394.89031319999998</v>
      </c>
      <c r="X51" s="118">
        <f t="shared" si="103"/>
        <v>421.58794999999998</v>
      </c>
      <c r="Y51" s="118">
        <f t="shared" si="103"/>
        <v>435.28699000000006</v>
      </c>
      <c r="Z51" s="118">
        <f t="shared" si="103"/>
        <v>427.26279</v>
      </c>
      <c r="AA51" s="118">
        <f t="shared" si="103"/>
        <v>438.78344000000004</v>
      </c>
      <c r="AB51" s="118">
        <f t="shared" si="103"/>
        <v>454.14341999999999</v>
      </c>
      <c r="AC51" s="118">
        <f t="shared" si="103"/>
        <v>463.12888680000003</v>
      </c>
      <c r="AD51" s="118">
        <f t="shared" si="103"/>
        <v>505.59999999999997</v>
      </c>
      <c r="AE51" s="214">
        <f t="shared" si="103"/>
        <v>530.4</v>
      </c>
      <c r="AF51" s="214">
        <f t="shared" si="103"/>
        <v>540.20000000000005</v>
      </c>
      <c r="AG51" s="125">
        <f>(AF51-AA51)/AA51</f>
        <v>0.23113123868120455</v>
      </c>
      <c r="AI51" s="3" t="s">
        <v>258</v>
      </c>
      <c r="AJ51" s="3" t="s">
        <v>112</v>
      </c>
    </row>
    <row r="52" spans="2:36" x14ac:dyDescent="0.35">
      <c r="B52" s="111" t="s">
        <v>199</v>
      </c>
      <c r="C52" s="110" t="s">
        <v>111</v>
      </c>
      <c r="D52" s="69">
        <f>SUM(D53:D55)</f>
        <v>63.934920000000005</v>
      </c>
      <c r="E52" s="69">
        <f t="shared" ref="E52:AF52" si="104">SUM(E53:E55)</f>
        <v>66.369240000000005</v>
      </c>
      <c r="F52" s="69">
        <f t="shared" si="104"/>
        <v>73.275840000000017</v>
      </c>
      <c r="G52" s="69">
        <f t="shared" si="104"/>
        <v>78.092640000000003</v>
      </c>
      <c r="H52" s="69">
        <f t="shared" si="104"/>
        <v>85.962600000000009</v>
      </c>
      <c r="I52" s="69">
        <f t="shared" si="104"/>
        <v>90.674639999999997</v>
      </c>
      <c r="J52" s="69">
        <f t="shared" si="104"/>
        <v>94.377960000000002</v>
      </c>
      <c r="K52" s="69">
        <f t="shared" si="104"/>
        <v>94.684680000000014</v>
      </c>
      <c r="L52" s="69">
        <f t="shared" si="104"/>
        <v>95.963948639999998</v>
      </c>
      <c r="M52" s="69">
        <f t="shared" si="104"/>
        <v>97.183799999999991</v>
      </c>
      <c r="N52" s="69">
        <f t="shared" si="104"/>
        <v>238.82875999999996</v>
      </c>
      <c r="O52" s="69">
        <f t="shared" si="104"/>
        <v>238.53860000000003</v>
      </c>
      <c r="P52" s="69">
        <f t="shared" si="104"/>
        <v>247.03009040999999</v>
      </c>
      <c r="Q52" s="69">
        <f t="shared" si="104"/>
        <v>257.32707230999995</v>
      </c>
      <c r="R52" s="69">
        <f t="shared" si="104"/>
        <v>262.55903159999997</v>
      </c>
      <c r="S52" s="69">
        <f t="shared" si="104"/>
        <v>270.91979429999998</v>
      </c>
      <c r="T52" s="69">
        <f t="shared" si="104"/>
        <v>275.50387999999998</v>
      </c>
      <c r="U52" s="69">
        <f t="shared" si="104"/>
        <v>263.56739247000002</v>
      </c>
      <c r="V52" s="69">
        <f t="shared" si="104"/>
        <v>265.73310630000003</v>
      </c>
      <c r="W52" s="69">
        <f t="shared" si="104"/>
        <v>276.69200151000001</v>
      </c>
      <c r="X52" s="69">
        <f t="shared" si="104"/>
        <v>290.56510334999996</v>
      </c>
      <c r="Y52" s="69">
        <f t="shared" si="104"/>
        <v>293.12458083000001</v>
      </c>
      <c r="Z52" s="69">
        <f t="shared" si="104"/>
        <v>304.2287</v>
      </c>
      <c r="AA52" s="69">
        <f t="shared" si="104"/>
        <v>310.08570000000003</v>
      </c>
      <c r="AB52" s="69">
        <f t="shared" si="104"/>
        <v>319.05843999999996</v>
      </c>
      <c r="AC52" s="69">
        <f t="shared" si="104"/>
        <v>330.77152180000002</v>
      </c>
      <c r="AD52" s="69">
        <f t="shared" si="104"/>
        <v>348.7</v>
      </c>
      <c r="AE52" s="215">
        <f t="shared" si="104"/>
        <v>360.6</v>
      </c>
      <c r="AF52" s="215">
        <f t="shared" si="104"/>
        <v>367.70000000000005</v>
      </c>
      <c r="AG52" s="51">
        <f>(AF52-AB52)/AB52</f>
        <v>0.15245345022059309</v>
      </c>
      <c r="AI52" s="3" t="s">
        <v>195</v>
      </c>
      <c r="AJ52" s="69">
        <f>AF49</f>
        <v>1002</v>
      </c>
    </row>
    <row r="53" spans="2:36" x14ac:dyDescent="0.35">
      <c r="B53" s="112" t="s">
        <v>130</v>
      </c>
      <c r="C53" s="110" t="s">
        <v>111</v>
      </c>
      <c r="D53" s="69">
        <v>63.934920000000005</v>
      </c>
      <c r="E53" s="69">
        <v>66.369240000000005</v>
      </c>
      <c r="F53" s="69">
        <v>73.275840000000017</v>
      </c>
      <c r="G53" s="69">
        <v>78.092640000000003</v>
      </c>
      <c r="H53" s="69">
        <v>85.962600000000009</v>
      </c>
      <c r="I53" s="69">
        <v>90.674639999999997</v>
      </c>
      <c r="J53" s="69">
        <v>94.377960000000002</v>
      </c>
      <c r="K53" s="69">
        <v>94.684680000000014</v>
      </c>
      <c r="L53" s="69">
        <v>95.679360000000003</v>
      </c>
      <c r="M53" s="69">
        <v>96.66</v>
      </c>
      <c r="N53" s="69">
        <v>96.227999999999994</v>
      </c>
      <c r="O53" s="69">
        <v>91.845359999999999</v>
      </c>
      <c r="P53" s="69">
        <v>91.830240000000003</v>
      </c>
      <c r="Q53" s="69">
        <v>93.18671999999998</v>
      </c>
      <c r="R53" s="69">
        <v>95.051880000000011</v>
      </c>
      <c r="S53" s="69">
        <v>96.657840000000007</v>
      </c>
      <c r="T53" s="69">
        <v>93.836879999999994</v>
      </c>
      <c r="U53" s="69">
        <v>104.18004000000001</v>
      </c>
      <c r="V53" s="69">
        <v>106.77636</v>
      </c>
      <c r="W53" s="69">
        <v>117.58068</v>
      </c>
      <c r="X53" s="69">
        <v>124.48728000000001</v>
      </c>
      <c r="Y53" s="69">
        <v>126.75960000000001</v>
      </c>
      <c r="Z53" s="69">
        <v>133.22015999999999</v>
      </c>
      <c r="AA53" s="69">
        <v>139.24224000000001</v>
      </c>
      <c r="AB53" s="69">
        <v>148.22352000000001</v>
      </c>
      <c r="AC53" s="69">
        <v>159.36988680000002</v>
      </c>
      <c r="AD53" s="69">
        <v>174.7</v>
      </c>
      <c r="AE53" s="215">
        <v>183.3</v>
      </c>
      <c r="AF53" s="69">
        <v>186.9</v>
      </c>
      <c r="AG53" s="51">
        <f t="shared" ref="AG53:AG61" si="105">(AF53-AB53)/AB53</f>
        <v>0.26093348747891021</v>
      </c>
      <c r="AI53" s="3" t="s">
        <v>203</v>
      </c>
      <c r="AJ53" s="69">
        <f>AF66</f>
        <v>959</v>
      </c>
    </row>
    <row r="54" spans="2:36" x14ac:dyDescent="0.35">
      <c r="B54" s="112" t="s">
        <v>61</v>
      </c>
      <c r="C54" s="110" t="s">
        <v>111</v>
      </c>
      <c r="D54" s="69" t="s">
        <v>134</v>
      </c>
      <c r="E54" s="69" t="s">
        <v>134</v>
      </c>
      <c r="F54" s="69" t="s">
        <v>134</v>
      </c>
      <c r="G54" s="69" t="s">
        <v>134</v>
      </c>
      <c r="H54" s="69" t="s">
        <v>134</v>
      </c>
      <c r="I54" s="69" t="s">
        <v>134</v>
      </c>
      <c r="J54" s="69" t="s">
        <v>134</v>
      </c>
      <c r="K54" s="69" t="s">
        <v>134</v>
      </c>
      <c r="L54" s="69" t="s">
        <v>134</v>
      </c>
      <c r="M54" s="69" t="s">
        <v>134</v>
      </c>
      <c r="N54" s="69">
        <v>141.91711999999998</v>
      </c>
      <c r="O54" s="69">
        <v>145.80764000000002</v>
      </c>
      <c r="P54" s="69">
        <v>153.88657040999999</v>
      </c>
      <c r="Q54" s="69">
        <v>161.73951230999998</v>
      </c>
      <c r="R54" s="69">
        <v>164.6008716</v>
      </c>
      <c r="S54" s="69">
        <v>166.99787430000001</v>
      </c>
      <c r="T54" s="69">
        <v>174.22904</v>
      </c>
      <c r="U54" s="69">
        <v>152.22371247000001</v>
      </c>
      <c r="V54" s="69">
        <v>153.35802630000001</v>
      </c>
      <c r="W54" s="69">
        <v>154.15736151000002</v>
      </c>
      <c r="X54" s="69">
        <v>161.06554334999998</v>
      </c>
      <c r="Y54" s="69">
        <v>161.50282083000002</v>
      </c>
      <c r="Z54" s="69">
        <v>166.29650000000001</v>
      </c>
      <c r="AA54" s="69">
        <v>166.45001999999999</v>
      </c>
      <c r="AB54" s="69">
        <v>166.79139999999998</v>
      </c>
      <c r="AC54" s="69">
        <v>167.956435</v>
      </c>
      <c r="AD54" s="69">
        <v>170.2</v>
      </c>
      <c r="AE54" s="215">
        <v>173.7</v>
      </c>
      <c r="AF54" s="69">
        <v>177.2</v>
      </c>
      <c r="AG54" s="51">
        <f t="shared" si="105"/>
        <v>6.2404896175702156E-2</v>
      </c>
      <c r="AI54" s="3" t="s">
        <v>204</v>
      </c>
      <c r="AJ54" s="69">
        <f>AF73</f>
        <v>901</v>
      </c>
    </row>
    <row r="55" spans="2:36" x14ac:dyDescent="0.35">
      <c r="B55" s="112" t="s">
        <v>117</v>
      </c>
      <c r="C55" s="110" t="s">
        <v>111</v>
      </c>
      <c r="D55" s="69" t="s">
        <v>134</v>
      </c>
      <c r="E55" s="69" t="s">
        <v>134</v>
      </c>
      <c r="F55" s="69" t="s">
        <v>134</v>
      </c>
      <c r="G55" s="69" t="s">
        <v>134</v>
      </c>
      <c r="H55" s="69" t="s">
        <v>134</v>
      </c>
      <c r="I55" s="69" t="s">
        <v>134</v>
      </c>
      <c r="J55" s="69" t="s">
        <v>134</v>
      </c>
      <c r="K55" s="69" t="s">
        <v>134</v>
      </c>
      <c r="L55" s="69">
        <v>0.28458864</v>
      </c>
      <c r="M55" s="69">
        <v>0.52380000000000004</v>
      </c>
      <c r="N55" s="69">
        <v>0.68364000000000025</v>
      </c>
      <c r="O55" s="69">
        <v>0.88560000000000005</v>
      </c>
      <c r="P55" s="69">
        <v>1.3132800000000004</v>
      </c>
      <c r="Q55" s="69">
        <v>2.4008400000000001</v>
      </c>
      <c r="R55" s="69">
        <v>2.9062800000000002</v>
      </c>
      <c r="S55" s="69">
        <v>7.2640800000000008</v>
      </c>
      <c r="T55" s="69">
        <v>7.4379600000000003</v>
      </c>
      <c r="U55" s="69">
        <v>7.16364</v>
      </c>
      <c r="V55" s="69">
        <v>5.5987200000000001</v>
      </c>
      <c r="W55" s="69">
        <v>4.9539600000000004</v>
      </c>
      <c r="X55" s="69">
        <v>5.0122800000000005</v>
      </c>
      <c r="Y55" s="69">
        <v>4.862160000000002</v>
      </c>
      <c r="Z55" s="69">
        <v>4.71204</v>
      </c>
      <c r="AA55" s="69">
        <v>4.3934400000000009</v>
      </c>
      <c r="AB55" s="69">
        <v>4.04352</v>
      </c>
      <c r="AC55" s="69">
        <v>3.4452000000000003</v>
      </c>
      <c r="AD55" s="69">
        <v>3.8</v>
      </c>
      <c r="AE55" s="215">
        <v>3.6</v>
      </c>
      <c r="AF55" s="69">
        <v>3.6</v>
      </c>
      <c r="AG55" s="51">
        <f t="shared" si="105"/>
        <v>-0.10968660968660966</v>
      </c>
      <c r="AI55" s="3" t="s">
        <v>205</v>
      </c>
      <c r="AJ55" s="69">
        <f>AF77</f>
        <v>19</v>
      </c>
    </row>
    <row r="56" spans="2:36" x14ac:dyDescent="0.35">
      <c r="B56" s="111" t="s">
        <v>200</v>
      </c>
      <c r="C56" s="110" t="s">
        <v>111</v>
      </c>
      <c r="D56" s="69">
        <f>D57</f>
        <v>75.109839999999991</v>
      </c>
      <c r="E56" s="69">
        <f t="shared" ref="E56:AF56" si="106">E57</f>
        <v>72.959119999999999</v>
      </c>
      <c r="F56" s="69">
        <f t="shared" si="106"/>
        <v>88.872160000000008</v>
      </c>
      <c r="G56" s="69">
        <f t="shared" si="106"/>
        <v>83.254080000000002</v>
      </c>
      <c r="H56" s="69">
        <f t="shared" si="106"/>
        <v>83.577520000000007</v>
      </c>
      <c r="I56" s="69">
        <f t="shared" si="106"/>
        <v>75.197199999999995</v>
      </c>
      <c r="J56" s="69">
        <f t="shared" si="106"/>
        <v>83.791760000000011</v>
      </c>
      <c r="K56" s="69">
        <f t="shared" si="106"/>
        <v>82.186000000000007</v>
      </c>
      <c r="L56" s="69">
        <f t="shared" si="106"/>
        <v>93.118479999999991</v>
      </c>
      <c r="M56" s="69">
        <f t="shared" si="106"/>
        <v>101.01104000000001</v>
      </c>
      <c r="N56" s="69">
        <f t="shared" si="106"/>
        <v>112.40528</v>
      </c>
      <c r="O56" s="69">
        <f t="shared" si="106"/>
        <v>129.63808</v>
      </c>
      <c r="P56" s="69">
        <f t="shared" si="106"/>
        <v>113.33088000000001</v>
      </c>
      <c r="Q56" s="69">
        <f t="shared" si="106"/>
        <v>128.57208</v>
      </c>
      <c r="R56" s="69">
        <f t="shared" si="106"/>
        <v>142.48208000000002</v>
      </c>
      <c r="S56" s="69">
        <f t="shared" si="106"/>
        <v>143.0624</v>
      </c>
      <c r="T56" s="69">
        <f t="shared" si="106"/>
        <v>146.69512</v>
      </c>
      <c r="U56" s="69">
        <f t="shared" si="106"/>
        <v>143.62816000000001</v>
      </c>
      <c r="V56" s="69">
        <f t="shared" si="106"/>
        <v>136.89623999999998</v>
      </c>
      <c r="W56" s="69">
        <f t="shared" si="106"/>
        <v>110.49584</v>
      </c>
      <c r="X56" s="69">
        <f t="shared" si="106"/>
        <v>123.29512000000001</v>
      </c>
      <c r="Y56" s="69">
        <f t="shared" si="106"/>
        <v>134.33680000000001</v>
      </c>
      <c r="Z56" s="69">
        <f t="shared" si="106"/>
        <v>115.00528</v>
      </c>
      <c r="AA56" s="69">
        <f t="shared" si="106"/>
        <v>120.73672000000001</v>
      </c>
      <c r="AB56" s="69">
        <f t="shared" si="106"/>
        <v>126.84672</v>
      </c>
      <c r="AC56" s="69">
        <f t="shared" si="106"/>
        <v>124.3372</v>
      </c>
      <c r="AD56" s="69">
        <f t="shared" si="106"/>
        <v>147.6</v>
      </c>
      <c r="AE56" s="215">
        <f t="shared" si="106"/>
        <v>160.19999999999999</v>
      </c>
      <c r="AF56" s="215">
        <f t="shared" si="106"/>
        <v>162.5</v>
      </c>
      <c r="AG56" s="51">
        <f t="shared" si="105"/>
        <v>0.28107372425554239</v>
      </c>
      <c r="AJ56" s="69">
        <f>SUM(AJ52:AJ55)</f>
        <v>2881</v>
      </c>
    </row>
    <row r="57" spans="2:36" x14ac:dyDescent="0.35">
      <c r="B57" s="112" t="s">
        <v>201</v>
      </c>
      <c r="C57" s="110" t="s">
        <v>111</v>
      </c>
      <c r="D57" s="69">
        <v>75.109839999999991</v>
      </c>
      <c r="E57" s="69">
        <v>72.959119999999999</v>
      </c>
      <c r="F57" s="69">
        <v>88.872160000000008</v>
      </c>
      <c r="G57" s="69">
        <v>83.254080000000002</v>
      </c>
      <c r="H57" s="69">
        <v>83.577520000000007</v>
      </c>
      <c r="I57" s="69">
        <v>75.197199999999995</v>
      </c>
      <c r="J57" s="69">
        <v>83.791760000000011</v>
      </c>
      <c r="K57" s="69">
        <v>82.186000000000007</v>
      </c>
      <c r="L57" s="69">
        <v>93.118479999999991</v>
      </c>
      <c r="M57" s="69">
        <v>101.01104000000001</v>
      </c>
      <c r="N57" s="69">
        <v>112.40528</v>
      </c>
      <c r="O57" s="69">
        <v>129.63808</v>
      </c>
      <c r="P57" s="69">
        <v>113.33088000000001</v>
      </c>
      <c r="Q57" s="69">
        <v>128.57208</v>
      </c>
      <c r="R57" s="69">
        <v>142.48208000000002</v>
      </c>
      <c r="S57" s="69">
        <v>143.0624</v>
      </c>
      <c r="T57" s="69">
        <v>146.69512</v>
      </c>
      <c r="U57" s="69">
        <v>143.62816000000001</v>
      </c>
      <c r="V57" s="69">
        <v>136.89623999999998</v>
      </c>
      <c r="W57" s="69">
        <v>110.49584</v>
      </c>
      <c r="X57" s="69">
        <v>123.29512000000001</v>
      </c>
      <c r="Y57" s="69">
        <v>134.33680000000001</v>
      </c>
      <c r="Z57" s="69">
        <v>115.00528</v>
      </c>
      <c r="AA57" s="69">
        <v>120.73672000000001</v>
      </c>
      <c r="AB57" s="69">
        <v>126.84672</v>
      </c>
      <c r="AC57" s="69">
        <v>124.3372</v>
      </c>
      <c r="AD57" s="69">
        <v>147.6</v>
      </c>
      <c r="AE57" s="215">
        <v>160.19999999999999</v>
      </c>
      <c r="AF57" s="69">
        <v>162.5</v>
      </c>
      <c r="AG57" s="51">
        <f t="shared" si="105"/>
        <v>0.28107372425554239</v>
      </c>
    </row>
    <row r="58" spans="2:36" x14ac:dyDescent="0.35">
      <c r="B58" s="111" t="s">
        <v>202</v>
      </c>
      <c r="C58" s="110" t="s">
        <v>111</v>
      </c>
      <c r="D58" s="69">
        <f>SUM(D59:D61)</f>
        <v>76.709500000000006</v>
      </c>
      <c r="E58" s="69">
        <f t="shared" ref="E58:AF58" si="107">SUM(E59:E61)</f>
        <v>80.966246000000012</v>
      </c>
      <c r="F58" s="69">
        <f t="shared" si="107"/>
        <v>87.182391999999993</v>
      </c>
      <c r="G58" s="69">
        <f t="shared" si="107"/>
        <v>95.032718000000003</v>
      </c>
      <c r="H58" s="69">
        <f t="shared" si="107"/>
        <v>100.19402000000001</v>
      </c>
      <c r="I58" s="69">
        <f t="shared" si="107"/>
        <v>102.894558</v>
      </c>
      <c r="J58" s="69">
        <f t="shared" si="107"/>
        <v>107.286038</v>
      </c>
      <c r="K58" s="69">
        <f t="shared" si="107"/>
        <v>114.494812</v>
      </c>
      <c r="L58" s="69">
        <f t="shared" si="107"/>
        <v>120.12334</v>
      </c>
      <c r="M58" s="69">
        <f t="shared" si="107"/>
        <v>127.765</v>
      </c>
      <c r="N58" s="69">
        <f t="shared" si="107"/>
        <v>8.7638400000000019</v>
      </c>
      <c r="O58" s="69">
        <f t="shared" si="107"/>
        <v>8.4918300000000002</v>
      </c>
      <c r="P58" s="69">
        <f t="shared" si="107"/>
        <v>8.1857275899999991</v>
      </c>
      <c r="Q58" s="69">
        <f t="shared" si="107"/>
        <v>8.6060296899999997</v>
      </c>
      <c r="R58" s="69">
        <f t="shared" si="107"/>
        <v>7.515466</v>
      </c>
      <c r="S58" s="69">
        <f t="shared" si="107"/>
        <v>8.6465488999999991</v>
      </c>
      <c r="T58" s="69">
        <f t="shared" si="107"/>
        <v>7.7871299999999994</v>
      </c>
      <c r="U58" s="69">
        <f t="shared" si="107"/>
        <v>8.3997831299999994</v>
      </c>
      <c r="V58" s="69">
        <f t="shared" si="107"/>
        <v>8.0194688999999997</v>
      </c>
      <c r="W58" s="69">
        <f t="shared" si="107"/>
        <v>7.7024716899999994</v>
      </c>
      <c r="X58" s="69">
        <f t="shared" si="107"/>
        <v>7.7277266500000001</v>
      </c>
      <c r="Y58" s="69">
        <f t="shared" si="107"/>
        <v>7.8256091699999999</v>
      </c>
      <c r="Z58" s="69">
        <f t="shared" si="107"/>
        <v>8.02881</v>
      </c>
      <c r="AA58" s="69">
        <f t="shared" si="107"/>
        <v>7.9610200000000013</v>
      </c>
      <c r="AB58" s="69">
        <f t="shared" si="107"/>
        <v>8.2382600000000004</v>
      </c>
      <c r="AC58" s="69">
        <f t="shared" si="107"/>
        <v>8.0201650000000004</v>
      </c>
      <c r="AD58" s="69">
        <f t="shared" si="107"/>
        <v>9.2999999999999989</v>
      </c>
      <c r="AE58" s="215">
        <f t="shared" si="107"/>
        <v>9.6000000000000014</v>
      </c>
      <c r="AF58" s="215">
        <f t="shared" si="107"/>
        <v>10</v>
      </c>
      <c r="AG58" s="51">
        <f t="shared" si="105"/>
        <v>0.21384855539883416</v>
      </c>
      <c r="AI58" s="3" t="s">
        <v>259</v>
      </c>
      <c r="AJ58" t="s">
        <v>5</v>
      </c>
    </row>
    <row r="59" spans="2:36" x14ac:dyDescent="0.35">
      <c r="B59" s="112" t="s">
        <v>58</v>
      </c>
      <c r="C59" s="110" t="s">
        <v>111</v>
      </c>
      <c r="D59" s="69" t="s">
        <v>134</v>
      </c>
      <c r="E59" s="69" t="s">
        <v>134</v>
      </c>
      <c r="F59" s="69" t="s">
        <v>134</v>
      </c>
      <c r="G59" s="69" t="s">
        <v>134</v>
      </c>
      <c r="H59" s="69" t="s">
        <v>134</v>
      </c>
      <c r="I59" s="69" t="s">
        <v>134</v>
      </c>
      <c r="J59" s="69" t="s">
        <v>134</v>
      </c>
      <c r="K59" s="69" t="s">
        <v>134</v>
      </c>
      <c r="L59" s="69" t="s">
        <v>134</v>
      </c>
      <c r="M59" s="69" t="s">
        <v>134</v>
      </c>
      <c r="N59" s="69">
        <v>4.1289600000000002</v>
      </c>
      <c r="O59" s="69">
        <v>4.3653599999999999</v>
      </c>
      <c r="P59" s="69">
        <v>4.4236079999999998</v>
      </c>
      <c r="Q59" s="69">
        <v>4.2712320000000004</v>
      </c>
      <c r="R59" s="69">
        <v>3.8290175999999998</v>
      </c>
      <c r="S59" s="69">
        <v>4.0403231999999996</v>
      </c>
      <c r="T59" s="69">
        <v>4.1808000000000005</v>
      </c>
      <c r="U59" s="69">
        <v>4.6515455999999995</v>
      </c>
      <c r="V59" s="69">
        <v>4.1962751999999996</v>
      </c>
      <c r="W59" s="69">
        <v>3.5960831999999998</v>
      </c>
      <c r="X59" s="69">
        <v>3.3955199999999999</v>
      </c>
      <c r="Y59" s="69">
        <v>3.4319999999999999</v>
      </c>
      <c r="Z59" s="69">
        <v>3.52704</v>
      </c>
      <c r="AA59" s="69">
        <v>3.3839999999999999</v>
      </c>
      <c r="AB59" s="69">
        <v>3.4953599999999998</v>
      </c>
      <c r="AC59" s="69">
        <v>3.1228800000000003</v>
      </c>
      <c r="AD59" s="69">
        <v>3.9</v>
      </c>
      <c r="AE59" s="215">
        <v>3.9</v>
      </c>
      <c r="AF59" s="69">
        <v>4.0999999999999996</v>
      </c>
      <c r="AG59" s="51">
        <f t="shared" si="105"/>
        <v>0.17298361256065181</v>
      </c>
      <c r="AI59" s="3" t="s">
        <v>195</v>
      </c>
      <c r="AJ59" s="69">
        <f>AF81</f>
        <v>8524.3248000000058</v>
      </c>
    </row>
    <row r="60" spans="2:36" x14ac:dyDescent="0.35">
      <c r="B60" s="112" t="s">
        <v>130</v>
      </c>
      <c r="C60" s="110" t="s">
        <v>111</v>
      </c>
      <c r="D60" s="69" t="s">
        <v>134</v>
      </c>
      <c r="E60" s="69" t="s">
        <v>134</v>
      </c>
      <c r="F60" s="69" t="s">
        <v>134</v>
      </c>
      <c r="G60" s="69" t="s">
        <v>134</v>
      </c>
      <c r="H60" s="69" t="s">
        <v>134</v>
      </c>
      <c r="I60" s="69" t="s">
        <v>134</v>
      </c>
      <c r="J60" s="69" t="s">
        <v>134</v>
      </c>
      <c r="K60" s="69" t="s">
        <v>134</v>
      </c>
      <c r="L60" s="69" t="s">
        <v>134</v>
      </c>
      <c r="M60" s="69" t="s">
        <v>134</v>
      </c>
      <c r="N60" s="69">
        <v>3.1320000000000001</v>
      </c>
      <c r="O60" s="69">
        <v>2.923560000000001</v>
      </c>
      <c r="P60" s="69">
        <v>2.6773200000000004</v>
      </c>
      <c r="Q60" s="69">
        <v>3.1946399999999997</v>
      </c>
      <c r="R60" s="69">
        <v>2.5261200000000001</v>
      </c>
      <c r="S60" s="69">
        <v>3.4289999999999998</v>
      </c>
      <c r="T60" s="69">
        <v>2.4094799999999998</v>
      </c>
      <c r="U60" s="69">
        <v>2.6751600000000004</v>
      </c>
      <c r="V60" s="69">
        <v>2.7421200000000003</v>
      </c>
      <c r="W60" s="69">
        <v>3.0196800000000001</v>
      </c>
      <c r="X60" s="69">
        <v>3.1968000000000001</v>
      </c>
      <c r="Y60" s="69">
        <v>3.2551200000000002</v>
      </c>
      <c r="Z60" s="69">
        <v>3.3534000000000002</v>
      </c>
      <c r="AA60" s="69">
        <v>3.4236000000000004</v>
      </c>
      <c r="AB60" s="69">
        <v>3.5208000000000004</v>
      </c>
      <c r="AC60" s="69">
        <v>3.6666000000000003</v>
      </c>
      <c r="AD60" s="69">
        <v>4.2</v>
      </c>
      <c r="AE60" s="215">
        <v>4.4000000000000004</v>
      </c>
      <c r="AF60" s="215">
        <v>4.5999999999999996</v>
      </c>
      <c r="AG60" s="51">
        <f t="shared" si="105"/>
        <v>0.30652124517155166</v>
      </c>
      <c r="AI60" s="113" t="s">
        <v>198</v>
      </c>
      <c r="AJ60" s="69">
        <f>AF89</f>
        <v>22617.093600000004</v>
      </c>
    </row>
    <row r="61" spans="2:36" x14ac:dyDescent="0.35">
      <c r="B61" s="112" t="s">
        <v>61</v>
      </c>
      <c r="C61" s="110" t="s">
        <v>111</v>
      </c>
      <c r="D61" s="69">
        <v>76.709500000000006</v>
      </c>
      <c r="E61" s="69">
        <v>80.966246000000012</v>
      </c>
      <c r="F61" s="69">
        <v>87.182391999999993</v>
      </c>
      <c r="G61" s="69">
        <v>95.032718000000003</v>
      </c>
      <c r="H61" s="69">
        <v>100.19402000000001</v>
      </c>
      <c r="I61" s="69">
        <v>102.894558</v>
      </c>
      <c r="J61" s="69">
        <v>107.286038</v>
      </c>
      <c r="K61" s="69">
        <v>114.494812</v>
      </c>
      <c r="L61" s="69">
        <v>120.12334</v>
      </c>
      <c r="M61" s="69">
        <v>127.765</v>
      </c>
      <c r="N61" s="69">
        <v>1.5028800000000002</v>
      </c>
      <c r="O61" s="69">
        <v>1.2029100000000001</v>
      </c>
      <c r="P61" s="69">
        <v>1.08479959</v>
      </c>
      <c r="Q61" s="69">
        <v>1.1401576900000001</v>
      </c>
      <c r="R61" s="69">
        <v>1.1603283999999998</v>
      </c>
      <c r="S61" s="69">
        <v>1.1772256999999999</v>
      </c>
      <c r="T61" s="69">
        <v>1.19685</v>
      </c>
      <c r="U61" s="69">
        <v>1.0730775299999999</v>
      </c>
      <c r="V61" s="69">
        <v>1.0810737000000001</v>
      </c>
      <c r="W61" s="69">
        <v>1.0867084899999999</v>
      </c>
      <c r="X61" s="69">
        <v>1.13540665</v>
      </c>
      <c r="Y61" s="69">
        <v>1.1384891700000002</v>
      </c>
      <c r="Z61" s="69">
        <v>1.1483700000000001</v>
      </c>
      <c r="AA61" s="69">
        <v>1.1534200000000001</v>
      </c>
      <c r="AB61" s="69">
        <v>1.2221</v>
      </c>
      <c r="AC61" s="69">
        <v>1.230685</v>
      </c>
      <c r="AD61" s="69">
        <v>1.2</v>
      </c>
      <c r="AE61" s="215">
        <v>1.3</v>
      </c>
      <c r="AF61" s="69">
        <v>1.3</v>
      </c>
      <c r="AG61" s="51">
        <f t="shared" si="105"/>
        <v>6.3742737910154723E-2</v>
      </c>
      <c r="AI61" s="3" t="s">
        <v>203</v>
      </c>
      <c r="AJ61" s="69">
        <f>AF100</f>
        <v>4241.2284000000009</v>
      </c>
    </row>
    <row r="62" spans="2:36" s="3" customFormat="1" x14ac:dyDescent="0.35">
      <c r="B62" s="3" t="s">
        <v>203</v>
      </c>
      <c r="C62" s="3" t="s">
        <v>111</v>
      </c>
      <c r="D62" s="118">
        <f>SUM(D63:D65)</f>
        <v>13.892029800560003</v>
      </c>
      <c r="E62" s="118">
        <f t="shared" ref="E62:AF62" si="108">SUM(E63:E65)</f>
        <v>16.258867635279998</v>
      </c>
      <c r="F62" s="118">
        <f t="shared" si="108"/>
        <v>18.196154356560001</v>
      </c>
      <c r="G62" s="118">
        <f t="shared" si="108"/>
        <v>20.336202905479997</v>
      </c>
      <c r="H62" s="118">
        <f t="shared" si="108"/>
        <v>22.268984471600003</v>
      </c>
      <c r="I62" s="118">
        <f t="shared" si="108"/>
        <v>23.965964638660001</v>
      </c>
      <c r="J62" s="118">
        <f t="shared" si="108"/>
        <v>26.035280008239997</v>
      </c>
      <c r="K62" s="118">
        <f t="shared" si="108"/>
        <v>29.120287488180004</v>
      </c>
      <c r="L62" s="118">
        <f t="shared" si="108"/>
        <v>32.2548470427</v>
      </c>
      <c r="M62" s="118">
        <f t="shared" si="108"/>
        <v>34.089707949210002</v>
      </c>
      <c r="N62" s="118">
        <f t="shared" si="108"/>
        <v>36.933582278820005</v>
      </c>
      <c r="O62" s="118">
        <f t="shared" si="108"/>
        <v>40.778610182639994</v>
      </c>
      <c r="P62" s="118">
        <f t="shared" si="108"/>
        <v>41.709773767040005</v>
      </c>
      <c r="Q62" s="118">
        <f t="shared" si="108"/>
        <v>47.674273755940007</v>
      </c>
      <c r="R62" s="118">
        <f t="shared" si="108"/>
        <v>51.533245771980006</v>
      </c>
      <c r="S62" s="118">
        <f t="shared" si="108"/>
        <v>55.664757271120003</v>
      </c>
      <c r="T62" s="118">
        <f t="shared" si="108"/>
        <v>62.666061615420006</v>
      </c>
      <c r="U62" s="118">
        <f t="shared" si="108"/>
        <v>65.233522721653486</v>
      </c>
      <c r="V62" s="118">
        <f t="shared" si="108"/>
        <v>69.052989402815086</v>
      </c>
      <c r="W62" s="118">
        <f t="shared" si="108"/>
        <v>72.291693868400003</v>
      </c>
      <c r="X62" s="118">
        <f t="shared" si="108"/>
        <v>76.44363405144</v>
      </c>
      <c r="Y62" s="118">
        <f t="shared" si="108"/>
        <v>80.655608000000015</v>
      </c>
      <c r="Z62" s="118">
        <f t="shared" si="108"/>
        <v>83.666936400003863</v>
      </c>
      <c r="AA62" s="118">
        <f t="shared" si="108"/>
        <v>88.063846402748624</v>
      </c>
      <c r="AB62" s="118">
        <f t="shared" si="108"/>
        <v>92.523268861230576</v>
      </c>
      <c r="AC62" s="118">
        <f t="shared" si="108"/>
        <v>95.522956974863447</v>
      </c>
      <c r="AD62" s="118">
        <f t="shared" si="108"/>
        <v>97.600000000000009</v>
      </c>
      <c r="AE62" s="214">
        <f t="shared" si="108"/>
        <v>99.6</v>
      </c>
      <c r="AF62" s="214">
        <f t="shared" si="108"/>
        <v>101.30000000000001</v>
      </c>
      <c r="AI62" s="3" t="s">
        <v>204</v>
      </c>
      <c r="AJ62" s="164">
        <f>AF104</f>
        <v>5786.408808000001</v>
      </c>
    </row>
    <row r="63" spans="2:36" x14ac:dyDescent="0.35">
      <c r="B63" s="112" t="s">
        <v>117</v>
      </c>
      <c r="C63" s="110" t="s">
        <v>111</v>
      </c>
      <c r="D63" s="69">
        <v>1.62</v>
      </c>
      <c r="E63" s="69">
        <v>2.2679999999999998</v>
      </c>
      <c r="F63" s="69">
        <v>2.7</v>
      </c>
      <c r="G63" s="69">
        <v>3.5251200000000003</v>
      </c>
      <c r="H63" s="69">
        <v>3.5434800000000002</v>
      </c>
      <c r="I63" s="69">
        <v>3.4020000000000001</v>
      </c>
      <c r="J63" s="69">
        <v>3.6244800000000001</v>
      </c>
      <c r="K63" s="69">
        <v>3.9420000000000006</v>
      </c>
      <c r="L63" s="69">
        <v>4.32</v>
      </c>
      <c r="M63" s="69">
        <v>4.8600000000000003</v>
      </c>
      <c r="N63" s="69">
        <v>4.4820000000000002</v>
      </c>
      <c r="O63" s="69">
        <v>4.806</v>
      </c>
      <c r="P63" s="69">
        <v>4.9237200000000003</v>
      </c>
      <c r="Q63" s="69">
        <v>6.20892</v>
      </c>
      <c r="R63" s="69">
        <v>6.8817599999999999</v>
      </c>
      <c r="S63" s="69">
        <v>7.5438000000000001</v>
      </c>
      <c r="T63" s="69">
        <v>12.350880000000002</v>
      </c>
      <c r="U63" s="69">
        <v>11.801160000000001</v>
      </c>
      <c r="V63" s="69">
        <v>10.90152</v>
      </c>
      <c r="W63" s="69">
        <v>11.420999999999999</v>
      </c>
      <c r="X63" s="69">
        <v>11.798999999999999</v>
      </c>
      <c r="Y63" s="69">
        <v>12.160800000000002</v>
      </c>
      <c r="Z63" s="69">
        <v>12.87144</v>
      </c>
      <c r="AA63" s="69">
        <v>14.347800000000001</v>
      </c>
      <c r="AB63" s="69">
        <v>15.150240000000002</v>
      </c>
      <c r="AC63" s="69">
        <v>16.306920000000002</v>
      </c>
      <c r="AD63" s="69">
        <v>17.399999999999999</v>
      </c>
      <c r="AE63" s="215">
        <v>17.5</v>
      </c>
      <c r="AF63" s="69">
        <v>18.600000000000001</v>
      </c>
      <c r="AI63" s="3" t="s">
        <v>205</v>
      </c>
      <c r="AJ63" s="69">
        <f>AF110</f>
        <v>154.91160000000002</v>
      </c>
    </row>
    <row r="64" spans="2:36" x14ac:dyDescent="0.35">
      <c r="B64" s="112" t="s">
        <v>44</v>
      </c>
      <c r="C64" s="110" t="s">
        <v>111</v>
      </c>
      <c r="D64" s="69">
        <v>1.2949999999999999</v>
      </c>
      <c r="E64" s="69">
        <v>1.036</v>
      </c>
      <c r="F64" s="69">
        <v>0.88800000000000001</v>
      </c>
      <c r="G64" s="69">
        <v>0.74</v>
      </c>
      <c r="H64" s="69">
        <v>0.74</v>
      </c>
      <c r="I64" s="69">
        <v>0.59199999999999997</v>
      </c>
      <c r="J64" s="69">
        <v>0.37</v>
      </c>
      <c r="K64" s="69">
        <v>0.222</v>
      </c>
      <c r="L64" s="69">
        <v>0.222</v>
      </c>
      <c r="M64" s="69">
        <v>0.222</v>
      </c>
      <c r="N64" s="69">
        <v>0.222</v>
      </c>
      <c r="O64" s="69">
        <v>0.2442</v>
      </c>
      <c r="P64" s="69">
        <v>0.25159999999999999</v>
      </c>
      <c r="Q64" s="69">
        <v>0.25900000000000001</v>
      </c>
      <c r="R64" s="69">
        <v>0.26639999999999997</v>
      </c>
      <c r="S64" s="69">
        <v>0.28120000000000001</v>
      </c>
      <c r="T64" s="69">
        <v>0.29081999999999997</v>
      </c>
      <c r="U64" s="69">
        <v>0.30118</v>
      </c>
      <c r="V64" s="69">
        <v>0.31227999999999995</v>
      </c>
      <c r="W64" s="69">
        <v>0.32352799999999998</v>
      </c>
      <c r="X64" s="69">
        <v>0.33521999999999996</v>
      </c>
      <c r="Y64" s="69">
        <v>0.34705999999999998</v>
      </c>
      <c r="Z64" s="69">
        <v>0.35076000000000002</v>
      </c>
      <c r="AA64" s="69">
        <v>0.35742000000000002</v>
      </c>
      <c r="AB64" s="69">
        <v>0.36778</v>
      </c>
      <c r="AC64" s="69">
        <v>0.33300000000000002</v>
      </c>
      <c r="AD64" s="69">
        <v>0.3</v>
      </c>
      <c r="AE64" s="215">
        <v>0.3</v>
      </c>
      <c r="AF64" s="69">
        <v>0.3</v>
      </c>
    </row>
    <row r="65" spans="2:35" x14ac:dyDescent="0.35">
      <c r="B65" s="112" t="s">
        <v>197</v>
      </c>
      <c r="C65" s="110" t="s">
        <v>111</v>
      </c>
      <c r="D65" s="69">
        <v>10.977029800560002</v>
      </c>
      <c r="E65" s="69">
        <v>12.954867635279999</v>
      </c>
      <c r="F65" s="69">
        <v>14.60815435656</v>
      </c>
      <c r="G65" s="69">
        <v>16.071082905479997</v>
      </c>
      <c r="H65" s="69">
        <v>17.985504471600002</v>
      </c>
      <c r="I65" s="69">
        <v>19.971964638660001</v>
      </c>
      <c r="J65" s="69">
        <v>22.040800008239998</v>
      </c>
      <c r="K65" s="69">
        <v>24.956287488180003</v>
      </c>
      <c r="L65" s="69">
        <v>27.712847042699998</v>
      </c>
      <c r="M65" s="69">
        <v>29.007707949210001</v>
      </c>
      <c r="N65" s="69">
        <v>32.229582278820004</v>
      </c>
      <c r="O65" s="69">
        <v>35.728410182639998</v>
      </c>
      <c r="P65" s="69">
        <v>36.534453767040006</v>
      </c>
      <c r="Q65" s="69">
        <v>41.206353755940007</v>
      </c>
      <c r="R65" s="69">
        <v>44.385085771980009</v>
      </c>
      <c r="S65" s="69">
        <v>47.83975727112</v>
      </c>
      <c r="T65" s="69">
        <v>50.024361615420005</v>
      </c>
      <c r="U65" s="69">
        <v>53.131182721653481</v>
      </c>
      <c r="V65" s="69">
        <v>57.839189402815087</v>
      </c>
      <c r="W65" s="69">
        <v>60.5471658684</v>
      </c>
      <c r="X65" s="69">
        <v>64.309414051440001</v>
      </c>
      <c r="Y65" s="69">
        <v>68.147748000000007</v>
      </c>
      <c r="Z65" s="69">
        <v>70.444736400003862</v>
      </c>
      <c r="AA65" s="69">
        <v>73.358626402748627</v>
      </c>
      <c r="AB65" s="69">
        <v>77.005248861230569</v>
      </c>
      <c r="AC65" s="69">
        <v>78.883036974863444</v>
      </c>
      <c r="AD65" s="69">
        <v>79.900000000000006</v>
      </c>
      <c r="AE65" s="215">
        <v>81.8</v>
      </c>
      <c r="AF65" s="69">
        <v>82.4</v>
      </c>
      <c r="AI65" s="3" t="s">
        <v>260</v>
      </c>
    </row>
    <row r="66" spans="2:35" s="110" customFormat="1" x14ac:dyDescent="0.35">
      <c r="B66" s="112" t="s">
        <v>197</v>
      </c>
      <c r="C66" s="110" t="s">
        <v>112</v>
      </c>
      <c r="D66" s="69">
        <v>127.669572</v>
      </c>
      <c r="E66" s="69">
        <v>150.673036</v>
      </c>
      <c r="F66" s="69">
        <v>169.90177199999999</v>
      </c>
      <c r="G66" s="69">
        <v>186.91652599999998</v>
      </c>
      <c r="H66" s="69">
        <v>209.18242000000001</v>
      </c>
      <c r="I66" s="69">
        <v>232.28616699999998</v>
      </c>
      <c r="J66" s="69">
        <v>256.34798799999999</v>
      </c>
      <c r="K66" s="69">
        <v>290.256891</v>
      </c>
      <c r="L66" s="69">
        <v>322.317365</v>
      </c>
      <c r="M66" s="69">
        <v>337.37738949999999</v>
      </c>
      <c r="N66" s="69">
        <v>374.84975900000001</v>
      </c>
      <c r="O66" s="69">
        <v>415.54326800000001</v>
      </c>
      <c r="P66" s="69">
        <v>424.918048</v>
      </c>
      <c r="Q66" s="69">
        <v>479.25510300000002</v>
      </c>
      <c r="R66" s="69">
        <v>516.22570100000007</v>
      </c>
      <c r="S66" s="69">
        <v>556.40564399999994</v>
      </c>
      <c r="T66" s="69">
        <v>581.81392900000003</v>
      </c>
      <c r="U66" s="69">
        <v>617.94815912599995</v>
      </c>
      <c r="V66" s="69">
        <v>672.70515704600007</v>
      </c>
      <c r="W66" s="69">
        <v>704.20057999999995</v>
      </c>
      <c r="X66" s="69">
        <v>747.95782799999995</v>
      </c>
      <c r="Y66" s="69">
        <v>792.6</v>
      </c>
      <c r="Z66" s="69">
        <v>819.31538032104982</v>
      </c>
      <c r="AA66" s="69">
        <v>853.20570368398035</v>
      </c>
      <c r="AB66" s="69">
        <v>895.61815377099992</v>
      </c>
      <c r="AC66" s="69">
        <v>917.45797830732067</v>
      </c>
      <c r="AD66" s="69">
        <v>929.1</v>
      </c>
      <c r="AE66" s="215"/>
      <c r="AF66" s="69">
        <v>959</v>
      </c>
    </row>
    <row r="67" spans="2:35" s="3" customFormat="1" x14ac:dyDescent="0.35">
      <c r="B67" s="3" t="s">
        <v>204</v>
      </c>
      <c r="C67" s="3" t="s">
        <v>111</v>
      </c>
      <c r="D67" s="118">
        <f>SUM(D68:D72)</f>
        <v>84.751612843380002</v>
      </c>
      <c r="E67" s="118">
        <f t="shared" ref="E67:AF67" si="109">SUM(E68:E72)</f>
        <v>79.520170866140006</v>
      </c>
      <c r="F67" s="118">
        <f t="shared" si="109"/>
        <v>78.567041320520005</v>
      </c>
      <c r="G67" s="118">
        <f t="shared" si="109"/>
        <v>79.948614877420013</v>
      </c>
      <c r="H67" s="118">
        <f t="shared" si="109"/>
        <v>78.650323647340016</v>
      </c>
      <c r="I67" s="118">
        <f t="shared" si="109"/>
        <v>81.344569869980006</v>
      </c>
      <c r="J67" s="118">
        <f t="shared" si="109"/>
        <v>84.208060068320009</v>
      </c>
      <c r="K67" s="118">
        <f t="shared" si="109"/>
        <v>86.932603300339991</v>
      </c>
      <c r="L67" s="118">
        <f t="shared" si="109"/>
        <v>89.793580035740007</v>
      </c>
      <c r="M67" s="118">
        <f t="shared" si="109"/>
        <v>91.976703523780003</v>
      </c>
      <c r="N67" s="118">
        <f t="shared" si="109"/>
        <v>99.197833581080005</v>
      </c>
      <c r="O67" s="118">
        <f t="shared" si="109"/>
        <v>101.84051210142</v>
      </c>
      <c r="P67" s="118">
        <f t="shared" si="109"/>
        <v>102.79794143902001</v>
      </c>
      <c r="Q67" s="118">
        <f t="shared" si="109"/>
        <v>107.03305694896001</v>
      </c>
      <c r="R67" s="118">
        <f t="shared" si="109"/>
        <v>110.94507961752001</v>
      </c>
      <c r="S67" s="118">
        <f t="shared" si="109"/>
        <v>115.431620665</v>
      </c>
      <c r="T67" s="118">
        <f t="shared" si="109"/>
        <v>108.86305601292</v>
      </c>
      <c r="U67" s="118">
        <f t="shared" si="109"/>
        <v>108.76708561140001</v>
      </c>
      <c r="V67" s="118">
        <f t="shared" si="109"/>
        <v>110.14614668248001</v>
      </c>
      <c r="W67" s="118">
        <f t="shared" si="109"/>
        <v>113.11119999691999</v>
      </c>
      <c r="X67" s="118">
        <f t="shared" si="109"/>
        <v>116.88665318028001</v>
      </c>
      <c r="Y67" s="118">
        <f t="shared" si="109"/>
        <v>117.401614</v>
      </c>
      <c r="Z67" s="118">
        <f t="shared" si="109"/>
        <v>120.11808585866574</v>
      </c>
      <c r="AA67" s="118">
        <f t="shared" si="109"/>
        <v>123.38530161149585</v>
      </c>
      <c r="AB67" s="118">
        <f t="shared" si="109"/>
        <v>126.47742236363452</v>
      </c>
      <c r="AC67" s="118">
        <f t="shared" si="109"/>
        <v>129.87955619447638</v>
      </c>
      <c r="AD67" s="118">
        <f t="shared" si="109"/>
        <v>132.30000000000001</v>
      </c>
      <c r="AE67" s="214">
        <f t="shared" si="109"/>
        <v>134.30000000000001</v>
      </c>
      <c r="AF67" s="214">
        <f t="shared" si="109"/>
        <v>138.20600000000002</v>
      </c>
    </row>
    <row r="68" spans="2:35" x14ac:dyDescent="0.35">
      <c r="B68" s="112" t="s">
        <v>14</v>
      </c>
      <c r="C68" s="110" t="s">
        <v>111</v>
      </c>
      <c r="D68" s="69">
        <v>16.090880000000002</v>
      </c>
      <c r="E68" s="69">
        <v>14.645280000000001</v>
      </c>
      <c r="F68" s="69">
        <v>12.787840000000001</v>
      </c>
      <c r="G68" s="69">
        <v>12.166960000000001</v>
      </c>
      <c r="H68" s="69">
        <v>11.224720000000001</v>
      </c>
      <c r="I68" s="69">
        <v>11.0136</v>
      </c>
      <c r="J68" s="69">
        <v>10.924160000000001</v>
      </c>
      <c r="K68" s="69">
        <v>9.91432</v>
      </c>
      <c r="L68" s="69">
        <v>9.8504536000000016</v>
      </c>
      <c r="M68" s="69">
        <v>9.4640000000000004</v>
      </c>
      <c r="N68" s="69">
        <v>9.984</v>
      </c>
      <c r="O68" s="69">
        <v>9.8592000000000013</v>
      </c>
      <c r="P68" s="69">
        <v>8.7453599999999998</v>
      </c>
      <c r="Q68" s="69">
        <v>8.595600000000001</v>
      </c>
      <c r="R68" s="69">
        <v>9.0750400000000013</v>
      </c>
      <c r="S68" s="69">
        <v>10.1556</v>
      </c>
      <c r="T68" s="69">
        <v>4.0799200000000004</v>
      </c>
      <c r="U68" s="69">
        <v>1.28752</v>
      </c>
      <c r="V68" s="69">
        <v>1.8428800000000001</v>
      </c>
      <c r="W68" s="69">
        <v>1.53504</v>
      </c>
      <c r="X68" s="69">
        <v>1.8002400000000001</v>
      </c>
      <c r="Y68" s="69">
        <v>0.53560000000000008</v>
      </c>
      <c r="Z68" s="69">
        <v>0.25272</v>
      </c>
      <c r="AA68" s="69">
        <v>0.21008000000000002</v>
      </c>
      <c r="AB68" s="69">
        <v>0.15912000000000001</v>
      </c>
      <c r="AC68" s="69">
        <v>0.13624</v>
      </c>
      <c r="AD68" s="69">
        <v>0.1</v>
      </c>
      <c r="AE68" s="215">
        <v>0.1</v>
      </c>
      <c r="AF68" s="69">
        <v>6.0000000000000001E-3</v>
      </c>
    </row>
    <row r="69" spans="2:35" x14ac:dyDescent="0.35">
      <c r="B69" s="112" t="s">
        <v>117</v>
      </c>
      <c r="C69" s="110" t="s">
        <v>111</v>
      </c>
      <c r="D69" s="69">
        <v>22.190760000000001</v>
      </c>
      <c r="E69" s="69">
        <v>24.3</v>
      </c>
      <c r="F69" s="69">
        <v>27</v>
      </c>
      <c r="G69" s="69">
        <v>29.654640000000004</v>
      </c>
      <c r="H69" s="69">
        <v>29.754000000000005</v>
      </c>
      <c r="I69" s="69">
        <v>30.888000000000005</v>
      </c>
      <c r="J69" s="69">
        <v>32.871960000000001</v>
      </c>
      <c r="K69" s="69">
        <v>34.898040000000002</v>
      </c>
      <c r="L69" s="69">
        <v>35.463712680000008</v>
      </c>
      <c r="M69" s="69">
        <v>37.475999999999999</v>
      </c>
      <c r="N69" s="69">
        <v>40.726800000000004</v>
      </c>
      <c r="O69" s="69">
        <v>40.878</v>
      </c>
      <c r="P69" s="69">
        <v>42.144840000000002</v>
      </c>
      <c r="Q69" s="69">
        <v>43.803719999999998</v>
      </c>
      <c r="R69" s="69">
        <v>46.284480000000002</v>
      </c>
      <c r="S69" s="69">
        <v>46.662480000000002</v>
      </c>
      <c r="T69" s="69">
        <v>44.926920000000003</v>
      </c>
      <c r="U69" s="69">
        <v>45.455040000000004</v>
      </c>
      <c r="V69" s="69">
        <v>45.785520000000005</v>
      </c>
      <c r="W69" s="69">
        <v>46.695960000000007</v>
      </c>
      <c r="X69" s="69">
        <v>47.58372</v>
      </c>
      <c r="Y69" s="69">
        <v>48.211200000000005</v>
      </c>
      <c r="Z69" s="69">
        <v>48.95532</v>
      </c>
      <c r="AA69" s="69">
        <v>50.068800000000003</v>
      </c>
      <c r="AB69" s="69">
        <v>51.375600000000006</v>
      </c>
      <c r="AC69" s="69">
        <v>53.020440000000001</v>
      </c>
      <c r="AD69" s="69">
        <v>53.4</v>
      </c>
      <c r="AE69" s="215">
        <v>54</v>
      </c>
      <c r="AF69" s="69">
        <v>55.6</v>
      </c>
    </row>
    <row r="70" spans="2:35" x14ac:dyDescent="0.35">
      <c r="B70" s="112" t="s">
        <v>193</v>
      </c>
      <c r="C70" s="110" t="s">
        <v>111</v>
      </c>
      <c r="D70" s="69">
        <v>28.158000000000001</v>
      </c>
      <c r="E70" s="69">
        <v>20.443999999999999</v>
      </c>
      <c r="F70" s="69">
        <v>16.187999999999999</v>
      </c>
      <c r="G70" s="69">
        <v>13.414</v>
      </c>
      <c r="H70" s="69">
        <v>11.438000000000001</v>
      </c>
      <c r="I70" s="69">
        <v>9.9179999999999993</v>
      </c>
      <c r="J70" s="69">
        <v>8.8160000000000007</v>
      </c>
      <c r="K70" s="69">
        <v>7.9420000000000002</v>
      </c>
      <c r="L70" s="69">
        <v>7.22</v>
      </c>
      <c r="M70" s="69">
        <v>6.2320000000000002</v>
      </c>
      <c r="N70" s="69">
        <v>6.08</v>
      </c>
      <c r="O70" s="69">
        <v>6.0419999999999998</v>
      </c>
      <c r="P70" s="69">
        <v>6.0229999999999997</v>
      </c>
      <c r="Q70" s="69">
        <v>5.9963999999999995</v>
      </c>
      <c r="R70" s="69">
        <v>6.0571999999999999</v>
      </c>
      <c r="S70" s="69">
        <v>6.2851999999999997</v>
      </c>
      <c r="T70" s="69">
        <v>6.6397399999999998</v>
      </c>
      <c r="U70" s="69">
        <v>6.64886</v>
      </c>
      <c r="V70" s="69">
        <v>6.35588</v>
      </c>
      <c r="W70" s="69">
        <v>6.3152200000000001</v>
      </c>
      <c r="X70" s="69">
        <v>6.3068599999999995</v>
      </c>
      <c r="Y70" s="69">
        <v>6.2076799999999999</v>
      </c>
      <c r="Z70" s="69">
        <v>6.0811400000000004</v>
      </c>
      <c r="AA70" s="69">
        <v>5.8770800000000003</v>
      </c>
      <c r="AB70" s="69">
        <v>5.52102</v>
      </c>
      <c r="AC70" s="69">
        <v>5.1775000000000002</v>
      </c>
      <c r="AD70" s="69">
        <v>5.2</v>
      </c>
      <c r="AE70" s="215">
        <v>5.0999999999999996</v>
      </c>
      <c r="AF70" s="69">
        <v>5</v>
      </c>
    </row>
    <row r="71" spans="2:35" x14ac:dyDescent="0.35">
      <c r="B71" s="112" t="s">
        <v>44</v>
      </c>
      <c r="C71" s="110" t="s">
        <v>111</v>
      </c>
      <c r="D71" s="69">
        <v>0.92500000000000004</v>
      </c>
      <c r="E71" s="69">
        <v>0.88800000000000001</v>
      </c>
      <c r="F71" s="69">
        <v>0.81399999999999995</v>
      </c>
      <c r="G71" s="69">
        <v>0.74</v>
      </c>
      <c r="H71" s="69">
        <v>0.37</v>
      </c>
      <c r="I71" s="69">
        <v>0.29599999999999999</v>
      </c>
      <c r="J71" s="69">
        <v>0.25900000000000001</v>
      </c>
      <c r="K71" s="69">
        <v>0.222</v>
      </c>
      <c r="L71" s="69">
        <v>0.185</v>
      </c>
      <c r="M71" s="69">
        <v>0.14799999999999999</v>
      </c>
      <c r="N71" s="69">
        <v>0.111</v>
      </c>
      <c r="O71" s="69">
        <v>0.111</v>
      </c>
      <c r="P71" s="69">
        <v>9.6200000000000008E-2</v>
      </c>
      <c r="Q71" s="69">
        <v>9.2499999999999999E-2</v>
      </c>
      <c r="R71" s="69">
        <v>8.8800000000000004E-2</v>
      </c>
      <c r="S71" s="69">
        <v>9.6200000000000008E-2</v>
      </c>
      <c r="T71" s="69">
        <v>9.101999999999999E-2</v>
      </c>
      <c r="U71" s="69">
        <v>9.323999999999999E-2</v>
      </c>
      <c r="V71" s="69">
        <v>8.8059999999999999E-2</v>
      </c>
      <c r="W71" s="69">
        <v>8.8059999999999999E-2</v>
      </c>
      <c r="X71" s="69">
        <v>8.8059999999999999E-2</v>
      </c>
      <c r="Y71" s="69">
        <v>8.584E-2</v>
      </c>
      <c r="Z71" s="69">
        <v>8.4360000000000004E-2</v>
      </c>
      <c r="AA71" s="69">
        <v>8.2140000000000005E-2</v>
      </c>
      <c r="AB71" s="69">
        <v>7.6219999999999996E-2</v>
      </c>
      <c r="AC71" s="69">
        <v>7.2520000000000001E-2</v>
      </c>
      <c r="AD71" s="69">
        <v>0.1</v>
      </c>
      <c r="AE71" s="215">
        <v>0.1</v>
      </c>
      <c r="AF71" s="69">
        <v>0.1</v>
      </c>
    </row>
    <row r="72" spans="2:35" x14ac:dyDescent="0.35">
      <c r="B72" s="112" t="s">
        <v>197</v>
      </c>
      <c r="C72" s="110" t="s">
        <v>111</v>
      </c>
      <c r="D72" s="69">
        <v>17.386972843380001</v>
      </c>
      <c r="E72" s="69">
        <v>19.242890866140002</v>
      </c>
      <c r="F72" s="69">
        <v>21.777201320520003</v>
      </c>
      <c r="G72" s="69">
        <v>23.973014877420002</v>
      </c>
      <c r="H72" s="69">
        <v>25.863603647340003</v>
      </c>
      <c r="I72" s="69">
        <v>29.228969869979998</v>
      </c>
      <c r="J72" s="69">
        <v>31.336940068320001</v>
      </c>
      <c r="K72" s="69">
        <v>33.956243300339999</v>
      </c>
      <c r="L72" s="69">
        <v>37.074413755740004</v>
      </c>
      <c r="M72" s="69">
        <v>38.656703523780003</v>
      </c>
      <c r="N72" s="69">
        <v>42.296033581080003</v>
      </c>
      <c r="O72" s="69">
        <v>44.950312101420003</v>
      </c>
      <c r="P72" s="69">
        <v>45.788541439019994</v>
      </c>
      <c r="Q72" s="69">
        <v>48.544836948960004</v>
      </c>
      <c r="R72" s="69">
        <v>49.439559617520004</v>
      </c>
      <c r="S72" s="69">
        <v>52.232140664999989</v>
      </c>
      <c r="T72" s="69">
        <v>53.125456012920004</v>
      </c>
      <c r="U72" s="69">
        <v>55.282425611400001</v>
      </c>
      <c r="V72" s="69">
        <v>56.073806682479997</v>
      </c>
      <c r="W72" s="69">
        <v>58.476919996919996</v>
      </c>
      <c r="X72" s="69">
        <v>61.107773180279999</v>
      </c>
      <c r="Y72" s="69">
        <v>62.361294000000001</v>
      </c>
      <c r="Z72" s="69">
        <v>64.744545858665745</v>
      </c>
      <c r="AA72" s="69">
        <v>67.147201611495845</v>
      </c>
      <c r="AB72" s="69">
        <v>69.34546236363451</v>
      </c>
      <c r="AC72" s="69">
        <v>71.472856194476392</v>
      </c>
      <c r="AD72" s="69">
        <v>73.5</v>
      </c>
      <c r="AE72" s="215">
        <v>75</v>
      </c>
      <c r="AF72" s="69">
        <v>77.5</v>
      </c>
    </row>
    <row r="73" spans="2:35" s="110" customFormat="1" x14ac:dyDescent="0.35">
      <c r="B73" s="112" t="s">
        <v>197</v>
      </c>
      <c r="C73" s="110" t="s">
        <v>112</v>
      </c>
      <c r="D73" s="69">
        <v>202.22113099999999</v>
      </c>
      <c r="E73" s="69">
        <v>223.80659299999999</v>
      </c>
      <c r="F73" s="69">
        <v>253.282174</v>
      </c>
      <c r="G73" s="69">
        <v>278.820829</v>
      </c>
      <c r="H73" s="69">
        <v>300.80953299999999</v>
      </c>
      <c r="I73" s="69">
        <v>339.95080099999996</v>
      </c>
      <c r="J73" s="69">
        <v>364.46778399999999</v>
      </c>
      <c r="K73" s="69">
        <v>394.93188299999997</v>
      </c>
      <c r="L73" s="69">
        <v>431.19811299999998</v>
      </c>
      <c r="M73" s="69">
        <v>449.601111</v>
      </c>
      <c r="N73" s="69">
        <v>491.92874599999999</v>
      </c>
      <c r="O73" s="69">
        <v>522.79962899999998</v>
      </c>
      <c r="P73" s="69">
        <v>532.54874899999993</v>
      </c>
      <c r="Q73" s="69">
        <v>564.60615199999995</v>
      </c>
      <c r="R73" s="69">
        <v>575.01232400000004</v>
      </c>
      <c r="S73" s="69">
        <v>607.49174999999991</v>
      </c>
      <c r="T73" s="69">
        <v>617.88155400000005</v>
      </c>
      <c r="U73" s="69">
        <v>642.96843000000001</v>
      </c>
      <c r="V73" s="69">
        <v>652.17267599999991</v>
      </c>
      <c r="W73" s="69">
        <v>680.12235399999997</v>
      </c>
      <c r="X73" s="69">
        <v>710.72078599999998</v>
      </c>
      <c r="Y73" s="69">
        <v>725.3</v>
      </c>
      <c r="Z73" s="69">
        <v>753.01867711869897</v>
      </c>
      <c r="AA73" s="69">
        <v>780.9630333972533</v>
      </c>
      <c r="AB73" s="69">
        <v>806.53015077500004</v>
      </c>
      <c r="AC73" s="69">
        <v>831.27304250379609</v>
      </c>
      <c r="AD73" s="69">
        <v>854.8</v>
      </c>
      <c r="AE73" s="215">
        <v>873</v>
      </c>
      <c r="AF73" s="69">
        <v>901</v>
      </c>
    </row>
    <row r="74" spans="2:35" s="3" customFormat="1" x14ac:dyDescent="0.35">
      <c r="B74" s="3" t="s">
        <v>205</v>
      </c>
      <c r="C74" s="3" t="s">
        <v>111</v>
      </c>
      <c r="D74" s="118">
        <f>SUM(D75:D76)</f>
        <v>2.5895546716000002</v>
      </c>
      <c r="E74" s="118">
        <f t="shared" ref="E74:AF74" si="110">SUM(E75:E76)</f>
        <v>2.74016530356</v>
      </c>
      <c r="F74" s="118">
        <f t="shared" si="110"/>
        <v>2.9653869720800001</v>
      </c>
      <c r="G74" s="118">
        <f t="shared" si="110"/>
        <v>2.9744716007200003</v>
      </c>
      <c r="H74" s="118">
        <f t="shared" si="110"/>
        <v>3.4161314110800003</v>
      </c>
      <c r="I74" s="118">
        <f t="shared" si="110"/>
        <v>3.4071900747800004</v>
      </c>
      <c r="J74" s="118">
        <f t="shared" si="110"/>
        <v>3.8500938437799999</v>
      </c>
      <c r="K74" s="118">
        <f t="shared" si="110"/>
        <v>3.88632992466</v>
      </c>
      <c r="L74" s="118">
        <f t="shared" si="110"/>
        <v>4.4003753512399992</v>
      </c>
      <c r="M74" s="118">
        <f t="shared" si="110"/>
        <v>4.2551197752999999</v>
      </c>
      <c r="N74" s="118">
        <f t="shared" si="110"/>
        <v>4.7664487497600003</v>
      </c>
      <c r="O74" s="118">
        <f t="shared" si="110"/>
        <v>4.7865440876400003</v>
      </c>
      <c r="P74" s="118">
        <f t="shared" si="110"/>
        <v>4.8169847446200009</v>
      </c>
      <c r="Q74" s="118">
        <f t="shared" si="110"/>
        <v>4.7517225406399994</v>
      </c>
      <c r="R74" s="118">
        <f t="shared" si="110"/>
        <v>4.4442214223200001</v>
      </c>
      <c r="S74" s="118">
        <f t="shared" si="110"/>
        <v>4.6961948800600002</v>
      </c>
      <c r="T74" s="118">
        <f t="shared" si="110"/>
        <v>4.7820297972599999</v>
      </c>
      <c r="U74" s="118">
        <f t="shared" si="110"/>
        <v>4.9043528801200003</v>
      </c>
      <c r="V74" s="118">
        <f t="shared" si="110"/>
        <v>4.4845978885199997</v>
      </c>
      <c r="W74" s="118">
        <f t="shared" si="110"/>
        <v>4.0689616528200006</v>
      </c>
      <c r="X74" s="118">
        <f t="shared" si="110"/>
        <v>4.3977239632800007</v>
      </c>
      <c r="Y74" s="118">
        <f t="shared" si="110"/>
        <v>4.30199</v>
      </c>
      <c r="Z74" s="118">
        <f t="shared" si="110"/>
        <v>4.5007792909800006</v>
      </c>
      <c r="AA74" s="118">
        <f t="shared" si="110"/>
        <v>4.5264006466793099</v>
      </c>
      <c r="AB74" s="118">
        <f t="shared" si="110"/>
        <v>4.5972655260599993</v>
      </c>
      <c r="AC74" s="118">
        <f t="shared" si="110"/>
        <v>4.2073278284388227</v>
      </c>
      <c r="AD74" s="118">
        <f t="shared" si="110"/>
        <v>4.5</v>
      </c>
      <c r="AE74" s="214">
        <f t="shared" si="110"/>
        <v>4.2</v>
      </c>
      <c r="AF74" s="214">
        <f t="shared" si="110"/>
        <v>3.7</v>
      </c>
    </row>
    <row r="75" spans="2:35" x14ac:dyDescent="0.35">
      <c r="B75" s="112" t="s">
        <v>61</v>
      </c>
      <c r="C75" s="110" t="s">
        <v>111</v>
      </c>
      <c r="D75" s="69">
        <v>1.4139999999999999</v>
      </c>
      <c r="E75" s="69">
        <v>1.5149999999999999</v>
      </c>
      <c r="F75" s="69">
        <v>1.6160000000000001</v>
      </c>
      <c r="G75" s="69">
        <v>1.7170000000000001</v>
      </c>
      <c r="H75" s="69">
        <v>1.8180000000000001</v>
      </c>
      <c r="I75" s="69">
        <v>1.919</v>
      </c>
      <c r="J75" s="69">
        <v>2.02</v>
      </c>
      <c r="K75" s="69">
        <v>2.121</v>
      </c>
      <c r="L75" s="69">
        <v>2.222</v>
      </c>
      <c r="M75" s="69">
        <v>2.323</v>
      </c>
      <c r="N75" s="69">
        <v>2.4239999999999999</v>
      </c>
      <c r="O75" s="69">
        <v>2.4845999999999999</v>
      </c>
      <c r="P75" s="69">
        <v>2.4543000000000004</v>
      </c>
      <c r="Q75" s="69">
        <v>2.4340999999999999</v>
      </c>
      <c r="R75" s="69">
        <v>2.3987500000000002</v>
      </c>
      <c r="S75" s="69">
        <v>2.3684499999999997</v>
      </c>
      <c r="T75" s="69">
        <v>2.31189</v>
      </c>
      <c r="U75" s="69">
        <v>2.4805600000000001</v>
      </c>
      <c r="V75" s="69">
        <v>2.2634099999999999</v>
      </c>
      <c r="W75" s="69">
        <v>2.3088600000000001</v>
      </c>
      <c r="X75" s="69">
        <v>2.3482500000000002</v>
      </c>
      <c r="Y75" s="69">
        <v>2.3674400000000002</v>
      </c>
      <c r="Z75" s="69">
        <v>2.3543099999999999</v>
      </c>
      <c r="AA75" s="69">
        <v>2.3431999999999999</v>
      </c>
      <c r="AB75" s="69">
        <v>2.3058299999999998</v>
      </c>
      <c r="AC75" s="69">
        <v>2.3292619999999995</v>
      </c>
      <c r="AD75" s="69">
        <v>2.2999999999999998</v>
      </c>
      <c r="AE75" s="215">
        <v>2.2000000000000002</v>
      </c>
      <c r="AF75" s="69">
        <v>2.1</v>
      </c>
    </row>
    <row r="76" spans="2:35" x14ac:dyDescent="0.35">
      <c r="B76" s="112" t="s">
        <v>197</v>
      </c>
      <c r="C76" s="110" t="s">
        <v>111</v>
      </c>
      <c r="D76" s="69">
        <v>1.1755546716</v>
      </c>
      <c r="E76" s="69">
        <v>1.2251653035600001</v>
      </c>
      <c r="F76" s="69">
        <v>1.34938697208</v>
      </c>
      <c r="G76" s="69">
        <v>1.25747160072</v>
      </c>
      <c r="H76" s="69">
        <v>1.5981314110800002</v>
      </c>
      <c r="I76" s="69">
        <v>1.4881900747800003</v>
      </c>
      <c r="J76" s="69">
        <v>1.8300938437800001</v>
      </c>
      <c r="K76" s="69">
        <v>1.76532992466</v>
      </c>
      <c r="L76" s="69">
        <v>2.1783753512399997</v>
      </c>
      <c r="M76" s="69">
        <v>1.9321197752999999</v>
      </c>
      <c r="N76" s="69">
        <v>2.3424487497600004</v>
      </c>
      <c r="O76" s="69">
        <v>2.3019440876400004</v>
      </c>
      <c r="P76" s="69">
        <v>2.3626847446200006</v>
      </c>
      <c r="Q76" s="69">
        <v>2.31762254064</v>
      </c>
      <c r="R76" s="69">
        <v>2.0454714223199999</v>
      </c>
      <c r="S76" s="69">
        <v>2.32774488006</v>
      </c>
      <c r="T76" s="69">
        <v>2.4701397972599999</v>
      </c>
      <c r="U76" s="69">
        <v>2.4237928801200002</v>
      </c>
      <c r="V76" s="69">
        <v>2.2211878885199998</v>
      </c>
      <c r="W76" s="69">
        <v>1.76010165282</v>
      </c>
      <c r="X76" s="69">
        <v>2.0494739632800001</v>
      </c>
      <c r="Y76" s="69">
        <v>1.9345500000000002</v>
      </c>
      <c r="Z76" s="69">
        <v>2.1464692909800003</v>
      </c>
      <c r="AA76" s="69">
        <v>2.1832006466793104</v>
      </c>
      <c r="AB76" s="69">
        <v>2.2914355260599999</v>
      </c>
      <c r="AC76" s="69">
        <v>1.8780658284388236</v>
      </c>
      <c r="AD76" s="69">
        <v>2.2000000000000002</v>
      </c>
      <c r="AE76" s="215">
        <v>2</v>
      </c>
      <c r="AF76" s="69">
        <v>1.6</v>
      </c>
    </row>
    <row r="77" spans="2:35" s="110" customFormat="1" x14ac:dyDescent="0.35">
      <c r="B77" s="112" t="s">
        <v>197</v>
      </c>
      <c r="C77" s="110" t="s">
        <v>112</v>
      </c>
      <c r="D77" s="69">
        <v>13.672420000000001</v>
      </c>
      <c r="E77" s="69">
        <v>14.249421999999999</v>
      </c>
      <c r="F77" s="69">
        <v>15.694196</v>
      </c>
      <c r="G77" s="69">
        <v>14.625164</v>
      </c>
      <c r="H77" s="69">
        <v>18.587246</v>
      </c>
      <c r="I77" s="69">
        <v>17.308561000000001</v>
      </c>
      <c r="J77" s="69">
        <v>21.285111000000001</v>
      </c>
      <c r="K77" s="69">
        <v>20.531866999999998</v>
      </c>
      <c r="L77" s="69">
        <v>25.335837999999999</v>
      </c>
      <c r="M77" s="69">
        <v>22.471734999999999</v>
      </c>
      <c r="N77" s="69">
        <v>27.244112000000001</v>
      </c>
      <c r="O77" s="69">
        <v>26.773018</v>
      </c>
      <c r="P77" s="69">
        <v>27.479469000000002</v>
      </c>
      <c r="Q77" s="69">
        <v>26.955368</v>
      </c>
      <c r="R77" s="69">
        <v>23.790084</v>
      </c>
      <c r="S77" s="69">
        <v>27.073097000000001</v>
      </c>
      <c r="T77" s="69">
        <v>28.729236999999998</v>
      </c>
      <c r="U77" s="69">
        <v>28.190194000000002</v>
      </c>
      <c r="V77" s="69">
        <v>25.833773999999998</v>
      </c>
      <c r="W77" s="69">
        <v>20.471059</v>
      </c>
      <c r="X77" s="69">
        <v>23.836635999999999</v>
      </c>
      <c r="Y77" s="69">
        <v>22.5</v>
      </c>
      <c r="Z77" s="69">
        <v>24.964751</v>
      </c>
      <c r="AA77" s="69">
        <v>25.391959137931035</v>
      </c>
      <c r="AB77" s="69">
        <v>26.650797000000001</v>
      </c>
      <c r="AC77" s="69">
        <v>21.843054529411766</v>
      </c>
      <c r="AD77" s="69">
        <v>25.5</v>
      </c>
      <c r="AE77" s="215">
        <v>23</v>
      </c>
      <c r="AF77" s="69">
        <v>19</v>
      </c>
    </row>
    <row r="78" spans="2:35" s="3" customFormat="1" x14ac:dyDescent="0.35">
      <c r="B78" s="3" t="s">
        <v>206</v>
      </c>
      <c r="C78" s="3" t="s">
        <v>111</v>
      </c>
      <c r="D78" s="118">
        <v>0.69899999999999995</v>
      </c>
      <c r="E78" s="118">
        <v>0.83515248847999823</v>
      </c>
      <c r="F78" s="118">
        <v>1.0314783835800145</v>
      </c>
      <c r="G78" s="118">
        <v>1.0911079544200037</v>
      </c>
      <c r="H78" s="118">
        <v>1.2067616351799881</v>
      </c>
      <c r="I78" s="118">
        <v>1.2635224183602258</v>
      </c>
      <c r="J78" s="118">
        <v>1.3526104634600924</v>
      </c>
      <c r="K78" s="118">
        <v>1.4525005450798198</v>
      </c>
      <c r="L78" s="118">
        <v>1.5712868988600004</v>
      </c>
      <c r="M78" s="118">
        <v>1.8277219816699799</v>
      </c>
      <c r="N78" s="118">
        <v>2.0537331163400157</v>
      </c>
      <c r="O78" s="118">
        <v>2.3023385714060352</v>
      </c>
      <c r="P78" s="118">
        <v>2.4255307371000234</v>
      </c>
      <c r="Q78" s="118">
        <v>2.9221511288199689</v>
      </c>
      <c r="R78" s="118">
        <v>3.2240731339999913</v>
      </c>
      <c r="S78" s="118">
        <v>3.0498081037000664</v>
      </c>
      <c r="T78" s="118">
        <v>3.38868695697996</v>
      </c>
      <c r="U78" s="118">
        <v>3.6409850464066258</v>
      </c>
      <c r="V78" s="118">
        <v>3.8076444681090069</v>
      </c>
      <c r="W78" s="118">
        <v>3.7638700751800207</v>
      </c>
      <c r="X78" s="118">
        <v>3.5346084773799959</v>
      </c>
      <c r="Y78" s="118">
        <v>2.9651345204400132</v>
      </c>
      <c r="Z78" s="118">
        <v>3.3734598957503912</v>
      </c>
      <c r="AA78" s="118">
        <v>3.5460473407785464</v>
      </c>
      <c r="AB78" s="118">
        <v>3.4487175221744111</v>
      </c>
      <c r="AC78" s="118">
        <v>3.8960300172693096</v>
      </c>
      <c r="AD78" s="118">
        <v>4.3</v>
      </c>
      <c r="AE78" s="214">
        <v>4.5</v>
      </c>
      <c r="AF78" s="3">
        <v>2.5</v>
      </c>
    </row>
    <row r="79" spans="2:35" s="3" customFormat="1" x14ac:dyDescent="0.35">
      <c r="B79" s="3" t="s">
        <v>258</v>
      </c>
      <c r="C79" s="3" t="s">
        <v>112</v>
      </c>
      <c r="D79" s="118">
        <f>D49+D66+D73+D77</f>
        <v>664.96198600000002</v>
      </c>
      <c r="E79" s="118">
        <f t="shared" ref="E79:AF79" si="111">E49+E66+E73+E77</f>
        <v>733.529629</v>
      </c>
      <c r="F79" s="118">
        <f t="shared" si="111"/>
        <v>797.57609500000001</v>
      </c>
      <c r="G79" s="118">
        <f t="shared" si="111"/>
        <v>849.73025299999995</v>
      </c>
      <c r="H79" s="118">
        <f t="shared" si="111"/>
        <v>898.800791</v>
      </c>
      <c r="I79" s="118">
        <f t="shared" si="111"/>
        <v>1005.4031689999999</v>
      </c>
      <c r="J79" s="118">
        <f t="shared" si="111"/>
        <v>1088.3348879999999</v>
      </c>
      <c r="K79" s="118">
        <f t="shared" si="111"/>
        <v>1201.8490589999999</v>
      </c>
      <c r="L79" s="118">
        <f t="shared" si="111"/>
        <v>1330.199654</v>
      </c>
      <c r="M79" s="118">
        <f t="shared" si="111"/>
        <v>1368.2990205000001</v>
      </c>
      <c r="N79" s="118">
        <f t="shared" si="111"/>
        <v>1545.582161</v>
      </c>
      <c r="O79" s="118">
        <f t="shared" si="111"/>
        <v>1676.4829560000001</v>
      </c>
      <c r="P79" s="118">
        <f t="shared" si="111"/>
        <v>1696.6471549999999</v>
      </c>
      <c r="Q79" s="118">
        <f t="shared" si="111"/>
        <v>1813.0275409999999</v>
      </c>
      <c r="R79" s="118">
        <f t="shared" si="111"/>
        <v>1883.9243000000001</v>
      </c>
      <c r="S79" s="118">
        <f t="shared" si="111"/>
        <v>1969.2723849999998</v>
      </c>
      <c r="T79" s="118">
        <f t="shared" si="111"/>
        <v>2069.6174489999999</v>
      </c>
      <c r="U79" s="118">
        <f t="shared" si="111"/>
        <v>2168.7508621259999</v>
      </c>
      <c r="V79" s="118">
        <f t="shared" si="111"/>
        <v>2263.6250290519997</v>
      </c>
      <c r="W79" s="118">
        <f t="shared" si="111"/>
        <v>2302.0331590000001</v>
      </c>
      <c r="X79" s="118">
        <f t="shared" si="111"/>
        <v>2416.8649689999997</v>
      </c>
      <c r="Y79" s="118">
        <f t="shared" si="111"/>
        <v>2469.6245220000001</v>
      </c>
      <c r="Z79" s="118">
        <f t="shared" si="111"/>
        <v>2527.1350784397487</v>
      </c>
      <c r="AA79" s="118">
        <f t="shared" si="111"/>
        <v>2622.1649624779934</v>
      </c>
      <c r="AB79" s="118">
        <f t="shared" si="111"/>
        <v>2673.2578087209995</v>
      </c>
      <c r="AC79" s="118">
        <f t="shared" si="111"/>
        <v>2732.6092610738619</v>
      </c>
      <c r="AD79" s="118">
        <f t="shared" si="111"/>
        <v>2779.8999999999996</v>
      </c>
      <c r="AE79" s="118">
        <f t="shared" si="111"/>
        <v>1889</v>
      </c>
      <c r="AF79" s="118">
        <f t="shared" si="111"/>
        <v>2881</v>
      </c>
    </row>
    <row r="80" spans="2:35" s="3" customFormat="1" x14ac:dyDescent="0.35">
      <c r="B80" s="113" t="s">
        <v>194</v>
      </c>
      <c r="C80" s="115" t="s">
        <v>5</v>
      </c>
      <c r="D80" s="118">
        <f t="shared" ref="D80:AE80" si="112">IFERROR(D41*0.041868*1000,"NA")</f>
        <v>24582.701224798333</v>
      </c>
      <c r="E80" s="118">
        <f t="shared" si="112"/>
        <v>24373.74492130514</v>
      </c>
      <c r="F80" s="118">
        <f t="shared" si="112"/>
        <v>26746.138495650386</v>
      </c>
      <c r="G80" s="118">
        <f t="shared" si="112"/>
        <v>27233.325432498947</v>
      </c>
      <c r="H80" s="118">
        <f t="shared" si="112"/>
        <v>26966.511576703931</v>
      </c>
      <c r="I80" s="118">
        <f t="shared" si="112"/>
        <v>28639.372270891829</v>
      </c>
      <c r="J80" s="118">
        <f t="shared" si="112"/>
        <v>29019.409666253759</v>
      </c>
      <c r="K80" s="118">
        <f t="shared" si="112"/>
        <v>30334.253377099594</v>
      </c>
      <c r="L80" s="118">
        <f t="shared" si="112"/>
        <v>30838.49876217579</v>
      </c>
      <c r="M80" s="118">
        <f t="shared" si="112"/>
        <v>29236.391398146035</v>
      </c>
      <c r="N80" s="118">
        <f t="shared" si="112"/>
        <v>31346.881729636916</v>
      </c>
      <c r="O80" s="118">
        <f t="shared" si="112"/>
        <v>32842.250455391884</v>
      </c>
      <c r="P80" s="118">
        <f t="shared" si="112"/>
        <v>32031.077105635639</v>
      </c>
      <c r="Q80" s="118">
        <f t="shared" si="112"/>
        <v>34116.996381766279</v>
      </c>
      <c r="R80" s="118">
        <f t="shared" si="112"/>
        <v>35090.556140268862</v>
      </c>
      <c r="S80" s="118">
        <f t="shared" si="112"/>
        <v>35423.693674986891</v>
      </c>
      <c r="T80" s="118">
        <f t="shared" si="112"/>
        <v>36688.77621911469</v>
      </c>
      <c r="U80" s="118">
        <f t="shared" si="112"/>
        <v>35901.85999759331</v>
      </c>
      <c r="V80" s="118">
        <f t="shared" si="112"/>
        <v>35237.346605062492</v>
      </c>
      <c r="W80" s="118">
        <f t="shared" si="112"/>
        <v>33853.29078301265</v>
      </c>
      <c r="X80" s="118">
        <f t="shared" si="112"/>
        <v>35755.546173100418</v>
      </c>
      <c r="Y80" s="118">
        <f t="shared" si="112"/>
        <v>36133.046165242304</v>
      </c>
      <c r="Z80" s="118">
        <f t="shared" si="112"/>
        <v>35772.297787159929</v>
      </c>
      <c r="AA80" s="118">
        <f t="shared" si="112"/>
        <v>36449.199802347204</v>
      </c>
      <c r="AB80" s="118">
        <f t="shared" si="112"/>
        <v>37343.356804955351</v>
      </c>
      <c r="AC80" s="118">
        <f t="shared" si="112"/>
        <v>38219.486262646213</v>
      </c>
      <c r="AD80" s="118">
        <f t="shared" si="112"/>
        <v>39824.841600000007</v>
      </c>
      <c r="AE80" s="214">
        <f t="shared" si="112"/>
        <v>40984.585200000009</v>
      </c>
      <c r="AF80" s="214">
        <f t="shared" ref="AF80" si="113">IFERROR(AF41*0.041868*1000,"NA")</f>
        <v>41428.637208000015</v>
      </c>
    </row>
    <row r="81" spans="2:34" s="3" customFormat="1" x14ac:dyDescent="0.35">
      <c r="B81" s="3" t="s">
        <v>195</v>
      </c>
      <c r="C81" s="115" t="s">
        <v>5</v>
      </c>
      <c r="D81" s="118">
        <f t="shared" ref="D81:AE81" si="114">IFERROR(D42*0.041868*1000,"NA")</f>
        <v>11281.804629911301</v>
      </c>
      <c r="E81" s="118">
        <f t="shared" si="114"/>
        <v>10990.68216800255</v>
      </c>
      <c r="F81" s="118">
        <f t="shared" si="114"/>
        <v>12088.55140807562</v>
      </c>
      <c r="G81" s="118">
        <f t="shared" si="114"/>
        <v>12130.288686565889</v>
      </c>
      <c r="H81" s="118">
        <f t="shared" si="114"/>
        <v>11254.441724799341</v>
      </c>
      <c r="I81" s="118">
        <f t="shared" si="114"/>
        <v>12781.965869957292</v>
      </c>
      <c r="J81" s="118">
        <f t="shared" si="114"/>
        <v>12234.453004048817</v>
      </c>
      <c r="K81" s="118">
        <f t="shared" si="114"/>
        <v>13052.934372402768</v>
      </c>
      <c r="L81" s="118">
        <f t="shared" si="114"/>
        <v>12532.726540748958</v>
      </c>
      <c r="M81" s="118">
        <f t="shared" si="114"/>
        <v>10056.279882794071</v>
      </c>
      <c r="N81" s="118">
        <f t="shared" si="114"/>
        <v>10289.39299620475</v>
      </c>
      <c r="O81" s="118">
        <f t="shared" si="114"/>
        <v>10803.918527753918</v>
      </c>
      <c r="P81" s="118">
        <f t="shared" si="114"/>
        <v>10247.285295335661</v>
      </c>
      <c r="Q81" s="118">
        <f t="shared" si="114"/>
        <v>10801.277157044569</v>
      </c>
      <c r="R81" s="118">
        <f t="shared" si="114"/>
        <v>10693.938665420468</v>
      </c>
      <c r="S81" s="118">
        <f t="shared" si="114"/>
        <v>10241.300650335752</v>
      </c>
      <c r="T81" s="118">
        <f t="shared" si="114"/>
        <v>11162.444262344841</v>
      </c>
      <c r="U81" s="118">
        <f t="shared" si="114"/>
        <v>10858.880808696405</v>
      </c>
      <c r="V81" s="118">
        <f t="shared" si="114"/>
        <v>10194.412977662405</v>
      </c>
      <c r="W81" s="118">
        <f t="shared" si="114"/>
        <v>9229.629790813924</v>
      </c>
      <c r="X81" s="118">
        <f t="shared" si="114"/>
        <v>9678.0385220572116</v>
      </c>
      <c r="Y81" s="118">
        <f t="shared" si="114"/>
        <v>9311.9307278045198</v>
      </c>
      <c r="Z81" s="118">
        <f t="shared" si="114"/>
        <v>9021.9093372439183</v>
      </c>
      <c r="AA81" s="118">
        <f t="shared" si="114"/>
        <v>8887.2845550279253</v>
      </c>
      <c r="AB81" s="118">
        <f t="shared" si="114"/>
        <v>8823.2899379292103</v>
      </c>
      <c r="AC81" s="118">
        <f t="shared" si="114"/>
        <v>9052.7822224457886</v>
      </c>
      <c r="AD81" s="118">
        <f t="shared" si="114"/>
        <v>8662.4892000000054</v>
      </c>
      <c r="AE81" s="214">
        <f t="shared" si="114"/>
        <v>8620.6212000000032</v>
      </c>
      <c r="AF81" s="214">
        <f t="shared" ref="AF81" si="115">IFERROR(AF42*0.041868*1000,"NA")</f>
        <v>8524.3248000000058</v>
      </c>
      <c r="AG81" s="125">
        <f>AF81/AF$80</f>
        <v>0.20575923743767099</v>
      </c>
    </row>
    <row r="82" spans="2:34" x14ac:dyDescent="0.35">
      <c r="B82" s="112" t="s">
        <v>58</v>
      </c>
      <c r="C82" s="117" t="s">
        <v>5</v>
      </c>
      <c r="D82" s="69">
        <f t="shared" ref="D82:AE82" si="116">IFERROR(D43*0.041868*1000,"NA")</f>
        <v>858.68923391999999</v>
      </c>
      <c r="E82" s="69">
        <f t="shared" si="116"/>
        <v>952.05822336000006</v>
      </c>
      <c r="F82" s="69">
        <f t="shared" si="116"/>
        <v>1081.5609715200001</v>
      </c>
      <c r="G82" s="69">
        <f t="shared" si="116"/>
        <v>1180.1550873599999</v>
      </c>
      <c r="H82" s="69">
        <f t="shared" si="116"/>
        <v>1278.70900992</v>
      </c>
      <c r="I82" s="69">
        <f t="shared" si="116"/>
        <v>1374.73075584</v>
      </c>
      <c r="J82" s="69">
        <f t="shared" si="116"/>
        <v>1470.6721152000002</v>
      </c>
      <c r="K82" s="69">
        <f t="shared" si="116"/>
        <v>1588.35803904</v>
      </c>
      <c r="L82" s="69">
        <f t="shared" si="116"/>
        <v>1719.2273587200002</v>
      </c>
      <c r="M82" s="69">
        <f t="shared" si="116"/>
        <v>1814.7265920000002</v>
      </c>
      <c r="N82" s="69">
        <f t="shared" si="116"/>
        <v>1796.5994227200001</v>
      </c>
      <c r="O82" s="69">
        <f t="shared" si="116"/>
        <v>2254.1496739199997</v>
      </c>
      <c r="P82" s="69">
        <f t="shared" si="116"/>
        <v>2284.2273101760002</v>
      </c>
      <c r="Q82" s="69">
        <f t="shared" si="116"/>
        <v>2056.5213258239996</v>
      </c>
      <c r="R82" s="69">
        <f t="shared" si="116"/>
        <v>1843.6030520832003</v>
      </c>
      <c r="S82" s="69">
        <f t="shared" si="116"/>
        <v>1710.3981009023998</v>
      </c>
      <c r="T82" s="69">
        <f t="shared" si="116"/>
        <v>2160.1074470400004</v>
      </c>
      <c r="U82" s="69">
        <f t="shared" si="116"/>
        <v>2239.6354785792</v>
      </c>
      <c r="V82" s="69">
        <f t="shared" si="116"/>
        <v>2020.4309758463999</v>
      </c>
      <c r="W82" s="69">
        <f t="shared" si="116"/>
        <v>1731.4493313024</v>
      </c>
      <c r="X82" s="69">
        <f t="shared" si="116"/>
        <v>1666.8957081599999</v>
      </c>
      <c r="Y82" s="69">
        <f t="shared" si="116"/>
        <v>1620.4322764800004</v>
      </c>
      <c r="Z82" s="69">
        <f t="shared" si="116"/>
        <v>1565.6488358399999</v>
      </c>
      <c r="AA82" s="69">
        <f t="shared" si="116"/>
        <v>1574.8530969600001</v>
      </c>
      <c r="AB82" s="69">
        <f t="shared" si="116"/>
        <v>1626.8632012800001</v>
      </c>
      <c r="AC82" s="69">
        <f t="shared" si="116"/>
        <v>1495.3105958400001</v>
      </c>
      <c r="AD82" s="69">
        <f t="shared" si="116"/>
        <v>1477.9404</v>
      </c>
      <c r="AE82" s="215">
        <f t="shared" si="116"/>
        <v>1494.6876000000002</v>
      </c>
      <c r="AF82" s="215">
        <f t="shared" ref="AF82" si="117">IFERROR(AF43*0.041868*1000,"NA")</f>
        <v>1557.4896000000003</v>
      </c>
      <c r="AG82" s="51"/>
    </row>
    <row r="83" spans="2:34" x14ac:dyDescent="0.35">
      <c r="B83" s="112" t="s">
        <v>61</v>
      </c>
      <c r="C83" s="117" t="s">
        <v>5</v>
      </c>
      <c r="D83" s="69">
        <f t="shared" ref="D83:AE83" si="118">IFERROR(D44*0.041868*1000,"NA")</f>
        <v>507.44016000000005</v>
      </c>
      <c r="E83" s="69">
        <f t="shared" si="118"/>
        <v>570.87018</v>
      </c>
      <c r="F83" s="69">
        <f t="shared" si="118"/>
        <v>634.30020000000013</v>
      </c>
      <c r="G83" s="69">
        <f t="shared" si="118"/>
        <v>695.99646612000004</v>
      </c>
      <c r="H83" s="69">
        <f t="shared" si="118"/>
        <v>776.93317163999996</v>
      </c>
      <c r="I83" s="69">
        <f t="shared" si="118"/>
        <v>729.65666340000007</v>
      </c>
      <c r="J83" s="69">
        <f t="shared" si="118"/>
        <v>988.11285156000008</v>
      </c>
      <c r="K83" s="69">
        <f t="shared" si="118"/>
        <v>1125.75599496</v>
      </c>
      <c r="L83" s="69">
        <f t="shared" si="118"/>
        <v>1278.461653776</v>
      </c>
      <c r="M83" s="69">
        <f t="shared" si="118"/>
        <v>1380.6601020000003</v>
      </c>
      <c r="N83" s="69">
        <f t="shared" si="118"/>
        <v>1759.125888</v>
      </c>
      <c r="O83" s="69">
        <f t="shared" si="118"/>
        <v>1587.14596044</v>
      </c>
      <c r="P83" s="69">
        <f t="shared" si="118"/>
        <v>1581.90241212</v>
      </c>
      <c r="Q83" s="69">
        <f t="shared" si="118"/>
        <v>1745.2981436400003</v>
      </c>
      <c r="R83" s="69">
        <f t="shared" si="118"/>
        <v>1834.0578849600001</v>
      </c>
      <c r="S83" s="69">
        <f t="shared" si="118"/>
        <v>1739.12428836</v>
      </c>
      <c r="T83" s="69">
        <f t="shared" si="118"/>
        <v>2104.4812035599998</v>
      </c>
      <c r="U83" s="69">
        <f t="shared" si="118"/>
        <v>2043.9689644800003</v>
      </c>
      <c r="V83" s="69">
        <f t="shared" si="118"/>
        <v>1957.91557068</v>
      </c>
      <c r="W83" s="69">
        <f t="shared" si="118"/>
        <v>1940.1974517600001</v>
      </c>
      <c r="X83" s="69">
        <f t="shared" si="118"/>
        <v>1968.1489472400001</v>
      </c>
      <c r="Y83" s="69">
        <f t="shared" si="118"/>
        <v>1822.3021879200001</v>
      </c>
      <c r="Z83" s="69">
        <f t="shared" si="118"/>
        <v>1746.8627508</v>
      </c>
      <c r="AA83" s="69">
        <f t="shared" si="118"/>
        <v>1498.76679924</v>
      </c>
      <c r="AB83" s="69">
        <f t="shared" si="118"/>
        <v>1526.3800012800002</v>
      </c>
      <c r="AC83" s="69">
        <f t="shared" si="118"/>
        <v>1547.3541945600002</v>
      </c>
      <c r="AD83" s="69">
        <f t="shared" si="118"/>
        <v>1494.6876000000002</v>
      </c>
      <c r="AE83" s="215">
        <f t="shared" si="118"/>
        <v>1503.0612000000001</v>
      </c>
      <c r="AF83" s="215">
        <f t="shared" ref="AF83" si="119">IFERROR(AF44*0.041868*1000,"NA")</f>
        <v>1473.7536000000002</v>
      </c>
      <c r="AG83" s="51"/>
    </row>
    <row r="84" spans="2:34" x14ac:dyDescent="0.35">
      <c r="B84" s="112" t="s">
        <v>117</v>
      </c>
      <c r="C84" s="117" t="s">
        <v>5</v>
      </c>
      <c r="D84" s="69">
        <f t="shared" ref="D84:AE84" si="120">IFERROR(D45*0.041868*1000,"NA")</f>
        <v>22.608720000000002</v>
      </c>
      <c r="E84" s="69">
        <f t="shared" si="120"/>
        <v>58.782671999999998</v>
      </c>
      <c r="F84" s="69">
        <f t="shared" si="120"/>
        <v>81.39139200000001</v>
      </c>
      <c r="G84" s="69">
        <f t="shared" si="120"/>
        <v>99.478368000000003</v>
      </c>
      <c r="H84" s="69">
        <f t="shared" si="120"/>
        <v>111.68707680000001</v>
      </c>
      <c r="I84" s="69">
        <f t="shared" si="120"/>
        <v>115.304472</v>
      </c>
      <c r="J84" s="69">
        <f t="shared" si="120"/>
        <v>124.84535184000002</v>
      </c>
      <c r="K84" s="69">
        <f t="shared" si="120"/>
        <v>143.74624176</v>
      </c>
      <c r="L84" s="69">
        <f t="shared" si="120"/>
        <v>148.11971777424</v>
      </c>
      <c r="M84" s="69">
        <f t="shared" si="120"/>
        <v>162.78278400000002</v>
      </c>
      <c r="N84" s="69">
        <f t="shared" si="120"/>
        <v>166.80713616000003</v>
      </c>
      <c r="O84" s="69">
        <f t="shared" si="120"/>
        <v>165.04365600000003</v>
      </c>
      <c r="P84" s="69">
        <f t="shared" si="120"/>
        <v>158.35147488000001</v>
      </c>
      <c r="Q84" s="69">
        <f t="shared" si="120"/>
        <v>134.02449216000002</v>
      </c>
      <c r="R84" s="69">
        <f t="shared" si="120"/>
        <v>124.61926464000001</v>
      </c>
      <c r="S84" s="69">
        <f t="shared" si="120"/>
        <v>176.52888576000004</v>
      </c>
      <c r="T84" s="69">
        <f t="shared" si="120"/>
        <v>179.28714960000002</v>
      </c>
      <c r="U84" s="69">
        <f t="shared" si="120"/>
        <v>183.94454592000002</v>
      </c>
      <c r="V84" s="69">
        <f t="shared" si="120"/>
        <v>222.46980479999999</v>
      </c>
      <c r="W84" s="69">
        <f t="shared" si="120"/>
        <v>226.40372207999999</v>
      </c>
      <c r="X84" s="69">
        <f t="shared" si="120"/>
        <v>231.60372768000002</v>
      </c>
      <c r="Y84" s="69">
        <f t="shared" si="120"/>
        <v>236.84895072000003</v>
      </c>
      <c r="Z84" s="69">
        <f t="shared" si="120"/>
        <v>247.02287472</v>
      </c>
      <c r="AA84" s="69">
        <f t="shared" si="120"/>
        <v>242.04895632000003</v>
      </c>
      <c r="AB84" s="69">
        <f t="shared" si="120"/>
        <v>245.39504688000005</v>
      </c>
      <c r="AC84" s="69">
        <f t="shared" si="120"/>
        <v>256.47331968000003</v>
      </c>
      <c r="AD84" s="69">
        <f t="shared" si="120"/>
        <v>251.208</v>
      </c>
      <c r="AE84" s="215">
        <f t="shared" si="120"/>
        <v>247.02120000000002</v>
      </c>
      <c r="AF84" s="215">
        <f t="shared" ref="AF84" si="121">IFERROR(AF45*0.041868*1000,"NA")</f>
        <v>255.39479999999998</v>
      </c>
      <c r="AG84" s="51"/>
    </row>
    <row r="85" spans="2:34" x14ac:dyDescent="0.35">
      <c r="B85" s="112" t="s">
        <v>15</v>
      </c>
      <c r="C85" s="117" t="s">
        <v>5</v>
      </c>
      <c r="D85" s="69">
        <f t="shared" ref="D85:AE85" si="122">IFERROR(D46*0.041868*1000,"NA")</f>
        <v>519.16320000000007</v>
      </c>
      <c r="E85" s="69">
        <f t="shared" si="122"/>
        <v>558.10044000000005</v>
      </c>
      <c r="F85" s="69">
        <f t="shared" si="122"/>
        <v>700.87031999999999</v>
      </c>
      <c r="G85" s="69">
        <f t="shared" si="122"/>
        <v>820.09614887999999</v>
      </c>
      <c r="H85" s="69">
        <f t="shared" si="122"/>
        <v>795.53972952000004</v>
      </c>
      <c r="I85" s="69">
        <f t="shared" si="122"/>
        <v>851.34977351999999</v>
      </c>
      <c r="J85" s="69">
        <f t="shared" si="122"/>
        <v>875.49086232000002</v>
      </c>
      <c r="K85" s="69">
        <f t="shared" si="122"/>
        <v>707.15219472000013</v>
      </c>
      <c r="L85" s="69">
        <f t="shared" si="122"/>
        <v>667.44918900000005</v>
      </c>
      <c r="M85" s="69">
        <f t="shared" si="122"/>
        <v>635.71533840000006</v>
      </c>
      <c r="N85" s="69">
        <f t="shared" si="122"/>
        <v>635.0404262400001</v>
      </c>
      <c r="O85" s="69">
        <f t="shared" si="122"/>
        <v>669.22031425679995</v>
      </c>
      <c r="P85" s="69">
        <f t="shared" si="122"/>
        <v>672.00484608000011</v>
      </c>
      <c r="Q85" s="69">
        <f t="shared" si="122"/>
        <v>752.78664000000003</v>
      </c>
      <c r="R85" s="69">
        <f t="shared" si="122"/>
        <v>628.70663520000005</v>
      </c>
      <c r="S85" s="69">
        <f t="shared" si="122"/>
        <v>601.24290192000012</v>
      </c>
      <c r="T85" s="69">
        <f t="shared" si="122"/>
        <v>562.40949455999998</v>
      </c>
      <c r="U85" s="69">
        <f t="shared" si="122"/>
        <v>518.22870624000007</v>
      </c>
      <c r="V85" s="69">
        <f t="shared" si="122"/>
        <v>1081.7284435200002</v>
      </c>
      <c r="W85" s="69">
        <f t="shared" si="122"/>
        <v>559.96942751999995</v>
      </c>
      <c r="X85" s="69">
        <f t="shared" si="122"/>
        <v>643.39895376000004</v>
      </c>
      <c r="Y85" s="69">
        <f t="shared" si="122"/>
        <v>628.18747200000007</v>
      </c>
      <c r="Z85" s="69">
        <f t="shared" si="122"/>
        <v>665.02210104000005</v>
      </c>
      <c r="AA85" s="69">
        <f t="shared" si="122"/>
        <v>714.03110712000012</v>
      </c>
      <c r="AB85" s="69">
        <f t="shared" si="122"/>
        <v>811.19250000000011</v>
      </c>
      <c r="AC85" s="69">
        <f t="shared" si="122"/>
        <v>945.80998622856021</v>
      </c>
      <c r="AD85" s="69">
        <f t="shared" si="122"/>
        <v>862.48080000000016</v>
      </c>
      <c r="AE85" s="215">
        <f t="shared" si="122"/>
        <v>870.85440000000006</v>
      </c>
      <c r="AF85" s="215">
        <f t="shared" ref="AF85" si="123">IFERROR(AF46*0.041868*1000,"NA")</f>
        <v>828.98640000000012</v>
      </c>
      <c r="AG85" s="51"/>
    </row>
    <row r="86" spans="2:34" x14ac:dyDescent="0.35">
      <c r="B86" s="112" t="s">
        <v>196</v>
      </c>
      <c r="C86" s="117" t="s">
        <v>5</v>
      </c>
      <c r="D86" s="69">
        <f t="shared" ref="D86:AE86" si="124">IFERROR(D47*0.041868*1000,"NA")</f>
        <v>196.35924528000001</v>
      </c>
      <c r="E86" s="69">
        <f t="shared" si="124"/>
        <v>179.25616728000003</v>
      </c>
      <c r="F86" s="69">
        <f t="shared" si="124"/>
        <v>112.4825688</v>
      </c>
      <c r="G86" s="69">
        <f t="shared" si="124"/>
        <v>113.62807728000001</v>
      </c>
      <c r="H86" s="69">
        <f t="shared" si="124"/>
        <v>69.716918880000009</v>
      </c>
      <c r="I86" s="69">
        <f t="shared" si="124"/>
        <v>62.048376000000005</v>
      </c>
      <c r="J86" s="69">
        <f t="shared" si="124"/>
        <v>54.093456000000003</v>
      </c>
      <c r="K86" s="69">
        <f t="shared" si="124"/>
        <v>39.7746</v>
      </c>
      <c r="L86" s="69">
        <f t="shared" si="124"/>
        <v>31.819680000000002</v>
      </c>
      <c r="M86" s="69">
        <f t="shared" si="124"/>
        <v>28.637712000000004</v>
      </c>
      <c r="N86" s="69">
        <f t="shared" si="124"/>
        <v>23.86476</v>
      </c>
      <c r="O86" s="69">
        <f t="shared" si="124"/>
        <v>23.86476</v>
      </c>
      <c r="P86" s="69">
        <f t="shared" si="124"/>
        <v>23.069268000000005</v>
      </c>
      <c r="Q86" s="69">
        <f t="shared" si="124"/>
        <v>22.751071200000002</v>
      </c>
      <c r="R86" s="69">
        <f t="shared" si="124"/>
        <v>22.512423600000005</v>
      </c>
      <c r="S86" s="69">
        <f t="shared" si="124"/>
        <v>22.273776000000002</v>
      </c>
      <c r="T86" s="69">
        <f t="shared" si="124"/>
        <v>22.671522</v>
      </c>
      <c r="U86" s="69">
        <f t="shared" si="124"/>
        <v>22.671522</v>
      </c>
      <c r="V86" s="69">
        <f t="shared" si="124"/>
        <v>22.671522</v>
      </c>
      <c r="W86" s="69">
        <f t="shared" si="124"/>
        <v>22.687431840000002</v>
      </c>
      <c r="X86" s="69">
        <f t="shared" si="124"/>
        <v>22.687431840000002</v>
      </c>
      <c r="Y86" s="69">
        <f t="shared" si="124"/>
        <v>22.671522</v>
      </c>
      <c r="Z86" s="69">
        <f t="shared" si="124"/>
        <v>22.432874399999999</v>
      </c>
      <c r="AA86" s="69">
        <f t="shared" si="124"/>
        <v>22.035128399999998</v>
      </c>
      <c r="AB86" s="69">
        <f t="shared" si="124"/>
        <v>21.366915120000002</v>
      </c>
      <c r="AC86" s="69">
        <f t="shared" si="124"/>
        <v>20.682792000000003</v>
      </c>
      <c r="AD86" s="69">
        <f t="shared" si="124"/>
        <v>20.934000000000001</v>
      </c>
      <c r="AE86" s="215">
        <f t="shared" si="124"/>
        <v>20.934000000000001</v>
      </c>
      <c r="AF86" s="215">
        <f t="shared" ref="AF86" si="125">IFERROR(AF47*0.041868*1000,"NA")</f>
        <v>20.934000000000001</v>
      </c>
      <c r="AG86" s="51"/>
    </row>
    <row r="87" spans="2:34" x14ac:dyDescent="0.35">
      <c r="B87" s="112" t="s">
        <v>197</v>
      </c>
      <c r="C87" s="117" t="s">
        <v>5</v>
      </c>
      <c r="D87" s="69">
        <f t="shared" ref="D87:AE87" si="126">IFERROR(D48*0.041868*1000,"NA")</f>
        <v>1156.9750467113024</v>
      </c>
      <c r="E87" s="69">
        <f t="shared" si="126"/>
        <v>1241.2167893625499</v>
      </c>
      <c r="F87" s="69">
        <f t="shared" si="126"/>
        <v>1291.2447077556199</v>
      </c>
      <c r="G87" s="69">
        <f t="shared" si="126"/>
        <v>1329.65389892589</v>
      </c>
      <c r="H87" s="69">
        <f t="shared" si="126"/>
        <v>1332.7276260393387</v>
      </c>
      <c r="I87" s="69">
        <f t="shared" si="126"/>
        <v>1497.0087571972897</v>
      </c>
      <c r="J87" s="69">
        <f t="shared" si="126"/>
        <v>1606.3579191288129</v>
      </c>
      <c r="K87" s="69">
        <f t="shared" si="126"/>
        <v>1785.9683579227676</v>
      </c>
      <c r="L87" s="69">
        <f t="shared" si="126"/>
        <v>1984.7496134787166</v>
      </c>
      <c r="M87" s="69">
        <f t="shared" si="126"/>
        <v>2011.7498023940725</v>
      </c>
      <c r="N87" s="69">
        <f t="shared" si="126"/>
        <v>2345.4909790847482</v>
      </c>
      <c r="O87" s="69">
        <f t="shared" si="126"/>
        <v>2560.7866431371167</v>
      </c>
      <c r="P87" s="69">
        <f t="shared" si="126"/>
        <v>2561.9884327196592</v>
      </c>
      <c r="Q87" s="69">
        <f t="shared" si="126"/>
        <v>2671.8187597405677</v>
      </c>
      <c r="R87" s="69">
        <f t="shared" si="126"/>
        <v>2767.8806894172722</v>
      </c>
      <c r="S87" s="69">
        <f t="shared" si="126"/>
        <v>2801.7394391533521</v>
      </c>
      <c r="T87" s="69">
        <f t="shared" si="126"/>
        <v>3028.1345361448366</v>
      </c>
      <c r="U87" s="69">
        <f t="shared" si="126"/>
        <v>3166.5521149972014</v>
      </c>
      <c r="V87" s="69">
        <f t="shared" si="126"/>
        <v>3286.3154499360085</v>
      </c>
      <c r="W87" s="69">
        <f t="shared" si="126"/>
        <v>3229.8910963915259</v>
      </c>
      <c r="X87" s="69">
        <f t="shared" si="126"/>
        <v>3363.4820599372106</v>
      </c>
      <c r="Y87" s="69">
        <f t="shared" si="126"/>
        <v>3345.0323212445142</v>
      </c>
      <c r="Z87" s="69">
        <f t="shared" si="126"/>
        <v>3347.2344982039131</v>
      </c>
      <c r="AA87" s="69">
        <f t="shared" si="126"/>
        <v>3465.1930797879263</v>
      </c>
      <c r="AB87" s="69">
        <f t="shared" si="126"/>
        <v>3399.8725031292092</v>
      </c>
      <c r="AC87" s="69">
        <f t="shared" si="126"/>
        <v>3463.1444976572293</v>
      </c>
      <c r="AD87" s="69">
        <f t="shared" si="126"/>
        <v>3491.7912000000006</v>
      </c>
      <c r="AE87" s="215">
        <f t="shared" si="126"/>
        <v>3575.5272000000004</v>
      </c>
      <c r="AF87" s="215">
        <f t="shared" ref="AF87" si="127">IFERROR(AF48*0.041868*1000,"NA")</f>
        <v>3604.8348000000001</v>
      </c>
      <c r="AG87" s="51"/>
    </row>
    <row r="88" spans="2:34" x14ac:dyDescent="0.35">
      <c r="B88" s="112" t="s">
        <v>16</v>
      </c>
      <c r="C88" s="117" t="s">
        <v>5</v>
      </c>
      <c r="D88" s="69">
        <f t="shared" ref="D88:AE88" si="128">IFERROR(D50*0.041868*1000,"NA")</f>
        <v>8020.5690240000004</v>
      </c>
      <c r="E88" s="69">
        <f t="shared" si="128"/>
        <v>7430.3976960000009</v>
      </c>
      <c r="F88" s="69">
        <f t="shared" si="128"/>
        <v>8186.7012480000003</v>
      </c>
      <c r="G88" s="69">
        <f t="shared" si="128"/>
        <v>7891.2806399999999</v>
      </c>
      <c r="H88" s="69">
        <f t="shared" si="128"/>
        <v>6889.128192000001</v>
      </c>
      <c r="I88" s="69">
        <f t="shared" si="128"/>
        <v>8151.867072</v>
      </c>
      <c r="J88" s="69">
        <f t="shared" si="128"/>
        <v>7114.8804480000008</v>
      </c>
      <c r="K88" s="69">
        <f t="shared" si="128"/>
        <v>7662.1789440000011</v>
      </c>
      <c r="L88" s="69">
        <f t="shared" si="128"/>
        <v>6702.8993280000013</v>
      </c>
      <c r="M88" s="69">
        <f t="shared" si="128"/>
        <v>4022.007552</v>
      </c>
      <c r="N88" s="69">
        <f t="shared" si="128"/>
        <v>3562.4643839999999</v>
      </c>
      <c r="O88" s="69">
        <f t="shared" si="128"/>
        <v>3543.7075200000004</v>
      </c>
      <c r="P88" s="69">
        <f t="shared" si="128"/>
        <v>2965.7415513600004</v>
      </c>
      <c r="Q88" s="69">
        <f t="shared" si="128"/>
        <v>3418.0767244799999</v>
      </c>
      <c r="R88" s="69">
        <f t="shared" si="128"/>
        <v>3472.5587155200005</v>
      </c>
      <c r="S88" s="69">
        <f t="shared" si="128"/>
        <v>3189.9932582400002</v>
      </c>
      <c r="T88" s="69">
        <f t="shared" si="128"/>
        <v>3105.3529094400001</v>
      </c>
      <c r="U88" s="69">
        <f t="shared" si="128"/>
        <v>2683.87947648</v>
      </c>
      <c r="V88" s="69">
        <f t="shared" si="128"/>
        <v>1602.88121088</v>
      </c>
      <c r="W88" s="69">
        <f t="shared" si="128"/>
        <v>1519.0313299200002</v>
      </c>
      <c r="X88" s="69">
        <f t="shared" si="128"/>
        <v>1781.8216934400002</v>
      </c>
      <c r="Y88" s="69">
        <f t="shared" si="128"/>
        <v>1636.4559974400001</v>
      </c>
      <c r="Z88" s="69">
        <f t="shared" si="128"/>
        <v>1427.68540224</v>
      </c>
      <c r="AA88" s="69">
        <f t="shared" si="128"/>
        <v>1370.3563872000002</v>
      </c>
      <c r="AB88" s="69">
        <f t="shared" si="128"/>
        <v>1192.2197702400001</v>
      </c>
      <c r="AC88" s="69">
        <f t="shared" si="128"/>
        <v>1324.0068364800002</v>
      </c>
      <c r="AD88" s="69">
        <f t="shared" si="128"/>
        <v>1063.4471999999998</v>
      </c>
      <c r="AE88" s="215">
        <f t="shared" si="128"/>
        <v>908.53560000000004</v>
      </c>
      <c r="AF88" s="215">
        <f t="shared" ref="AF88" si="129">IFERROR(AF50*0.041868*1000,"NA")</f>
        <v>782.93160000000012</v>
      </c>
      <c r="AG88" s="51"/>
    </row>
    <row r="89" spans="2:34" s="3" customFormat="1" x14ac:dyDescent="0.35">
      <c r="B89" s="113" t="s">
        <v>198</v>
      </c>
      <c r="C89" s="115" t="s">
        <v>5</v>
      </c>
      <c r="D89" s="118">
        <f t="shared" ref="D89:AE89" si="130">IFERROR(D51*0.041868*1000,"NA")</f>
        <v>9033.1993576799996</v>
      </c>
      <c r="E89" s="118">
        <f t="shared" si="130"/>
        <v>9223.2945640079997</v>
      </c>
      <c r="F89" s="118">
        <f t="shared" si="130"/>
        <v>10438.964852256002</v>
      </c>
      <c r="G89" s="118">
        <f t="shared" si="130"/>
        <v>10734.094310184</v>
      </c>
      <c r="H89" s="118">
        <f t="shared" si="130"/>
        <v>11293.228973520001</v>
      </c>
      <c r="I89" s="118">
        <f t="shared" si="130"/>
        <v>11252.711551463999</v>
      </c>
      <c r="J89" s="118">
        <f t="shared" si="130"/>
        <v>11951.461675944001</v>
      </c>
      <c r="K89" s="118">
        <f t="shared" si="130"/>
        <v>12198.890419056001</v>
      </c>
      <c r="L89" s="118">
        <f t="shared" si="130"/>
        <v>12945.827121419519</v>
      </c>
      <c r="M89" s="118">
        <f t="shared" si="130"/>
        <v>13647.286581119999</v>
      </c>
      <c r="N89" s="118">
        <f t="shared" si="130"/>
        <v>15072.391239839999</v>
      </c>
      <c r="O89" s="118">
        <f t="shared" si="130"/>
        <v>15770.357176680003</v>
      </c>
      <c r="P89" s="118">
        <f t="shared" si="130"/>
        <v>15430.313151864</v>
      </c>
      <c r="Q89" s="118">
        <f t="shared" si="130"/>
        <v>16517.142959975998</v>
      </c>
      <c r="R89" s="118">
        <f t="shared" si="130"/>
        <v>17272.918790956803</v>
      </c>
      <c r="S89" s="118">
        <f t="shared" si="130"/>
        <v>17694.620220297598</v>
      </c>
      <c r="T89" s="118">
        <f t="shared" si="130"/>
        <v>18002.659290840002</v>
      </c>
      <c r="U89" s="118">
        <f t="shared" si="130"/>
        <v>17400.145510900802</v>
      </c>
      <c r="V89" s="118">
        <f t="shared" si="130"/>
        <v>17193.044594793602</v>
      </c>
      <c r="W89" s="118">
        <f t="shared" si="130"/>
        <v>16533.2676330576</v>
      </c>
      <c r="X89" s="118">
        <f t="shared" si="130"/>
        <v>17651.044290600003</v>
      </c>
      <c r="Y89" s="118">
        <f t="shared" si="130"/>
        <v>18224.595697320005</v>
      </c>
      <c r="Z89" s="118">
        <f t="shared" si="130"/>
        <v>17888.638491720001</v>
      </c>
      <c r="AA89" s="118">
        <f t="shared" si="130"/>
        <v>18370.985065920002</v>
      </c>
      <c r="AB89" s="118">
        <f t="shared" si="130"/>
        <v>19014.076708560002</v>
      </c>
      <c r="AC89" s="118">
        <f t="shared" si="130"/>
        <v>19390.280232542402</v>
      </c>
      <c r="AD89" s="118">
        <f t="shared" si="130"/>
        <v>21168.460799999997</v>
      </c>
      <c r="AE89" s="214">
        <f t="shared" si="130"/>
        <v>22206.787200000002</v>
      </c>
      <c r="AF89" s="214">
        <f t="shared" ref="AF89" si="131">IFERROR(AF51*0.041868*1000,"NA")</f>
        <v>22617.093600000004</v>
      </c>
      <c r="AG89" s="125">
        <f>AF89/AF$80</f>
        <v>0.54592897870250401</v>
      </c>
      <c r="AH89" s="125">
        <f>(AF89-AA89)/AA89</f>
        <v>0.23113123868120464</v>
      </c>
    </row>
    <row r="90" spans="2:34" x14ac:dyDescent="0.35">
      <c r="B90" s="111" t="s">
        <v>199</v>
      </c>
      <c r="C90" s="117" t="s">
        <v>5</v>
      </c>
      <c r="D90" s="69">
        <f t="shared" ref="D90:AE90" si="132">IFERROR(D52*0.041868*1000,"NA")</f>
        <v>2676.8272305600003</v>
      </c>
      <c r="E90" s="69">
        <f t="shared" si="132"/>
        <v>2778.7473403200001</v>
      </c>
      <c r="F90" s="69">
        <f t="shared" si="132"/>
        <v>3067.9128691200012</v>
      </c>
      <c r="G90" s="69">
        <f t="shared" si="132"/>
        <v>3269.5826515200006</v>
      </c>
      <c r="H90" s="69">
        <f t="shared" si="132"/>
        <v>3599.0821368000006</v>
      </c>
      <c r="I90" s="69">
        <f t="shared" si="132"/>
        <v>3796.3658275200005</v>
      </c>
      <c r="J90" s="69">
        <f t="shared" si="132"/>
        <v>3951.4164292800006</v>
      </c>
      <c r="K90" s="69">
        <f t="shared" si="132"/>
        <v>3964.2581822400011</v>
      </c>
      <c r="L90" s="69">
        <f t="shared" si="132"/>
        <v>4017.8186016595205</v>
      </c>
      <c r="M90" s="69">
        <f t="shared" si="132"/>
        <v>4068.8913384000002</v>
      </c>
      <c r="N90" s="69">
        <f t="shared" si="132"/>
        <v>9999.2825236799981</v>
      </c>
      <c r="O90" s="69">
        <f t="shared" si="132"/>
        <v>9987.1341048000031</v>
      </c>
      <c r="P90" s="69">
        <f t="shared" si="132"/>
        <v>10342.655825285879</v>
      </c>
      <c r="Q90" s="69">
        <f t="shared" si="132"/>
        <v>10773.769863475078</v>
      </c>
      <c r="R90" s="69">
        <f t="shared" si="132"/>
        <v>10992.821535028799</v>
      </c>
      <c r="S90" s="69">
        <f t="shared" si="132"/>
        <v>11342.869947752399</v>
      </c>
      <c r="T90" s="69">
        <f t="shared" si="132"/>
        <v>11534.796447839999</v>
      </c>
      <c r="U90" s="69">
        <f t="shared" si="132"/>
        <v>11035.039587933961</v>
      </c>
      <c r="V90" s="69">
        <f t="shared" si="132"/>
        <v>11125.713694568401</v>
      </c>
      <c r="W90" s="69">
        <f t="shared" si="132"/>
        <v>11584.540719220682</v>
      </c>
      <c r="X90" s="69">
        <f t="shared" si="132"/>
        <v>12165.379747057799</v>
      </c>
      <c r="Y90" s="69">
        <f t="shared" si="132"/>
        <v>12272.539950190441</v>
      </c>
      <c r="Z90" s="69">
        <f t="shared" si="132"/>
        <v>12737.447211600002</v>
      </c>
      <c r="AA90" s="69">
        <f t="shared" si="132"/>
        <v>12982.668087600003</v>
      </c>
      <c r="AB90" s="69">
        <f t="shared" si="132"/>
        <v>13358.33876592</v>
      </c>
      <c r="AC90" s="69">
        <f t="shared" si="132"/>
        <v>13848.742074722402</v>
      </c>
      <c r="AD90" s="69">
        <f t="shared" si="132"/>
        <v>14599.3716</v>
      </c>
      <c r="AE90" s="215">
        <f t="shared" si="132"/>
        <v>15097.600800000002</v>
      </c>
      <c r="AF90" s="215">
        <f t="shared" ref="AF90" si="133">IFERROR(AF52*0.041868*1000,"NA")</f>
        <v>15394.863600000002</v>
      </c>
      <c r="AG90" s="51"/>
    </row>
    <row r="91" spans="2:34" x14ac:dyDescent="0.35">
      <c r="B91" s="112" t="s">
        <v>130</v>
      </c>
      <c r="C91" s="117" t="s">
        <v>5</v>
      </c>
      <c r="D91" s="69">
        <f t="shared" ref="D91:AE91" si="134">IFERROR(D53*0.041868*1000,"NA")</f>
        <v>2676.8272305600003</v>
      </c>
      <c r="E91" s="69">
        <f t="shared" si="134"/>
        <v>2778.7473403200001</v>
      </c>
      <c r="F91" s="69">
        <f t="shared" si="134"/>
        <v>3067.9128691200012</v>
      </c>
      <c r="G91" s="69">
        <f t="shared" si="134"/>
        <v>3269.5826515200006</v>
      </c>
      <c r="H91" s="69">
        <f t="shared" si="134"/>
        <v>3599.0821368000006</v>
      </c>
      <c r="I91" s="69">
        <f t="shared" si="134"/>
        <v>3796.3658275200005</v>
      </c>
      <c r="J91" s="69">
        <f t="shared" si="134"/>
        <v>3951.4164292800006</v>
      </c>
      <c r="K91" s="69">
        <f t="shared" si="134"/>
        <v>3964.2581822400011</v>
      </c>
      <c r="L91" s="69">
        <f t="shared" si="134"/>
        <v>4005.9034444800004</v>
      </c>
      <c r="M91" s="69">
        <f t="shared" si="134"/>
        <v>4046.9608800000005</v>
      </c>
      <c r="N91" s="69">
        <f t="shared" si="134"/>
        <v>4028.873904</v>
      </c>
      <c r="O91" s="69">
        <f t="shared" si="134"/>
        <v>3845.3815324800003</v>
      </c>
      <c r="P91" s="69">
        <f t="shared" si="134"/>
        <v>3844.7484883200004</v>
      </c>
      <c r="Q91" s="69">
        <f t="shared" si="134"/>
        <v>3901.5415929599994</v>
      </c>
      <c r="R91" s="69">
        <f t="shared" si="134"/>
        <v>3979.632111840001</v>
      </c>
      <c r="S91" s="69">
        <f t="shared" si="134"/>
        <v>4046.8704451200006</v>
      </c>
      <c r="T91" s="69">
        <f t="shared" si="134"/>
        <v>3928.7624918400002</v>
      </c>
      <c r="U91" s="69">
        <f t="shared" si="134"/>
        <v>4361.8099147200001</v>
      </c>
      <c r="V91" s="69">
        <f t="shared" si="134"/>
        <v>4470.5126404800003</v>
      </c>
      <c r="W91" s="69">
        <f t="shared" si="134"/>
        <v>4922.8679102400001</v>
      </c>
      <c r="X91" s="69">
        <f t="shared" si="134"/>
        <v>5212.0334390400003</v>
      </c>
      <c r="Y91" s="69">
        <f t="shared" si="134"/>
        <v>5307.1709328000006</v>
      </c>
      <c r="Z91" s="69">
        <f t="shared" si="134"/>
        <v>5577.6616588800007</v>
      </c>
      <c r="AA91" s="69">
        <f t="shared" si="134"/>
        <v>5829.7941043200008</v>
      </c>
      <c r="AB91" s="69">
        <f t="shared" si="134"/>
        <v>6205.8223353600006</v>
      </c>
      <c r="AC91" s="69">
        <f t="shared" si="134"/>
        <v>6672.4984205424007</v>
      </c>
      <c r="AD91" s="69">
        <f t="shared" si="134"/>
        <v>7314.3396000000002</v>
      </c>
      <c r="AE91" s="215">
        <f t="shared" si="134"/>
        <v>7674.4044000000013</v>
      </c>
      <c r="AF91" s="215">
        <f t="shared" ref="AF91" si="135">IFERROR(AF53*0.041868*1000,"NA")</f>
        <v>7825.1292000000012</v>
      </c>
      <c r="AG91" s="51"/>
    </row>
    <row r="92" spans="2:34" x14ac:dyDescent="0.35">
      <c r="B92" s="112" t="s">
        <v>61</v>
      </c>
      <c r="C92" s="117" t="s">
        <v>5</v>
      </c>
      <c r="D92" s="69" t="str">
        <f t="shared" ref="D92:AE92" si="136">IFERROR(D54*0.041868*1000,"NA")</f>
        <v>NA</v>
      </c>
      <c r="E92" s="69" t="str">
        <f t="shared" si="136"/>
        <v>NA</v>
      </c>
      <c r="F92" s="69" t="str">
        <f t="shared" si="136"/>
        <v>NA</v>
      </c>
      <c r="G92" s="69" t="str">
        <f t="shared" si="136"/>
        <v>NA</v>
      </c>
      <c r="H92" s="69" t="str">
        <f t="shared" si="136"/>
        <v>NA</v>
      </c>
      <c r="I92" s="69" t="str">
        <f t="shared" si="136"/>
        <v>NA</v>
      </c>
      <c r="J92" s="69" t="str">
        <f t="shared" si="136"/>
        <v>NA</v>
      </c>
      <c r="K92" s="69" t="str">
        <f t="shared" si="136"/>
        <v>NA</v>
      </c>
      <c r="L92" s="69" t="str">
        <f t="shared" si="136"/>
        <v>NA</v>
      </c>
      <c r="M92" s="69" t="str">
        <f t="shared" si="136"/>
        <v>NA</v>
      </c>
      <c r="N92" s="69">
        <f t="shared" si="136"/>
        <v>5941.7859801599998</v>
      </c>
      <c r="O92" s="69">
        <f t="shared" si="136"/>
        <v>6104.6742715200016</v>
      </c>
      <c r="P92" s="69">
        <f t="shared" si="136"/>
        <v>6442.9229299258795</v>
      </c>
      <c r="Q92" s="69">
        <f t="shared" si="136"/>
        <v>6771.7099013950801</v>
      </c>
      <c r="R92" s="69">
        <f t="shared" si="136"/>
        <v>6891.5092921488003</v>
      </c>
      <c r="S92" s="69">
        <f t="shared" si="136"/>
        <v>6991.8670011924005</v>
      </c>
      <c r="T92" s="69">
        <f t="shared" si="136"/>
        <v>7294.6214467199998</v>
      </c>
      <c r="U92" s="69">
        <f t="shared" si="136"/>
        <v>6373.3023936939608</v>
      </c>
      <c r="V92" s="69">
        <f t="shared" si="136"/>
        <v>6420.7938451284008</v>
      </c>
      <c r="W92" s="69">
        <f t="shared" si="136"/>
        <v>6454.2604117006813</v>
      </c>
      <c r="X92" s="69">
        <f t="shared" si="136"/>
        <v>6743.4921689777993</v>
      </c>
      <c r="Y92" s="69">
        <f t="shared" si="136"/>
        <v>6761.8001025104413</v>
      </c>
      <c r="Z92" s="69">
        <f t="shared" si="136"/>
        <v>6962.501862000001</v>
      </c>
      <c r="AA92" s="69">
        <f t="shared" si="136"/>
        <v>6968.9294373599996</v>
      </c>
      <c r="AB92" s="69">
        <f t="shared" si="136"/>
        <v>6983.2223352000001</v>
      </c>
      <c r="AC92" s="69">
        <f t="shared" si="136"/>
        <v>7032.0000205799997</v>
      </c>
      <c r="AD92" s="69">
        <f t="shared" si="136"/>
        <v>7125.9335999999994</v>
      </c>
      <c r="AE92" s="215">
        <f t="shared" si="136"/>
        <v>7272.4715999999999</v>
      </c>
      <c r="AF92" s="215">
        <f t="shared" ref="AF92" si="137">IFERROR(AF54*0.041868*1000,"NA")</f>
        <v>7419.0096000000003</v>
      </c>
      <c r="AG92" s="51"/>
    </row>
    <row r="93" spans="2:34" x14ac:dyDescent="0.35">
      <c r="B93" s="112" t="s">
        <v>117</v>
      </c>
      <c r="C93" s="117" t="s">
        <v>5</v>
      </c>
      <c r="D93" s="69" t="str">
        <f t="shared" ref="D93:AE93" si="138">IFERROR(D55*0.041868*1000,"NA")</f>
        <v>NA</v>
      </c>
      <c r="E93" s="69" t="str">
        <f t="shared" si="138"/>
        <v>NA</v>
      </c>
      <c r="F93" s="69" t="str">
        <f t="shared" si="138"/>
        <v>NA</v>
      </c>
      <c r="G93" s="69" t="str">
        <f t="shared" si="138"/>
        <v>NA</v>
      </c>
      <c r="H93" s="69" t="str">
        <f t="shared" si="138"/>
        <v>NA</v>
      </c>
      <c r="I93" s="69" t="str">
        <f t="shared" si="138"/>
        <v>NA</v>
      </c>
      <c r="J93" s="69" t="str">
        <f t="shared" si="138"/>
        <v>NA</v>
      </c>
      <c r="K93" s="69" t="str">
        <f t="shared" si="138"/>
        <v>NA</v>
      </c>
      <c r="L93" s="69">
        <f t="shared" si="138"/>
        <v>11.915157179520001</v>
      </c>
      <c r="M93" s="69">
        <f t="shared" si="138"/>
        <v>21.930458400000003</v>
      </c>
      <c r="N93" s="69">
        <f t="shared" si="138"/>
        <v>28.622639520000014</v>
      </c>
      <c r="O93" s="69">
        <f t="shared" si="138"/>
        <v>37.078300800000008</v>
      </c>
      <c r="P93" s="69">
        <f t="shared" si="138"/>
        <v>54.984407040000022</v>
      </c>
      <c r="Q93" s="69">
        <f t="shared" si="138"/>
        <v>100.51836912</v>
      </c>
      <c r="R93" s="69">
        <f t="shared" si="138"/>
        <v>121.68013104000002</v>
      </c>
      <c r="S93" s="69">
        <f t="shared" si="138"/>
        <v>304.13250144000006</v>
      </c>
      <c r="T93" s="69">
        <f t="shared" si="138"/>
        <v>311.41250928000005</v>
      </c>
      <c r="U93" s="69">
        <f t="shared" si="138"/>
        <v>299.92727952000001</v>
      </c>
      <c r="V93" s="69">
        <f t="shared" si="138"/>
        <v>234.40720896000002</v>
      </c>
      <c r="W93" s="69">
        <f t="shared" si="138"/>
        <v>207.41239728000002</v>
      </c>
      <c r="X93" s="69">
        <f t="shared" si="138"/>
        <v>209.85413904000004</v>
      </c>
      <c r="Y93" s="69">
        <f t="shared" si="138"/>
        <v>203.56891488000008</v>
      </c>
      <c r="Z93" s="69">
        <f t="shared" si="138"/>
        <v>197.28369072000001</v>
      </c>
      <c r="AA93" s="69">
        <f t="shared" si="138"/>
        <v>183.94454592000002</v>
      </c>
      <c r="AB93" s="69">
        <f t="shared" si="138"/>
        <v>169.29409536</v>
      </c>
      <c r="AC93" s="69">
        <f t="shared" si="138"/>
        <v>144.24363360000004</v>
      </c>
      <c r="AD93" s="69">
        <f t="shared" si="138"/>
        <v>159.0984</v>
      </c>
      <c r="AE93" s="215">
        <f t="shared" si="138"/>
        <v>150.72480000000002</v>
      </c>
      <c r="AF93" s="215">
        <f t="shared" ref="AF93" si="139">IFERROR(AF55*0.041868*1000,"NA")</f>
        <v>150.72480000000002</v>
      </c>
      <c r="AG93" s="51"/>
    </row>
    <row r="94" spans="2:34" x14ac:dyDescent="0.35">
      <c r="B94" s="111" t="s">
        <v>200</v>
      </c>
      <c r="C94" s="117" t="s">
        <v>5</v>
      </c>
      <c r="D94" s="69">
        <f t="shared" ref="D94:AE94" si="140">IFERROR(D56*0.041868*1000,"NA")</f>
        <v>3144.6987811199997</v>
      </c>
      <c r="E94" s="69">
        <f t="shared" si="140"/>
        <v>3054.65243616</v>
      </c>
      <c r="F94" s="69">
        <f t="shared" si="140"/>
        <v>3720.8995948800007</v>
      </c>
      <c r="G94" s="69">
        <f t="shared" si="140"/>
        <v>3485.6818214400005</v>
      </c>
      <c r="H94" s="69">
        <f t="shared" si="140"/>
        <v>3499.2236073600006</v>
      </c>
      <c r="I94" s="69">
        <f t="shared" si="140"/>
        <v>3148.3563696000001</v>
      </c>
      <c r="J94" s="69">
        <f t="shared" si="140"/>
        <v>3508.1934076800007</v>
      </c>
      <c r="K94" s="69">
        <f t="shared" si="140"/>
        <v>3440.9634480000004</v>
      </c>
      <c r="L94" s="69">
        <f t="shared" si="140"/>
        <v>3898.6845206399998</v>
      </c>
      <c r="M94" s="69">
        <f t="shared" si="140"/>
        <v>4229.1302227200003</v>
      </c>
      <c r="N94" s="69">
        <f t="shared" si="140"/>
        <v>4706.1842630400006</v>
      </c>
      <c r="O94" s="69">
        <f t="shared" si="140"/>
        <v>5427.6871334400003</v>
      </c>
      <c r="P94" s="69">
        <f t="shared" si="140"/>
        <v>4744.9372838400004</v>
      </c>
      <c r="Q94" s="69">
        <f t="shared" si="140"/>
        <v>5383.0558454400007</v>
      </c>
      <c r="R94" s="69">
        <f t="shared" si="140"/>
        <v>5965.439725440001</v>
      </c>
      <c r="S94" s="69">
        <f t="shared" si="140"/>
        <v>5989.7365632000001</v>
      </c>
      <c r="T94" s="69">
        <f t="shared" si="140"/>
        <v>6141.83128416</v>
      </c>
      <c r="U94" s="69">
        <f t="shared" si="140"/>
        <v>6013.4238028800009</v>
      </c>
      <c r="V94" s="69">
        <f t="shared" si="140"/>
        <v>5731.5717763199991</v>
      </c>
      <c r="W94" s="69">
        <f t="shared" si="140"/>
        <v>4626.2398291200006</v>
      </c>
      <c r="X94" s="69">
        <f t="shared" si="140"/>
        <v>5162.1200841600003</v>
      </c>
      <c r="Y94" s="69">
        <f t="shared" si="140"/>
        <v>5624.4131424000007</v>
      </c>
      <c r="Z94" s="69">
        <f t="shared" si="140"/>
        <v>4815.0410630400011</v>
      </c>
      <c r="AA94" s="69">
        <f t="shared" si="140"/>
        <v>5055.0049929600009</v>
      </c>
      <c r="AB94" s="69">
        <f t="shared" si="140"/>
        <v>5310.8184729600007</v>
      </c>
      <c r="AC94" s="69">
        <f t="shared" si="140"/>
        <v>5205.7498895999997</v>
      </c>
      <c r="AD94" s="69">
        <f t="shared" si="140"/>
        <v>6179.7168000000001</v>
      </c>
      <c r="AE94" s="215">
        <f t="shared" si="140"/>
        <v>6707.2536</v>
      </c>
      <c r="AF94" s="215">
        <f t="shared" ref="AF94" si="141">IFERROR(AF56*0.041868*1000,"NA")</f>
        <v>6803.55</v>
      </c>
      <c r="AG94" s="51"/>
    </row>
    <row r="95" spans="2:34" x14ac:dyDescent="0.35">
      <c r="B95" s="112" t="s">
        <v>201</v>
      </c>
      <c r="C95" s="117" t="s">
        <v>5</v>
      </c>
      <c r="D95" s="69">
        <f t="shared" ref="D95:AE95" si="142">IFERROR(D57*0.041868*1000,"NA")</f>
        <v>3144.6987811199997</v>
      </c>
      <c r="E95" s="69">
        <f t="shared" si="142"/>
        <v>3054.65243616</v>
      </c>
      <c r="F95" s="69">
        <f t="shared" si="142"/>
        <v>3720.8995948800007</v>
      </c>
      <c r="G95" s="69">
        <f t="shared" si="142"/>
        <v>3485.6818214400005</v>
      </c>
      <c r="H95" s="69">
        <f t="shared" si="142"/>
        <v>3499.2236073600006</v>
      </c>
      <c r="I95" s="69">
        <f t="shared" si="142"/>
        <v>3148.3563696000001</v>
      </c>
      <c r="J95" s="69">
        <f t="shared" si="142"/>
        <v>3508.1934076800007</v>
      </c>
      <c r="K95" s="69">
        <f t="shared" si="142"/>
        <v>3440.9634480000004</v>
      </c>
      <c r="L95" s="69">
        <f t="shared" si="142"/>
        <v>3898.6845206399998</v>
      </c>
      <c r="M95" s="69">
        <f t="shared" si="142"/>
        <v>4229.1302227200003</v>
      </c>
      <c r="N95" s="69">
        <f t="shared" si="142"/>
        <v>4706.1842630400006</v>
      </c>
      <c r="O95" s="69">
        <f t="shared" si="142"/>
        <v>5427.6871334400003</v>
      </c>
      <c r="P95" s="69">
        <f t="shared" si="142"/>
        <v>4744.9372838400004</v>
      </c>
      <c r="Q95" s="69">
        <f t="shared" si="142"/>
        <v>5383.0558454400007</v>
      </c>
      <c r="R95" s="69">
        <f t="shared" si="142"/>
        <v>5965.439725440001</v>
      </c>
      <c r="S95" s="69">
        <f t="shared" si="142"/>
        <v>5989.7365632000001</v>
      </c>
      <c r="T95" s="69">
        <f t="shared" si="142"/>
        <v>6141.83128416</v>
      </c>
      <c r="U95" s="69">
        <f t="shared" si="142"/>
        <v>6013.4238028800009</v>
      </c>
      <c r="V95" s="69">
        <f t="shared" si="142"/>
        <v>5731.5717763199991</v>
      </c>
      <c r="W95" s="69">
        <f t="shared" si="142"/>
        <v>4626.2398291200006</v>
      </c>
      <c r="X95" s="69">
        <f t="shared" si="142"/>
        <v>5162.1200841600003</v>
      </c>
      <c r="Y95" s="69">
        <f t="shared" si="142"/>
        <v>5624.4131424000007</v>
      </c>
      <c r="Z95" s="69">
        <f t="shared" si="142"/>
        <v>4815.0410630400011</v>
      </c>
      <c r="AA95" s="69">
        <f t="shared" si="142"/>
        <v>5055.0049929600009</v>
      </c>
      <c r="AB95" s="69">
        <f t="shared" si="142"/>
        <v>5310.8184729600007</v>
      </c>
      <c r="AC95" s="69">
        <f t="shared" si="142"/>
        <v>5205.7498895999997</v>
      </c>
      <c r="AD95" s="69">
        <f t="shared" si="142"/>
        <v>6179.7168000000001</v>
      </c>
      <c r="AE95" s="215">
        <f t="shared" si="142"/>
        <v>6707.2536</v>
      </c>
      <c r="AF95" s="215">
        <f t="shared" ref="AF95" si="143">IFERROR(AF57*0.041868*1000,"NA")</f>
        <v>6803.55</v>
      </c>
      <c r="AG95" s="51"/>
    </row>
    <row r="96" spans="2:34" x14ac:dyDescent="0.35">
      <c r="B96" s="111" t="s">
        <v>202</v>
      </c>
      <c r="C96" s="117" t="s">
        <v>5</v>
      </c>
      <c r="D96" s="69">
        <f t="shared" ref="D96:AE96" si="144">IFERROR(D58*0.041868*1000,"NA")</f>
        <v>3211.6733460000005</v>
      </c>
      <c r="E96" s="69">
        <f t="shared" si="144"/>
        <v>3389.8947875280005</v>
      </c>
      <c r="F96" s="69">
        <f t="shared" si="144"/>
        <v>3650.152388256</v>
      </c>
      <c r="G96" s="69">
        <f t="shared" si="144"/>
        <v>3978.8298372240006</v>
      </c>
      <c r="H96" s="69">
        <f t="shared" si="144"/>
        <v>4194.9232293600007</v>
      </c>
      <c r="I96" s="69">
        <f t="shared" si="144"/>
        <v>4307.9893543440003</v>
      </c>
      <c r="J96" s="69">
        <f t="shared" si="144"/>
        <v>4491.8518389840001</v>
      </c>
      <c r="K96" s="69">
        <f t="shared" si="144"/>
        <v>4793.6687888160004</v>
      </c>
      <c r="L96" s="69">
        <f t="shared" si="144"/>
        <v>5029.3239991199998</v>
      </c>
      <c r="M96" s="69">
        <f t="shared" si="144"/>
        <v>5349.2650200000007</v>
      </c>
      <c r="N96" s="69">
        <f t="shared" si="144"/>
        <v>366.92445312000012</v>
      </c>
      <c r="O96" s="69">
        <f t="shared" si="144"/>
        <v>355.53593844000005</v>
      </c>
      <c r="P96" s="69">
        <f t="shared" si="144"/>
        <v>342.72004273811996</v>
      </c>
      <c r="Q96" s="69">
        <f t="shared" si="144"/>
        <v>360.31725106092</v>
      </c>
      <c r="R96" s="69">
        <f t="shared" si="144"/>
        <v>314.65753048800002</v>
      </c>
      <c r="S96" s="69">
        <f t="shared" si="144"/>
        <v>362.01370934519997</v>
      </c>
      <c r="T96" s="69">
        <f t="shared" si="144"/>
        <v>326.03155884</v>
      </c>
      <c r="U96" s="69">
        <f t="shared" si="144"/>
        <v>351.68212008684003</v>
      </c>
      <c r="V96" s="69">
        <f t="shared" si="144"/>
        <v>335.7591239052</v>
      </c>
      <c r="W96" s="69">
        <f t="shared" si="144"/>
        <v>322.48708471691998</v>
      </c>
      <c r="X96" s="69">
        <f t="shared" si="144"/>
        <v>323.54445938219999</v>
      </c>
      <c r="Y96" s="69">
        <f t="shared" si="144"/>
        <v>327.64260472956005</v>
      </c>
      <c r="Z96" s="69">
        <f t="shared" si="144"/>
        <v>336.15021708000006</v>
      </c>
      <c r="AA96" s="69">
        <f t="shared" si="144"/>
        <v>333.31198536000005</v>
      </c>
      <c r="AB96" s="69">
        <f t="shared" si="144"/>
        <v>344.91946968000002</v>
      </c>
      <c r="AC96" s="69">
        <f t="shared" si="144"/>
        <v>335.78826822000002</v>
      </c>
      <c r="AD96" s="69">
        <f t="shared" si="144"/>
        <v>389.37239999999997</v>
      </c>
      <c r="AE96" s="215">
        <f t="shared" si="144"/>
        <v>401.9328000000001</v>
      </c>
      <c r="AF96" s="215">
        <f t="shared" ref="AF96" si="145">IFERROR(AF58*0.041868*1000,"NA")</f>
        <v>418.68000000000006</v>
      </c>
      <c r="AG96" s="51"/>
    </row>
    <row r="97" spans="2:33" x14ac:dyDescent="0.35">
      <c r="B97" s="112" t="s">
        <v>58</v>
      </c>
      <c r="C97" s="117" t="s">
        <v>5</v>
      </c>
      <c r="D97" s="69" t="str">
        <f t="shared" ref="D97:AE97" si="146">IFERROR(D59*0.041868*1000,"NA")</f>
        <v>NA</v>
      </c>
      <c r="E97" s="69" t="str">
        <f t="shared" si="146"/>
        <v>NA</v>
      </c>
      <c r="F97" s="69" t="str">
        <f t="shared" si="146"/>
        <v>NA</v>
      </c>
      <c r="G97" s="69" t="str">
        <f t="shared" si="146"/>
        <v>NA</v>
      </c>
      <c r="H97" s="69" t="str">
        <f t="shared" si="146"/>
        <v>NA</v>
      </c>
      <c r="I97" s="69" t="str">
        <f t="shared" si="146"/>
        <v>NA</v>
      </c>
      <c r="J97" s="69" t="str">
        <f t="shared" si="146"/>
        <v>NA</v>
      </c>
      <c r="K97" s="69" t="str">
        <f t="shared" si="146"/>
        <v>NA</v>
      </c>
      <c r="L97" s="69" t="str">
        <f t="shared" si="146"/>
        <v>NA</v>
      </c>
      <c r="M97" s="69" t="str">
        <f t="shared" si="146"/>
        <v>NA</v>
      </c>
      <c r="N97" s="69">
        <f t="shared" si="146"/>
        <v>172.87129728000002</v>
      </c>
      <c r="O97" s="69">
        <f t="shared" si="146"/>
        <v>182.76889248000001</v>
      </c>
      <c r="P97" s="69">
        <f t="shared" si="146"/>
        <v>185.207619744</v>
      </c>
      <c r="Q97" s="69">
        <f t="shared" si="146"/>
        <v>178.82794137600004</v>
      </c>
      <c r="R97" s="69">
        <f t="shared" si="146"/>
        <v>160.31330887680002</v>
      </c>
      <c r="S97" s="69">
        <f t="shared" si="146"/>
        <v>169.16025173759999</v>
      </c>
      <c r="T97" s="69">
        <f t="shared" si="146"/>
        <v>175.04173440000002</v>
      </c>
      <c r="U97" s="69">
        <f t="shared" si="146"/>
        <v>194.75091118079999</v>
      </c>
      <c r="V97" s="69">
        <f t="shared" si="146"/>
        <v>175.68965007359998</v>
      </c>
      <c r="W97" s="69">
        <f t="shared" si="146"/>
        <v>150.56081141760001</v>
      </c>
      <c r="X97" s="69">
        <f t="shared" si="146"/>
        <v>142.16363136000001</v>
      </c>
      <c r="Y97" s="69">
        <f t="shared" si="146"/>
        <v>143.69097600000001</v>
      </c>
      <c r="Z97" s="69">
        <f t="shared" si="146"/>
        <v>147.67011072</v>
      </c>
      <c r="AA97" s="69">
        <f t="shared" si="146"/>
        <v>141.68131199999999</v>
      </c>
      <c r="AB97" s="69">
        <f t="shared" si="146"/>
        <v>146.34373248</v>
      </c>
      <c r="AC97" s="69">
        <f t="shared" si="146"/>
        <v>130.74873984000001</v>
      </c>
      <c r="AD97" s="69">
        <f t="shared" si="146"/>
        <v>163.28520000000003</v>
      </c>
      <c r="AE97" s="215">
        <f t="shared" si="146"/>
        <v>163.28520000000003</v>
      </c>
      <c r="AF97" s="215">
        <f t="shared" ref="AF97" si="147">IFERROR(AF59*0.041868*1000,"NA")</f>
        <v>171.65880000000001</v>
      </c>
      <c r="AG97" s="51"/>
    </row>
    <row r="98" spans="2:33" x14ac:dyDescent="0.35">
      <c r="B98" s="112" t="s">
        <v>130</v>
      </c>
      <c r="C98" s="117" t="s">
        <v>5</v>
      </c>
      <c r="D98" s="69" t="str">
        <f t="shared" ref="D98:AE98" si="148">IFERROR(D60*0.041868*1000,"NA")</f>
        <v>NA</v>
      </c>
      <c r="E98" s="69" t="str">
        <f t="shared" si="148"/>
        <v>NA</v>
      </c>
      <c r="F98" s="69" t="str">
        <f t="shared" si="148"/>
        <v>NA</v>
      </c>
      <c r="G98" s="69" t="str">
        <f t="shared" si="148"/>
        <v>NA</v>
      </c>
      <c r="H98" s="69" t="str">
        <f t="shared" si="148"/>
        <v>NA</v>
      </c>
      <c r="I98" s="69" t="str">
        <f t="shared" si="148"/>
        <v>NA</v>
      </c>
      <c r="J98" s="69" t="str">
        <f t="shared" si="148"/>
        <v>NA</v>
      </c>
      <c r="K98" s="69" t="str">
        <f t="shared" si="148"/>
        <v>NA</v>
      </c>
      <c r="L98" s="69" t="str">
        <f t="shared" si="148"/>
        <v>NA</v>
      </c>
      <c r="M98" s="69" t="str">
        <f t="shared" si="148"/>
        <v>NA</v>
      </c>
      <c r="N98" s="69">
        <f t="shared" si="148"/>
        <v>131.13057599999999</v>
      </c>
      <c r="O98" s="69">
        <f t="shared" si="148"/>
        <v>122.40361008000005</v>
      </c>
      <c r="P98" s="69">
        <f t="shared" si="148"/>
        <v>112.09403376000002</v>
      </c>
      <c r="Q98" s="69">
        <f t="shared" si="148"/>
        <v>133.75318751999998</v>
      </c>
      <c r="R98" s="69">
        <f t="shared" si="148"/>
        <v>105.76359216000002</v>
      </c>
      <c r="S98" s="69">
        <f t="shared" si="148"/>
        <v>143.565372</v>
      </c>
      <c r="T98" s="69">
        <f t="shared" si="148"/>
        <v>100.88010863999999</v>
      </c>
      <c r="U98" s="69">
        <f t="shared" si="148"/>
        <v>112.00359888000003</v>
      </c>
      <c r="V98" s="69">
        <f t="shared" si="148"/>
        <v>114.80708016000001</v>
      </c>
      <c r="W98" s="69">
        <f t="shared" si="148"/>
        <v>126.42796224000003</v>
      </c>
      <c r="X98" s="69">
        <f t="shared" si="148"/>
        <v>133.84362239999999</v>
      </c>
      <c r="Y98" s="69">
        <f t="shared" si="148"/>
        <v>136.28536416</v>
      </c>
      <c r="Z98" s="69">
        <f t="shared" si="148"/>
        <v>140.40015120000001</v>
      </c>
      <c r="AA98" s="69">
        <f t="shared" si="148"/>
        <v>143.33928480000003</v>
      </c>
      <c r="AB98" s="69">
        <f t="shared" si="148"/>
        <v>147.40885440000002</v>
      </c>
      <c r="AC98" s="69">
        <f t="shared" si="148"/>
        <v>153.51320880000003</v>
      </c>
      <c r="AD98" s="69">
        <f t="shared" si="148"/>
        <v>175.84560000000002</v>
      </c>
      <c r="AE98" s="215">
        <f t="shared" si="148"/>
        <v>184.21920000000003</v>
      </c>
      <c r="AF98" s="215">
        <f t="shared" ref="AF98" si="149">IFERROR(AF60*0.041868*1000,"NA")</f>
        <v>192.59280000000001</v>
      </c>
      <c r="AG98" s="51"/>
    </row>
    <row r="99" spans="2:33" x14ac:dyDescent="0.35">
      <c r="B99" s="112" t="s">
        <v>61</v>
      </c>
      <c r="C99" s="117" t="s">
        <v>5</v>
      </c>
      <c r="D99" s="69">
        <f t="shared" ref="D99:AE99" si="150">IFERROR(D61*0.041868*1000,"NA")</f>
        <v>3211.6733460000005</v>
      </c>
      <c r="E99" s="69">
        <f t="shared" si="150"/>
        <v>3389.8947875280005</v>
      </c>
      <c r="F99" s="69">
        <f t="shared" si="150"/>
        <v>3650.152388256</v>
      </c>
      <c r="G99" s="69">
        <f t="shared" si="150"/>
        <v>3978.8298372240006</v>
      </c>
      <c r="H99" s="69">
        <f t="shared" si="150"/>
        <v>4194.9232293600007</v>
      </c>
      <c r="I99" s="69">
        <f t="shared" si="150"/>
        <v>4307.9893543440003</v>
      </c>
      <c r="J99" s="69">
        <f t="shared" si="150"/>
        <v>4491.8518389840001</v>
      </c>
      <c r="K99" s="69">
        <f t="shared" si="150"/>
        <v>4793.6687888160004</v>
      </c>
      <c r="L99" s="69">
        <f t="shared" si="150"/>
        <v>5029.3239991199998</v>
      </c>
      <c r="M99" s="69">
        <f t="shared" si="150"/>
        <v>5349.2650200000007</v>
      </c>
      <c r="N99" s="69">
        <f t="shared" si="150"/>
        <v>62.922579840000004</v>
      </c>
      <c r="O99" s="69">
        <f t="shared" si="150"/>
        <v>50.363435880000011</v>
      </c>
      <c r="P99" s="69">
        <f t="shared" si="150"/>
        <v>45.418389234120006</v>
      </c>
      <c r="Q99" s="69">
        <f t="shared" si="150"/>
        <v>47.736122164920005</v>
      </c>
      <c r="R99" s="69">
        <f t="shared" si="150"/>
        <v>48.580629451199997</v>
      </c>
      <c r="S99" s="69">
        <f t="shared" si="150"/>
        <v>49.288085607600003</v>
      </c>
      <c r="T99" s="69">
        <f t="shared" si="150"/>
        <v>50.109715800000004</v>
      </c>
      <c r="U99" s="69">
        <f t="shared" si="150"/>
        <v>44.92761002604</v>
      </c>
      <c r="V99" s="69">
        <f t="shared" si="150"/>
        <v>45.262393671600009</v>
      </c>
      <c r="W99" s="69">
        <f t="shared" si="150"/>
        <v>45.498311059320002</v>
      </c>
      <c r="X99" s="69">
        <f t="shared" si="150"/>
        <v>47.537205622199998</v>
      </c>
      <c r="Y99" s="69">
        <f t="shared" si="150"/>
        <v>47.666264569560013</v>
      </c>
      <c r="Z99" s="69">
        <f t="shared" si="150"/>
        <v>48.079955160000004</v>
      </c>
      <c r="AA99" s="69">
        <f t="shared" si="150"/>
        <v>48.291388560000009</v>
      </c>
      <c r="AB99" s="69">
        <f t="shared" si="150"/>
        <v>51.166882800000003</v>
      </c>
      <c r="AC99" s="69">
        <f t="shared" si="150"/>
        <v>51.526319580000006</v>
      </c>
      <c r="AD99" s="69">
        <f t="shared" si="150"/>
        <v>50.241600000000005</v>
      </c>
      <c r="AE99" s="215">
        <f t="shared" si="150"/>
        <v>54.428400000000003</v>
      </c>
      <c r="AF99" s="215">
        <f t="shared" ref="AF99" si="151">IFERROR(AF61*0.041868*1000,"NA")</f>
        <v>54.428400000000003</v>
      </c>
      <c r="AG99" s="51"/>
    </row>
    <row r="100" spans="2:33" s="3" customFormat="1" x14ac:dyDescent="0.35">
      <c r="B100" s="3" t="s">
        <v>203</v>
      </c>
      <c r="C100" s="115" t="s">
        <v>5</v>
      </c>
      <c r="D100" s="118">
        <f t="shared" ref="D100:AE100" si="152">IFERROR(D62*0.041868*1000,"NA")</f>
        <v>581.63150368984634</v>
      </c>
      <c r="E100" s="118">
        <f t="shared" si="152"/>
        <v>680.72627015390299</v>
      </c>
      <c r="F100" s="118">
        <f t="shared" si="152"/>
        <v>761.8365906004542</v>
      </c>
      <c r="G100" s="118">
        <f t="shared" si="152"/>
        <v>851.43614324663656</v>
      </c>
      <c r="H100" s="118">
        <f t="shared" si="152"/>
        <v>932.35784185694899</v>
      </c>
      <c r="I100" s="118">
        <f t="shared" si="152"/>
        <v>1003.4070074914169</v>
      </c>
      <c r="J100" s="118">
        <f t="shared" si="152"/>
        <v>1090.0451033849922</v>
      </c>
      <c r="K100" s="118">
        <f t="shared" si="152"/>
        <v>1219.2081965551204</v>
      </c>
      <c r="L100" s="118">
        <f t="shared" si="152"/>
        <v>1350.4459359837638</v>
      </c>
      <c r="M100" s="118">
        <f t="shared" si="152"/>
        <v>1427.2678924175243</v>
      </c>
      <c r="N100" s="118">
        <f t="shared" si="152"/>
        <v>1546.335222849636</v>
      </c>
      <c r="O100" s="118">
        <f t="shared" si="152"/>
        <v>1707.3188511267715</v>
      </c>
      <c r="P100" s="118">
        <f t="shared" si="152"/>
        <v>1746.3048080784311</v>
      </c>
      <c r="Q100" s="118">
        <f t="shared" si="152"/>
        <v>1996.0264936136962</v>
      </c>
      <c r="R100" s="118">
        <f t="shared" si="152"/>
        <v>2157.5939339812589</v>
      </c>
      <c r="S100" s="118">
        <f t="shared" si="152"/>
        <v>2330.5720574272523</v>
      </c>
      <c r="T100" s="118">
        <f t="shared" si="152"/>
        <v>2623.7026677144049</v>
      </c>
      <c r="U100" s="118">
        <f t="shared" si="152"/>
        <v>2731.1971293101883</v>
      </c>
      <c r="V100" s="118">
        <f t="shared" si="152"/>
        <v>2891.1105603170622</v>
      </c>
      <c r="W100" s="118">
        <f t="shared" si="152"/>
        <v>3026.7086388821713</v>
      </c>
      <c r="X100" s="118">
        <f t="shared" si="152"/>
        <v>3200.5420704656904</v>
      </c>
      <c r="Y100" s="118">
        <f t="shared" si="152"/>
        <v>3376.8889957440006</v>
      </c>
      <c r="Z100" s="118">
        <f t="shared" si="152"/>
        <v>3502.9672931953619</v>
      </c>
      <c r="AA100" s="118">
        <f t="shared" si="152"/>
        <v>3687.0571211902793</v>
      </c>
      <c r="AB100" s="118">
        <f t="shared" si="152"/>
        <v>3873.7642206820019</v>
      </c>
      <c r="AC100" s="118">
        <f t="shared" si="152"/>
        <v>3999.3551626235831</v>
      </c>
      <c r="AD100" s="118">
        <f t="shared" si="152"/>
        <v>4086.3168000000005</v>
      </c>
      <c r="AE100" s="214">
        <f t="shared" si="152"/>
        <v>4170.0527999999995</v>
      </c>
      <c r="AF100" s="214">
        <f t="shared" ref="AF100" si="153">IFERROR(AF62*0.041868*1000,"NA")</f>
        <v>4241.2284000000009</v>
      </c>
      <c r="AG100" s="125">
        <f>AF100/AF$80</f>
        <v>0.10237431607286866</v>
      </c>
    </row>
    <row r="101" spans="2:33" x14ac:dyDescent="0.35">
      <c r="B101" s="112" t="s">
        <v>117</v>
      </c>
      <c r="C101" s="117" t="s">
        <v>5</v>
      </c>
      <c r="D101" s="69">
        <f t="shared" ref="D101:AE101" si="154">IFERROR(D63*0.041868*1000,"NA")</f>
        <v>67.826160000000016</v>
      </c>
      <c r="E101" s="69">
        <f t="shared" si="154"/>
        <v>94.956624000000005</v>
      </c>
      <c r="F101" s="69">
        <f t="shared" si="154"/>
        <v>113.04360000000001</v>
      </c>
      <c r="G101" s="69">
        <f t="shared" si="154"/>
        <v>147.58972416000003</v>
      </c>
      <c r="H101" s="69">
        <f t="shared" si="154"/>
        <v>148.35842064000002</v>
      </c>
      <c r="I101" s="69">
        <f t="shared" si="154"/>
        <v>142.43493600000002</v>
      </c>
      <c r="J101" s="69">
        <f t="shared" si="154"/>
        <v>151.74972864000003</v>
      </c>
      <c r="K101" s="69">
        <f t="shared" si="154"/>
        <v>165.04365600000003</v>
      </c>
      <c r="L101" s="69">
        <f t="shared" si="154"/>
        <v>180.86976000000001</v>
      </c>
      <c r="M101" s="69">
        <f t="shared" si="154"/>
        <v>203.47848000000002</v>
      </c>
      <c r="N101" s="69">
        <f t="shared" si="154"/>
        <v>187.652376</v>
      </c>
      <c r="O101" s="69">
        <f t="shared" si="154"/>
        <v>201.21760800000001</v>
      </c>
      <c r="P101" s="69">
        <f t="shared" si="154"/>
        <v>206.14630896000003</v>
      </c>
      <c r="Q101" s="69">
        <f t="shared" si="154"/>
        <v>259.95506255999999</v>
      </c>
      <c r="R101" s="69">
        <f t="shared" si="154"/>
        <v>288.12552768</v>
      </c>
      <c r="S101" s="69">
        <f t="shared" si="154"/>
        <v>315.84381840000003</v>
      </c>
      <c r="T101" s="69">
        <f t="shared" si="154"/>
        <v>517.10664384000017</v>
      </c>
      <c r="U101" s="69">
        <f t="shared" si="154"/>
        <v>494.09096688000011</v>
      </c>
      <c r="V101" s="69">
        <f t="shared" si="154"/>
        <v>456.42483936000002</v>
      </c>
      <c r="W101" s="69">
        <f t="shared" si="154"/>
        <v>478.17442799999998</v>
      </c>
      <c r="X101" s="69">
        <f t="shared" si="154"/>
        <v>494.00053199999996</v>
      </c>
      <c r="Y101" s="69">
        <f t="shared" si="154"/>
        <v>509.14837440000014</v>
      </c>
      <c r="Z101" s="69">
        <f t="shared" si="154"/>
        <v>538.90144992</v>
      </c>
      <c r="AA101" s="69">
        <f t="shared" si="154"/>
        <v>600.71369040000013</v>
      </c>
      <c r="AB101" s="69">
        <f t="shared" si="154"/>
        <v>634.31024832000014</v>
      </c>
      <c r="AC101" s="69">
        <f t="shared" si="154"/>
        <v>682.73812656000007</v>
      </c>
      <c r="AD101" s="69">
        <f t="shared" si="154"/>
        <v>728.50319999999999</v>
      </c>
      <c r="AE101" s="215">
        <f t="shared" si="154"/>
        <v>732.69</v>
      </c>
      <c r="AF101" s="215">
        <f t="shared" ref="AF101" si="155">IFERROR(AF63*0.041868*1000,"NA")</f>
        <v>778.74480000000017</v>
      </c>
      <c r="AG101" s="51"/>
    </row>
    <row r="102" spans="2:33" x14ac:dyDescent="0.35">
      <c r="B102" s="112" t="s">
        <v>44</v>
      </c>
      <c r="C102" s="117" t="s">
        <v>5</v>
      </c>
      <c r="D102" s="69">
        <f t="shared" ref="D102:AE102" si="156">IFERROR(D64*0.041868*1000,"NA")</f>
        <v>54.219059999999999</v>
      </c>
      <c r="E102" s="69">
        <f t="shared" si="156"/>
        <v>43.375248000000006</v>
      </c>
      <c r="F102" s="69">
        <f t="shared" si="156"/>
        <v>37.178784</v>
      </c>
      <c r="G102" s="69">
        <f t="shared" si="156"/>
        <v>30.982320000000001</v>
      </c>
      <c r="H102" s="69">
        <f t="shared" si="156"/>
        <v>30.982320000000001</v>
      </c>
      <c r="I102" s="69">
        <f t="shared" si="156"/>
        <v>24.785856000000003</v>
      </c>
      <c r="J102" s="69">
        <f t="shared" si="156"/>
        <v>15.491160000000001</v>
      </c>
      <c r="K102" s="69">
        <f t="shared" si="156"/>
        <v>9.2946960000000001</v>
      </c>
      <c r="L102" s="69">
        <f t="shared" si="156"/>
        <v>9.2946960000000001</v>
      </c>
      <c r="M102" s="69">
        <f t="shared" si="156"/>
        <v>9.2946960000000001</v>
      </c>
      <c r="N102" s="69">
        <f t="shared" si="156"/>
        <v>9.2946960000000001</v>
      </c>
      <c r="O102" s="69">
        <f t="shared" si="156"/>
        <v>10.224165600000001</v>
      </c>
      <c r="P102" s="69">
        <f t="shared" si="156"/>
        <v>10.533988799999999</v>
      </c>
      <c r="Q102" s="69">
        <f t="shared" si="156"/>
        <v>10.843812000000002</v>
      </c>
      <c r="R102" s="69">
        <f t="shared" si="156"/>
        <v>11.1536352</v>
      </c>
      <c r="S102" s="69">
        <f t="shared" si="156"/>
        <v>11.773281600000001</v>
      </c>
      <c r="T102" s="69">
        <f t="shared" si="156"/>
        <v>12.176051759999998</v>
      </c>
      <c r="U102" s="69">
        <f t="shared" si="156"/>
        <v>12.609804240000001</v>
      </c>
      <c r="V102" s="69">
        <f t="shared" si="156"/>
        <v>13.074539039999998</v>
      </c>
      <c r="W102" s="69">
        <f t="shared" si="156"/>
        <v>13.545470303999998</v>
      </c>
      <c r="X102" s="69">
        <f t="shared" si="156"/>
        <v>14.034990959999998</v>
      </c>
      <c r="Y102" s="69">
        <f t="shared" si="156"/>
        <v>14.53070808</v>
      </c>
      <c r="Z102" s="69">
        <f t="shared" si="156"/>
        <v>14.685619680000002</v>
      </c>
      <c r="AA102" s="69">
        <f t="shared" si="156"/>
        <v>14.964460560000003</v>
      </c>
      <c r="AB102" s="69">
        <f t="shared" si="156"/>
        <v>15.39821304</v>
      </c>
      <c r="AC102" s="69">
        <f t="shared" si="156"/>
        <v>13.942044000000003</v>
      </c>
      <c r="AD102" s="69">
        <f t="shared" si="156"/>
        <v>12.560400000000001</v>
      </c>
      <c r="AE102" s="215">
        <f t="shared" si="156"/>
        <v>12.560400000000001</v>
      </c>
      <c r="AF102" s="215">
        <f t="shared" ref="AF102" si="157">IFERROR(AF64*0.041868*1000,"NA")</f>
        <v>12.560400000000001</v>
      </c>
      <c r="AG102" s="51"/>
    </row>
    <row r="103" spans="2:33" x14ac:dyDescent="0.35">
      <c r="B103" s="112" t="s">
        <v>197</v>
      </c>
      <c r="C103" s="117" t="s">
        <v>5</v>
      </c>
      <c r="D103" s="69">
        <f t="shared" ref="D103:AE103" si="158">IFERROR(D65*0.041868*1000,"NA")</f>
        <v>459.5862836898462</v>
      </c>
      <c r="E103" s="69">
        <f t="shared" si="158"/>
        <v>542.39439815390301</v>
      </c>
      <c r="F103" s="69">
        <f t="shared" si="158"/>
        <v>611.61420660045405</v>
      </c>
      <c r="G103" s="69">
        <f t="shared" si="158"/>
        <v>672.86409908663654</v>
      </c>
      <c r="H103" s="69">
        <f t="shared" si="158"/>
        <v>753.01710121694896</v>
      </c>
      <c r="I103" s="69">
        <f t="shared" si="158"/>
        <v>836.18621549141699</v>
      </c>
      <c r="J103" s="69">
        <f t="shared" si="158"/>
        <v>922.80421474499235</v>
      </c>
      <c r="K103" s="69">
        <f t="shared" si="158"/>
        <v>1044.8698445551204</v>
      </c>
      <c r="L103" s="69">
        <f t="shared" si="158"/>
        <v>1160.2814799837636</v>
      </c>
      <c r="M103" s="69">
        <f t="shared" si="158"/>
        <v>1214.4947164175244</v>
      </c>
      <c r="N103" s="69">
        <f t="shared" si="158"/>
        <v>1349.3881508496358</v>
      </c>
      <c r="O103" s="69">
        <f t="shared" si="158"/>
        <v>1495.8770775267715</v>
      </c>
      <c r="P103" s="69">
        <f t="shared" si="158"/>
        <v>1529.624510318431</v>
      </c>
      <c r="Q103" s="69">
        <f t="shared" si="158"/>
        <v>1725.2276190536963</v>
      </c>
      <c r="R103" s="69">
        <f t="shared" si="158"/>
        <v>1858.3147711012591</v>
      </c>
      <c r="S103" s="69">
        <f t="shared" si="158"/>
        <v>2002.9549574272526</v>
      </c>
      <c r="T103" s="69">
        <f t="shared" si="158"/>
        <v>2094.4199721144046</v>
      </c>
      <c r="U103" s="69">
        <f t="shared" si="158"/>
        <v>2224.4963581901879</v>
      </c>
      <c r="V103" s="69">
        <f t="shared" si="158"/>
        <v>2421.6111819170624</v>
      </c>
      <c r="W103" s="69">
        <f t="shared" si="158"/>
        <v>2534.9887405781715</v>
      </c>
      <c r="X103" s="69">
        <f t="shared" si="158"/>
        <v>2692.5065475056899</v>
      </c>
      <c r="Y103" s="69">
        <f t="shared" si="158"/>
        <v>2853.2099132640005</v>
      </c>
      <c r="Z103" s="69">
        <f t="shared" si="158"/>
        <v>2949.3802235953617</v>
      </c>
      <c r="AA103" s="69">
        <f t="shared" si="158"/>
        <v>3071.3789702302797</v>
      </c>
      <c r="AB103" s="69">
        <f t="shared" si="158"/>
        <v>3224.0557593220014</v>
      </c>
      <c r="AC103" s="69">
        <f t="shared" si="158"/>
        <v>3302.674992063583</v>
      </c>
      <c r="AD103" s="69">
        <f t="shared" si="158"/>
        <v>3345.2532000000006</v>
      </c>
      <c r="AE103" s="215">
        <f t="shared" si="158"/>
        <v>3424.8024</v>
      </c>
      <c r="AF103" s="215">
        <f t="shared" ref="AF103" si="159">IFERROR(AF65*0.041868*1000,"NA")</f>
        <v>3449.9232000000006</v>
      </c>
      <c r="AG103" s="51"/>
    </row>
    <row r="104" spans="2:33" s="3" customFormat="1" x14ac:dyDescent="0.35">
      <c r="B104" s="3" t="s">
        <v>204</v>
      </c>
      <c r="C104" s="115" t="s">
        <v>5</v>
      </c>
      <c r="D104" s="118">
        <f t="shared" ref="D104:AE104" si="160">IFERROR(D67*0.041868*1000,"NA")</f>
        <v>3548.3805265266342</v>
      </c>
      <c r="E104" s="118">
        <f t="shared" si="160"/>
        <v>3329.35051382355</v>
      </c>
      <c r="F104" s="118">
        <f t="shared" si="160"/>
        <v>3289.4448860075317</v>
      </c>
      <c r="G104" s="118">
        <f t="shared" si="160"/>
        <v>3347.2886076878212</v>
      </c>
      <c r="H104" s="118">
        <f t="shared" si="160"/>
        <v>3292.931750466832</v>
      </c>
      <c r="I104" s="118">
        <f t="shared" si="160"/>
        <v>3405.7344513163234</v>
      </c>
      <c r="J104" s="118">
        <f t="shared" si="160"/>
        <v>3525.6230589404222</v>
      </c>
      <c r="K104" s="118">
        <f t="shared" si="160"/>
        <v>3639.6942349786345</v>
      </c>
      <c r="L104" s="118">
        <f t="shared" si="160"/>
        <v>3759.4776089363627</v>
      </c>
      <c r="M104" s="118">
        <f t="shared" si="160"/>
        <v>3850.8806231336212</v>
      </c>
      <c r="N104" s="118">
        <f t="shared" si="160"/>
        <v>4153.2148963726577</v>
      </c>
      <c r="O104" s="118">
        <f t="shared" si="160"/>
        <v>4263.8585606622528</v>
      </c>
      <c r="P104" s="118">
        <f t="shared" si="160"/>
        <v>4303.9442121688899</v>
      </c>
      <c r="Q104" s="118">
        <f t="shared" si="160"/>
        <v>4481.2600283390584</v>
      </c>
      <c r="R104" s="118">
        <f t="shared" si="160"/>
        <v>4645.0485934263279</v>
      </c>
      <c r="S104" s="118">
        <f t="shared" si="160"/>
        <v>4832.8910940022206</v>
      </c>
      <c r="T104" s="118">
        <f t="shared" si="160"/>
        <v>4557.8784291489346</v>
      </c>
      <c r="U104" s="118">
        <f t="shared" si="160"/>
        <v>4553.8603403780953</v>
      </c>
      <c r="V104" s="118">
        <f t="shared" si="160"/>
        <v>4611.5988693020727</v>
      </c>
      <c r="W104" s="118">
        <f t="shared" si="160"/>
        <v>4735.7397214710463</v>
      </c>
      <c r="X104" s="118">
        <f t="shared" si="160"/>
        <v>4893.810395351964</v>
      </c>
      <c r="Y104" s="118">
        <f t="shared" si="160"/>
        <v>4915.3707749519999</v>
      </c>
      <c r="Z104" s="118">
        <f t="shared" si="160"/>
        <v>5029.1040187306171</v>
      </c>
      <c r="AA104" s="118">
        <f t="shared" si="160"/>
        <v>5165.8958078701089</v>
      </c>
      <c r="AB104" s="118">
        <f t="shared" si="160"/>
        <v>5295.3567195206497</v>
      </c>
      <c r="AC104" s="118">
        <f t="shared" si="160"/>
        <v>5437.7972587503373</v>
      </c>
      <c r="AD104" s="118">
        <f t="shared" si="160"/>
        <v>5539.1364000000012</v>
      </c>
      <c r="AE104" s="214">
        <f t="shared" si="160"/>
        <v>5622.8724000000011</v>
      </c>
      <c r="AF104" s="214">
        <f t="shared" ref="AF104" si="161">IFERROR(AF67*0.041868*1000,"NA")</f>
        <v>5786.408808000001</v>
      </c>
      <c r="AG104" s="125">
        <f>AF104/AF$80</f>
        <v>0.13967171497696829</v>
      </c>
    </row>
    <row r="105" spans="2:33" x14ac:dyDescent="0.35">
      <c r="B105" s="112" t="s">
        <v>14</v>
      </c>
      <c r="C105" s="117" t="s">
        <v>5</v>
      </c>
      <c r="D105" s="69">
        <f t="shared" ref="D105:AE105" si="162">IFERROR(D68*0.041868*1000,"NA")</f>
        <v>673.69296384000006</v>
      </c>
      <c r="E105" s="69">
        <f t="shared" si="162"/>
        <v>613.16858304000016</v>
      </c>
      <c r="F105" s="69">
        <f t="shared" si="162"/>
        <v>535.40128512000013</v>
      </c>
      <c r="G105" s="69">
        <f t="shared" si="162"/>
        <v>509.40628128000009</v>
      </c>
      <c r="H105" s="69">
        <f t="shared" si="162"/>
        <v>469.95657696000012</v>
      </c>
      <c r="I105" s="69">
        <f t="shared" si="162"/>
        <v>461.11740480000003</v>
      </c>
      <c r="J105" s="69">
        <f t="shared" si="162"/>
        <v>457.37273088000001</v>
      </c>
      <c r="K105" s="69">
        <f t="shared" si="162"/>
        <v>415.09274976000006</v>
      </c>
      <c r="L105" s="69">
        <f t="shared" si="162"/>
        <v>412.41879132480005</v>
      </c>
      <c r="M105" s="69">
        <f t="shared" si="162"/>
        <v>396.23875200000003</v>
      </c>
      <c r="N105" s="69">
        <f t="shared" si="162"/>
        <v>418.01011200000005</v>
      </c>
      <c r="O105" s="69">
        <f t="shared" si="162"/>
        <v>412.78498560000008</v>
      </c>
      <c r="P105" s="69">
        <f t="shared" si="162"/>
        <v>366.15073248000004</v>
      </c>
      <c r="Q105" s="69">
        <f t="shared" si="162"/>
        <v>359.88058080000008</v>
      </c>
      <c r="R105" s="69">
        <f t="shared" si="162"/>
        <v>379.95377472000007</v>
      </c>
      <c r="S105" s="69">
        <f t="shared" si="162"/>
        <v>425.19466080000001</v>
      </c>
      <c r="T105" s="69">
        <f t="shared" si="162"/>
        <v>170.81809056000003</v>
      </c>
      <c r="U105" s="69">
        <f t="shared" si="162"/>
        <v>53.905887360000001</v>
      </c>
      <c r="V105" s="69">
        <f t="shared" si="162"/>
        <v>77.157699840000006</v>
      </c>
      <c r="W105" s="69">
        <f t="shared" si="162"/>
        <v>64.26905472</v>
      </c>
      <c r="X105" s="69">
        <f t="shared" si="162"/>
        <v>75.372448320000004</v>
      </c>
      <c r="Y105" s="69">
        <f t="shared" si="162"/>
        <v>22.424500800000004</v>
      </c>
      <c r="Z105" s="69">
        <f t="shared" si="162"/>
        <v>10.58088096</v>
      </c>
      <c r="AA105" s="69">
        <f t="shared" si="162"/>
        <v>8.7956294400000008</v>
      </c>
      <c r="AB105" s="69">
        <f t="shared" si="162"/>
        <v>6.6620361600000004</v>
      </c>
      <c r="AC105" s="69">
        <f t="shared" si="162"/>
        <v>5.7040963199999997</v>
      </c>
      <c r="AD105" s="69">
        <f t="shared" si="162"/>
        <v>4.1867999999999999</v>
      </c>
      <c r="AE105" s="215">
        <f t="shared" si="162"/>
        <v>4.1867999999999999</v>
      </c>
      <c r="AF105" s="215">
        <f t="shared" ref="AF105" si="163">IFERROR(AF68*0.041868*1000,"NA")</f>
        <v>0.25120799999999999</v>
      </c>
      <c r="AG105" s="50"/>
    </row>
    <row r="106" spans="2:33" x14ac:dyDescent="0.35">
      <c r="B106" s="112" t="s">
        <v>117</v>
      </c>
      <c r="C106" s="117" t="s">
        <v>5</v>
      </c>
      <c r="D106" s="69">
        <f t="shared" ref="D106:AE106" si="164">IFERROR(D69*0.041868*1000,"NA")</f>
        <v>929.08273968000015</v>
      </c>
      <c r="E106" s="69">
        <f t="shared" si="164"/>
        <v>1017.3924000000001</v>
      </c>
      <c r="F106" s="69">
        <f t="shared" si="164"/>
        <v>1130.4359999999999</v>
      </c>
      <c r="G106" s="69">
        <f t="shared" si="164"/>
        <v>1241.5804675200002</v>
      </c>
      <c r="H106" s="69">
        <f t="shared" si="164"/>
        <v>1245.7404720000002</v>
      </c>
      <c r="I106" s="69">
        <f t="shared" si="164"/>
        <v>1293.2187840000001</v>
      </c>
      <c r="J106" s="69">
        <f t="shared" si="164"/>
        <v>1376.2832212800001</v>
      </c>
      <c r="K106" s="69">
        <f t="shared" si="164"/>
        <v>1461.1111387200001</v>
      </c>
      <c r="L106" s="69">
        <f t="shared" si="164"/>
        <v>1484.7947224862403</v>
      </c>
      <c r="M106" s="69">
        <f t="shared" si="164"/>
        <v>1569.0451680000001</v>
      </c>
      <c r="N106" s="69">
        <f t="shared" si="164"/>
        <v>1705.1496624000001</v>
      </c>
      <c r="O106" s="69">
        <f t="shared" si="164"/>
        <v>1711.480104</v>
      </c>
      <c r="P106" s="69">
        <f t="shared" si="164"/>
        <v>1764.52016112</v>
      </c>
      <c r="Q106" s="69">
        <f t="shared" si="164"/>
        <v>1833.9741489600001</v>
      </c>
      <c r="R106" s="69">
        <f t="shared" si="164"/>
        <v>1937.8386086400001</v>
      </c>
      <c r="S106" s="69">
        <f t="shared" si="164"/>
        <v>1953.6647126400003</v>
      </c>
      <c r="T106" s="69">
        <f t="shared" si="164"/>
        <v>1881.0002865600002</v>
      </c>
      <c r="U106" s="69">
        <f t="shared" si="164"/>
        <v>1903.1116147200003</v>
      </c>
      <c r="V106" s="69">
        <f t="shared" si="164"/>
        <v>1916.9481513600003</v>
      </c>
      <c r="W106" s="69">
        <f t="shared" si="164"/>
        <v>1955.0664532800004</v>
      </c>
      <c r="X106" s="69">
        <f t="shared" si="164"/>
        <v>1992.23518896</v>
      </c>
      <c r="Y106" s="69">
        <f t="shared" si="164"/>
        <v>2018.5065216000005</v>
      </c>
      <c r="Z106" s="69">
        <f t="shared" si="164"/>
        <v>2049.6613377599997</v>
      </c>
      <c r="AA106" s="69">
        <f t="shared" si="164"/>
        <v>2096.2805184000003</v>
      </c>
      <c r="AB106" s="69">
        <f t="shared" si="164"/>
        <v>2150.9936208000004</v>
      </c>
      <c r="AC106" s="69">
        <f t="shared" si="164"/>
        <v>2219.8597819200004</v>
      </c>
      <c r="AD106" s="69">
        <f t="shared" si="164"/>
        <v>2235.7512000000002</v>
      </c>
      <c r="AE106" s="215">
        <f t="shared" si="164"/>
        <v>2260.8719999999998</v>
      </c>
      <c r="AF106" s="215">
        <f t="shared" ref="AF106" si="165">IFERROR(AF69*0.041868*1000,"NA")</f>
        <v>2327.8608000000004</v>
      </c>
      <c r="AG106" s="50"/>
    </row>
    <row r="107" spans="2:33" x14ac:dyDescent="0.35">
      <c r="B107" s="112" t="s">
        <v>193</v>
      </c>
      <c r="C107" s="117" t="s">
        <v>5</v>
      </c>
      <c r="D107" s="69">
        <f t="shared" ref="D107:AE107" si="166">IFERROR(D70*0.041868*1000,"NA")</f>
        <v>1178.9191440000002</v>
      </c>
      <c r="E107" s="69">
        <f t="shared" si="166"/>
        <v>855.94939199999999</v>
      </c>
      <c r="F107" s="69">
        <f t="shared" si="166"/>
        <v>677.759184</v>
      </c>
      <c r="G107" s="69">
        <f t="shared" si="166"/>
        <v>561.6173520000001</v>
      </c>
      <c r="H107" s="69">
        <f t="shared" si="166"/>
        <v>478.88618400000007</v>
      </c>
      <c r="I107" s="69">
        <f t="shared" si="166"/>
        <v>415.246824</v>
      </c>
      <c r="J107" s="69">
        <f t="shared" si="166"/>
        <v>369.10828800000007</v>
      </c>
      <c r="K107" s="69">
        <f t="shared" si="166"/>
        <v>332.51565600000004</v>
      </c>
      <c r="L107" s="69">
        <f t="shared" si="166"/>
        <v>302.28696000000002</v>
      </c>
      <c r="M107" s="69">
        <f t="shared" si="166"/>
        <v>260.92137600000007</v>
      </c>
      <c r="N107" s="69">
        <f t="shared" si="166"/>
        <v>254.55744000000001</v>
      </c>
      <c r="O107" s="69">
        <f t="shared" si="166"/>
        <v>252.96645599999999</v>
      </c>
      <c r="P107" s="69">
        <f t="shared" si="166"/>
        <v>252.170964</v>
      </c>
      <c r="Q107" s="69">
        <f t="shared" si="166"/>
        <v>251.05727519999999</v>
      </c>
      <c r="R107" s="69">
        <f t="shared" si="166"/>
        <v>253.60284960000001</v>
      </c>
      <c r="S107" s="69">
        <f t="shared" si="166"/>
        <v>263.14875360000002</v>
      </c>
      <c r="T107" s="69">
        <f t="shared" si="166"/>
        <v>277.99263431999998</v>
      </c>
      <c r="U107" s="69">
        <f t="shared" si="166"/>
        <v>278.37447048000001</v>
      </c>
      <c r="V107" s="69">
        <f t="shared" si="166"/>
        <v>266.10798384000003</v>
      </c>
      <c r="W107" s="69">
        <f t="shared" si="166"/>
        <v>264.40563096000005</v>
      </c>
      <c r="X107" s="69">
        <f t="shared" si="166"/>
        <v>264.05561447999997</v>
      </c>
      <c r="Y107" s="69">
        <f t="shared" si="166"/>
        <v>259.90314624000001</v>
      </c>
      <c r="Z107" s="69">
        <f t="shared" si="166"/>
        <v>254.60516952</v>
      </c>
      <c r="AA107" s="69">
        <f t="shared" si="166"/>
        <v>246.06158544000004</v>
      </c>
      <c r="AB107" s="69">
        <f t="shared" si="166"/>
        <v>231.15406536000003</v>
      </c>
      <c r="AC107" s="69">
        <f t="shared" si="166"/>
        <v>216.77157000000003</v>
      </c>
      <c r="AD107" s="69">
        <f t="shared" si="166"/>
        <v>217.71360000000001</v>
      </c>
      <c r="AE107" s="215">
        <f t="shared" si="166"/>
        <v>213.52679999999998</v>
      </c>
      <c r="AF107" s="215">
        <f t="shared" ref="AF107" si="167">IFERROR(AF70*0.041868*1000,"NA")</f>
        <v>209.34000000000003</v>
      </c>
      <c r="AG107" s="50"/>
    </row>
    <row r="108" spans="2:33" x14ac:dyDescent="0.35">
      <c r="B108" s="112" t="s">
        <v>44</v>
      </c>
      <c r="C108" s="117" t="s">
        <v>5</v>
      </c>
      <c r="D108" s="69">
        <f t="shared" ref="D108:AE108" si="168">IFERROR(D71*0.041868*1000,"NA")</f>
        <v>38.727900000000005</v>
      </c>
      <c r="E108" s="69">
        <f t="shared" si="168"/>
        <v>37.178784</v>
      </c>
      <c r="F108" s="69">
        <f t="shared" si="168"/>
        <v>34.080551999999997</v>
      </c>
      <c r="G108" s="69">
        <f t="shared" si="168"/>
        <v>30.982320000000001</v>
      </c>
      <c r="H108" s="69">
        <f t="shared" si="168"/>
        <v>15.491160000000001</v>
      </c>
      <c r="I108" s="69">
        <f t="shared" si="168"/>
        <v>12.392928000000001</v>
      </c>
      <c r="J108" s="69">
        <f t="shared" si="168"/>
        <v>10.843812000000002</v>
      </c>
      <c r="K108" s="69">
        <f t="shared" si="168"/>
        <v>9.2946960000000001</v>
      </c>
      <c r="L108" s="69">
        <f t="shared" si="168"/>
        <v>7.7455800000000004</v>
      </c>
      <c r="M108" s="69">
        <f t="shared" si="168"/>
        <v>6.1964640000000006</v>
      </c>
      <c r="N108" s="69">
        <f t="shared" si="168"/>
        <v>4.647348</v>
      </c>
      <c r="O108" s="69">
        <f t="shared" si="168"/>
        <v>4.647348</v>
      </c>
      <c r="P108" s="69">
        <f t="shared" si="168"/>
        <v>4.0277016000000012</v>
      </c>
      <c r="Q108" s="69">
        <f t="shared" si="168"/>
        <v>3.8727900000000002</v>
      </c>
      <c r="R108" s="69">
        <f t="shared" si="168"/>
        <v>3.7178784000000005</v>
      </c>
      <c r="S108" s="69">
        <f t="shared" si="168"/>
        <v>4.0277016000000012</v>
      </c>
      <c r="T108" s="69">
        <f t="shared" si="168"/>
        <v>3.8108253599999999</v>
      </c>
      <c r="U108" s="69">
        <f t="shared" si="168"/>
        <v>3.9037723199999999</v>
      </c>
      <c r="V108" s="69">
        <f t="shared" si="168"/>
        <v>3.6868960800000004</v>
      </c>
      <c r="W108" s="69">
        <f t="shared" si="168"/>
        <v>3.6868960800000004</v>
      </c>
      <c r="X108" s="69">
        <f t="shared" si="168"/>
        <v>3.6868960800000004</v>
      </c>
      <c r="Y108" s="69">
        <f t="shared" si="168"/>
        <v>3.5939491200000004</v>
      </c>
      <c r="Z108" s="69">
        <f t="shared" si="168"/>
        <v>3.5319844800000002</v>
      </c>
      <c r="AA108" s="69">
        <f t="shared" si="168"/>
        <v>3.4390375200000003</v>
      </c>
      <c r="AB108" s="69">
        <f t="shared" si="168"/>
        <v>3.1911789599999998</v>
      </c>
      <c r="AC108" s="69">
        <f t="shared" si="168"/>
        <v>3.0362673600000005</v>
      </c>
      <c r="AD108" s="69">
        <f t="shared" si="168"/>
        <v>4.1867999999999999</v>
      </c>
      <c r="AE108" s="215">
        <f t="shared" si="168"/>
        <v>4.1867999999999999</v>
      </c>
      <c r="AF108" s="215">
        <f t="shared" ref="AF108" si="169">IFERROR(AF71*0.041868*1000,"NA")</f>
        <v>4.1867999999999999</v>
      </c>
      <c r="AG108" s="50"/>
    </row>
    <row r="109" spans="2:33" x14ac:dyDescent="0.35">
      <c r="B109" s="112" t="s">
        <v>197</v>
      </c>
      <c r="C109" s="117" t="s">
        <v>5</v>
      </c>
      <c r="D109" s="69">
        <f t="shared" ref="D109:AE109" si="170">IFERROR(D72*0.041868*1000,"NA")</f>
        <v>727.95777900663393</v>
      </c>
      <c r="E109" s="69">
        <f t="shared" si="170"/>
        <v>805.66135478354965</v>
      </c>
      <c r="F109" s="69">
        <f t="shared" si="170"/>
        <v>911.76786488753157</v>
      </c>
      <c r="G109" s="69">
        <f t="shared" si="170"/>
        <v>1003.7021868878206</v>
      </c>
      <c r="H109" s="69">
        <f t="shared" si="170"/>
        <v>1082.8573575068315</v>
      </c>
      <c r="I109" s="69">
        <f t="shared" si="170"/>
        <v>1223.7585105163228</v>
      </c>
      <c r="J109" s="69">
        <f t="shared" si="170"/>
        <v>1312.015006780422</v>
      </c>
      <c r="K109" s="69">
        <f t="shared" si="170"/>
        <v>1421.6799944986351</v>
      </c>
      <c r="L109" s="69">
        <f t="shared" si="170"/>
        <v>1552.2315551253225</v>
      </c>
      <c r="M109" s="69">
        <f t="shared" si="170"/>
        <v>1618.4788631336214</v>
      </c>
      <c r="N109" s="69">
        <f t="shared" si="170"/>
        <v>1770.8503339726578</v>
      </c>
      <c r="O109" s="69">
        <f t="shared" si="170"/>
        <v>1881.9796670622529</v>
      </c>
      <c r="P109" s="69">
        <f t="shared" si="170"/>
        <v>1917.074652968889</v>
      </c>
      <c r="Q109" s="69">
        <f t="shared" si="170"/>
        <v>2032.4752333790577</v>
      </c>
      <c r="R109" s="69">
        <f t="shared" si="170"/>
        <v>2069.9354820663279</v>
      </c>
      <c r="S109" s="69">
        <f t="shared" si="170"/>
        <v>2186.8552653622196</v>
      </c>
      <c r="T109" s="69">
        <f t="shared" si="170"/>
        <v>2224.2565923489346</v>
      </c>
      <c r="U109" s="69">
        <f t="shared" si="170"/>
        <v>2314.5645954980955</v>
      </c>
      <c r="V109" s="69">
        <f t="shared" si="170"/>
        <v>2347.6981381820729</v>
      </c>
      <c r="W109" s="69">
        <f t="shared" si="170"/>
        <v>2448.3116864310464</v>
      </c>
      <c r="X109" s="69">
        <f t="shared" si="170"/>
        <v>2558.4602475119632</v>
      </c>
      <c r="Y109" s="69">
        <f t="shared" si="170"/>
        <v>2610.9426571919998</v>
      </c>
      <c r="Z109" s="69">
        <f t="shared" si="170"/>
        <v>2710.7246460106176</v>
      </c>
      <c r="AA109" s="69">
        <f t="shared" si="170"/>
        <v>2811.3190370701082</v>
      </c>
      <c r="AB109" s="69">
        <f t="shared" si="170"/>
        <v>2903.35581824065</v>
      </c>
      <c r="AC109" s="69">
        <f t="shared" si="170"/>
        <v>2992.4255431503379</v>
      </c>
      <c r="AD109" s="69">
        <f t="shared" si="170"/>
        <v>3077.2980000000002</v>
      </c>
      <c r="AE109" s="215">
        <f t="shared" si="170"/>
        <v>3140.1000000000004</v>
      </c>
      <c r="AF109" s="215">
        <f t="shared" ref="AF109" si="171">IFERROR(AF72*0.041868*1000,"NA")</f>
        <v>3244.7700000000004</v>
      </c>
      <c r="AG109" s="50"/>
    </row>
    <row r="110" spans="2:33" s="3" customFormat="1" x14ac:dyDescent="0.35">
      <c r="B110" s="3" t="s">
        <v>205</v>
      </c>
      <c r="C110" s="115" t="s">
        <v>5</v>
      </c>
      <c r="D110" s="118">
        <f t="shared" ref="D110:AE110" si="172">IFERROR(D74*0.041868*1000,"NA")</f>
        <v>108.41947499054881</v>
      </c>
      <c r="E110" s="118">
        <f t="shared" si="172"/>
        <v>114.72524092945009</v>
      </c>
      <c r="F110" s="118">
        <f t="shared" si="172"/>
        <v>124.15482174704545</v>
      </c>
      <c r="G110" s="118">
        <f t="shared" si="172"/>
        <v>124.53517697894497</v>
      </c>
      <c r="H110" s="118">
        <f t="shared" si="172"/>
        <v>143.02658991909746</v>
      </c>
      <c r="I110" s="118">
        <f t="shared" si="172"/>
        <v>142.65223405088906</v>
      </c>
      <c r="J110" s="118">
        <f t="shared" si="172"/>
        <v>161.19572905138105</v>
      </c>
      <c r="K110" s="118">
        <f t="shared" si="172"/>
        <v>162.7128612856649</v>
      </c>
      <c r="L110" s="118">
        <f t="shared" si="172"/>
        <v>184.23491520571631</v>
      </c>
      <c r="M110" s="118">
        <f t="shared" si="172"/>
        <v>178.15335475226041</v>
      </c>
      <c r="N110" s="118">
        <f t="shared" si="172"/>
        <v>199.56167625495169</v>
      </c>
      <c r="O110" s="118">
        <f t="shared" si="172"/>
        <v>200.40302786131153</v>
      </c>
      <c r="P110" s="118">
        <f t="shared" si="172"/>
        <v>201.67751728775022</v>
      </c>
      <c r="Q110" s="118">
        <f t="shared" si="172"/>
        <v>198.94511933151551</v>
      </c>
      <c r="R110" s="118">
        <f t="shared" si="172"/>
        <v>186.07066250969379</v>
      </c>
      <c r="S110" s="118">
        <f t="shared" si="172"/>
        <v>196.62028723835209</v>
      </c>
      <c r="T110" s="118">
        <f t="shared" si="172"/>
        <v>200.21402355168169</v>
      </c>
      <c r="U110" s="118">
        <f t="shared" si="172"/>
        <v>205.33544638486418</v>
      </c>
      <c r="V110" s="118">
        <f t="shared" si="172"/>
        <v>187.76114439655535</v>
      </c>
      <c r="W110" s="118">
        <f t="shared" si="172"/>
        <v>170.3592864802678</v>
      </c>
      <c r="X110" s="118">
        <f t="shared" si="172"/>
        <v>184.12390689460707</v>
      </c>
      <c r="Y110" s="118">
        <f t="shared" si="172"/>
        <v>180.11571732000002</v>
      </c>
      <c r="Z110" s="118">
        <f t="shared" si="172"/>
        <v>188.43862735475068</v>
      </c>
      <c r="AA110" s="118">
        <f t="shared" si="172"/>
        <v>189.51134227516937</v>
      </c>
      <c r="AB110" s="118">
        <f t="shared" si="172"/>
        <v>192.47831304508006</v>
      </c>
      <c r="AC110" s="118">
        <f t="shared" si="172"/>
        <v>176.15240152107663</v>
      </c>
      <c r="AD110" s="118">
        <f t="shared" si="172"/>
        <v>188.40600000000001</v>
      </c>
      <c r="AE110" s="214">
        <f t="shared" si="172"/>
        <v>175.84560000000002</v>
      </c>
      <c r="AF110" s="214">
        <f t="shared" ref="AF110" si="173">IFERROR(AF74*0.041868*1000,"NA")</f>
        <v>154.91160000000002</v>
      </c>
      <c r="AG110" s="125">
        <f>AF110/AF$80</f>
        <v>3.7392395801541366E-3</v>
      </c>
    </row>
    <row r="111" spans="2:33" x14ac:dyDescent="0.35">
      <c r="B111" s="112" t="s">
        <v>61</v>
      </c>
      <c r="C111" s="117" t="s">
        <v>5</v>
      </c>
      <c r="D111" s="69">
        <f t="shared" ref="D111:AE111" si="174">IFERROR(D75*0.041868*1000,"NA")</f>
        <v>59.201352</v>
      </c>
      <c r="E111" s="69">
        <f t="shared" si="174"/>
        <v>63.430020000000006</v>
      </c>
      <c r="F111" s="69">
        <f t="shared" si="174"/>
        <v>67.658688000000012</v>
      </c>
      <c r="G111" s="69">
        <f t="shared" si="174"/>
        <v>71.887356000000011</v>
      </c>
      <c r="H111" s="69">
        <f t="shared" si="174"/>
        <v>76.11602400000001</v>
      </c>
      <c r="I111" s="69">
        <f t="shared" si="174"/>
        <v>80.344692000000009</v>
      </c>
      <c r="J111" s="69">
        <f t="shared" si="174"/>
        <v>84.573359999999994</v>
      </c>
      <c r="K111" s="69">
        <f t="shared" si="174"/>
        <v>88.802028000000007</v>
      </c>
      <c r="L111" s="69">
        <f t="shared" si="174"/>
        <v>93.030696000000006</v>
      </c>
      <c r="M111" s="69">
        <f t="shared" si="174"/>
        <v>97.259364000000005</v>
      </c>
      <c r="N111" s="69">
        <f t="shared" si="174"/>
        <v>101.488032</v>
      </c>
      <c r="O111" s="69">
        <f t="shared" si="174"/>
        <v>104.02523280000001</v>
      </c>
      <c r="P111" s="69">
        <f t="shared" si="174"/>
        <v>102.75663240000002</v>
      </c>
      <c r="Q111" s="69">
        <f t="shared" si="174"/>
        <v>101.9108988</v>
      </c>
      <c r="R111" s="69">
        <f t="shared" si="174"/>
        <v>100.43086500000001</v>
      </c>
      <c r="S111" s="69">
        <f t="shared" si="174"/>
        <v>99.1622646</v>
      </c>
      <c r="T111" s="69">
        <f t="shared" si="174"/>
        <v>96.794210520000007</v>
      </c>
      <c r="U111" s="69">
        <f t="shared" si="174"/>
        <v>103.85608608000001</v>
      </c>
      <c r="V111" s="69">
        <f t="shared" si="174"/>
        <v>94.764449880000001</v>
      </c>
      <c r="W111" s="69">
        <f t="shared" si="174"/>
        <v>96.66735048000001</v>
      </c>
      <c r="X111" s="69">
        <f t="shared" si="174"/>
        <v>98.316531000000012</v>
      </c>
      <c r="Y111" s="69">
        <f t="shared" si="174"/>
        <v>99.119977920000025</v>
      </c>
      <c r="Z111" s="69">
        <f t="shared" si="174"/>
        <v>98.570251080000006</v>
      </c>
      <c r="AA111" s="69">
        <f t="shared" si="174"/>
        <v>98.105097600000008</v>
      </c>
      <c r="AB111" s="69">
        <f t="shared" si="174"/>
        <v>96.540490439999999</v>
      </c>
      <c r="AC111" s="69">
        <f t="shared" si="174"/>
        <v>97.521541415999991</v>
      </c>
      <c r="AD111" s="69">
        <f t="shared" si="174"/>
        <v>96.296400000000006</v>
      </c>
      <c r="AE111" s="215">
        <f t="shared" si="174"/>
        <v>92.109600000000015</v>
      </c>
      <c r="AF111" s="215">
        <f t="shared" ref="AF111" si="175">IFERROR(AF75*0.041868*1000,"NA")</f>
        <v>87.922800000000009</v>
      </c>
    </row>
    <row r="112" spans="2:33" x14ac:dyDescent="0.35">
      <c r="B112" s="112" t="s">
        <v>197</v>
      </c>
      <c r="C112" s="117" t="s">
        <v>5</v>
      </c>
      <c r="D112" s="69">
        <f t="shared" ref="D112:AE112" si="176">IFERROR(D76*0.041868*1000,"NA")</f>
        <v>49.218122990548807</v>
      </c>
      <c r="E112" s="69">
        <f t="shared" si="176"/>
        <v>51.295220929450089</v>
      </c>
      <c r="F112" s="69">
        <f t="shared" si="176"/>
        <v>56.496133747045441</v>
      </c>
      <c r="G112" s="69">
        <f t="shared" si="176"/>
        <v>52.647820978944964</v>
      </c>
      <c r="H112" s="69">
        <f t="shared" si="176"/>
        <v>66.910565919097451</v>
      </c>
      <c r="I112" s="69">
        <f t="shared" si="176"/>
        <v>62.307542050889055</v>
      </c>
      <c r="J112" s="69">
        <f t="shared" si="176"/>
        <v>76.622369051381042</v>
      </c>
      <c r="K112" s="69">
        <f t="shared" si="176"/>
        <v>73.910833285664893</v>
      </c>
      <c r="L112" s="69">
        <f t="shared" si="176"/>
        <v>91.204219205716313</v>
      </c>
      <c r="M112" s="69">
        <f t="shared" si="176"/>
        <v>80.893990752260407</v>
      </c>
      <c r="N112" s="69">
        <f t="shared" si="176"/>
        <v>98.073644254951702</v>
      </c>
      <c r="O112" s="69">
        <f t="shared" si="176"/>
        <v>96.377795061311545</v>
      </c>
      <c r="P112" s="69">
        <f t="shared" si="176"/>
        <v>98.920884887750191</v>
      </c>
      <c r="Q112" s="69">
        <f t="shared" si="176"/>
        <v>97.03422053151553</v>
      </c>
      <c r="R112" s="69">
        <f t="shared" si="176"/>
        <v>85.639797509693764</v>
      </c>
      <c r="S112" s="69">
        <f t="shared" si="176"/>
        <v>97.458022638352091</v>
      </c>
      <c r="T112" s="69">
        <f t="shared" si="176"/>
        <v>103.41981303168168</v>
      </c>
      <c r="U112" s="69">
        <f t="shared" si="176"/>
        <v>101.47936030486417</v>
      </c>
      <c r="V112" s="69">
        <f t="shared" si="176"/>
        <v>92.996694516555365</v>
      </c>
      <c r="W112" s="69">
        <f t="shared" si="176"/>
        <v>73.691936000267759</v>
      </c>
      <c r="X112" s="69">
        <f t="shared" si="176"/>
        <v>85.807375894607048</v>
      </c>
      <c r="Y112" s="69">
        <f t="shared" si="176"/>
        <v>80.995739400000019</v>
      </c>
      <c r="Z112" s="69">
        <f t="shared" si="176"/>
        <v>89.868376274750659</v>
      </c>
      <c r="AA112" s="69">
        <f t="shared" si="176"/>
        <v>91.406244675169376</v>
      </c>
      <c r="AB112" s="69">
        <f t="shared" si="176"/>
        <v>95.937822605080072</v>
      </c>
      <c r="AC112" s="69">
        <f t="shared" si="176"/>
        <v>78.630860105076664</v>
      </c>
      <c r="AD112" s="69">
        <f t="shared" si="176"/>
        <v>92.109600000000015</v>
      </c>
      <c r="AE112" s="215">
        <f t="shared" si="176"/>
        <v>83.736000000000004</v>
      </c>
      <c r="AF112" s="215">
        <f t="shared" ref="AF112" si="177">IFERROR(AF76*0.041868*1000,"NA")</f>
        <v>66.988799999999998</v>
      </c>
    </row>
    <row r="113" spans="2:39" s="3" customFormat="1" x14ac:dyDescent="0.35">
      <c r="B113" s="3" t="s">
        <v>206</v>
      </c>
      <c r="C113" s="115" t="s">
        <v>5</v>
      </c>
      <c r="D113" s="118">
        <f t="shared" ref="D113" si="178">IFERROR(D78*0.041868*1000,"NA")</f>
        <v>29.265732</v>
      </c>
      <c r="E113" s="118">
        <f t="shared" ref="E113:AE113" si="179">IFERROR(E78*0.041868*1000,"NA")</f>
        <v>34.966164387680571</v>
      </c>
      <c r="F113" s="118">
        <f t="shared" si="179"/>
        <v>43.185936963728047</v>
      </c>
      <c r="G113" s="118">
        <f t="shared" si="179"/>
        <v>45.682507835656722</v>
      </c>
      <c r="H113" s="118">
        <f t="shared" si="179"/>
        <v>50.524696141715744</v>
      </c>
      <c r="I113" s="118">
        <f t="shared" si="179"/>
        <v>52.90115661190594</v>
      </c>
      <c r="J113" s="118">
        <f t="shared" si="179"/>
        <v>56.631094884147153</v>
      </c>
      <c r="K113" s="118">
        <f t="shared" si="179"/>
        <v>60.813292821401902</v>
      </c>
      <c r="L113" s="118">
        <f t="shared" si="179"/>
        <v>65.786639881470506</v>
      </c>
      <c r="M113" s="118">
        <f t="shared" si="179"/>
        <v>76.523063928558713</v>
      </c>
      <c r="N113" s="118">
        <f t="shared" si="179"/>
        <v>85.985698114923778</v>
      </c>
      <c r="O113" s="118">
        <f t="shared" si="179"/>
        <v>96.394311307627888</v>
      </c>
      <c r="P113" s="118">
        <f t="shared" si="179"/>
        <v>101.55212090090379</v>
      </c>
      <c r="Q113" s="118">
        <f t="shared" si="179"/>
        <v>122.34462346143447</v>
      </c>
      <c r="R113" s="118">
        <f t="shared" si="179"/>
        <v>134.98549397431165</v>
      </c>
      <c r="S113" s="118">
        <f t="shared" si="179"/>
        <v>127.68936568571438</v>
      </c>
      <c r="T113" s="118">
        <f t="shared" si="179"/>
        <v>141.87754551483698</v>
      </c>
      <c r="U113" s="118">
        <f t="shared" si="179"/>
        <v>152.44076192295262</v>
      </c>
      <c r="V113" s="118">
        <f t="shared" si="179"/>
        <v>159.41845859078791</v>
      </c>
      <c r="W113" s="118">
        <f t="shared" si="179"/>
        <v>157.58571230763712</v>
      </c>
      <c r="X113" s="118">
        <f t="shared" si="179"/>
        <v>147.98698773094569</v>
      </c>
      <c r="Y113" s="118">
        <f t="shared" si="179"/>
        <v>124.14425210178248</v>
      </c>
      <c r="Z113" s="118">
        <f t="shared" si="179"/>
        <v>141.24001891527737</v>
      </c>
      <c r="AA113" s="118">
        <f t="shared" si="179"/>
        <v>148.46591006371617</v>
      </c>
      <c r="AB113" s="118">
        <f t="shared" si="179"/>
        <v>144.39090521839825</v>
      </c>
      <c r="AC113" s="118">
        <f t="shared" si="179"/>
        <v>163.11898476303148</v>
      </c>
      <c r="AD113" s="118">
        <f t="shared" si="179"/>
        <v>180.0324</v>
      </c>
      <c r="AE113" s="214">
        <f t="shared" si="179"/>
        <v>188.40600000000001</v>
      </c>
      <c r="AF113" s="214">
        <f t="shared" ref="AF113" si="180">IFERROR(AF78*0.041868*1000,"NA")</f>
        <v>104.67000000000002</v>
      </c>
    </row>
    <row r="114" spans="2:39" x14ac:dyDescent="0.35">
      <c r="AE114" s="216"/>
    </row>
    <row r="116" spans="2:39" s="110" customFormat="1" x14ac:dyDescent="0.35">
      <c r="B116" s="3" t="s">
        <v>215</v>
      </c>
    </row>
    <row r="117" spans="2:39" s="110" customFormat="1" ht="6.75" customHeight="1" x14ac:dyDescent="0.35"/>
    <row r="118" spans="2:39" s="2" customFormat="1" x14ac:dyDescent="0.35">
      <c r="C118" s="72" t="s">
        <v>13</v>
      </c>
      <c r="D118" s="72">
        <v>1990</v>
      </c>
      <c r="E118" s="72">
        <v>1991</v>
      </c>
      <c r="F118" s="72">
        <v>1992</v>
      </c>
      <c r="G118" s="72">
        <v>1993</v>
      </c>
      <c r="H118" s="72">
        <v>1994</v>
      </c>
      <c r="I118" s="72">
        <v>1995</v>
      </c>
      <c r="J118" s="72">
        <v>1996</v>
      </c>
      <c r="K118" s="72">
        <v>1997</v>
      </c>
      <c r="L118" s="72">
        <v>1998</v>
      </c>
      <c r="M118" s="72">
        <v>1999</v>
      </c>
      <c r="N118" s="72">
        <v>2000</v>
      </c>
      <c r="O118" s="72">
        <v>2001</v>
      </c>
      <c r="P118" s="72">
        <v>2002</v>
      </c>
      <c r="Q118" s="72">
        <v>2003</v>
      </c>
      <c r="R118" s="72">
        <v>2004</v>
      </c>
      <c r="S118" s="72">
        <v>2005</v>
      </c>
      <c r="T118" s="72">
        <v>2006</v>
      </c>
      <c r="U118" s="72">
        <v>2007</v>
      </c>
      <c r="V118" s="72">
        <v>2008</v>
      </c>
      <c r="W118" s="72">
        <v>2009</v>
      </c>
      <c r="X118" s="72">
        <v>2010</v>
      </c>
      <c r="Y118" s="72">
        <v>2011</v>
      </c>
      <c r="Z118" s="72">
        <v>2012</v>
      </c>
      <c r="AA118" s="72">
        <v>2013</v>
      </c>
      <c r="AB118" s="72">
        <v>2014</v>
      </c>
      <c r="AC118" s="72">
        <v>2015</v>
      </c>
      <c r="AD118" s="72">
        <v>2016</v>
      </c>
      <c r="AE118" s="72">
        <v>2017</v>
      </c>
      <c r="AF118" s="72">
        <v>2018</v>
      </c>
    </row>
    <row r="119" spans="2:39" s="3" customFormat="1" x14ac:dyDescent="0.35">
      <c r="B119" s="124" t="s">
        <v>219</v>
      </c>
      <c r="C119" s="72" t="s">
        <v>112</v>
      </c>
      <c r="D119" s="118">
        <f t="shared" ref="D119:AF119" si="181">D120+D127</f>
        <v>781.10267399999998</v>
      </c>
      <c r="E119" s="118">
        <f t="shared" si="181"/>
        <v>855.628514</v>
      </c>
      <c r="F119" s="118">
        <f t="shared" si="181"/>
        <v>930.105458</v>
      </c>
      <c r="G119" s="118">
        <f t="shared" si="181"/>
        <v>988.57907099999989</v>
      </c>
      <c r="H119" s="118">
        <f t="shared" si="181"/>
        <v>1047.7785569999999</v>
      </c>
      <c r="I119" s="118">
        <f t="shared" si="181"/>
        <v>1165.5348290000002</v>
      </c>
      <c r="J119" s="118">
        <f t="shared" si="181"/>
        <v>1272.1898780000001</v>
      </c>
      <c r="K119" s="118">
        <f t="shared" si="181"/>
        <v>1398.1688399999998</v>
      </c>
      <c r="L119" s="118">
        <f t="shared" si="181"/>
        <v>1538.9124700000002</v>
      </c>
      <c r="M119" s="118">
        <f t="shared" si="181"/>
        <v>1584.7990300000004</v>
      </c>
      <c r="N119" s="118">
        <f t="shared" si="181"/>
        <v>1777.5083750000001</v>
      </c>
      <c r="O119" s="118">
        <f t="shared" si="181"/>
        <v>1910.8218710000003</v>
      </c>
      <c r="P119" s="118">
        <f t="shared" si="181"/>
        <v>1948.857908</v>
      </c>
      <c r="Q119" s="118">
        <f t="shared" si="181"/>
        <v>2081.5196639999999</v>
      </c>
      <c r="R119" s="118">
        <f t="shared" si="181"/>
        <v>2165.2201679999998</v>
      </c>
      <c r="S119" s="118">
        <f t="shared" si="181"/>
        <v>2272.1498960000004</v>
      </c>
      <c r="T119" s="118">
        <f t="shared" si="181"/>
        <v>2350.226369</v>
      </c>
      <c r="U119" s="118">
        <f t="shared" si="181"/>
        <v>2464.6495669999999</v>
      </c>
      <c r="V119" s="118">
        <f t="shared" si="181"/>
        <v>2557.2405879999997</v>
      </c>
      <c r="W119" s="118">
        <f t="shared" si="181"/>
        <v>2577.4366769999997</v>
      </c>
      <c r="X119" s="118">
        <f t="shared" si="181"/>
        <v>2688.707609</v>
      </c>
      <c r="Y119" s="118">
        <f t="shared" si="181"/>
        <v>2738.5916539999998</v>
      </c>
      <c r="Z119" s="118">
        <f t="shared" si="181"/>
        <v>2797.1389490000001</v>
      </c>
      <c r="AA119" s="118">
        <f t="shared" si="181"/>
        <v>2885.2909252864706</v>
      </c>
      <c r="AB119" s="118">
        <f t="shared" si="181"/>
        <v>2936.9367897209995</v>
      </c>
      <c r="AC119" s="118">
        <f t="shared" si="181"/>
        <v>2995.5823754000003</v>
      </c>
      <c r="AD119" s="118">
        <f t="shared" si="181"/>
        <v>3027.7</v>
      </c>
      <c r="AE119" s="118">
        <f t="shared" si="181"/>
        <v>3119.7</v>
      </c>
      <c r="AF119" s="217">
        <f t="shared" si="181"/>
        <v>3129.8179999999998</v>
      </c>
    </row>
    <row r="120" spans="2:39" s="3" customFormat="1" x14ac:dyDescent="0.35">
      <c r="B120" s="3" t="s">
        <v>220</v>
      </c>
      <c r="C120" s="72" t="s">
        <v>112</v>
      </c>
      <c r="D120" s="118">
        <f t="shared" ref="D120:AF120" si="182">SUM(D121:D124)</f>
        <v>85.421255000000002</v>
      </c>
      <c r="E120" s="118">
        <f t="shared" si="182"/>
        <v>75.519797999999994</v>
      </c>
      <c r="F120" s="118">
        <f t="shared" si="182"/>
        <v>113.34061800000001</v>
      </c>
      <c r="G120" s="118">
        <f t="shared" si="182"/>
        <v>104.24606199999999</v>
      </c>
      <c r="H120" s="118">
        <f t="shared" si="182"/>
        <v>75.960414</v>
      </c>
      <c r="I120" s="118">
        <f t="shared" si="182"/>
        <v>135.06780500000002</v>
      </c>
      <c r="J120" s="118">
        <f t="shared" si="182"/>
        <v>104.60150699999997</v>
      </c>
      <c r="K120" s="118">
        <f t="shared" si="182"/>
        <v>93.201160000000016</v>
      </c>
      <c r="L120" s="118">
        <f t="shared" si="182"/>
        <v>104.71</v>
      </c>
      <c r="M120" s="118">
        <f t="shared" si="182"/>
        <v>30.006360000000001</v>
      </c>
      <c r="N120" s="118">
        <f t="shared" si="182"/>
        <v>95.65285999999999</v>
      </c>
      <c r="O120" s="118">
        <f t="shared" si="182"/>
        <v>70.819982999999993</v>
      </c>
      <c r="P120" s="118">
        <f t="shared" si="182"/>
        <v>85.862152000000009</v>
      </c>
      <c r="Q120" s="118">
        <f t="shared" si="182"/>
        <v>117.77066599999999</v>
      </c>
      <c r="R120" s="118">
        <f t="shared" si="182"/>
        <v>122.70699599999999</v>
      </c>
      <c r="S120" s="118">
        <f t="shared" si="182"/>
        <v>115.323026</v>
      </c>
      <c r="T120" s="118">
        <f t="shared" si="182"/>
        <v>77.049999999999983</v>
      </c>
      <c r="U120" s="118">
        <f t="shared" si="182"/>
        <v>84.257052000000002</v>
      </c>
      <c r="V120" s="118">
        <f t="shared" si="182"/>
        <v>108.40258499999999</v>
      </c>
      <c r="W120" s="118">
        <f t="shared" si="182"/>
        <v>123.91127</v>
      </c>
      <c r="X120" s="118">
        <f t="shared" si="182"/>
        <v>103.239923</v>
      </c>
      <c r="Y120" s="118">
        <f t="shared" si="182"/>
        <v>62.450321000000002</v>
      </c>
      <c r="Z120" s="118">
        <f t="shared" si="182"/>
        <v>96.338116000000014</v>
      </c>
      <c r="AA120" s="118">
        <f t="shared" si="182"/>
        <v>121.17164628647066</v>
      </c>
      <c r="AB120" s="118">
        <f t="shared" si="182"/>
        <v>139.960416721</v>
      </c>
      <c r="AC120" s="118">
        <f t="shared" si="182"/>
        <v>170.79899600000002</v>
      </c>
      <c r="AD120" s="118">
        <f t="shared" si="182"/>
        <v>152</v>
      </c>
      <c r="AE120" s="118">
        <f t="shared" si="182"/>
        <v>160.49999999999997</v>
      </c>
      <c r="AF120" s="217">
        <f t="shared" si="182"/>
        <v>211.6</v>
      </c>
      <c r="AG120" s="125">
        <f t="shared" ref="AG120:AG133" si="183">AF120/AF$119</f>
        <v>6.7607765052153199E-2</v>
      </c>
      <c r="AL120" s="3" t="s">
        <v>112</v>
      </c>
    </row>
    <row r="121" spans="2:39" s="110" customFormat="1" x14ac:dyDescent="0.35">
      <c r="B121" s="112" t="s">
        <v>189</v>
      </c>
      <c r="C121" s="116" t="s">
        <v>112</v>
      </c>
      <c r="D121" s="69">
        <v>84.924375999999995</v>
      </c>
      <c r="E121" s="69">
        <v>75.5</v>
      </c>
      <c r="F121" s="69">
        <v>113.16576000000001</v>
      </c>
      <c r="G121" s="69">
        <v>104.047479</v>
      </c>
      <c r="H121" s="69">
        <v>75.751999999999995</v>
      </c>
      <c r="I121" s="69">
        <v>135.02282000000002</v>
      </c>
      <c r="J121" s="69">
        <v>104.50479399999998</v>
      </c>
      <c r="K121" s="69">
        <v>93.15185000000001</v>
      </c>
      <c r="L121" s="69">
        <v>104.71</v>
      </c>
      <c r="M121" s="69">
        <v>30.006360000000001</v>
      </c>
      <c r="N121" s="69">
        <v>95.65285999999999</v>
      </c>
      <c r="O121" s="69">
        <v>70.819982999999993</v>
      </c>
      <c r="P121" s="69">
        <v>85.862152000000009</v>
      </c>
      <c r="Q121" s="69">
        <v>117.77066599999999</v>
      </c>
      <c r="R121" s="69">
        <v>122.27339599999999</v>
      </c>
      <c r="S121" s="69">
        <v>114.881326</v>
      </c>
      <c r="T121" s="69">
        <v>76.642099999999985</v>
      </c>
      <c r="U121" s="69">
        <v>83.858481999999995</v>
      </c>
      <c r="V121" s="69">
        <v>108.03488499999999</v>
      </c>
      <c r="W121" s="69">
        <v>122.41049</v>
      </c>
      <c r="X121" s="69">
        <v>100.72934000000001</v>
      </c>
      <c r="Y121" s="69">
        <v>56.484045000000002</v>
      </c>
      <c r="Z121" s="69">
        <v>74.072968000000003</v>
      </c>
      <c r="AA121" s="69">
        <v>94.835795999999988</v>
      </c>
      <c r="AB121" s="69">
        <v>90.839302000000004</v>
      </c>
      <c r="AC121" s="69">
        <v>121.88387200000003</v>
      </c>
      <c r="AD121" s="69">
        <v>99.5</v>
      </c>
      <c r="AE121" s="69">
        <v>89.8</v>
      </c>
      <c r="AF121" s="218">
        <v>124.5</v>
      </c>
      <c r="AG121" s="219">
        <f t="shared" si="183"/>
        <v>3.9778670836451195E-2</v>
      </c>
      <c r="AK121" s="112" t="s">
        <v>14</v>
      </c>
      <c r="AL121" s="69">
        <f>AF128</f>
        <v>1.7999999999999999E-2</v>
      </c>
    </row>
    <row r="122" spans="2:39" s="110" customFormat="1" x14ac:dyDescent="0.35">
      <c r="B122" s="112" t="s">
        <v>191</v>
      </c>
      <c r="C122" s="116" t="s">
        <v>112</v>
      </c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>
        <v>3.141086</v>
      </c>
      <c r="Z122" s="69">
        <v>17.795811</v>
      </c>
      <c r="AA122" s="69">
        <v>20.014196999999999</v>
      </c>
      <c r="AB122" s="69">
        <v>21.326725</v>
      </c>
      <c r="AC122" s="69">
        <v>20.358331</v>
      </c>
      <c r="AD122" s="69">
        <v>18.7</v>
      </c>
      <c r="AE122" s="69">
        <v>16.899999999999999</v>
      </c>
      <c r="AF122" s="218">
        <v>22.6</v>
      </c>
      <c r="AG122" s="219">
        <f t="shared" si="183"/>
        <v>7.2208671558537923E-3</v>
      </c>
      <c r="AK122" s="112" t="s">
        <v>218</v>
      </c>
      <c r="AL122" s="69">
        <f>AF129</f>
        <v>1221.5999999999999</v>
      </c>
    </row>
    <row r="123" spans="2:39" s="110" customFormat="1" x14ac:dyDescent="0.35">
      <c r="B123" s="112" t="s">
        <v>192</v>
      </c>
      <c r="C123" s="116" t="s">
        <v>112</v>
      </c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>
        <v>0.9</v>
      </c>
      <c r="AA123" s="69">
        <v>2.7</v>
      </c>
      <c r="AB123" s="69">
        <v>24.6</v>
      </c>
      <c r="AC123" s="69">
        <v>25.9</v>
      </c>
      <c r="AD123" s="69">
        <v>30.3</v>
      </c>
      <c r="AE123" s="69">
        <v>39.200000000000003</v>
      </c>
      <c r="AF123" s="218">
        <v>49.4</v>
      </c>
      <c r="AG123" s="219">
        <f t="shared" si="183"/>
        <v>1.5783665376069792E-2</v>
      </c>
      <c r="AK123" s="112" t="s">
        <v>15</v>
      </c>
      <c r="AL123" s="69">
        <f>AF132</f>
        <v>1259.5</v>
      </c>
    </row>
    <row r="124" spans="2:39" s="110" customFormat="1" x14ac:dyDescent="0.35">
      <c r="B124" s="112" t="s">
        <v>190</v>
      </c>
      <c r="C124" s="116" t="s">
        <v>112</v>
      </c>
      <c r="D124" s="69">
        <v>0.49687899999999996</v>
      </c>
      <c r="E124" s="69">
        <v>1.9798E-2</v>
      </c>
      <c r="F124" s="69">
        <v>0.17485800000000001</v>
      </c>
      <c r="G124" s="69">
        <v>0.19858300000000001</v>
      </c>
      <c r="H124" s="69">
        <v>0.20841399999999999</v>
      </c>
      <c r="I124" s="69">
        <v>4.4984999999999997E-2</v>
      </c>
      <c r="J124" s="69">
        <v>9.6712999999999993E-2</v>
      </c>
      <c r="K124" s="69">
        <v>4.931E-2</v>
      </c>
      <c r="L124" s="69">
        <v>0</v>
      </c>
      <c r="M124" s="69">
        <v>0</v>
      </c>
      <c r="N124" s="69">
        <v>0</v>
      </c>
      <c r="O124" s="69">
        <v>0</v>
      </c>
      <c r="P124" s="69">
        <v>0</v>
      </c>
      <c r="Q124" s="69">
        <v>0</v>
      </c>
      <c r="R124" s="69">
        <v>0.43359999999999999</v>
      </c>
      <c r="S124" s="69">
        <v>0.44169999999999998</v>
      </c>
      <c r="T124" s="69">
        <v>0.40789999999999998</v>
      </c>
      <c r="U124" s="69">
        <v>0.39856999999999998</v>
      </c>
      <c r="V124" s="69">
        <v>0.36770000000000003</v>
      </c>
      <c r="W124" s="69">
        <v>1.50078</v>
      </c>
      <c r="X124" s="69">
        <v>2.510583</v>
      </c>
      <c r="Y124" s="69">
        <v>2.8251900000000001</v>
      </c>
      <c r="Z124" s="69">
        <f>4.469337-Z123</f>
        <v>3.5693370000000004</v>
      </c>
      <c r="AA124" s="69">
        <f>6.32165328647068-AA123</f>
        <v>3.6216532864706794</v>
      </c>
      <c r="AB124" s="69">
        <f>27.794389721-AB123</f>
        <v>3.1943897210000003</v>
      </c>
      <c r="AC124" s="69">
        <f>28.556793-AC123</f>
        <v>2.6567930000000004</v>
      </c>
      <c r="AD124" s="69">
        <f>33.8-AD123</f>
        <v>3.4999999999999964</v>
      </c>
      <c r="AE124" s="69">
        <v>14.6</v>
      </c>
      <c r="AF124" s="218">
        <v>15.1</v>
      </c>
      <c r="AG124" s="219">
        <f t="shared" si="183"/>
        <v>4.8245616837784182E-3</v>
      </c>
    </row>
    <row r="125" spans="2:39" s="110" customFormat="1" hidden="1" x14ac:dyDescent="0.35">
      <c r="B125" s="123" t="s">
        <v>59</v>
      </c>
      <c r="C125" s="116" t="s">
        <v>112</v>
      </c>
      <c r="D125" s="69">
        <v>0.17</v>
      </c>
      <c r="E125" s="69" t="s">
        <v>134</v>
      </c>
      <c r="F125" s="69" t="s">
        <v>134</v>
      </c>
      <c r="G125" s="69" t="s">
        <v>134</v>
      </c>
      <c r="H125" s="69" t="s">
        <v>134</v>
      </c>
      <c r="I125" s="69" t="s">
        <v>134</v>
      </c>
      <c r="J125" s="69" t="s">
        <v>134</v>
      </c>
      <c r="K125" s="69" t="s">
        <v>134</v>
      </c>
      <c r="L125" s="69" t="s">
        <v>134</v>
      </c>
      <c r="M125" s="69" t="s">
        <v>134</v>
      </c>
      <c r="N125" s="69" t="s">
        <v>134</v>
      </c>
      <c r="O125" s="69" t="s">
        <v>134</v>
      </c>
      <c r="P125" s="69" t="s">
        <v>134</v>
      </c>
      <c r="Q125" s="69" t="s">
        <v>134</v>
      </c>
      <c r="R125" s="69" t="s">
        <v>134</v>
      </c>
      <c r="S125" s="69" t="s">
        <v>134</v>
      </c>
      <c r="T125" s="69" t="s">
        <v>134</v>
      </c>
      <c r="U125" s="69" t="s">
        <v>134</v>
      </c>
      <c r="V125" s="69" t="s">
        <v>134</v>
      </c>
      <c r="W125" s="69" t="s">
        <v>134</v>
      </c>
      <c r="X125" s="69" t="s">
        <v>134</v>
      </c>
      <c r="Y125" s="69" t="s">
        <v>134</v>
      </c>
      <c r="Z125" s="69">
        <v>0.90244099999999994</v>
      </c>
      <c r="AA125" s="69">
        <v>2.6960431752047906</v>
      </c>
      <c r="AB125" s="69">
        <v>24.476237220999998</v>
      </c>
      <c r="AC125" s="69">
        <v>25.709904999999999</v>
      </c>
      <c r="AD125" s="69">
        <v>30</v>
      </c>
      <c r="AE125" s="69"/>
      <c r="AF125" s="218"/>
      <c r="AG125" s="125">
        <f t="shared" si="183"/>
        <v>0</v>
      </c>
    </row>
    <row r="126" spans="2:39" s="110" customFormat="1" hidden="1" x14ac:dyDescent="0.35">
      <c r="B126" s="123" t="s">
        <v>60</v>
      </c>
      <c r="C126" s="116" t="s">
        <v>112</v>
      </c>
      <c r="D126" s="69">
        <v>0.32687899999999998</v>
      </c>
      <c r="E126" s="69">
        <v>1.9798E-2</v>
      </c>
      <c r="F126" s="69">
        <v>0.17485800000000001</v>
      </c>
      <c r="G126" s="69">
        <v>0.19858300000000001</v>
      </c>
      <c r="H126" s="69">
        <v>0.20841399999999999</v>
      </c>
      <c r="I126" s="69">
        <v>4.4984999999999997E-2</v>
      </c>
      <c r="J126" s="69">
        <v>9.6712999999999993E-2</v>
      </c>
      <c r="K126" s="69">
        <v>4.931E-2</v>
      </c>
      <c r="L126" s="69">
        <v>0</v>
      </c>
      <c r="M126" s="69">
        <v>0</v>
      </c>
      <c r="N126" s="69">
        <v>0</v>
      </c>
      <c r="O126" s="69">
        <v>0</v>
      </c>
      <c r="P126" s="69">
        <v>0</v>
      </c>
      <c r="Q126" s="69">
        <v>0</v>
      </c>
      <c r="R126" s="69">
        <v>0.43359999999999999</v>
      </c>
      <c r="S126" s="69">
        <v>0.44169999999999998</v>
      </c>
      <c r="T126" s="69">
        <v>0.40789999999999998</v>
      </c>
      <c r="U126" s="69">
        <v>0.39856999999999998</v>
      </c>
      <c r="V126" s="69">
        <v>0.36770000000000003</v>
      </c>
      <c r="W126" s="69">
        <v>1.50078</v>
      </c>
      <c r="X126" s="69">
        <v>2.510583</v>
      </c>
      <c r="Y126" s="69">
        <v>2.8251900000000001</v>
      </c>
      <c r="Z126" s="69">
        <v>3.5668959999999998</v>
      </c>
      <c r="AA126" s="69">
        <v>3.6256101112658849</v>
      </c>
      <c r="AB126" s="69">
        <v>3.3181525000000005</v>
      </c>
      <c r="AC126" s="69">
        <v>2.8468879999999999</v>
      </c>
      <c r="AD126" s="69">
        <v>3.8</v>
      </c>
      <c r="AE126" s="69"/>
      <c r="AF126" s="218"/>
      <c r="AG126" s="125">
        <f t="shared" si="183"/>
        <v>0</v>
      </c>
    </row>
    <row r="127" spans="2:39" s="3" customFormat="1" x14ac:dyDescent="0.35">
      <c r="B127" s="3" t="s">
        <v>216</v>
      </c>
      <c r="C127" s="72" t="s">
        <v>112</v>
      </c>
      <c r="D127" s="118">
        <f>SUM(D128:D129)+D132+D133</f>
        <v>695.68141900000001</v>
      </c>
      <c r="E127" s="118">
        <f t="shared" ref="E127:AF127" si="184">SUM(E128:E129)+E132+E133</f>
        <v>780.10871599999996</v>
      </c>
      <c r="F127" s="118">
        <f t="shared" si="184"/>
        <v>816.76483999999994</v>
      </c>
      <c r="G127" s="118">
        <f t="shared" si="184"/>
        <v>884.33300899999995</v>
      </c>
      <c r="H127" s="118">
        <f t="shared" si="184"/>
        <v>971.81814299999996</v>
      </c>
      <c r="I127" s="118">
        <f t="shared" si="184"/>
        <v>1030.467024</v>
      </c>
      <c r="J127" s="118">
        <f t="shared" si="184"/>
        <v>1167.5883710000001</v>
      </c>
      <c r="K127" s="118">
        <f t="shared" si="184"/>
        <v>1304.9676799999997</v>
      </c>
      <c r="L127" s="118">
        <f t="shared" si="184"/>
        <v>1434.2024700000002</v>
      </c>
      <c r="M127" s="118">
        <f t="shared" si="184"/>
        <v>1554.7926700000003</v>
      </c>
      <c r="N127" s="118">
        <f t="shared" si="184"/>
        <v>1681.8555150000002</v>
      </c>
      <c r="O127" s="118">
        <f t="shared" si="184"/>
        <v>1840.0018880000002</v>
      </c>
      <c r="P127" s="118">
        <f t="shared" si="184"/>
        <v>1862.995756</v>
      </c>
      <c r="Q127" s="118">
        <f t="shared" si="184"/>
        <v>1963.748998</v>
      </c>
      <c r="R127" s="118">
        <f t="shared" si="184"/>
        <v>2042.5131719999997</v>
      </c>
      <c r="S127" s="118">
        <f t="shared" si="184"/>
        <v>2156.8268700000003</v>
      </c>
      <c r="T127" s="118">
        <f t="shared" si="184"/>
        <v>2273.1763689999998</v>
      </c>
      <c r="U127" s="118">
        <f t="shared" si="184"/>
        <v>2380.392515</v>
      </c>
      <c r="V127" s="118">
        <f t="shared" si="184"/>
        <v>2448.8380029999998</v>
      </c>
      <c r="W127" s="118">
        <f t="shared" si="184"/>
        <v>2453.5254069999996</v>
      </c>
      <c r="X127" s="118">
        <f t="shared" si="184"/>
        <v>2585.467686</v>
      </c>
      <c r="Y127" s="118">
        <f t="shared" si="184"/>
        <v>2676.141333</v>
      </c>
      <c r="Z127" s="118">
        <f t="shared" si="184"/>
        <v>2700.8008330000002</v>
      </c>
      <c r="AA127" s="118">
        <f t="shared" si="184"/>
        <v>2764.119279</v>
      </c>
      <c r="AB127" s="118">
        <f t="shared" si="184"/>
        <v>2796.9763729999995</v>
      </c>
      <c r="AC127" s="118">
        <f t="shared" si="184"/>
        <v>2824.7833794000003</v>
      </c>
      <c r="AD127" s="118">
        <f t="shared" si="184"/>
        <v>2875.7</v>
      </c>
      <c r="AE127" s="118">
        <f t="shared" si="184"/>
        <v>2959.2</v>
      </c>
      <c r="AF127" s="217">
        <f t="shared" si="184"/>
        <v>2918.2179999999998</v>
      </c>
      <c r="AG127" s="125">
        <f t="shared" si="183"/>
        <v>0.93239223494784684</v>
      </c>
      <c r="AK127" s="3" t="s">
        <v>261</v>
      </c>
      <c r="AL127" s="118">
        <f>SUM(AL128:AL131)+AL132</f>
        <v>648.70000000000005</v>
      </c>
    </row>
    <row r="128" spans="2:39" s="110" customFormat="1" x14ac:dyDescent="0.35">
      <c r="B128" s="112" t="s">
        <v>217</v>
      </c>
      <c r="C128" s="116" t="s">
        <v>112</v>
      </c>
      <c r="D128" s="69">
        <v>36.011000000000003</v>
      </c>
      <c r="E128" s="69">
        <v>43.79</v>
      </c>
      <c r="F128" s="69">
        <v>69.290000000000006</v>
      </c>
      <c r="G128" s="69">
        <v>39.6</v>
      </c>
      <c r="H128" s="69">
        <v>47.6</v>
      </c>
      <c r="I128" s="69">
        <v>105.84</v>
      </c>
      <c r="J128" s="69">
        <v>219.02799999999999</v>
      </c>
      <c r="K128" s="69">
        <v>154.21379999999999</v>
      </c>
      <c r="L128" s="69">
        <v>161.93199999999999</v>
      </c>
      <c r="M128" s="69">
        <v>136.6422</v>
      </c>
      <c r="N128" s="69">
        <v>42.772599999999997</v>
      </c>
      <c r="O128" s="69">
        <v>12.0517</v>
      </c>
      <c r="P128" s="69">
        <v>17.98555</v>
      </c>
      <c r="Q128" s="69">
        <v>32.274529999999999</v>
      </c>
      <c r="R128" s="69">
        <v>44.286560000000001</v>
      </c>
      <c r="S128" s="69">
        <v>56.203600000000002</v>
      </c>
      <c r="T128" s="69">
        <v>5.7321</v>
      </c>
      <c r="U128" s="69">
        <v>3.1876000000000002</v>
      </c>
      <c r="V128" s="69">
        <v>6.5815000000000001</v>
      </c>
      <c r="W128" s="69">
        <v>15.277304000000001</v>
      </c>
      <c r="X128" s="69">
        <v>18.948927000000001</v>
      </c>
      <c r="Y128" s="69">
        <v>11.58</v>
      </c>
      <c r="Z128" s="69">
        <v>10.9838</v>
      </c>
      <c r="AA128" s="69">
        <v>1.6682999999999999</v>
      </c>
      <c r="AB128" s="69">
        <v>1.9911000000000001</v>
      </c>
      <c r="AC128" s="69">
        <v>2.0057999999999998</v>
      </c>
      <c r="AD128" s="69">
        <v>2.1</v>
      </c>
      <c r="AE128" s="69">
        <v>2.7</v>
      </c>
      <c r="AF128" s="218">
        <v>1.7999999999999999E-2</v>
      </c>
      <c r="AG128" s="219">
        <f t="shared" si="183"/>
        <v>5.7511331329808957E-6</v>
      </c>
      <c r="AK128" s="112" t="s">
        <v>189</v>
      </c>
      <c r="AL128" s="164">
        <f>AF121</f>
        <v>124.5</v>
      </c>
      <c r="AM128" s="50">
        <f>AL128/$AL$127</f>
        <v>0.19192230615076306</v>
      </c>
    </row>
    <row r="129" spans="2:39" s="110" customFormat="1" x14ac:dyDescent="0.35">
      <c r="B129" s="112" t="s">
        <v>218</v>
      </c>
      <c r="C129" s="116" t="s">
        <v>112</v>
      </c>
      <c r="D129" s="69">
        <v>453.88257900000002</v>
      </c>
      <c r="E129" s="69">
        <v>500.75871600000005</v>
      </c>
      <c r="F129" s="69">
        <v>505.77483999999998</v>
      </c>
      <c r="G129" s="69">
        <v>623.72300899999993</v>
      </c>
      <c r="H129" s="69">
        <v>709.92814299999998</v>
      </c>
      <c r="I129" s="69">
        <v>694.02702399999998</v>
      </c>
      <c r="J129" s="69">
        <v>712.51037100000008</v>
      </c>
      <c r="K129" s="69">
        <v>872.15387999999996</v>
      </c>
      <c r="L129" s="69">
        <v>858.88047000000006</v>
      </c>
      <c r="M129" s="69">
        <v>930.77047000000005</v>
      </c>
      <c r="N129" s="69">
        <v>845.3029150000001</v>
      </c>
      <c r="O129" s="69">
        <v>885.04018800000006</v>
      </c>
      <c r="P129" s="69">
        <v>887.40720599999997</v>
      </c>
      <c r="Q129" s="69">
        <v>984.974468</v>
      </c>
      <c r="R129" s="69">
        <v>1058.3066119999999</v>
      </c>
      <c r="S129" s="69">
        <v>1038.01827</v>
      </c>
      <c r="T129" s="69">
        <v>1023.350864</v>
      </c>
      <c r="U129" s="69">
        <v>915.68177500000002</v>
      </c>
      <c r="V129" s="69">
        <v>827.12251900000001</v>
      </c>
      <c r="W129" s="69">
        <v>937.96146799999985</v>
      </c>
      <c r="X129" s="69">
        <v>976.58942400000001</v>
      </c>
      <c r="Y129" s="69">
        <v>1058.6862819999999</v>
      </c>
      <c r="Z129" s="69">
        <v>1057.0487660000001</v>
      </c>
      <c r="AA129" s="69">
        <v>1076.113102</v>
      </c>
      <c r="AB129" s="69">
        <v>1079.25884</v>
      </c>
      <c r="AC129" s="69">
        <v>1131.2438750000001</v>
      </c>
      <c r="AD129" s="69">
        <v>1109.8</v>
      </c>
      <c r="AE129" s="69">
        <v>1181.3</v>
      </c>
      <c r="AF129" s="218">
        <v>1221.5999999999999</v>
      </c>
      <c r="AG129" s="219">
        <f t="shared" si="183"/>
        <v>0.39031023529163678</v>
      </c>
      <c r="AK129" s="112" t="s">
        <v>191</v>
      </c>
      <c r="AL129" s="164">
        <f t="shared" ref="AL129:AL131" si="185">AF122</f>
        <v>22.6</v>
      </c>
      <c r="AM129" s="50">
        <f>AL129/$AL$127</f>
        <v>3.4838908586403573E-2</v>
      </c>
    </row>
    <row r="130" spans="2:39" s="110" customFormat="1" x14ac:dyDescent="0.35">
      <c r="B130" s="123" t="s">
        <v>59</v>
      </c>
      <c r="C130" s="116" t="s">
        <v>112</v>
      </c>
      <c r="D130" s="69">
        <v>448.73576000000003</v>
      </c>
      <c r="E130" s="69">
        <v>494.35</v>
      </c>
      <c r="F130" s="69">
        <v>497.89</v>
      </c>
      <c r="G130" s="69">
        <v>614.77</v>
      </c>
      <c r="H130" s="69">
        <v>699.34</v>
      </c>
      <c r="I130" s="69">
        <v>682.09</v>
      </c>
      <c r="J130" s="69">
        <v>699.29998100000012</v>
      </c>
      <c r="K130" s="69">
        <v>857.09843999999998</v>
      </c>
      <c r="L130" s="69">
        <v>841.96</v>
      </c>
      <c r="M130" s="69">
        <v>912.65818400000001</v>
      </c>
      <c r="N130" s="69">
        <v>825.68688800000007</v>
      </c>
      <c r="O130" s="69">
        <v>864.41514800000004</v>
      </c>
      <c r="P130" s="69">
        <v>864.84840599999995</v>
      </c>
      <c r="Q130" s="69">
        <v>960.57734800000003</v>
      </c>
      <c r="R130" s="69">
        <v>1031.539327</v>
      </c>
      <c r="S130" s="69">
        <v>1008.4352699999999</v>
      </c>
      <c r="T130" s="69">
        <v>993.00647400000003</v>
      </c>
      <c r="U130" s="69">
        <v>885.21800400000006</v>
      </c>
      <c r="V130" s="69">
        <v>796.35509999999999</v>
      </c>
      <c r="W130" s="69">
        <v>907.7712919999999</v>
      </c>
      <c r="X130" s="69">
        <v>947.02084300000001</v>
      </c>
      <c r="Y130" s="69">
        <v>1028.383566</v>
      </c>
      <c r="Z130" s="69">
        <v>1027.0037380000001</v>
      </c>
      <c r="AA130" s="69">
        <v>1044.1363080000001</v>
      </c>
      <c r="AB130" s="69">
        <v>1045.172597</v>
      </c>
      <c r="AC130" s="69">
        <v>1094.470409</v>
      </c>
      <c r="AD130" s="69">
        <v>1072.9000000000001</v>
      </c>
      <c r="AE130" s="69"/>
      <c r="AF130" s="218"/>
      <c r="AG130" s="219">
        <f t="shared" si="183"/>
        <v>0</v>
      </c>
      <c r="AK130" s="112" t="s">
        <v>192</v>
      </c>
      <c r="AL130" s="164">
        <f t="shared" si="185"/>
        <v>49.4</v>
      </c>
      <c r="AM130" s="50">
        <f>AL130/$AL$127</f>
        <v>7.615230460921843E-2</v>
      </c>
    </row>
    <row r="131" spans="2:39" s="110" customFormat="1" x14ac:dyDescent="0.35">
      <c r="B131" s="123" t="s">
        <v>60</v>
      </c>
      <c r="C131" s="116" t="s">
        <v>112</v>
      </c>
      <c r="D131" s="69">
        <v>5.1468189999999998</v>
      </c>
      <c r="E131" s="69">
        <v>6.4087160000000001</v>
      </c>
      <c r="F131" s="69">
        <v>7.8848399999999996</v>
      </c>
      <c r="G131" s="69">
        <v>8.9530089999999998</v>
      </c>
      <c r="H131" s="69">
        <v>10.588143000000001</v>
      </c>
      <c r="I131" s="69">
        <v>11.937023999999999</v>
      </c>
      <c r="J131" s="69">
        <v>13.21039</v>
      </c>
      <c r="K131" s="69">
        <v>15.055440000000001</v>
      </c>
      <c r="L131" s="69">
        <v>16.920470000000002</v>
      </c>
      <c r="M131" s="69">
        <v>18.112286000000001</v>
      </c>
      <c r="N131" s="69">
        <v>19.616026999999999</v>
      </c>
      <c r="O131" s="69">
        <v>20.625039999999998</v>
      </c>
      <c r="P131" s="69">
        <v>22.558800000000002</v>
      </c>
      <c r="Q131" s="69">
        <v>24.397120000000001</v>
      </c>
      <c r="R131" s="69">
        <v>26.767285000000001</v>
      </c>
      <c r="S131" s="69">
        <v>29.582999999999998</v>
      </c>
      <c r="T131" s="69">
        <v>30.344390000000001</v>
      </c>
      <c r="U131" s="69">
        <v>30.463771000000001</v>
      </c>
      <c r="V131" s="69">
        <v>30.767419</v>
      </c>
      <c r="W131" s="69">
        <v>30.190176000000001</v>
      </c>
      <c r="X131" s="69">
        <v>29.568580999999998</v>
      </c>
      <c r="Y131" s="69">
        <v>30.302716</v>
      </c>
      <c r="Z131" s="69">
        <v>30.045027999999999</v>
      </c>
      <c r="AA131" s="69">
        <v>31.976794000000002</v>
      </c>
      <c r="AB131" s="69">
        <v>34.086243000000003</v>
      </c>
      <c r="AC131" s="69">
        <v>36.773465999999999</v>
      </c>
      <c r="AD131" s="69">
        <v>37</v>
      </c>
      <c r="AE131" s="69"/>
      <c r="AF131" s="218"/>
      <c r="AG131" s="219">
        <f t="shared" si="183"/>
        <v>0</v>
      </c>
      <c r="AK131" s="112" t="s">
        <v>190</v>
      </c>
      <c r="AL131" s="164">
        <f t="shared" si="185"/>
        <v>15.1</v>
      </c>
      <c r="AM131" s="50">
        <f>AL131/$AL$127</f>
        <v>2.3277323878526282E-2</v>
      </c>
    </row>
    <row r="132" spans="2:39" s="110" customFormat="1" x14ac:dyDescent="0.35">
      <c r="B132" s="112" t="s">
        <v>15</v>
      </c>
      <c r="C132" s="116" t="s">
        <v>112</v>
      </c>
      <c r="D132" s="69">
        <v>48</v>
      </c>
      <c r="E132" s="69">
        <v>54</v>
      </c>
      <c r="F132" s="69">
        <v>50.54</v>
      </c>
      <c r="G132" s="69">
        <v>51.07</v>
      </c>
      <c r="H132" s="69">
        <v>50.86</v>
      </c>
      <c r="I132" s="69">
        <v>53.1</v>
      </c>
      <c r="J132" s="69">
        <v>10.82</v>
      </c>
      <c r="K132" s="69">
        <v>29.05</v>
      </c>
      <c r="L132" s="69">
        <v>93.26</v>
      </c>
      <c r="M132" s="69">
        <v>188.53</v>
      </c>
      <c r="N132" s="69">
        <v>363.29</v>
      </c>
      <c r="O132" s="69">
        <v>465.29</v>
      </c>
      <c r="P132" s="69">
        <v>505.46899999999999</v>
      </c>
      <c r="Q132" s="69">
        <v>497.58</v>
      </c>
      <c r="R132" s="69">
        <v>470.34</v>
      </c>
      <c r="S132" s="69">
        <v>609.73400000000004</v>
      </c>
      <c r="T132" s="69">
        <v>798.34836700000005</v>
      </c>
      <c r="U132" s="69">
        <v>993.60206600000004</v>
      </c>
      <c r="V132" s="69">
        <v>1128.729734</v>
      </c>
      <c r="W132" s="69">
        <v>1015.25578</v>
      </c>
      <c r="X132" s="69">
        <v>1115.853357</v>
      </c>
      <c r="Y132" s="69">
        <v>1119.3828610000003</v>
      </c>
      <c r="Z132" s="69">
        <v>1162.2731080000001</v>
      </c>
      <c r="AA132" s="69">
        <v>1213.5528300000001</v>
      </c>
      <c r="AB132" s="69">
        <v>1259.4965419999999</v>
      </c>
      <c r="AC132" s="69">
        <v>1181.6926880000001</v>
      </c>
      <c r="AD132" s="69">
        <v>1266.8</v>
      </c>
      <c r="AE132" s="69">
        <v>1312</v>
      </c>
      <c r="AF132" s="218">
        <v>1259.5</v>
      </c>
      <c r="AG132" s="219">
        <f t="shared" si="183"/>
        <v>0.40241956561052433</v>
      </c>
      <c r="AK132" s="112" t="s">
        <v>16</v>
      </c>
      <c r="AL132" s="69">
        <f>AF133</f>
        <v>437.1</v>
      </c>
      <c r="AM132" s="50">
        <f>AL132/$AL$127</f>
        <v>0.67380915677508868</v>
      </c>
    </row>
    <row r="133" spans="2:39" s="110" customFormat="1" x14ac:dyDescent="0.35">
      <c r="B133" s="112" t="s">
        <v>16</v>
      </c>
      <c r="C133" s="116" t="s">
        <v>112</v>
      </c>
      <c r="D133" s="69">
        <v>157.78783999999999</v>
      </c>
      <c r="E133" s="69">
        <v>181.56</v>
      </c>
      <c r="F133" s="69">
        <v>191.16</v>
      </c>
      <c r="G133" s="69">
        <v>169.94</v>
      </c>
      <c r="H133" s="69">
        <v>163.43</v>
      </c>
      <c r="I133" s="69">
        <v>177.5</v>
      </c>
      <c r="J133" s="69">
        <v>225.23</v>
      </c>
      <c r="K133" s="69">
        <v>249.55</v>
      </c>
      <c r="L133" s="69">
        <v>320.13</v>
      </c>
      <c r="M133" s="69">
        <v>298.85000000000002</v>
      </c>
      <c r="N133" s="69">
        <v>430.49</v>
      </c>
      <c r="O133" s="69">
        <v>477.62</v>
      </c>
      <c r="P133" s="69">
        <v>452.13400000000001</v>
      </c>
      <c r="Q133" s="69">
        <v>448.92</v>
      </c>
      <c r="R133" s="69">
        <v>469.58</v>
      </c>
      <c r="S133" s="69">
        <v>452.87099999999998</v>
      </c>
      <c r="T133" s="69">
        <v>445.74503799999991</v>
      </c>
      <c r="U133" s="69">
        <v>467.92107400000003</v>
      </c>
      <c r="V133" s="69">
        <v>486.40424999999999</v>
      </c>
      <c r="W133" s="69">
        <v>485.03085499999992</v>
      </c>
      <c r="X133" s="69">
        <v>474.07597800000002</v>
      </c>
      <c r="Y133" s="69">
        <v>486.49219000000005</v>
      </c>
      <c r="Z133" s="69">
        <v>470.49515900000006</v>
      </c>
      <c r="AA133" s="69">
        <v>472.78504700000002</v>
      </c>
      <c r="AB133" s="69">
        <v>456.22989100000001</v>
      </c>
      <c r="AC133" s="69">
        <v>509.8410164</v>
      </c>
      <c r="AD133" s="69">
        <v>497</v>
      </c>
      <c r="AE133" s="69">
        <v>463.2</v>
      </c>
      <c r="AF133" s="218">
        <v>437.1</v>
      </c>
      <c r="AG133" s="219">
        <f t="shared" si="183"/>
        <v>0.13965668291255276</v>
      </c>
    </row>
    <row r="136" spans="2:39" x14ac:dyDescent="0.35">
      <c r="B136" t="s">
        <v>228</v>
      </c>
      <c r="C136" s="116" t="s">
        <v>233</v>
      </c>
      <c r="D136" s="152">
        <v>2013</v>
      </c>
      <c r="E136" s="152">
        <v>2014</v>
      </c>
      <c r="F136" s="152">
        <v>2015</v>
      </c>
      <c r="G136" s="152">
        <v>2016</v>
      </c>
      <c r="H136" s="152">
        <v>2017</v>
      </c>
      <c r="I136" s="152">
        <v>2018</v>
      </c>
      <c r="J136" s="152">
        <v>2018</v>
      </c>
    </row>
    <row r="137" spans="2:39" x14ac:dyDescent="0.35">
      <c r="B137" t="s">
        <v>229</v>
      </c>
      <c r="C137" s="116" t="s">
        <v>234</v>
      </c>
      <c r="D137">
        <v>990</v>
      </c>
      <c r="E137">
        <v>1000</v>
      </c>
      <c r="F137">
        <v>893</v>
      </c>
      <c r="G137">
        <v>908</v>
      </c>
      <c r="H137">
        <v>960</v>
      </c>
      <c r="I137" s="152">
        <v>1047</v>
      </c>
      <c r="J137" s="50">
        <f>I137/$I$141</f>
        <v>1.6105462320601761E-2</v>
      </c>
    </row>
    <row r="138" spans="2:39" x14ac:dyDescent="0.35">
      <c r="B138" t="s">
        <v>230</v>
      </c>
      <c r="C138" s="116" t="s">
        <v>234</v>
      </c>
      <c r="D138">
        <v>51787</v>
      </c>
      <c r="E138">
        <v>53274</v>
      </c>
      <c r="F138">
        <v>53436</v>
      </c>
      <c r="G138">
        <v>53906</v>
      </c>
      <c r="H138">
        <v>53965</v>
      </c>
      <c r="I138" s="152">
        <v>54550</v>
      </c>
      <c r="J138" s="50">
        <f t="shared" ref="J138:J140" si="186">I138/$I$141</f>
        <v>0.83911458413450446</v>
      </c>
    </row>
    <row r="139" spans="2:39" x14ac:dyDescent="0.35">
      <c r="B139" t="s">
        <v>231</v>
      </c>
      <c r="C139" s="116" t="s">
        <v>234</v>
      </c>
      <c r="D139">
        <v>4722</v>
      </c>
      <c r="E139">
        <v>5511</v>
      </c>
      <c r="F139">
        <v>7083</v>
      </c>
      <c r="G139">
        <v>8427</v>
      </c>
      <c r="H139">
        <v>6778</v>
      </c>
      <c r="I139" s="152">
        <v>7711</v>
      </c>
      <c r="J139" s="50">
        <f t="shared" si="186"/>
        <v>0.11861434570597917</v>
      </c>
    </row>
    <row r="140" spans="2:39" x14ac:dyDescent="0.35">
      <c r="B140" t="s">
        <v>232</v>
      </c>
      <c r="C140" s="116" t="s">
        <v>234</v>
      </c>
      <c r="D140">
        <v>1294</v>
      </c>
      <c r="E140">
        <v>1340</v>
      </c>
      <c r="F140">
        <v>1442</v>
      </c>
      <c r="G140">
        <v>1490</v>
      </c>
      <c r="H140">
        <v>1550</v>
      </c>
      <c r="I140" s="152">
        <v>1701</v>
      </c>
      <c r="J140" s="50">
        <f t="shared" si="186"/>
        <v>2.6165607838914612E-2</v>
      </c>
    </row>
    <row r="141" spans="2:39" x14ac:dyDescent="0.35">
      <c r="G141">
        <f>SUM(G137:G140)</f>
        <v>64731</v>
      </c>
      <c r="I141">
        <f>SUM(I137:I140)</f>
        <v>65009</v>
      </c>
    </row>
    <row r="143" spans="2:39" x14ac:dyDescent="0.35">
      <c r="B143" t="s">
        <v>235</v>
      </c>
      <c r="C143" s="116" t="s">
        <v>233</v>
      </c>
      <c r="D143" s="220">
        <v>2017</v>
      </c>
      <c r="E143" s="110">
        <v>2018</v>
      </c>
    </row>
    <row r="144" spans="2:39" x14ac:dyDescent="0.35">
      <c r="B144" s="110"/>
      <c r="C144" s="154"/>
      <c r="D144" s="69">
        <f>SUM(D145:D165)</f>
        <v>53963.870804624115</v>
      </c>
      <c r="E144" s="110"/>
    </row>
    <row r="145" spans="2:6" x14ac:dyDescent="0.35">
      <c r="B145" s="158" t="s">
        <v>309</v>
      </c>
      <c r="C145" s="116" t="s">
        <v>234</v>
      </c>
      <c r="D145" s="163">
        <v>11345.399072615954</v>
      </c>
      <c r="E145" s="155">
        <f>D145/$D$144</f>
        <v>0.2102406462592705</v>
      </c>
    </row>
    <row r="146" spans="2:6" x14ac:dyDescent="0.35">
      <c r="B146" s="157" t="s">
        <v>239</v>
      </c>
      <c r="C146" s="116" t="s">
        <v>234</v>
      </c>
      <c r="D146" s="163">
        <v>11178.205607009457</v>
      </c>
      <c r="E146" s="155">
        <f>D146/$D$144</f>
        <v>0.20714239805888066</v>
      </c>
      <c r="F146" s="231">
        <f>E146*100%/$E$166</f>
        <v>0.26228546338544978</v>
      </c>
    </row>
    <row r="147" spans="2:6" x14ac:dyDescent="0.35">
      <c r="B147" s="157" t="s">
        <v>236</v>
      </c>
      <c r="C147" s="116" t="s">
        <v>234</v>
      </c>
      <c r="D147" s="163">
        <v>9392.2376077371046</v>
      </c>
      <c r="E147" s="155">
        <f t="shared" ref="E147:E165" si="187">D147/$D$144</f>
        <v>0.17404677365976298</v>
      </c>
      <c r="F147" s="231">
        <f t="shared" ref="F147:F165" si="188">E147*100%/$E$166</f>
        <v>0.220379502737616</v>
      </c>
    </row>
    <row r="148" spans="2:6" x14ac:dyDescent="0.35">
      <c r="B148" s="158" t="s">
        <v>237</v>
      </c>
      <c r="C148" s="116" t="s">
        <v>234</v>
      </c>
      <c r="D148" s="163">
        <v>7683.7003879565391</v>
      </c>
      <c r="E148" s="155">
        <f t="shared" si="187"/>
        <v>0.1423860125930427</v>
      </c>
      <c r="F148" s="231">
        <f t="shared" si="188"/>
        <v>0.18029037822550012</v>
      </c>
    </row>
    <row r="149" spans="2:6" x14ac:dyDescent="0.35">
      <c r="B149" s="159" t="s">
        <v>238</v>
      </c>
      <c r="C149" s="116" t="s">
        <v>234</v>
      </c>
      <c r="D149" s="163">
        <v>3198.2838405392695</v>
      </c>
      <c r="E149" s="155">
        <f t="shared" si="187"/>
        <v>5.9267131746694707E-2</v>
      </c>
      <c r="F149" s="231">
        <f t="shared" si="188"/>
        <v>7.5044545488411565E-2</v>
      </c>
    </row>
    <row r="150" spans="2:6" ht="15" customHeight="1" x14ac:dyDescent="0.35">
      <c r="B150" s="158" t="s">
        <v>244</v>
      </c>
      <c r="C150" s="116" t="s">
        <v>234</v>
      </c>
      <c r="D150" s="163">
        <v>1914.1175474155127</v>
      </c>
      <c r="E150" s="155">
        <f t="shared" si="187"/>
        <v>3.5470353013510918E-2</v>
      </c>
      <c r="F150" s="231">
        <f t="shared" si="188"/>
        <v>4.4912862184542719E-2</v>
      </c>
    </row>
    <row r="151" spans="2:6" x14ac:dyDescent="0.35">
      <c r="B151" s="158" t="s">
        <v>245</v>
      </c>
      <c r="C151" s="116" t="s">
        <v>234</v>
      </c>
      <c r="D151" s="163">
        <v>1429.1676711345681</v>
      </c>
      <c r="E151" s="155">
        <f t="shared" si="187"/>
        <v>2.6483787204755221E-2</v>
      </c>
      <c r="F151" s="231">
        <f t="shared" si="188"/>
        <v>3.3533996247481726E-2</v>
      </c>
    </row>
    <row r="152" spans="2:6" x14ac:dyDescent="0.35">
      <c r="B152" s="157" t="s">
        <v>246</v>
      </c>
      <c r="C152" s="116" t="s">
        <v>234</v>
      </c>
      <c r="D152" s="163">
        <v>1316.6034092974969</v>
      </c>
      <c r="E152" s="155">
        <f t="shared" si="187"/>
        <v>2.4397868234179346E-2</v>
      </c>
      <c r="F152" s="231">
        <f t="shared" si="188"/>
        <v>3.0892787934220439E-2</v>
      </c>
    </row>
    <row r="153" spans="2:6" ht="29" x14ac:dyDescent="0.35">
      <c r="B153" s="158" t="s">
        <v>248</v>
      </c>
      <c r="C153" s="116" t="s">
        <v>234</v>
      </c>
      <c r="D153" s="163">
        <v>1134.6286788128334</v>
      </c>
      <c r="E153" s="155">
        <f t="shared" si="187"/>
        <v>2.1025709644157106E-2</v>
      </c>
      <c r="F153" s="231">
        <f t="shared" si="188"/>
        <v>2.6622932092627855E-2</v>
      </c>
    </row>
    <row r="154" spans="2:6" x14ac:dyDescent="0.35">
      <c r="B154" s="158" t="s">
        <v>254</v>
      </c>
      <c r="C154" s="116" t="s">
        <v>234</v>
      </c>
      <c r="D154" s="163">
        <v>1126.0598116511528</v>
      </c>
      <c r="E154" s="155">
        <f t="shared" si="187"/>
        <v>2.0866920679727476E-2</v>
      </c>
      <c r="F154" s="231">
        <f t="shared" si="188"/>
        <v>2.6421872157500123E-2</v>
      </c>
    </row>
    <row r="155" spans="2:6" ht="43.5" x14ac:dyDescent="0.35">
      <c r="B155" s="158" t="s">
        <v>252</v>
      </c>
      <c r="C155" s="116" t="s">
        <v>234</v>
      </c>
      <c r="D155" s="163">
        <v>1076.3563441007595</v>
      </c>
      <c r="E155" s="155">
        <f t="shared" si="187"/>
        <v>1.9945869857959254E-2</v>
      </c>
      <c r="F155" s="231">
        <f t="shared" si="188"/>
        <v>2.5255629785813576E-2</v>
      </c>
    </row>
    <row r="156" spans="2:6" ht="29" x14ac:dyDescent="0.35">
      <c r="B156" s="158" t="s">
        <v>243</v>
      </c>
      <c r="C156" s="116" t="s">
        <v>234</v>
      </c>
      <c r="D156" s="163">
        <v>861.7441121414488</v>
      </c>
      <c r="E156" s="155">
        <f t="shared" si="187"/>
        <v>1.5968908443602728E-2</v>
      </c>
      <c r="F156" s="231">
        <f t="shared" si="188"/>
        <v>2.0219967472325961E-2</v>
      </c>
    </row>
    <row r="157" spans="2:6" ht="15" customHeight="1" x14ac:dyDescent="0.35">
      <c r="B157" s="158" t="s">
        <v>249</v>
      </c>
      <c r="C157" s="116" t="s">
        <v>234</v>
      </c>
      <c r="D157" s="163">
        <v>483.4912439429761</v>
      </c>
      <c r="E157" s="155">
        <f t="shared" si="187"/>
        <v>8.9595360142613444E-3</v>
      </c>
      <c r="F157" s="231">
        <f t="shared" si="188"/>
        <v>1.1344640581746971E-2</v>
      </c>
    </row>
    <row r="158" spans="2:6" x14ac:dyDescent="0.35">
      <c r="B158" s="161" t="s">
        <v>242</v>
      </c>
      <c r="C158" s="116" t="s">
        <v>234</v>
      </c>
      <c r="D158" s="163">
        <v>482.60161522138145</v>
      </c>
      <c r="E158" s="155">
        <f t="shared" si="187"/>
        <v>8.9430503784400095E-3</v>
      </c>
      <c r="F158" s="231">
        <f t="shared" si="188"/>
        <v>1.1323766329681137E-2</v>
      </c>
    </row>
    <row r="159" spans="2:6" x14ac:dyDescent="0.35">
      <c r="B159" s="158" t="s">
        <v>253</v>
      </c>
      <c r="C159" s="116" t="s">
        <v>234</v>
      </c>
      <c r="D159" s="163">
        <v>393.21217434817163</v>
      </c>
      <c r="E159" s="155">
        <f t="shared" si="187"/>
        <v>7.2865820869632211E-3</v>
      </c>
      <c r="F159" s="231">
        <f t="shared" si="188"/>
        <v>9.2263321130037993E-3</v>
      </c>
    </row>
    <row r="160" spans="2:6" x14ac:dyDescent="0.35">
      <c r="B160" s="158" t="s">
        <v>240</v>
      </c>
      <c r="C160" s="116" t="s">
        <v>234</v>
      </c>
      <c r="D160" s="163">
        <v>237.59018663556412</v>
      </c>
      <c r="E160" s="155">
        <f t="shared" si="187"/>
        <v>4.4027639806595419E-3</v>
      </c>
      <c r="F160" s="231">
        <f t="shared" si="188"/>
        <v>5.5748171386709863E-3</v>
      </c>
    </row>
    <row r="161" spans="2:6" ht="15" customHeight="1" x14ac:dyDescent="0.35">
      <c r="B161" s="158" t="s">
        <v>247</v>
      </c>
      <c r="C161" s="116" t="s">
        <v>234</v>
      </c>
      <c r="D161" s="163">
        <v>215.0370502005766</v>
      </c>
      <c r="E161" s="155">
        <f t="shared" si="187"/>
        <v>3.9848336858398651E-3</v>
      </c>
      <c r="F161" s="231">
        <f t="shared" si="188"/>
        <v>5.0456302504877293E-3</v>
      </c>
    </row>
    <row r="162" spans="2:6" x14ac:dyDescent="0.35">
      <c r="B162" s="158" t="s">
        <v>250</v>
      </c>
      <c r="C162" s="116" t="s">
        <v>234</v>
      </c>
      <c r="D162" s="163">
        <v>199.62958099360443</v>
      </c>
      <c r="E162" s="155">
        <f t="shared" si="187"/>
        <v>3.6993191558915813E-3</v>
      </c>
      <c r="F162" s="231">
        <f t="shared" si="188"/>
        <v>4.6841093282018057E-3</v>
      </c>
    </row>
    <row r="163" spans="2:6" x14ac:dyDescent="0.35">
      <c r="B163" s="158" t="s">
        <v>251</v>
      </c>
      <c r="C163" s="116" t="s">
        <v>234</v>
      </c>
      <c r="D163" s="163">
        <v>131.09858985834074</v>
      </c>
      <c r="E163" s="155">
        <f t="shared" si="187"/>
        <v>2.4293770610522443E-3</v>
      </c>
      <c r="F163" s="231">
        <f t="shared" si="188"/>
        <v>3.0760978639194254E-3</v>
      </c>
    </row>
    <row r="164" spans="2:6" s="110" customFormat="1" ht="43.5" x14ac:dyDescent="0.35">
      <c r="B164" s="160" t="s">
        <v>241</v>
      </c>
      <c r="C164" s="116" t="s">
        <v>234</v>
      </c>
      <c r="D164" s="163">
        <v>100.17956182118122</v>
      </c>
      <c r="E164" s="155">
        <f t="shared" si="187"/>
        <v>1.8564191250082995E-3</v>
      </c>
      <c r="F164" s="231">
        <f t="shared" si="188"/>
        <v>2.3506136599905896E-3</v>
      </c>
    </row>
    <row r="165" spans="2:6" ht="15" customHeight="1" x14ac:dyDescent="0.35">
      <c r="B165" s="162" t="s">
        <v>255</v>
      </c>
      <c r="C165" s="116" t="s">
        <v>234</v>
      </c>
      <c r="D165" s="163">
        <v>64.526711190227672</v>
      </c>
      <c r="E165" s="155">
        <f t="shared" si="187"/>
        <v>1.19573911634038E-3</v>
      </c>
      <c r="F165" s="231">
        <f t="shared" si="188"/>
        <v>1.5140550228075291E-3</v>
      </c>
    </row>
    <row r="166" spans="2:6" ht="15" customHeight="1" x14ac:dyDescent="0.35">
      <c r="C166" s="153"/>
      <c r="E166" s="156">
        <f>SUM(E146:E165)</f>
        <v>0.7897593537407297</v>
      </c>
    </row>
  </sheetData>
  <autoFilter ref="B143:E143" xr:uid="{48DC0A75-8AF1-480C-88DD-4A6DAC436B23}">
    <sortState xmlns:xlrd2="http://schemas.microsoft.com/office/spreadsheetml/2017/richdata2" ref="B144:E165">
      <sortCondition descending="1" ref="D143"/>
    </sortState>
  </autoFilter>
  <sortState xmlns:xlrd2="http://schemas.microsoft.com/office/spreadsheetml/2017/richdata2" ref="B144:D163">
    <sortCondition ref="B144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336B6-9389-4AAA-A1D5-691F6798E363}">
  <sheetPr>
    <tabColor theme="4" tint="-0.249977111117893"/>
  </sheetPr>
  <dimension ref="B2:T44"/>
  <sheetViews>
    <sheetView zoomScale="85" zoomScaleNormal="85" workbookViewId="0">
      <pane xSplit="3" ySplit="2" topLeftCell="D30" activePane="bottomRight" state="frozen"/>
      <selection pane="topRight" activeCell="D1" sqref="D1"/>
      <selection pane="bottomLeft" activeCell="A3" sqref="A3"/>
      <selection pane="bottomRight" activeCell="D36" sqref="D36"/>
    </sheetView>
  </sheetViews>
  <sheetFormatPr baseColWidth="10" defaultRowHeight="14.5" x14ac:dyDescent="0.35"/>
  <cols>
    <col min="1" max="1" width="2" customWidth="1"/>
    <col min="2" max="2" width="22" customWidth="1"/>
    <col min="3" max="3" width="9.36328125" style="110" customWidth="1"/>
  </cols>
  <sheetData>
    <row r="2" spans="2:20" x14ac:dyDescent="0.35">
      <c r="D2">
        <v>2000</v>
      </c>
      <c r="E2">
        <v>2001</v>
      </c>
      <c r="F2" s="110">
        <v>2002</v>
      </c>
      <c r="G2" s="110">
        <v>2003</v>
      </c>
      <c r="H2" s="110">
        <v>2004</v>
      </c>
      <c r="I2" s="110">
        <v>2005</v>
      </c>
      <c r="J2" s="110">
        <v>2006</v>
      </c>
      <c r="K2" s="110">
        <v>2007</v>
      </c>
      <c r="L2" s="110">
        <v>2008</v>
      </c>
      <c r="M2" s="110">
        <v>2009</v>
      </c>
      <c r="N2" s="110">
        <v>2010</v>
      </c>
      <c r="O2" s="110">
        <v>2011</v>
      </c>
      <c r="P2" s="110">
        <v>2012</v>
      </c>
      <c r="Q2" s="110">
        <v>2013</v>
      </c>
      <c r="R2" s="110">
        <v>2014</v>
      </c>
      <c r="S2" s="110">
        <v>2015</v>
      </c>
      <c r="T2" s="110">
        <v>2016</v>
      </c>
    </row>
    <row r="3" spans="2:20" x14ac:dyDescent="0.35">
      <c r="B3" s="253" t="s">
        <v>540</v>
      </c>
      <c r="C3" s="8" t="s">
        <v>136</v>
      </c>
      <c r="D3">
        <v>26.654062499999998</v>
      </c>
      <c r="E3">
        <v>27.794685693641618</v>
      </c>
      <c r="F3">
        <v>28.961304190751445</v>
      </c>
      <c r="G3">
        <v>30.110803829479767</v>
      </c>
      <c r="H3">
        <v>31.771333092485552</v>
      </c>
      <c r="I3">
        <v>33.286669075144509</v>
      </c>
      <c r="J3">
        <v>34.808345375722546</v>
      </c>
      <c r="K3">
        <v>36.411177745664737</v>
      </c>
      <c r="L3">
        <v>38.292350072254337</v>
      </c>
      <c r="M3">
        <v>39.938930635838148</v>
      </c>
      <c r="N3">
        <v>41.855608742774578</v>
      </c>
      <c r="O3">
        <v>43.68796062138729</v>
      </c>
      <c r="P3">
        <v>45.978083453757222</v>
      </c>
      <c r="Q3">
        <v>48.331609465317918</v>
      </c>
      <c r="R3">
        <v>42.359264585659012</v>
      </c>
      <c r="S3">
        <v>55.593807052013801</v>
      </c>
      <c r="T3">
        <v>66.696436808626245</v>
      </c>
    </row>
    <row r="4" spans="2:20" x14ac:dyDescent="0.35">
      <c r="B4" s="253" t="s">
        <v>541</v>
      </c>
      <c r="C4" s="8" t="s">
        <v>41</v>
      </c>
      <c r="D4">
        <v>3.3959241722305493</v>
      </c>
      <c r="E4">
        <v>3.5418185379479494</v>
      </c>
      <c r="F4">
        <v>3.6908170391061454</v>
      </c>
      <c r="G4">
        <v>3.837746116637144</v>
      </c>
      <c r="H4">
        <v>4.0508967502384525</v>
      </c>
      <c r="I4">
        <v>4.243353147567789</v>
      </c>
      <c r="J4">
        <v>4.4378789685243216</v>
      </c>
      <c r="K4">
        <v>4.6437866194304407</v>
      </c>
      <c r="L4">
        <v>4.8828050483717123</v>
      </c>
      <c r="M4">
        <v>5.0928515465322262</v>
      </c>
      <c r="N4">
        <v>5.3370435345414915</v>
      </c>
      <c r="O4">
        <v>5.5708884044147711</v>
      </c>
      <c r="P4">
        <v>5.8626771358495713</v>
      </c>
      <c r="Q4">
        <v>6.1637782736067583</v>
      </c>
      <c r="R4">
        <v>4.8147915186404244</v>
      </c>
      <c r="S4">
        <v>5.2963459068209158</v>
      </c>
      <c r="T4">
        <v>7.1966467657236386</v>
      </c>
    </row>
    <row r="5" spans="2:20" x14ac:dyDescent="0.35">
      <c r="B5" s="253" t="s">
        <v>542</v>
      </c>
      <c r="C5" s="8" t="s">
        <v>117</v>
      </c>
      <c r="D5">
        <v>2.5399740098310638E-2</v>
      </c>
      <c r="E5">
        <v>2.6772699022543645E-2</v>
      </c>
      <c r="F5">
        <v>2.8145657946776655E-2</v>
      </c>
      <c r="G5">
        <v>2.883213740889316E-2</v>
      </c>
      <c r="H5">
        <v>3.0205096333126166E-2</v>
      </c>
      <c r="I5">
        <v>3.2264534719475678E-2</v>
      </c>
      <c r="J5">
        <v>3.3637493643708688E-2</v>
      </c>
      <c r="K5">
        <v>3.5010452567941691E-2</v>
      </c>
      <c r="L5">
        <v>3.7069890954291203E-2</v>
      </c>
      <c r="M5">
        <v>3.8442849878524213E-2</v>
      </c>
      <c r="N5">
        <v>4.0502288264873725E-2</v>
      </c>
      <c r="O5">
        <v>4.1875247189106735E-2</v>
      </c>
      <c r="P5">
        <v>4.3934685575456239E-2</v>
      </c>
      <c r="Q5">
        <v>4.6680603423922259E-2</v>
      </c>
      <c r="R5">
        <v>8.0799230873973074E-2</v>
      </c>
      <c r="S5">
        <v>9.8210791696409765E-3</v>
      </c>
      <c r="T5">
        <v>1.1554261758674331E-2</v>
      </c>
    </row>
    <row r="6" spans="2:20" x14ac:dyDescent="0.35">
      <c r="B6" s="253" t="s">
        <v>543</v>
      </c>
      <c r="C6" s="8" t="s">
        <v>136</v>
      </c>
      <c r="D6">
        <v>31.588731936416185</v>
      </c>
      <c r="E6">
        <v>32.943657875722543</v>
      </c>
      <c r="F6">
        <v>34.329651372832373</v>
      </c>
      <c r="G6">
        <v>35.695989884393065</v>
      </c>
      <c r="H6">
        <v>37.667828757225429</v>
      </c>
      <c r="I6">
        <v>39.467845014450873</v>
      </c>
      <c r="J6">
        <v>41.276737716763002</v>
      </c>
      <c r="K6">
        <v>43.178199060693636</v>
      </c>
      <c r="L6">
        <v>45.409990968208099</v>
      </c>
      <c r="M6">
        <v>47.360906791907517</v>
      </c>
      <c r="N6">
        <v>49.633910765895955</v>
      </c>
      <c r="O6">
        <v>51.807371748554914</v>
      </c>
      <c r="P6">
        <v>54.527368135838152</v>
      </c>
      <c r="Q6">
        <v>57.322180274566477</v>
      </c>
      <c r="R6">
        <v>59.395518326848574</v>
      </c>
      <c r="S6">
        <v>65.72317361865619</v>
      </c>
      <c r="T6">
        <v>67.336775719686841</v>
      </c>
    </row>
    <row r="7" spans="2:20" x14ac:dyDescent="0.35">
      <c r="B7" s="253" t="s">
        <v>544</v>
      </c>
      <c r="C7" s="8" t="s">
        <v>41</v>
      </c>
      <c r="D7">
        <v>5.3546336353726662</v>
      </c>
      <c r="E7">
        <v>5.5884785052459467</v>
      </c>
      <c r="F7">
        <v>5.8285316460008172</v>
      </c>
      <c r="G7">
        <v>6.0654806513148936</v>
      </c>
      <c r="H7">
        <v>6.4048661261752287</v>
      </c>
      <c r="I7">
        <v>6.7163143820684033</v>
      </c>
      <c r="J7">
        <v>7.0298320615887739</v>
      </c>
      <c r="K7">
        <v>7.3557662828723265</v>
      </c>
      <c r="L7">
        <v>7.7355055184630066</v>
      </c>
      <c r="M7">
        <v>8.067648010628151</v>
      </c>
      <c r="N7">
        <v>8.4535955171004229</v>
      </c>
      <c r="O7">
        <v>8.8260917699959123</v>
      </c>
      <c r="P7">
        <v>9.2948162215560703</v>
      </c>
      <c r="Q7">
        <v>9.776991926693011</v>
      </c>
      <c r="R7">
        <v>10.179207669647671</v>
      </c>
      <c r="S7">
        <v>10.074551373877824</v>
      </c>
      <c r="T7">
        <v>11.18629380646118</v>
      </c>
    </row>
    <row r="8" spans="2:20" x14ac:dyDescent="0.35">
      <c r="B8" s="253" t="s">
        <v>545</v>
      </c>
      <c r="C8" s="8" t="s">
        <v>117</v>
      </c>
      <c r="D8">
        <v>5.0799480196621276E-2</v>
      </c>
      <c r="E8">
        <v>5.2858918582970787E-2</v>
      </c>
      <c r="F8">
        <v>5.4918356969320299E-2</v>
      </c>
      <c r="G8">
        <v>5.6977795355669811E-2</v>
      </c>
      <c r="H8">
        <v>6.0410192666252333E-2</v>
      </c>
      <c r="I8">
        <v>6.3156110514718339E-2</v>
      </c>
      <c r="J8">
        <v>6.5902028363184359E-2</v>
      </c>
      <c r="K8">
        <v>6.9334425673766881E-2</v>
      </c>
      <c r="L8">
        <v>7.2766822984349389E-2</v>
      </c>
      <c r="M8">
        <v>7.6199220294931924E-2</v>
      </c>
      <c r="N8">
        <v>7.9631617605514432E-2</v>
      </c>
      <c r="O8">
        <v>8.3064014916096954E-2</v>
      </c>
      <c r="P8">
        <v>8.7182891688795977E-2</v>
      </c>
      <c r="Q8">
        <v>9.1988247923611502E-2</v>
      </c>
      <c r="R8">
        <v>1.815660627266838E-2</v>
      </c>
      <c r="S8">
        <v>0.11785572285055269</v>
      </c>
      <c r="T8">
        <v>0.11727805308785118</v>
      </c>
    </row>
    <row r="9" spans="2:20" x14ac:dyDescent="0.35">
      <c r="B9" s="253" t="s">
        <v>546</v>
      </c>
      <c r="C9" s="8" t="s">
        <v>136</v>
      </c>
      <c r="D9">
        <v>11.795687861271675</v>
      </c>
      <c r="E9">
        <v>12.311209537572255</v>
      </c>
      <c r="F9">
        <v>12.839638728323701</v>
      </c>
      <c r="G9">
        <v>13.362504335260116</v>
      </c>
      <c r="H9">
        <v>14.108692196531793</v>
      </c>
      <c r="I9">
        <v>14.794236994219654</v>
      </c>
      <c r="J9">
        <v>15.484789017341042</v>
      </c>
      <c r="K9">
        <v>16.20249132947977</v>
      </c>
      <c r="L9">
        <v>17.041479768786129</v>
      </c>
      <c r="M9">
        <v>17.770976878612714</v>
      </c>
      <c r="N9">
        <v>18.620869942196531</v>
      </c>
      <c r="O9">
        <v>19.441387283236995</v>
      </c>
      <c r="P9">
        <v>20.472764450867054</v>
      </c>
      <c r="Q9">
        <v>21.535186416184974</v>
      </c>
      <c r="R9">
        <v>15.133921965317917</v>
      </c>
      <c r="S9">
        <v>20.344677745664736</v>
      </c>
      <c r="T9">
        <v>22.532797687861272</v>
      </c>
    </row>
    <row r="10" spans="2:20" x14ac:dyDescent="0.35">
      <c r="B10" s="253" t="s">
        <v>547</v>
      </c>
      <c r="C10" s="8" t="s">
        <v>136</v>
      </c>
      <c r="D10">
        <v>0.39485549132947978</v>
      </c>
      <c r="E10">
        <v>0.41168171965317923</v>
      </c>
      <c r="F10">
        <v>0.42962969653179195</v>
      </c>
      <c r="G10">
        <v>0.44645592485549135</v>
      </c>
      <c r="H10">
        <v>0.47113439306358385</v>
      </c>
      <c r="I10">
        <v>0.49356936416184971</v>
      </c>
      <c r="J10">
        <v>0.51600433526011558</v>
      </c>
      <c r="K10">
        <v>0.53956105491329487</v>
      </c>
      <c r="L10">
        <v>0.56872651734104052</v>
      </c>
      <c r="M10">
        <v>0.5922832369942197</v>
      </c>
      <c r="N10">
        <v>0.62032695086705203</v>
      </c>
      <c r="O10">
        <v>0.64724891618497116</v>
      </c>
      <c r="P10">
        <v>0.68202312138728327</v>
      </c>
      <c r="Q10">
        <v>0.71679732658959538</v>
      </c>
      <c r="R10">
        <v>0.55324673338593799</v>
      </c>
      <c r="S10">
        <v>0.81752383619870483</v>
      </c>
      <c r="T10">
        <v>0.90086336829762481</v>
      </c>
    </row>
    <row r="11" spans="2:20" x14ac:dyDescent="0.35">
      <c r="B11" s="253" t="s">
        <v>548</v>
      </c>
      <c r="C11" s="8" t="s">
        <v>41</v>
      </c>
      <c r="D11">
        <v>8.4814752520779404</v>
      </c>
      <c r="E11">
        <v>8.8516721453876546</v>
      </c>
      <c r="F11">
        <v>9.2337682245537547</v>
      </c>
      <c r="G11">
        <v>9.6092536449107513</v>
      </c>
      <c r="H11">
        <v>10.147361271971659</v>
      </c>
      <c r="I11">
        <v>10.641838550892492</v>
      </c>
      <c r="J11">
        <v>11.138960093336967</v>
      </c>
      <c r="K11">
        <v>11.655913612208748</v>
      </c>
      <c r="L11">
        <v>12.258805695598856</v>
      </c>
      <c r="M11">
        <v>12.78501413680338</v>
      </c>
      <c r="N11">
        <v>13.394516879002589</v>
      </c>
      <c r="O11">
        <v>13.985509776536313</v>
      </c>
      <c r="P11">
        <v>14.728547826679383</v>
      </c>
      <c r="Q11">
        <v>15.494062116773403</v>
      </c>
      <c r="R11">
        <v>12.421925214027503</v>
      </c>
      <c r="S11">
        <v>12.703810819068597</v>
      </c>
      <c r="T11">
        <v>15.111663175941688</v>
      </c>
    </row>
    <row r="12" spans="2:20" x14ac:dyDescent="0.35">
      <c r="B12" s="253" t="s">
        <v>549</v>
      </c>
      <c r="C12" s="8" t="s">
        <v>117</v>
      </c>
      <c r="D12">
        <v>2.6315046047799312E-3</v>
      </c>
      <c r="E12">
        <v>2.6315046047799312E-3</v>
      </c>
      <c r="F12">
        <v>3.5086728063732412E-3</v>
      </c>
      <c r="G12">
        <v>3.5086728063732412E-3</v>
      </c>
      <c r="H12">
        <v>3.5086728063732412E-3</v>
      </c>
      <c r="I12">
        <v>3.5086728063732412E-3</v>
      </c>
      <c r="J12">
        <v>3.5086728063732412E-3</v>
      </c>
      <c r="K12">
        <v>3.5086728063732412E-3</v>
      </c>
      <c r="L12">
        <v>3.5086728063732412E-3</v>
      </c>
      <c r="M12">
        <v>4.3858410079665507E-3</v>
      </c>
      <c r="N12">
        <v>4.3858410079665507E-3</v>
      </c>
      <c r="O12">
        <v>4.3858410079665507E-3</v>
      </c>
      <c r="P12">
        <v>4.3858410079665507E-3</v>
      </c>
      <c r="Q12">
        <v>4.3858410079665507E-3</v>
      </c>
      <c r="R12">
        <v>3.7585351521823213E-3</v>
      </c>
      <c r="S12">
        <v>4.8974851982981765E-3</v>
      </c>
      <c r="T12">
        <v>6.756995477671E-3</v>
      </c>
    </row>
    <row r="13" spans="2:20" x14ac:dyDescent="0.35">
      <c r="B13" s="253" t="s">
        <v>550</v>
      </c>
      <c r="C13" s="8" t="s">
        <v>136</v>
      </c>
      <c r="D13">
        <v>3.1936181358381504</v>
      </c>
      <c r="E13">
        <v>3.3304714595375722</v>
      </c>
      <c r="F13">
        <v>3.4695682803468211</v>
      </c>
      <c r="G13">
        <v>3.607543352601156</v>
      </c>
      <c r="H13">
        <v>3.8060928468208095</v>
      </c>
      <c r="I13">
        <v>3.9889378612716766</v>
      </c>
      <c r="J13">
        <v>4.1706611271676302</v>
      </c>
      <c r="K13">
        <v>4.3624801300578033</v>
      </c>
      <c r="L13">
        <v>4.5879515895953755</v>
      </c>
      <c r="M13">
        <v>4.786501083815029</v>
      </c>
      <c r="N13">
        <v>5.0153377890173401</v>
      </c>
      <c r="O13">
        <v>5.2352005057803472</v>
      </c>
      <c r="P13">
        <v>5.5089071531791909</v>
      </c>
      <c r="Q13">
        <v>5.7915877890173411</v>
      </c>
      <c r="R13">
        <v>4.0378729621673015</v>
      </c>
      <c r="S13">
        <v>5.5208923035603545</v>
      </c>
      <c r="T13">
        <v>5.471742575789202</v>
      </c>
    </row>
    <row r="14" spans="2:20" x14ac:dyDescent="0.35">
      <c r="B14" s="253" t="s">
        <v>551</v>
      </c>
      <c r="C14" s="8" t="s">
        <v>41</v>
      </c>
      <c r="D14">
        <v>13.516153001090068</v>
      </c>
      <c r="E14">
        <v>14.109790162147432</v>
      </c>
      <c r="F14">
        <v>14.719292904346641</v>
      </c>
      <c r="G14">
        <v>15.32086285597493</v>
      </c>
      <c r="H14">
        <v>16.178926369396375</v>
      </c>
      <c r="I14">
        <v>16.968239031203161</v>
      </c>
      <c r="J14">
        <v>17.764162351819049</v>
      </c>
      <c r="K14">
        <v>18.587850439433165</v>
      </c>
      <c r="L14">
        <v>19.550362362038427</v>
      </c>
      <c r="M14">
        <v>20.387271767270747</v>
      </c>
      <c r="N14">
        <v>21.361682875732388</v>
      </c>
      <c r="O14">
        <v>22.304362821910345</v>
      </c>
      <c r="P14">
        <v>23.490315012263252</v>
      </c>
      <c r="Q14">
        <v>24.713286891947131</v>
      </c>
      <c r="R14">
        <v>21.378544426813896</v>
      </c>
      <c r="S14">
        <v>21.17790038316036</v>
      </c>
      <c r="T14">
        <v>21.205162573688842</v>
      </c>
    </row>
    <row r="15" spans="2:20" x14ac:dyDescent="0.35">
      <c r="B15" s="253" t="s">
        <v>552</v>
      </c>
      <c r="C15" s="8" t="s">
        <v>117</v>
      </c>
      <c r="D15">
        <v>6.1401774111531724E-3</v>
      </c>
      <c r="E15">
        <v>6.1401774111531724E-3</v>
      </c>
      <c r="F15">
        <v>6.1401774111531724E-3</v>
      </c>
      <c r="G15">
        <v>6.1401774111531724E-3</v>
      </c>
      <c r="H15">
        <v>7.0173456127464824E-3</v>
      </c>
      <c r="I15">
        <v>7.0173456127464824E-3</v>
      </c>
      <c r="J15">
        <v>7.8945138143397924E-3</v>
      </c>
      <c r="K15">
        <v>7.8945138143397924E-3</v>
      </c>
      <c r="L15">
        <v>8.7716820159331015E-3</v>
      </c>
      <c r="M15">
        <v>8.7716820159331015E-3</v>
      </c>
      <c r="N15">
        <v>8.7716820159331015E-3</v>
      </c>
      <c r="O15">
        <v>9.648850217526414E-3</v>
      </c>
      <c r="P15">
        <v>1.0526018419119725E-2</v>
      </c>
      <c r="Q15">
        <v>1.1403186620713036E-2</v>
      </c>
      <c r="R15">
        <v>1.0276655078580043E-2</v>
      </c>
      <c r="S15">
        <v>1.2300660498051234E-2</v>
      </c>
      <c r="T15">
        <v>1.1726536699294875E-2</v>
      </c>
    </row>
    <row r="16" spans="2:20" x14ac:dyDescent="0.35">
      <c r="B16" s="253" t="s">
        <v>553</v>
      </c>
      <c r="C16" s="8" t="s">
        <v>41</v>
      </c>
      <c r="D16">
        <v>2.8518382102466275</v>
      </c>
      <c r="E16">
        <v>2.973474332334106</v>
      </c>
      <c r="F16">
        <v>3.0990768497070444</v>
      </c>
      <c r="G16">
        <v>3.2207129717945224</v>
      </c>
      <c r="H16">
        <v>3.3992007596402787</v>
      </c>
      <c r="I16">
        <v>3.5605008345823683</v>
      </c>
      <c r="J16">
        <v>3.723123041286279</v>
      </c>
      <c r="K16">
        <v>3.8950001703229322</v>
      </c>
      <c r="L16">
        <v>4.0959641981196349</v>
      </c>
      <c r="M16">
        <v>4.2718077224417499</v>
      </c>
      <c r="N16">
        <v>4.476738145523913</v>
      </c>
      <c r="O16">
        <v>4.6724136462733341</v>
      </c>
      <c r="P16">
        <v>4.9170080222101111</v>
      </c>
      <c r="Q16">
        <v>5.1695351887178091</v>
      </c>
      <c r="R16">
        <v>4.0413117546848376</v>
      </c>
      <c r="S16">
        <v>6.1413969335604772</v>
      </c>
      <c r="T16">
        <v>8.4518739352640555</v>
      </c>
    </row>
    <row r="17" spans="2:20" x14ac:dyDescent="0.35">
      <c r="B17" s="253" t="s">
        <v>554</v>
      </c>
      <c r="C17" s="8" t="s">
        <v>41</v>
      </c>
      <c r="D17">
        <v>10.841480446927374</v>
      </c>
      <c r="E17">
        <v>11.304226563564518</v>
      </c>
      <c r="F17">
        <v>11.777549734296228</v>
      </c>
      <c r="G17">
        <v>12.244262246218835</v>
      </c>
      <c r="H17">
        <v>12.919871576509061</v>
      </c>
      <c r="I17">
        <v>13.534662845755555</v>
      </c>
      <c r="J17">
        <v>14.152098378525686</v>
      </c>
      <c r="K17">
        <v>14.803909337103148</v>
      </c>
      <c r="L17">
        <v>15.569423627197168</v>
      </c>
      <c r="M17">
        <v>16.238422298678294</v>
      </c>
      <c r="N17">
        <v>17.018480038152337</v>
      </c>
      <c r="O17">
        <v>17.762840220057232</v>
      </c>
      <c r="P17">
        <v>18.6936209803788</v>
      </c>
      <c r="Q17">
        <v>19.648200112413139</v>
      </c>
      <c r="R17">
        <v>21.204429301533217</v>
      </c>
      <c r="S17">
        <v>24.203364565587734</v>
      </c>
      <c r="T17">
        <v>23.790459965928452</v>
      </c>
    </row>
    <row r="18" spans="2:20" x14ac:dyDescent="0.35">
      <c r="B18" s="253" t="s">
        <v>555</v>
      </c>
      <c r="C18" s="8" t="s">
        <v>41</v>
      </c>
      <c r="D18">
        <v>48.947979970023169</v>
      </c>
      <c r="E18">
        <v>51.104284899168832</v>
      </c>
      <c r="F18">
        <v>53.315036108461648</v>
      </c>
      <c r="G18">
        <v>55.495725746014458</v>
      </c>
      <c r="H18">
        <v>58.614646068946726</v>
      </c>
      <c r="I18">
        <v>61.485074601444339</v>
      </c>
      <c r="J18">
        <v>64.386209803787992</v>
      </c>
      <c r="K18">
        <v>67.372497956124818</v>
      </c>
      <c r="L18">
        <v>70.862091650769869</v>
      </c>
      <c r="M18">
        <v>73.892375493936512</v>
      </c>
      <c r="N18">
        <v>77.416159388200029</v>
      </c>
      <c r="O18">
        <v>80.847178174819476</v>
      </c>
      <c r="P18">
        <v>85.143660580460562</v>
      </c>
      <c r="Q18">
        <v>89.585419079574862</v>
      </c>
      <c r="R18">
        <v>96.172369676320272</v>
      </c>
      <c r="S18">
        <v>89.295793867120949</v>
      </c>
      <c r="T18">
        <v>89.304390119250428</v>
      </c>
    </row>
    <row r="20" spans="2:20" x14ac:dyDescent="0.35">
      <c r="B20" t="s">
        <v>558</v>
      </c>
      <c r="C20" s="8" t="s">
        <v>136</v>
      </c>
      <c r="D20">
        <f>D3+D10</f>
        <v>27.048917991329478</v>
      </c>
      <c r="E20" s="110">
        <f t="shared" ref="E20:T25" si="0">E3+E10</f>
        <v>28.206367413294796</v>
      </c>
      <c r="F20" s="110">
        <f t="shared" si="0"/>
        <v>29.390933887283236</v>
      </c>
      <c r="G20" s="110">
        <f t="shared" si="0"/>
        <v>30.557259754335259</v>
      </c>
      <c r="H20" s="110">
        <f t="shared" si="0"/>
        <v>32.242467485549135</v>
      </c>
      <c r="I20" s="110">
        <f t="shared" si="0"/>
        <v>33.780238439306359</v>
      </c>
      <c r="J20" s="110">
        <f t="shared" si="0"/>
        <v>35.324349710982659</v>
      </c>
      <c r="K20" s="110">
        <f t="shared" si="0"/>
        <v>36.95073880057803</v>
      </c>
      <c r="L20" s="110">
        <f t="shared" si="0"/>
        <v>38.861076589595378</v>
      </c>
      <c r="M20" s="110">
        <f t="shared" si="0"/>
        <v>40.531213872832367</v>
      </c>
      <c r="N20" s="110">
        <f t="shared" si="0"/>
        <v>42.475935693641631</v>
      </c>
      <c r="O20" s="110">
        <f t="shared" si="0"/>
        <v>44.335209537572261</v>
      </c>
      <c r="P20" s="110">
        <f t="shared" si="0"/>
        <v>46.660106575144503</v>
      </c>
      <c r="Q20" s="110">
        <f t="shared" si="0"/>
        <v>49.04840679190751</v>
      </c>
      <c r="R20" s="110">
        <f t="shared" si="0"/>
        <v>42.912511319044953</v>
      </c>
      <c r="S20" s="110">
        <f t="shared" si="0"/>
        <v>56.411330888212504</v>
      </c>
      <c r="T20" s="110">
        <f t="shared" si="0"/>
        <v>67.597300176923866</v>
      </c>
    </row>
    <row r="21" spans="2:20" x14ac:dyDescent="0.35">
      <c r="B21" s="110" t="s">
        <v>558</v>
      </c>
      <c r="C21" s="8" t="s">
        <v>41</v>
      </c>
      <c r="D21" s="110">
        <f t="shared" ref="D21:S25" si="1">D4+D11</f>
        <v>11.877399424308489</v>
      </c>
      <c r="E21" s="110">
        <f t="shared" si="1"/>
        <v>12.393490683335603</v>
      </c>
      <c r="F21" s="110">
        <f t="shared" si="1"/>
        <v>12.9245852636599</v>
      </c>
      <c r="G21" s="110">
        <f t="shared" si="1"/>
        <v>13.446999761547895</v>
      </c>
      <c r="H21" s="110">
        <f t="shared" si="1"/>
        <v>14.198258022210112</v>
      </c>
      <c r="I21" s="110">
        <f t="shared" si="1"/>
        <v>14.885191698460282</v>
      </c>
      <c r="J21" s="110">
        <f t="shared" si="1"/>
        <v>15.576839061861289</v>
      </c>
      <c r="K21" s="110">
        <f t="shared" si="1"/>
        <v>16.299700231639189</v>
      </c>
      <c r="L21" s="110">
        <f t="shared" si="1"/>
        <v>17.141610743970567</v>
      </c>
      <c r="M21" s="110">
        <f t="shared" si="1"/>
        <v>17.877865683335607</v>
      </c>
      <c r="N21" s="110">
        <f t="shared" si="1"/>
        <v>18.731560413544081</v>
      </c>
      <c r="O21" s="110">
        <f t="shared" si="1"/>
        <v>19.556398180951085</v>
      </c>
      <c r="P21" s="110">
        <f t="shared" si="1"/>
        <v>20.591224962528955</v>
      </c>
      <c r="Q21" s="110">
        <f t="shared" si="1"/>
        <v>21.657840390380162</v>
      </c>
      <c r="R21" s="110">
        <f t="shared" si="1"/>
        <v>17.236716732667929</v>
      </c>
      <c r="S21" s="110">
        <f t="shared" si="1"/>
        <v>18.000156725889511</v>
      </c>
      <c r="T21" s="110">
        <f t="shared" si="0"/>
        <v>22.308309941665328</v>
      </c>
    </row>
    <row r="22" spans="2:20" x14ac:dyDescent="0.35">
      <c r="B22" s="110" t="s">
        <v>558</v>
      </c>
      <c r="C22" s="8" t="s">
        <v>117</v>
      </c>
      <c r="D22" s="110">
        <f t="shared" si="1"/>
        <v>2.8031244703090569E-2</v>
      </c>
      <c r="E22" s="110">
        <f t="shared" si="0"/>
        <v>2.9404203627323575E-2</v>
      </c>
      <c r="F22" s="110">
        <f t="shared" si="0"/>
        <v>3.1654330753149898E-2</v>
      </c>
      <c r="G22" s="110">
        <f t="shared" si="0"/>
        <v>3.23408102152664E-2</v>
      </c>
      <c r="H22" s="110">
        <f t="shared" si="0"/>
        <v>3.371376913949941E-2</v>
      </c>
      <c r="I22" s="110">
        <f t="shared" si="0"/>
        <v>3.5773207525848921E-2</v>
      </c>
      <c r="J22" s="110">
        <f t="shared" si="0"/>
        <v>3.7146166450081931E-2</v>
      </c>
      <c r="K22" s="110">
        <f t="shared" si="0"/>
        <v>3.8519125374314934E-2</v>
      </c>
      <c r="L22" s="110">
        <f t="shared" si="0"/>
        <v>4.0578563760664446E-2</v>
      </c>
      <c r="M22" s="110">
        <f t="shared" si="0"/>
        <v>4.2828690886490765E-2</v>
      </c>
      <c r="N22" s="110">
        <f t="shared" si="0"/>
        <v>4.4888129272840277E-2</v>
      </c>
      <c r="O22" s="110">
        <f t="shared" si="0"/>
        <v>4.6261088197073287E-2</v>
      </c>
      <c r="P22" s="110">
        <f t="shared" si="0"/>
        <v>4.8320526583422792E-2</v>
      </c>
      <c r="Q22" s="110">
        <f t="shared" si="0"/>
        <v>5.1066444431888812E-2</v>
      </c>
      <c r="R22" s="110">
        <f t="shared" si="0"/>
        <v>8.455776602615539E-2</v>
      </c>
      <c r="S22" s="110">
        <f t="shared" si="0"/>
        <v>1.4718564367939153E-2</v>
      </c>
      <c r="T22" s="110">
        <f t="shared" si="0"/>
        <v>1.831125723634533E-2</v>
      </c>
    </row>
    <row r="23" spans="2:20" x14ac:dyDescent="0.35">
      <c r="B23" s="84" t="s">
        <v>559</v>
      </c>
      <c r="C23" s="8" t="s">
        <v>136</v>
      </c>
      <c r="D23" s="110">
        <f t="shared" si="1"/>
        <v>34.782350072254332</v>
      </c>
      <c r="E23" s="110">
        <f t="shared" si="0"/>
        <v>36.274129335260113</v>
      </c>
      <c r="F23" s="110">
        <f t="shared" si="0"/>
        <v>37.799219653179193</v>
      </c>
      <c r="G23" s="110">
        <f t="shared" si="0"/>
        <v>39.30353323699422</v>
      </c>
      <c r="H23" s="110">
        <f t="shared" si="0"/>
        <v>41.47392160404624</v>
      </c>
      <c r="I23" s="110">
        <f t="shared" si="0"/>
        <v>43.456782875722553</v>
      </c>
      <c r="J23" s="110">
        <f t="shared" si="0"/>
        <v>45.447398843930628</v>
      </c>
      <c r="K23" s="110">
        <f t="shared" si="0"/>
        <v>47.54067919075144</v>
      </c>
      <c r="L23" s="110">
        <f t="shared" si="0"/>
        <v>49.997942557803476</v>
      </c>
      <c r="M23" s="110">
        <f t="shared" si="0"/>
        <v>52.14740787572255</v>
      </c>
      <c r="N23" s="110">
        <f t="shared" si="0"/>
        <v>54.649248554913292</v>
      </c>
      <c r="O23" s="110">
        <f t="shared" si="0"/>
        <v>57.042572254335262</v>
      </c>
      <c r="P23" s="110">
        <f t="shared" si="0"/>
        <v>60.03627528901734</v>
      </c>
      <c r="Q23" s="110">
        <f t="shared" si="0"/>
        <v>63.113768063583819</v>
      </c>
      <c r="R23" s="110">
        <f t="shared" si="0"/>
        <v>63.433391289015873</v>
      </c>
      <c r="S23" s="110">
        <f t="shared" si="0"/>
        <v>71.244065922216549</v>
      </c>
      <c r="T23" s="110">
        <f t="shared" si="0"/>
        <v>72.808518295476048</v>
      </c>
    </row>
    <row r="24" spans="2:20" x14ac:dyDescent="0.35">
      <c r="B24" s="84" t="s">
        <v>559</v>
      </c>
      <c r="C24" s="8" t="s">
        <v>41</v>
      </c>
      <c r="D24" s="110">
        <f t="shared" si="1"/>
        <v>18.870786636462732</v>
      </c>
      <c r="E24" s="110">
        <f t="shared" si="0"/>
        <v>19.698268667393378</v>
      </c>
      <c r="F24" s="110">
        <f t="shared" si="0"/>
        <v>20.547824550347457</v>
      </c>
      <c r="G24" s="110">
        <f t="shared" si="0"/>
        <v>21.386343507289823</v>
      </c>
      <c r="H24" s="110">
        <f t="shared" si="0"/>
        <v>22.583792495571604</v>
      </c>
      <c r="I24" s="110">
        <f t="shared" si="0"/>
        <v>23.684553413271566</v>
      </c>
      <c r="J24" s="110">
        <f t="shared" si="0"/>
        <v>24.793994413407823</v>
      </c>
      <c r="K24" s="110">
        <f t="shared" si="0"/>
        <v>25.943616722305492</v>
      </c>
      <c r="L24" s="110">
        <f t="shared" si="0"/>
        <v>27.285867880501435</v>
      </c>
      <c r="M24" s="110">
        <f t="shared" si="0"/>
        <v>28.454919777898898</v>
      </c>
      <c r="N24" s="110">
        <f t="shared" si="0"/>
        <v>29.815278392832809</v>
      </c>
      <c r="O24" s="110">
        <f t="shared" si="0"/>
        <v>31.130454591906258</v>
      </c>
      <c r="P24" s="110">
        <f t="shared" si="0"/>
        <v>32.785131233819321</v>
      </c>
      <c r="Q24" s="110">
        <f t="shared" si="0"/>
        <v>34.490278818640142</v>
      </c>
      <c r="R24" s="110">
        <f t="shared" si="0"/>
        <v>31.557752096461567</v>
      </c>
      <c r="S24" s="110">
        <f t="shared" si="0"/>
        <v>31.252451757038184</v>
      </c>
      <c r="T24" s="110">
        <f t="shared" si="0"/>
        <v>32.391456380150018</v>
      </c>
    </row>
    <row r="25" spans="2:20" x14ac:dyDescent="0.35">
      <c r="B25" s="84" t="s">
        <v>559</v>
      </c>
      <c r="C25" s="8" t="s">
        <v>117</v>
      </c>
      <c r="D25" s="110">
        <f t="shared" si="1"/>
        <v>5.6939657607774447E-2</v>
      </c>
      <c r="E25" s="110">
        <f t="shared" si="0"/>
        <v>5.8999095994123958E-2</v>
      </c>
      <c r="F25" s="110">
        <f t="shared" si="0"/>
        <v>6.105853438047347E-2</v>
      </c>
      <c r="G25" s="110">
        <f t="shared" si="0"/>
        <v>6.3117972766822988E-2</v>
      </c>
      <c r="H25" s="110">
        <f t="shared" si="0"/>
        <v>6.7427538278998819E-2</v>
      </c>
      <c r="I25" s="110">
        <f t="shared" si="0"/>
        <v>7.0173456127464826E-2</v>
      </c>
      <c r="J25" s="110">
        <f t="shared" si="0"/>
        <v>7.3796542177524155E-2</v>
      </c>
      <c r="K25" s="110">
        <f t="shared" si="0"/>
        <v>7.7228939488106677E-2</v>
      </c>
      <c r="L25" s="110">
        <f t="shared" si="0"/>
        <v>8.1538505000282493E-2</v>
      </c>
      <c r="M25" s="110">
        <f t="shared" si="0"/>
        <v>8.4970902310865029E-2</v>
      </c>
      <c r="N25" s="110">
        <f t="shared" si="0"/>
        <v>8.8403299621447537E-2</v>
      </c>
      <c r="O25" s="110">
        <f t="shared" si="0"/>
        <v>9.2712865133623368E-2</v>
      </c>
      <c r="P25" s="110">
        <f t="shared" si="0"/>
        <v>9.77089101079157E-2</v>
      </c>
      <c r="Q25" s="110">
        <f t="shared" si="0"/>
        <v>0.10339143454432453</v>
      </c>
      <c r="R25" s="110">
        <f t="shared" si="0"/>
        <v>2.8433261351248421E-2</v>
      </c>
      <c r="S25" s="110">
        <f t="shared" si="0"/>
        <v>0.13015638334860394</v>
      </c>
      <c r="T25" s="110">
        <f t="shared" si="0"/>
        <v>0.12900458978714605</v>
      </c>
    </row>
    <row r="26" spans="2:20" x14ac:dyDescent="0.35">
      <c r="B26" s="84" t="s">
        <v>560</v>
      </c>
      <c r="C26" s="8" t="s">
        <v>41</v>
      </c>
      <c r="D26">
        <f>D16</f>
        <v>2.8518382102466275</v>
      </c>
      <c r="E26" s="110">
        <f t="shared" ref="E26:T28" si="2">E16</f>
        <v>2.973474332334106</v>
      </c>
      <c r="F26" s="110">
        <f t="shared" si="2"/>
        <v>3.0990768497070444</v>
      </c>
      <c r="G26" s="110">
        <f t="shared" si="2"/>
        <v>3.2207129717945224</v>
      </c>
      <c r="H26" s="110">
        <f t="shared" si="2"/>
        <v>3.3992007596402787</v>
      </c>
      <c r="I26" s="110">
        <f t="shared" si="2"/>
        <v>3.5605008345823683</v>
      </c>
      <c r="J26" s="110">
        <f t="shared" si="2"/>
        <v>3.723123041286279</v>
      </c>
      <c r="K26" s="110">
        <f t="shared" si="2"/>
        <v>3.8950001703229322</v>
      </c>
      <c r="L26" s="110">
        <f t="shared" si="2"/>
        <v>4.0959641981196349</v>
      </c>
      <c r="M26" s="110">
        <f t="shared" si="2"/>
        <v>4.2718077224417499</v>
      </c>
      <c r="N26" s="110">
        <f t="shared" si="2"/>
        <v>4.476738145523913</v>
      </c>
      <c r="O26" s="110">
        <f t="shared" si="2"/>
        <v>4.6724136462733341</v>
      </c>
      <c r="P26" s="110">
        <f t="shared" si="2"/>
        <v>4.9170080222101111</v>
      </c>
      <c r="Q26" s="110">
        <f t="shared" si="2"/>
        <v>5.1695351887178091</v>
      </c>
      <c r="R26" s="110">
        <f t="shared" si="2"/>
        <v>4.0413117546848376</v>
      </c>
      <c r="S26" s="110">
        <f t="shared" si="2"/>
        <v>6.1413969335604772</v>
      </c>
      <c r="T26" s="110">
        <f t="shared" si="2"/>
        <v>8.4518739352640555</v>
      </c>
    </row>
    <row r="27" spans="2:20" x14ac:dyDescent="0.35">
      <c r="B27" s="84" t="s">
        <v>561</v>
      </c>
      <c r="C27" s="8" t="s">
        <v>41</v>
      </c>
      <c r="D27" s="110">
        <f t="shared" ref="D27:S28" si="3">D17</f>
        <v>10.841480446927374</v>
      </c>
      <c r="E27" s="110">
        <f t="shared" si="3"/>
        <v>11.304226563564518</v>
      </c>
      <c r="F27" s="110">
        <f t="shared" si="3"/>
        <v>11.777549734296228</v>
      </c>
      <c r="G27" s="110">
        <f t="shared" si="3"/>
        <v>12.244262246218835</v>
      </c>
      <c r="H27" s="110">
        <f t="shared" si="3"/>
        <v>12.919871576509061</v>
      </c>
      <c r="I27" s="110">
        <f t="shared" si="3"/>
        <v>13.534662845755555</v>
      </c>
      <c r="J27" s="110">
        <f t="shared" si="3"/>
        <v>14.152098378525686</v>
      </c>
      <c r="K27" s="110">
        <f t="shared" si="3"/>
        <v>14.803909337103148</v>
      </c>
      <c r="L27" s="110">
        <f t="shared" si="3"/>
        <v>15.569423627197168</v>
      </c>
      <c r="M27" s="110">
        <f t="shared" si="3"/>
        <v>16.238422298678294</v>
      </c>
      <c r="N27" s="110">
        <f t="shared" si="3"/>
        <v>17.018480038152337</v>
      </c>
      <c r="O27" s="110">
        <f t="shared" si="3"/>
        <v>17.762840220057232</v>
      </c>
      <c r="P27" s="110">
        <f t="shared" si="3"/>
        <v>18.6936209803788</v>
      </c>
      <c r="Q27" s="110">
        <f t="shared" si="3"/>
        <v>19.648200112413139</v>
      </c>
      <c r="R27" s="110">
        <f t="shared" si="3"/>
        <v>21.204429301533217</v>
      </c>
      <c r="S27" s="110">
        <f t="shared" si="3"/>
        <v>24.203364565587734</v>
      </c>
      <c r="T27" s="110">
        <f t="shared" si="2"/>
        <v>23.790459965928452</v>
      </c>
    </row>
    <row r="28" spans="2:20" x14ac:dyDescent="0.35">
      <c r="B28" s="84" t="s">
        <v>562</v>
      </c>
      <c r="C28" s="8" t="s">
        <v>41</v>
      </c>
      <c r="D28" s="110">
        <f t="shared" si="3"/>
        <v>48.947979970023169</v>
      </c>
      <c r="E28" s="110">
        <f t="shared" si="2"/>
        <v>51.104284899168832</v>
      </c>
      <c r="F28" s="110">
        <f t="shared" si="2"/>
        <v>53.315036108461648</v>
      </c>
      <c r="G28" s="110">
        <f t="shared" si="2"/>
        <v>55.495725746014458</v>
      </c>
      <c r="H28" s="110">
        <f t="shared" si="2"/>
        <v>58.614646068946726</v>
      </c>
      <c r="I28" s="110">
        <f t="shared" si="2"/>
        <v>61.485074601444339</v>
      </c>
      <c r="J28" s="110">
        <f t="shared" si="2"/>
        <v>64.386209803787992</v>
      </c>
      <c r="K28" s="110">
        <f t="shared" si="2"/>
        <v>67.372497956124818</v>
      </c>
      <c r="L28" s="110">
        <f t="shared" si="2"/>
        <v>70.862091650769869</v>
      </c>
      <c r="M28" s="110">
        <f t="shared" si="2"/>
        <v>73.892375493936512</v>
      </c>
      <c r="N28" s="110">
        <f t="shared" si="2"/>
        <v>77.416159388200029</v>
      </c>
      <c r="O28" s="110">
        <f t="shared" si="2"/>
        <v>80.847178174819476</v>
      </c>
      <c r="P28" s="110">
        <f t="shared" si="2"/>
        <v>85.143660580460562</v>
      </c>
      <c r="Q28" s="110">
        <f t="shared" si="2"/>
        <v>89.585419079574862</v>
      </c>
      <c r="R28" s="110">
        <f t="shared" si="2"/>
        <v>96.172369676320272</v>
      </c>
      <c r="S28" s="110">
        <f t="shared" si="2"/>
        <v>89.295793867120949</v>
      </c>
      <c r="T28" s="110">
        <f t="shared" si="2"/>
        <v>89.304390119250428</v>
      </c>
    </row>
    <row r="29" spans="2:20" x14ac:dyDescent="0.35">
      <c r="B29" s="84" t="s">
        <v>266</v>
      </c>
      <c r="C29" s="84" t="s">
        <v>136</v>
      </c>
      <c r="D29">
        <f>D9</f>
        <v>11.795687861271675</v>
      </c>
      <c r="E29" s="110">
        <f t="shared" ref="E29:T29" si="4">E9</f>
        <v>12.311209537572255</v>
      </c>
      <c r="F29" s="110">
        <f t="shared" si="4"/>
        <v>12.839638728323701</v>
      </c>
      <c r="G29" s="110">
        <f t="shared" si="4"/>
        <v>13.362504335260116</v>
      </c>
      <c r="H29" s="110">
        <f t="shared" si="4"/>
        <v>14.108692196531793</v>
      </c>
      <c r="I29" s="110">
        <f t="shared" si="4"/>
        <v>14.794236994219654</v>
      </c>
      <c r="J29" s="110">
        <f t="shared" si="4"/>
        <v>15.484789017341042</v>
      </c>
      <c r="K29" s="110">
        <f t="shared" si="4"/>
        <v>16.20249132947977</v>
      </c>
      <c r="L29" s="110">
        <f t="shared" si="4"/>
        <v>17.041479768786129</v>
      </c>
      <c r="M29" s="110">
        <f t="shared" si="4"/>
        <v>17.770976878612714</v>
      </c>
      <c r="N29" s="110">
        <f t="shared" si="4"/>
        <v>18.620869942196531</v>
      </c>
      <c r="O29" s="110">
        <f t="shared" si="4"/>
        <v>19.441387283236995</v>
      </c>
      <c r="P29" s="110">
        <f t="shared" si="4"/>
        <v>20.472764450867054</v>
      </c>
      <c r="Q29" s="110">
        <f t="shared" si="4"/>
        <v>21.535186416184974</v>
      </c>
      <c r="R29" s="110">
        <f t="shared" si="4"/>
        <v>15.133921965317917</v>
      </c>
      <c r="S29" s="110">
        <f t="shared" si="4"/>
        <v>20.344677745664736</v>
      </c>
      <c r="T29" s="110">
        <f t="shared" si="4"/>
        <v>22.532797687861272</v>
      </c>
    </row>
    <row r="31" spans="2:20" x14ac:dyDescent="0.35">
      <c r="B31" s="110" t="s">
        <v>558</v>
      </c>
      <c r="C31" s="8" t="s">
        <v>136</v>
      </c>
      <c r="D31">
        <f>D3</f>
        <v>26.654062499999998</v>
      </c>
      <c r="E31" s="110">
        <f t="shared" ref="E31:T36" si="5">E3</f>
        <v>27.794685693641618</v>
      </c>
      <c r="F31" s="110">
        <f t="shared" si="5"/>
        <v>28.961304190751445</v>
      </c>
      <c r="G31" s="110">
        <f t="shared" si="5"/>
        <v>30.110803829479767</v>
      </c>
      <c r="H31" s="110">
        <f t="shared" si="5"/>
        <v>31.771333092485552</v>
      </c>
      <c r="I31" s="110">
        <f t="shared" si="5"/>
        <v>33.286669075144509</v>
      </c>
      <c r="J31" s="110">
        <f t="shared" si="5"/>
        <v>34.808345375722546</v>
      </c>
      <c r="K31" s="110">
        <f t="shared" si="5"/>
        <v>36.411177745664737</v>
      </c>
      <c r="L31" s="110">
        <f t="shared" si="5"/>
        <v>38.292350072254337</v>
      </c>
      <c r="M31" s="110">
        <f t="shared" si="5"/>
        <v>39.938930635838148</v>
      </c>
      <c r="N31" s="110">
        <f t="shared" si="5"/>
        <v>41.855608742774578</v>
      </c>
      <c r="O31" s="110">
        <f t="shared" si="5"/>
        <v>43.68796062138729</v>
      </c>
      <c r="P31" s="110">
        <f t="shared" si="5"/>
        <v>45.978083453757222</v>
      </c>
      <c r="Q31" s="110">
        <f t="shared" si="5"/>
        <v>48.331609465317918</v>
      </c>
      <c r="R31" s="110">
        <f t="shared" si="5"/>
        <v>42.359264585659012</v>
      </c>
      <c r="S31" s="110">
        <f t="shared" si="5"/>
        <v>55.593807052013801</v>
      </c>
      <c r="T31" s="110">
        <f t="shared" si="5"/>
        <v>66.696436808626245</v>
      </c>
    </row>
    <row r="32" spans="2:20" x14ac:dyDescent="0.35">
      <c r="B32" s="110" t="s">
        <v>558</v>
      </c>
      <c r="C32" s="8" t="s">
        <v>41</v>
      </c>
      <c r="D32" s="110">
        <f t="shared" ref="D32:S36" si="6">D4</f>
        <v>3.3959241722305493</v>
      </c>
      <c r="E32" s="110">
        <f t="shared" si="6"/>
        <v>3.5418185379479494</v>
      </c>
      <c r="F32" s="110">
        <f t="shared" si="6"/>
        <v>3.6908170391061454</v>
      </c>
      <c r="G32" s="110">
        <f t="shared" si="6"/>
        <v>3.837746116637144</v>
      </c>
      <c r="H32" s="110">
        <f t="shared" si="6"/>
        <v>4.0508967502384525</v>
      </c>
      <c r="I32" s="110">
        <f t="shared" si="6"/>
        <v>4.243353147567789</v>
      </c>
      <c r="J32" s="110">
        <f t="shared" si="6"/>
        <v>4.4378789685243216</v>
      </c>
      <c r="K32" s="110">
        <f t="shared" si="6"/>
        <v>4.6437866194304407</v>
      </c>
      <c r="L32" s="110">
        <f t="shared" si="6"/>
        <v>4.8828050483717123</v>
      </c>
      <c r="M32" s="110">
        <f t="shared" si="6"/>
        <v>5.0928515465322262</v>
      </c>
      <c r="N32" s="110">
        <f t="shared" si="6"/>
        <v>5.3370435345414915</v>
      </c>
      <c r="O32" s="110">
        <f t="shared" si="6"/>
        <v>5.5708884044147711</v>
      </c>
      <c r="P32" s="110">
        <f t="shared" si="6"/>
        <v>5.8626771358495713</v>
      </c>
      <c r="Q32" s="110">
        <f t="shared" si="6"/>
        <v>6.1637782736067583</v>
      </c>
      <c r="R32" s="110">
        <f t="shared" si="6"/>
        <v>4.8147915186404244</v>
      </c>
      <c r="S32" s="110">
        <f t="shared" si="6"/>
        <v>5.2963459068209158</v>
      </c>
      <c r="T32" s="110">
        <f t="shared" si="5"/>
        <v>7.1966467657236386</v>
      </c>
    </row>
    <row r="33" spans="2:20" x14ac:dyDescent="0.35">
      <c r="B33" s="110" t="s">
        <v>558</v>
      </c>
      <c r="C33" s="8" t="s">
        <v>117</v>
      </c>
      <c r="D33" s="110">
        <f t="shared" si="6"/>
        <v>2.5399740098310638E-2</v>
      </c>
      <c r="E33" s="110">
        <f t="shared" si="5"/>
        <v>2.6772699022543645E-2</v>
      </c>
      <c r="F33" s="110">
        <f t="shared" si="5"/>
        <v>2.8145657946776655E-2</v>
      </c>
      <c r="G33" s="110">
        <f t="shared" si="5"/>
        <v>2.883213740889316E-2</v>
      </c>
      <c r="H33" s="110">
        <f t="shared" si="5"/>
        <v>3.0205096333126166E-2</v>
      </c>
      <c r="I33" s="110">
        <f t="shared" si="5"/>
        <v>3.2264534719475678E-2</v>
      </c>
      <c r="J33" s="110">
        <f t="shared" si="5"/>
        <v>3.3637493643708688E-2</v>
      </c>
      <c r="K33" s="110">
        <f t="shared" si="5"/>
        <v>3.5010452567941691E-2</v>
      </c>
      <c r="L33" s="110">
        <f t="shared" si="5"/>
        <v>3.7069890954291203E-2</v>
      </c>
      <c r="M33" s="110">
        <f t="shared" si="5"/>
        <v>3.8442849878524213E-2</v>
      </c>
      <c r="N33" s="110">
        <f t="shared" si="5"/>
        <v>4.0502288264873725E-2</v>
      </c>
      <c r="O33" s="110">
        <f t="shared" si="5"/>
        <v>4.1875247189106735E-2</v>
      </c>
      <c r="P33" s="110">
        <f t="shared" si="5"/>
        <v>4.3934685575456239E-2</v>
      </c>
      <c r="Q33" s="110">
        <f t="shared" si="5"/>
        <v>4.6680603423922259E-2</v>
      </c>
      <c r="R33" s="110">
        <f t="shared" si="5"/>
        <v>8.0799230873973074E-2</v>
      </c>
      <c r="S33" s="110">
        <f t="shared" si="5"/>
        <v>9.8210791696409765E-3</v>
      </c>
      <c r="T33" s="110">
        <f t="shared" si="5"/>
        <v>1.1554261758674331E-2</v>
      </c>
    </row>
    <row r="34" spans="2:20" x14ac:dyDescent="0.35">
      <c r="B34" s="84" t="s">
        <v>559</v>
      </c>
      <c r="C34" s="8" t="s">
        <v>136</v>
      </c>
      <c r="D34" s="110">
        <f t="shared" si="6"/>
        <v>31.588731936416185</v>
      </c>
      <c r="E34" s="110">
        <f t="shared" si="5"/>
        <v>32.943657875722543</v>
      </c>
      <c r="F34" s="110">
        <f t="shared" si="5"/>
        <v>34.329651372832373</v>
      </c>
      <c r="G34" s="110">
        <f t="shared" si="5"/>
        <v>35.695989884393065</v>
      </c>
      <c r="H34" s="110">
        <f t="shared" si="5"/>
        <v>37.667828757225429</v>
      </c>
      <c r="I34" s="110">
        <f t="shared" si="5"/>
        <v>39.467845014450873</v>
      </c>
      <c r="J34" s="110">
        <f t="shared" si="5"/>
        <v>41.276737716763002</v>
      </c>
      <c r="K34" s="110">
        <f t="shared" si="5"/>
        <v>43.178199060693636</v>
      </c>
      <c r="L34" s="110">
        <f t="shared" si="5"/>
        <v>45.409990968208099</v>
      </c>
      <c r="M34" s="110">
        <f t="shared" si="5"/>
        <v>47.360906791907517</v>
      </c>
      <c r="N34" s="110">
        <f t="shared" si="5"/>
        <v>49.633910765895955</v>
      </c>
      <c r="O34" s="110">
        <f t="shared" si="5"/>
        <v>51.807371748554914</v>
      </c>
      <c r="P34" s="110">
        <f t="shared" si="5"/>
        <v>54.527368135838152</v>
      </c>
      <c r="Q34" s="110">
        <f t="shared" si="5"/>
        <v>57.322180274566477</v>
      </c>
      <c r="R34" s="110">
        <f t="shared" si="5"/>
        <v>59.395518326848574</v>
      </c>
      <c r="S34" s="110">
        <f t="shared" si="5"/>
        <v>65.72317361865619</v>
      </c>
      <c r="T34" s="110">
        <f t="shared" si="5"/>
        <v>67.336775719686841</v>
      </c>
    </row>
    <row r="35" spans="2:20" x14ac:dyDescent="0.35">
      <c r="B35" s="84" t="s">
        <v>559</v>
      </c>
      <c r="C35" s="8" t="s">
        <v>41</v>
      </c>
      <c r="D35" s="110">
        <f t="shared" si="6"/>
        <v>5.3546336353726662</v>
      </c>
      <c r="E35" s="110">
        <f t="shared" si="5"/>
        <v>5.5884785052459467</v>
      </c>
      <c r="F35" s="110">
        <f t="shared" si="5"/>
        <v>5.8285316460008172</v>
      </c>
      <c r="G35" s="110">
        <f t="shared" si="5"/>
        <v>6.0654806513148936</v>
      </c>
      <c r="H35" s="110">
        <f t="shared" si="5"/>
        <v>6.4048661261752287</v>
      </c>
      <c r="I35" s="110">
        <f t="shared" si="5"/>
        <v>6.7163143820684033</v>
      </c>
      <c r="J35" s="110">
        <f t="shared" si="5"/>
        <v>7.0298320615887739</v>
      </c>
      <c r="K35" s="110">
        <f t="shared" si="5"/>
        <v>7.3557662828723265</v>
      </c>
      <c r="L35" s="110">
        <f t="shared" si="5"/>
        <v>7.7355055184630066</v>
      </c>
      <c r="M35" s="110">
        <f t="shared" si="5"/>
        <v>8.067648010628151</v>
      </c>
      <c r="N35" s="110">
        <f t="shared" si="5"/>
        <v>8.4535955171004229</v>
      </c>
      <c r="O35" s="110">
        <f t="shared" si="5"/>
        <v>8.8260917699959123</v>
      </c>
      <c r="P35" s="110">
        <f t="shared" si="5"/>
        <v>9.2948162215560703</v>
      </c>
      <c r="Q35" s="110">
        <f t="shared" si="5"/>
        <v>9.776991926693011</v>
      </c>
      <c r="R35" s="110">
        <f t="shared" si="5"/>
        <v>10.179207669647671</v>
      </c>
      <c r="S35" s="110">
        <f t="shared" si="5"/>
        <v>10.074551373877824</v>
      </c>
      <c r="T35" s="110">
        <f t="shared" si="5"/>
        <v>11.18629380646118</v>
      </c>
    </row>
    <row r="36" spans="2:20" x14ac:dyDescent="0.35">
      <c r="B36" s="84" t="s">
        <v>559</v>
      </c>
      <c r="C36" s="8" t="s">
        <v>117</v>
      </c>
      <c r="D36" s="110">
        <f t="shared" si="6"/>
        <v>5.0799480196621276E-2</v>
      </c>
      <c r="E36" s="110">
        <f t="shared" si="5"/>
        <v>5.2858918582970787E-2</v>
      </c>
      <c r="F36" s="110">
        <f t="shared" si="5"/>
        <v>5.4918356969320299E-2</v>
      </c>
      <c r="G36" s="110">
        <f t="shared" si="5"/>
        <v>5.6977795355669811E-2</v>
      </c>
      <c r="H36" s="110">
        <f t="shared" si="5"/>
        <v>6.0410192666252333E-2</v>
      </c>
      <c r="I36" s="110">
        <f t="shared" si="5"/>
        <v>6.3156110514718339E-2</v>
      </c>
      <c r="J36" s="110">
        <f t="shared" si="5"/>
        <v>6.5902028363184359E-2</v>
      </c>
      <c r="K36" s="110">
        <f t="shared" si="5"/>
        <v>6.9334425673766881E-2</v>
      </c>
      <c r="L36" s="110">
        <f t="shared" si="5"/>
        <v>7.2766822984349389E-2</v>
      </c>
      <c r="M36" s="110">
        <f t="shared" si="5"/>
        <v>7.6199220294931924E-2</v>
      </c>
      <c r="N36" s="110">
        <f t="shared" si="5"/>
        <v>7.9631617605514432E-2</v>
      </c>
      <c r="O36" s="110">
        <f t="shared" si="5"/>
        <v>8.3064014916096954E-2</v>
      </c>
      <c r="P36" s="110">
        <f t="shared" si="5"/>
        <v>8.7182891688795977E-2</v>
      </c>
      <c r="Q36" s="110">
        <f t="shared" si="5"/>
        <v>9.1988247923611502E-2</v>
      </c>
      <c r="R36" s="110">
        <f t="shared" si="5"/>
        <v>1.815660627266838E-2</v>
      </c>
      <c r="S36" s="110">
        <f t="shared" si="5"/>
        <v>0.11785572285055269</v>
      </c>
      <c r="T36" s="110">
        <f t="shared" si="5"/>
        <v>0.11727805308785118</v>
      </c>
    </row>
    <row r="37" spans="2:20" x14ac:dyDescent="0.35">
      <c r="B37" s="84" t="s">
        <v>563</v>
      </c>
      <c r="C37" s="8" t="s">
        <v>136</v>
      </c>
      <c r="D37">
        <f>D10</f>
        <v>0.39485549132947978</v>
      </c>
      <c r="E37" s="110">
        <f t="shared" ref="E37:T37" si="7">E10</f>
        <v>0.41168171965317923</v>
      </c>
      <c r="F37" s="110">
        <f t="shared" si="7"/>
        <v>0.42962969653179195</v>
      </c>
      <c r="G37" s="110">
        <f t="shared" si="7"/>
        <v>0.44645592485549135</v>
      </c>
      <c r="H37" s="110">
        <f t="shared" si="7"/>
        <v>0.47113439306358385</v>
      </c>
      <c r="I37" s="110">
        <f t="shared" si="7"/>
        <v>0.49356936416184971</v>
      </c>
      <c r="J37" s="110">
        <f t="shared" si="7"/>
        <v>0.51600433526011558</v>
      </c>
      <c r="K37" s="110">
        <f t="shared" si="7"/>
        <v>0.53956105491329487</v>
      </c>
      <c r="L37" s="110">
        <f t="shared" si="7"/>
        <v>0.56872651734104052</v>
      </c>
      <c r="M37" s="110">
        <f t="shared" si="7"/>
        <v>0.5922832369942197</v>
      </c>
      <c r="N37" s="110">
        <f t="shared" si="7"/>
        <v>0.62032695086705203</v>
      </c>
      <c r="O37" s="110">
        <f t="shared" si="7"/>
        <v>0.64724891618497116</v>
      </c>
      <c r="P37" s="110">
        <f t="shared" si="7"/>
        <v>0.68202312138728327</v>
      </c>
      <c r="Q37" s="110">
        <f t="shared" si="7"/>
        <v>0.71679732658959538</v>
      </c>
      <c r="R37" s="110">
        <f t="shared" si="7"/>
        <v>0.55324673338593799</v>
      </c>
      <c r="S37" s="110">
        <f t="shared" si="7"/>
        <v>0.81752383619870483</v>
      </c>
      <c r="T37" s="110">
        <f t="shared" si="7"/>
        <v>0.90086336829762481</v>
      </c>
    </row>
    <row r="38" spans="2:20" x14ac:dyDescent="0.35">
      <c r="B38" s="84" t="s">
        <v>563</v>
      </c>
      <c r="C38" s="8" t="s">
        <v>41</v>
      </c>
      <c r="D38">
        <f>D11+D16</f>
        <v>11.333313462324568</v>
      </c>
      <c r="E38" s="110">
        <f t="shared" ref="E38:T38" si="8">E11+E16</f>
        <v>11.825146477721761</v>
      </c>
      <c r="F38" s="110">
        <f t="shared" si="8"/>
        <v>12.332845074260799</v>
      </c>
      <c r="G38" s="110">
        <f t="shared" si="8"/>
        <v>12.829966616705274</v>
      </c>
      <c r="H38" s="110">
        <f t="shared" si="8"/>
        <v>13.546562031611938</v>
      </c>
      <c r="I38" s="110">
        <f t="shared" si="8"/>
        <v>14.202339385474861</v>
      </c>
      <c r="J38" s="110">
        <f t="shared" si="8"/>
        <v>14.862083134623246</v>
      </c>
      <c r="K38" s="110">
        <f t="shared" si="8"/>
        <v>15.55091378253168</v>
      </c>
      <c r="L38" s="110">
        <f t="shared" si="8"/>
        <v>16.35476989371849</v>
      </c>
      <c r="M38" s="110">
        <f t="shared" si="8"/>
        <v>17.05682185924513</v>
      </c>
      <c r="N38" s="110">
        <f t="shared" si="8"/>
        <v>17.871255024526501</v>
      </c>
      <c r="O38" s="110">
        <f t="shared" si="8"/>
        <v>18.657923422809645</v>
      </c>
      <c r="P38" s="110">
        <f t="shared" si="8"/>
        <v>19.645555848889494</v>
      </c>
      <c r="Q38" s="110">
        <f t="shared" si="8"/>
        <v>20.663597305491212</v>
      </c>
      <c r="R38" s="110">
        <f t="shared" si="8"/>
        <v>16.463236968712341</v>
      </c>
      <c r="S38" s="110">
        <f t="shared" si="8"/>
        <v>18.845207752629072</v>
      </c>
      <c r="T38" s="110">
        <f t="shared" si="8"/>
        <v>23.563537111205743</v>
      </c>
    </row>
    <row r="39" spans="2:20" x14ac:dyDescent="0.35">
      <c r="B39" s="84" t="s">
        <v>563</v>
      </c>
      <c r="C39" s="8" t="s">
        <v>117</v>
      </c>
      <c r="D39">
        <f>D12</f>
        <v>2.6315046047799312E-3</v>
      </c>
      <c r="E39" s="110">
        <f t="shared" ref="E39:T39" si="9">E12</f>
        <v>2.6315046047799312E-3</v>
      </c>
      <c r="F39" s="110">
        <f t="shared" si="9"/>
        <v>3.5086728063732412E-3</v>
      </c>
      <c r="G39" s="110">
        <f t="shared" si="9"/>
        <v>3.5086728063732412E-3</v>
      </c>
      <c r="H39" s="110">
        <f t="shared" si="9"/>
        <v>3.5086728063732412E-3</v>
      </c>
      <c r="I39" s="110">
        <f t="shared" si="9"/>
        <v>3.5086728063732412E-3</v>
      </c>
      <c r="J39" s="110">
        <f t="shared" si="9"/>
        <v>3.5086728063732412E-3</v>
      </c>
      <c r="K39" s="110">
        <f t="shared" si="9"/>
        <v>3.5086728063732412E-3</v>
      </c>
      <c r="L39" s="110">
        <f t="shared" si="9"/>
        <v>3.5086728063732412E-3</v>
      </c>
      <c r="M39" s="110">
        <f t="shared" si="9"/>
        <v>4.3858410079665507E-3</v>
      </c>
      <c r="N39" s="110">
        <f t="shared" si="9"/>
        <v>4.3858410079665507E-3</v>
      </c>
      <c r="O39" s="110">
        <f t="shared" si="9"/>
        <v>4.3858410079665507E-3</v>
      </c>
      <c r="P39" s="110">
        <f t="shared" si="9"/>
        <v>4.3858410079665507E-3</v>
      </c>
      <c r="Q39" s="110">
        <f t="shared" si="9"/>
        <v>4.3858410079665507E-3</v>
      </c>
      <c r="R39" s="110">
        <f t="shared" si="9"/>
        <v>3.7585351521823213E-3</v>
      </c>
      <c r="S39" s="110">
        <f t="shared" si="9"/>
        <v>4.8974851982981765E-3</v>
      </c>
      <c r="T39" s="110">
        <f t="shared" si="9"/>
        <v>6.756995477671E-3</v>
      </c>
    </row>
    <row r="40" spans="2:20" x14ac:dyDescent="0.35">
      <c r="B40" s="84" t="s">
        <v>564</v>
      </c>
      <c r="C40" s="8" t="s">
        <v>136</v>
      </c>
      <c r="D40">
        <f>D13</f>
        <v>3.1936181358381504</v>
      </c>
      <c r="E40" s="110">
        <f t="shared" ref="E40:T40" si="10">E13</f>
        <v>3.3304714595375722</v>
      </c>
      <c r="F40" s="110">
        <f t="shared" si="10"/>
        <v>3.4695682803468211</v>
      </c>
      <c r="G40" s="110">
        <f t="shared" si="10"/>
        <v>3.607543352601156</v>
      </c>
      <c r="H40" s="110">
        <f t="shared" si="10"/>
        <v>3.8060928468208095</v>
      </c>
      <c r="I40" s="110">
        <f t="shared" si="10"/>
        <v>3.9889378612716766</v>
      </c>
      <c r="J40" s="110">
        <f t="shared" si="10"/>
        <v>4.1706611271676302</v>
      </c>
      <c r="K40" s="110">
        <f t="shared" si="10"/>
        <v>4.3624801300578033</v>
      </c>
      <c r="L40" s="110">
        <f t="shared" si="10"/>
        <v>4.5879515895953755</v>
      </c>
      <c r="M40" s="110">
        <f t="shared" si="10"/>
        <v>4.786501083815029</v>
      </c>
      <c r="N40" s="110">
        <f t="shared" si="10"/>
        <v>5.0153377890173401</v>
      </c>
      <c r="O40" s="110">
        <f t="shared" si="10"/>
        <v>5.2352005057803472</v>
      </c>
      <c r="P40" s="110">
        <f t="shared" si="10"/>
        <v>5.5089071531791909</v>
      </c>
      <c r="Q40" s="110">
        <f t="shared" si="10"/>
        <v>5.7915877890173411</v>
      </c>
      <c r="R40" s="110">
        <f t="shared" si="10"/>
        <v>4.0378729621673015</v>
      </c>
      <c r="S40" s="110">
        <f t="shared" si="10"/>
        <v>5.5208923035603545</v>
      </c>
      <c r="T40" s="110">
        <f t="shared" si="10"/>
        <v>5.471742575789202</v>
      </c>
    </row>
    <row r="41" spans="2:20" x14ac:dyDescent="0.35">
      <c r="B41" s="84" t="s">
        <v>564</v>
      </c>
      <c r="C41" s="8" t="s">
        <v>41</v>
      </c>
      <c r="D41">
        <f>D14+D17</f>
        <v>24.357633448017442</v>
      </c>
      <c r="E41" s="110">
        <f t="shared" ref="E41:T41" si="11">E14+E17</f>
        <v>25.414016725711949</v>
      </c>
      <c r="F41" s="110">
        <f t="shared" si="11"/>
        <v>26.496842638642867</v>
      </c>
      <c r="G41" s="110">
        <f t="shared" si="11"/>
        <v>27.565125102193765</v>
      </c>
      <c r="H41" s="110">
        <f t="shared" si="11"/>
        <v>29.098797945905439</v>
      </c>
      <c r="I41" s="110">
        <f t="shared" si="11"/>
        <v>30.502901876958717</v>
      </c>
      <c r="J41" s="110">
        <f t="shared" si="11"/>
        <v>31.916260730344735</v>
      </c>
      <c r="K41" s="110">
        <f t="shared" si="11"/>
        <v>33.391759776536311</v>
      </c>
      <c r="L41" s="110">
        <f t="shared" si="11"/>
        <v>35.119785989235595</v>
      </c>
      <c r="M41" s="110">
        <f t="shared" si="11"/>
        <v>36.625694065949041</v>
      </c>
      <c r="N41" s="110">
        <f t="shared" si="11"/>
        <v>38.380162913884725</v>
      </c>
      <c r="O41" s="110">
        <f t="shared" si="11"/>
        <v>40.067203041967574</v>
      </c>
      <c r="P41" s="110">
        <f t="shared" si="11"/>
        <v>42.183935992642049</v>
      </c>
      <c r="Q41" s="110">
        <f t="shared" si="11"/>
        <v>44.361487004360271</v>
      </c>
      <c r="R41" s="110">
        <f t="shared" si="11"/>
        <v>42.582973728347113</v>
      </c>
      <c r="S41" s="110">
        <f t="shared" si="11"/>
        <v>45.381264948748097</v>
      </c>
      <c r="T41" s="110">
        <f t="shared" si="11"/>
        <v>44.995622539617294</v>
      </c>
    </row>
    <row r="42" spans="2:20" x14ac:dyDescent="0.35">
      <c r="B42" s="84" t="s">
        <v>564</v>
      </c>
      <c r="C42" s="8" t="s">
        <v>117</v>
      </c>
      <c r="D42">
        <f>D15</f>
        <v>6.1401774111531724E-3</v>
      </c>
      <c r="E42" s="110">
        <f t="shared" ref="E42:T42" si="12">E15</f>
        <v>6.1401774111531724E-3</v>
      </c>
      <c r="F42" s="110">
        <f t="shared" si="12"/>
        <v>6.1401774111531724E-3</v>
      </c>
      <c r="G42" s="110">
        <f t="shared" si="12"/>
        <v>6.1401774111531724E-3</v>
      </c>
      <c r="H42" s="110">
        <f t="shared" si="12"/>
        <v>7.0173456127464824E-3</v>
      </c>
      <c r="I42" s="110">
        <f t="shared" si="12"/>
        <v>7.0173456127464824E-3</v>
      </c>
      <c r="J42" s="110">
        <f t="shared" si="12"/>
        <v>7.8945138143397924E-3</v>
      </c>
      <c r="K42" s="110">
        <f t="shared" si="12"/>
        <v>7.8945138143397924E-3</v>
      </c>
      <c r="L42" s="110">
        <f t="shared" si="12"/>
        <v>8.7716820159331015E-3</v>
      </c>
      <c r="M42" s="110">
        <f t="shared" si="12"/>
        <v>8.7716820159331015E-3</v>
      </c>
      <c r="N42" s="110">
        <f t="shared" si="12"/>
        <v>8.7716820159331015E-3</v>
      </c>
      <c r="O42" s="110">
        <f t="shared" si="12"/>
        <v>9.648850217526414E-3</v>
      </c>
      <c r="P42" s="110">
        <f t="shared" si="12"/>
        <v>1.0526018419119725E-2</v>
      </c>
      <c r="Q42" s="110">
        <f t="shared" si="12"/>
        <v>1.1403186620713036E-2</v>
      </c>
      <c r="R42" s="110">
        <f t="shared" si="12"/>
        <v>1.0276655078580043E-2</v>
      </c>
      <c r="S42" s="110">
        <f t="shared" si="12"/>
        <v>1.2300660498051234E-2</v>
      </c>
      <c r="T42" s="110">
        <f t="shared" si="12"/>
        <v>1.1726536699294875E-2</v>
      </c>
    </row>
    <row r="43" spans="2:20" x14ac:dyDescent="0.35">
      <c r="B43" s="84" t="s">
        <v>562</v>
      </c>
      <c r="C43" s="8" t="s">
        <v>41</v>
      </c>
      <c r="D43">
        <f>D18</f>
        <v>48.947979970023169</v>
      </c>
      <c r="E43" s="110">
        <f t="shared" ref="E43:T43" si="13">E18</f>
        <v>51.104284899168832</v>
      </c>
      <c r="F43" s="110">
        <f t="shared" si="13"/>
        <v>53.315036108461648</v>
      </c>
      <c r="G43" s="110">
        <f t="shared" si="13"/>
        <v>55.495725746014458</v>
      </c>
      <c r="H43" s="110">
        <f t="shared" si="13"/>
        <v>58.614646068946726</v>
      </c>
      <c r="I43" s="110">
        <f t="shared" si="13"/>
        <v>61.485074601444339</v>
      </c>
      <c r="J43" s="110">
        <f t="shared" si="13"/>
        <v>64.386209803787992</v>
      </c>
      <c r="K43" s="110">
        <f t="shared" si="13"/>
        <v>67.372497956124818</v>
      </c>
      <c r="L43" s="110">
        <f t="shared" si="13"/>
        <v>70.862091650769869</v>
      </c>
      <c r="M43" s="110">
        <f t="shared" si="13"/>
        <v>73.892375493936512</v>
      </c>
      <c r="N43" s="110">
        <f t="shared" si="13"/>
        <v>77.416159388200029</v>
      </c>
      <c r="O43" s="110">
        <f t="shared" si="13"/>
        <v>80.847178174819476</v>
      </c>
      <c r="P43" s="110">
        <f t="shared" si="13"/>
        <v>85.143660580460562</v>
      </c>
      <c r="Q43" s="110">
        <f t="shared" si="13"/>
        <v>89.585419079574862</v>
      </c>
      <c r="R43" s="110">
        <f t="shared" si="13"/>
        <v>96.172369676320272</v>
      </c>
      <c r="S43" s="110">
        <f t="shared" si="13"/>
        <v>89.295793867120949</v>
      </c>
      <c r="T43" s="110">
        <f t="shared" si="13"/>
        <v>89.304390119250428</v>
      </c>
    </row>
    <row r="44" spans="2:20" x14ac:dyDescent="0.35">
      <c r="B44" s="84" t="s">
        <v>266</v>
      </c>
      <c r="C44" s="84" t="s">
        <v>136</v>
      </c>
      <c r="D44">
        <f>D9</f>
        <v>11.795687861271675</v>
      </c>
      <c r="E44" s="110">
        <f t="shared" ref="E44:T44" si="14">E9</f>
        <v>12.311209537572255</v>
      </c>
      <c r="F44" s="110">
        <f t="shared" si="14"/>
        <v>12.839638728323701</v>
      </c>
      <c r="G44" s="110">
        <f t="shared" si="14"/>
        <v>13.362504335260116</v>
      </c>
      <c r="H44" s="110">
        <f t="shared" si="14"/>
        <v>14.108692196531793</v>
      </c>
      <c r="I44" s="110">
        <f t="shared" si="14"/>
        <v>14.794236994219654</v>
      </c>
      <c r="J44" s="110">
        <f t="shared" si="14"/>
        <v>15.484789017341042</v>
      </c>
      <c r="K44" s="110">
        <f t="shared" si="14"/>
        <v>16.20249132947977</v>
      </c>
      <c r="L44" s="110">
        <f t="shared" si="14"/>
        <v>17.041479768786129</v>
      </c>
      <c r="M44" s="110">
        <f t="shared" si="14"/>
        <v>17.770976878612714</v>
      </c>
      <c r="N44" s="110">
        <f t="shared" si="14"/>
        <v>18.620869942196531</v>
      </c>
      <c r="O44" s="110">
        <f t="shared" si="14"/>
        <v>19.441387283236995</v>
      </c>
      <c r="P44" s="110">
        <f t="shared" si="14"/>
        <v>20.472764450867054</v>
      </c>
      <c r="Q44" s="110">
        <f t="shared" si="14"/>
        <v>21.535186416184974</v>
      </c>
      <c r="R44" s="110">
        <f t="shared" si="14"/>
        <v>15.133921965317917</v>
      </c>
      <c r="S44" s="110">
        <f t="shared" si="14"/>
        <v>20.344677745664736</v>
      </c>
      <c r="T44" s="110">
        <f t="shared" si="14"/>
        <v>22.532797687861272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56F36-4CCF-43AE-AC6B-9F443B012371}">
  <sheetPr>
    <tabColor theme="4" tint="0.59999389629810485"/>
  </sheetPr>
  <dimension ref="B2:AI45"/>
  <sheetViews>
    <sheetView showGridLines="0" zoomScale="55" zoomScaleNormal="55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S3" sqref="S3"/>
    </sheetView>
  </sheetViews>
  <sheetFormatPr baseColWidth="10" defaultRowHeight="14.5" x14ac:dyDescent="0.35"/>
  <cols>
    <col min="1" max="1" width="3.7265625" customWidth="1"/>
    <col min="2" max="2" width="24.1796875" customWidth="1"/>
    <col min="3" max="3" width="46.453125" bestFit="1" customWidth="1"/>
    <col min="4" max="4" width="11.453125" style="2"/>
    <col min="5" max="5" width="30" style="2" bestFit="1" customWidth="1"/>
    <col min="6" max="6" width="14.81640625" customWidth="1"/>
    <col min="7" max="15" width="11.453125" customWidth="1"/>
    <col min="19" max="24" width="13.81640625" bestFit="1" customWidth="1"/>
    <col min="25" max="26" width="13.453125" bestFit="1" customWidth="1"/>
    <col min="27" max="27" width="13" bestFit="1" customWidth="1"/>
    <col min="28" max="28" width="13.81640625" bestFit="1" customWidth="1"/>
    <col min="29" max="29" width="13.453125" bestFit="1" customWidth="1"/>
    <col min="30" max="30" width="13.81640625" style="3" bestFit="1" customWidth="1"/>
    <col min="31" max="32" width="13.453125" style="3" bestFit="1" customWidth="1"/>
    <col min="33" max="33" width="13.81640625" bestFit="1" customWidth="1"/>
    <col min="35" max="35" width="13.1796875" customWidth="1"/>
  </cols>
  <sheetData>
    <row r="2" spans="2:35" x14ac:dyDescent="0.35">
      <c r="B2" s="31" t="s">
        <v>11</v>
      </c>
      <c r="C2" s="31" t="s">
        <v>12</v>
      </c>
      <c r="D2" s="26" t="s">
        <v>13</v>
      </c>
      <c r="E2" s="26" t="s">
        <v>64</v>
      </c>
      <c r="F2" s="31">
        <v>1990</v>
      </c>
      <c r="G2" s="31">
        <v>1991</v>
      </c>
      <c r="H2" s="31">
        <v>1992</v>
      </c>
      <c r="I2" s="31">
        <v>1993</v>
      </c>
      <c r="J2" s="31">
        <v>1994</v>
      </c>
      <c r="K2" s="31">
        <v>1995</v>
      </c>
      <c r="L2" s="31">
        <v>1996</v>
      </c>
      <c r="M2" s="31">
        <v>1997</v>
      </c>
      <c r="N2" s="31">
        <v>1998</v>
      </c>
      <c r="O2" s="31">
        <v>1999</v>
      </c>
      <c r="P2" s="31">
        <v>2000</v>
      </c>
      <c r="Q2" s="31">
        <v>2001</v>
      </c>
      <c r="R2" s="31">
        <v>2002</v>
      </c>
      <c r="S2" s="31">
        <v>2003</v>
      </c>
      <c r="T2" s="31">
        <v>2004</v>
      </c>
      <c r="U2" s="31">
        <v>2005</v>
      </c>
      <c r="V2" s="31">
        <v>2006</v>
      </c>
      <c r="W2" s="31">
        <v>2007</v>
      </c>
      <c r="X2" s="31">
        <v>2008</v>
      </c>
      <c r="Y2" s="31">
        <v>2009</v>
      </c>
      <c r="Z2" s="31">
        <v>2010</v>
      </c>
      <c r="AA2" s="31">
        <v>2011</v>
      </c>
      <c r="AB2" s="31">
        <v>2012</v>
      </c>
      <c r="AC2" s="31">
        <v>2013</v>
      </c>
      <c r="AD2" s="31">
        <v>2014</v>
      </c>
      <c r="AE2" s="31">
        <v>2015</v>
      </c>
      <c r="AF2" s="31">
        <v>2016</v>
      </c>
      <c r="AG2" s="31">
        <v>2017</v>
      </c>
      <c r="AH2" s="31">
        <v>2018</v>
      </c>
    </row>
    <row r="3" spans="2:35" x14ac:dyDescent="0.35">
      <c r="B3" s="644" t="s">
        <v>0</v>
      </c>
      <c r="C3" s="27" t="s">
        <v>14</v>
      </c>
      <c r="D3" s="28" t="s">
        <v>2</v>
      </c>
      <c r="E3" s="38" t="s">
        <v>69</v>
      </c>
      <c r="F3" s="80" t="e">
        <f>G3-G3*'Activity Data Calculations'!#REF!</f>
        <v>#REF!</v>
      </c>
      <c r="G3" s="80" t="e">
        <f>H3-H3*'Activity Data Calculations'!#REF!</f>
        <v>#REF!</v>
      </c>
      <c r="H3" s="80" t="e">
        <f>I3-I3*'Activity Data Calculations'!#REF!</f>
        <v>#REF!</v>
      </c>
      <c r="I3" s="80" t="e">
        <f>J3-J3*'Activity Data Calculations'!#REF!</f>
        <v>#REF!</v>
      </c>
      <c r="J3" s="80" t="e">
        <f>K3-K3*'Activity Data Calculations'!#REF!</f>
        <v>#REF!</v>
      </c>
      <c r="K3" s="80">
        <v>0</v>
      </c>
      <c r="L3" s="80" t="e">
        <f>M3-M3*'Activity Data Calculations'!#REF!</f>
        <v>#REF!</v>
      </c>
      <c r="M3" s="80" t="e">
        <f>N3-N3*'Activity Data Calculations'!#REF!</f>
        <v>#REF!</v>
      </c>
      <c r="N3" s="80" t="e">
        <f>O3-O3*'Activity Data Calculations'!#REF!</f>
        <v>#REF!</v>
      </c>
      <c r="O3" s="80">
        <f>P3-P3*'Activity Data Calculations'!F$82</f>
        <v>1.7683249204532343</v>
      </c>
      <c r="P3" s="80">
        <f>Q3-Q3*'Activity Data Calculations'!G$82</f>
        <v>1.7683249204532343</v>
      </c>
      <c r="Q3" s="80">
        <f>R3-R3*'Activity Data Calculations'!H$82</f>
        <v>1.0291502580851097</v>
      </c>
      <c r="R3" s="80">
        <f>S3-S3*'Activity Data Calculations'!I$82</f>
        <v>2.0273478698177163</v>
      </c>
      <c r="S3" s="29">
        <f>'Activity Data Calculations'!I11/1000</f>
        <v>9.8640000000000008</v>
      </c>
      <c r="T3" s="29">
        <f>'Activity Data Calculations'!J11/1000</f>
        <v>16.555</v>
      </c>
      <c r="U3" s="29">
        <f>'Activity Data Calculations'!K11/1000</f>
        <v>17.731000000000002</v>
      </c>
      <c r="V3" s="29">
        <f>'Activity Data Calculations'!L11/1000</f>
        <v>1.8480000000000001</v>
      </c>
      <c r="W3" s="29">
        <f>'Activity Data Calculations'!M11/1000</f>
        <v>1.06664</v>
      </c>
      <c r="X3" s="29">
        <f>'Activity Data Calculations'!N11/1000</f>
        <v>2.0953200000000001</v>
      </c>
      <c r="Y3" s="29">
        <f>'Activity Data Calculations'!O11/1000</f>
        <v>4.9238909999999994</v>
      </c>
      <c r="Z3" s="29">
        <f>'Activity Data Calculations'!P11/1000</f>
        <v>6.008</v>
      </c>
      <c r="AA3" s="29">
        <f>'Activity Data Calculations'!Q11/1000</f>
        <v>3.6589999999999998</v>
      </c>
      <c r="AB3" s="29">
        <f>'Activity Data Calculations'!R11/1000</f>
        <v>3.4369999999999998</v>
      </c>
      <c r="AC3" s="29">
        <f>'Activity Data Calculations'!S11/1000</f>
        <v>0.64500000000000002</v>
      </c>
      <c r="AD3" s="29">
        <f>'Activity Data Calculations'!T11/1000</f>
        <v>0.68100000000000005</v>
      </c>
      <c r="AE3" s="29">
        <f>'Activity Data Calculations'!U11/1000</f>
        <v>0.74127999999999994</v>
      </c>
      <c r="AF3" s="29">
        <f>'Activity Data Calculations'!V11/1000</f>
        <v>0.72877595972309628</v>
      </c>
      <c r="AG3" s="29">
        <f>'Activity Data Calculations'!AG11/1000</f>
        <v>0</v>
      </c>
      <c r="AH3" s="79">
        <f>FORECAST(AH$2,$AC3:$AG3,$AC$2:$AG$2)</f>
        <v>0.18654397986153981</v>
      </c>
      <c r="AI3" s="51"/>
    </row>
    <row r="4" spans="2:35" x14ac:dyDescent="0.35">
      <c r="B4" s="644"/>
      <c r="C4" s="27" t="s">
        <v>62</v>
      </c>
      <c r="D4" s="28" t="s">
        <v>2</v>
      </c>
      <c r="E4" s="38" t="s">
        <v>69</v>
      </c>
      <c r="F4" s="80" t="e">
        <f>G4-G4*'Activity Data Calculations'!#REF!</f>
        <v>#REF!</v>
      </c>
      <c r="G4" s="80" t="e">
        <f>H4-H4*'Activity Data Calculations'!#REF!</f>
        <v>#REF!</v>
      </c>
      <c r="H4" s="80" t="e">
        <f>I4-I4*'Activity Data Calculations'!#REF!</f>
        <v>#REF!</v>
      </c>
      <c r="I4" s="80" t="e">
        <f>J4-J4*'Activity Data Calculations'!#REF!</f>
        <v>#REF!</v>
      </c>
      <c r="J4" s="80" t="e">
        <f>K4-K4*'Activity Data Calculations'!#REF!</f>
        <v>#REF!</v>
      </c>
      <c r="K4" s="80" t="e">
        <f>L4-L4*'Activity Data Calculations'!#REF!</f>
        <v>#REF!</v>
      </c>
      <c r="L4" s="80" t="e">
        <f>M4-M4*'Activity Data Calculations'!#REF!</f>
        <v>#REF!</v>
      </c>
      <c r="M4" s="80" t="e">
        <f>N4-N4*'Activity Data Calculations'!#REF!</f>
        <v>#REF!</v>
      </c>
      <c r="N4" s="80" t="e">
        <f>O4-O4*'Activity Data Calculations'!#REF!</f>
        <v>#REF!</v>
      </c>
      <c r="O4" s="80">
        <f>P4-P4*'Activity Data Calculations'!F$84</f>
        <v>169.49155198963439</v>
      </c>
      <c r="P4" s="80">
        <f>Q4-Q4*'Activity Data Calculations'!G$84</f>
        <v>169.49155198963439</v>
      </c>
      <c r="Q4" s="80">
        <f>R4-R4*'Activity Data Calculations'!H$84</f>
        <v>177.83266759559746</v>
      </c>
      <c r="R4" s="80">
        <f>S4-S4*'Activity Data Calculations'!I$84</f>
        <v>177.92184472626292</v>
      </c>
      <c r="S4" s="29">
        <f>'Activity Data Calculations'!I6/1000</f>
        <v>200.06700000000001</v>
      </c>
      <c r="T4" s="29">
        <f>'Activity Data Calculations'!J6/1000</f>
        <v>215.29</v>
      </c>
      <c r="U4" s="29">
        <f>'Activity Data Calculations'!K6/1000</f>
        <v>210.14400000000001</v>
      </c>
      <c r="V4" s="29">
        <f>'Activity Data Calculations'!L6/1000</f>
        <v>219.96899999999999</v>
      </c>
      <c r="W4" s="29">
        <f>'Activity Data Calculations'!M6/1000</f>
        <v>195.08068</v>
      </c>
      <c r="X4" s="29">
        <f>'Activity Data Calculations'!N6/1000</f>
        <v>160.35874999999999</v>
      </c>
      <c r="Y4" s="29">
        <f>'Activity Data Calculations'!O6/1000</f>
        <v>183.67815470000002</v>
      </c>
      <c r="Z4" s="29">
        <f>'Activity Data Calculations'!P6/1000</f>
        <v>190.108</v>
      </c>
      <c r="AA4" s="29">
        <f>'Activity Data Calculations'!Q6/1000</f>
        <v>207.57599999999999</v>
      </c>
      <c r="AB4" s="29">
        <f>'Activity Data Calculations'!R6/1000</f>
        <v>206.14599999999999</v>
      </c>
      <c r="AC4" s="29">
        <f>'Activity Data Calculations'!S6/1000</f>
        <v>208.86500000000001</v>
      </c>
      <c r="AD4" s="29">
        <f>'Activity Data Calculations'!T6/1000</f>
        <v>213.58799999999999</v>
      </c>
      <c r="AE4" s="29">
        <f>'Activity Data Calculations'!U6/1000</f>
        <v>221.11567000000002</v>
      </c>
      <c r="AF4" s="29">
        <f>'Activity Data Calculations'!V6/1000</f>
        <v>215.79446001899998</v>
      </c>
      <c r="AG4" s="29">
        <f>'Activity Data Calculations'!AG6/1000</f>
        <v>0</v>
      </c>
      <c r="AH4" s="79">
        <f>FORECAST(AH$2,$S4:$AG4,$S$2:$AG$2)</f>
        <v>155.24397380261871</v>
      </c>
    </row>
    <row r="5" spans="2:35" x14ac:dyDescent="0.35">
      <c r="B5" s="644"/>
      <c r="C5" s="27" t="s">
        <v>63</v>
      </c>
      <c r="D5" s="28" t="s">
        <v>2</v>
      </c>
      <c r="E5" s="38" t="s">
        <v>69</v>
      </c>
      <c r="F5" s="80" t="e">
        <f>G5-G5*'Activity Data Calculations'!#REF!</f>
        <v>#REF!</v>
      </c>
      <c r="G5" s="80" t="e">
        <f>H5-H5*'Activity Data Calculations'!#REF!</f>
        <v>#REF!</v>
      </c>
      <c r="H5" s="80" t="e">
        <f>I5-I5*'Activity Data Calculations'!#REF!</f>
        <v>#REF!</v>
      </c>
      <c r="I5" s="80" t="e">
        <f>J5-J5*'Activity Data Calculations'!#REF!</f>
        <v>#REF!</v>
      </c>
      <c r="J5" s="80" t="e">
        <f>K5-K5*'Activity Data Calculations'!#REF!</f>
        <v>#REF!</v>
      </c>
      <c r="K5" s="80" t="e">
        <f>L5-L5*'Activity Data Calculations'!#REF!</f>
        <v>#REF!</v>
      </c>
      <c r="L5" s="80" t="e">
        <f>M5-M5*'Activity Data Calculations'!#REF!</f>
        <v>#REF!</v>
      </c>
      <c r="M5" s="80" t="e">
        <f>N5-N5*'Activity Data Calculations'!#REF!</f>
        <v>#REF!</v>
      </c>
      <c r="N5" s="80" t="e">
        <f>O5-O5*'Activity Data Calculations'!#REF!</f>
        <v>#REF!</v>
      </c>
      <c r="O5" s="80">
        <f>P5-P5*'Activity Data Calculations'!F$84</f>
        <v>2.0527024970179197</v>
      </c>
      <c r="P5" s="80">
        <f>Q5-Q5*'Activity Data Calculations'!G$84</f>
        <v>2.0527024970179197</v>
      </c>
      <c r="Q5" s="80">
        <f>R5-R5*'Activity Data Calculations'!H$84</f>
        <v>2.1537212712947795</v>
      </c>
      <c r="R5" s="80">
        <f>S5-S5*'Activity Data Calculations'!I$84</f>
        <v>2.1548012904263825</v>
      </c>
      <c r="S5" s="29">
        <f>'Activity Data Calculations'!I9/1000</f>
        <v>2.423</v>
      </c>
      <c r="T5" s="29">
        <f>'Activity Data Calculations'!J9/1000</f>
        <v>2.335</v>
      </c>
      <c r="U5" s="29">
        <f>'Activity Data Calculations'!K9/1000</f>
        <v>1.909</v>
      </c>
      <c r="V5" s="29">
        <f>'Activity Data Calculations'!L9/1000</f>
        <v>2.2320000000000002</v>
      </c>
      <c r="W5" s="29">
        <f>'Activity Data Calculations'!M9/1000</f>
        <v>2.6384799999999999</v>
      </c>
      <c r="X5" s="29">
        <f>'Activity Data Calculations'!N9/1000</f>
        <v>1.7209700000000001</v>
      </c>
      <c r="Y5" s="29">
        <f>'Activity Data Calculations'!O9/1000</f>
        <v>2.5580419999999999</v>
      </c>
      <c r="Z5" s="29">
        <f>'Activity Data Calculations'!P9/1000</f>
        <v>1.875</v>
      </c>
      <c r="AA5" s="29">
        <f>'Activity Data Calculations'!Q9/1000</f>
        <v>1.3540000000000001</v>
      </c>
      <c r="AB5" s="29">
        <f>'Activity Data Calculations'!R9/1000</f>
        <v>1.728</v>
      </c>
      <c r="AC5" s="29">
        <f>'Activity Data Calculations'!S9/1000</f>
        <v>1.19</v>
      </c>
      <c r="AD5" s="29">
        <f>'Activity Data Calculations'!T9/1000</f>
        <v>1.125</v>
      </c>
      <c r="AE5" s="29">
        <f>'Activity Data Calculations'!U9/1000</f>
        <v>0.97928999999999999</v>
      </c>
      <c r="AF5" s="29">
        <f>'Activity Data Calculations'!V9/1000</f>
        <v>0.92377082383918174</v>
      </c>
      <c r="AG5" s="29">
        <f>'Activity Data Calculations'!AG9/1000</f>
        <v>0</v>
      </c>
      <c r="AH5" s="79">
        <f>FORECAST(AH$2,$S5:$AG5,$S$2:$AG$2)</f>
        <v>0.52209360567599106</v>
      </c>
    </row>
    <row r="6" spans="2:35" x14ac:dyDescent="0.35">
      <c r="B6" s="644"/>
      <c r="C6" s="27" t="s">
        <v>15</v>
      </c>
      <c r="D6" s="28" t="s">
        <v>2</v>
      </c>
      <c r="E6" s="38" t="s">
        <v>69</v>
      </c>
      <c r="F6" s="80">
        <f t="shared" ref="F6:M6" si="0">G6</f>
        <v>191.65577932635176</v>
      </c>
      <c r="G6" s="80">
        <f t="shared" si="0"/>
        <v>191.65577932635176</v>
      </c>
      <c r="H6" s="80">
        <f t="shared" si="0"/>
        <v>191.65577932635176</v>
      </c>
      <c r="I6" s="80">
        <f t="shared" si="0"/>
        <v>191.65577932635176</v>
      </c>
      <c r="J6" s="80">
        <f t="shared" si="0"/>
        <v>191.65577932635176</v>
      </c>
      <c r="K6" s="80">
        <f t="shared" si="0"/>
        <v>191.65577932635176</v>
      </c>
      <c r="L6" s="80">
        <f t="shared" si="0"/>
        <v>191.65577932635176</v>
      </c>
      <c r="M6" s="80">
        <f t="shared" si="0"/>
        <v>191.65577932635176</v>
      </c>
      <c r="N6" s="80">
        <f>O6</f>
        <v>191.65577932635176</v>
      </c>
      <c r="O6" s="80">
        <f>P6-P6*'Activity Data Calculations'!F$86</f>
        <v>191.65577932635176</v>
      </c>
      <c r="P6" s="80">
        <f>Q6-Q6*'Activity Data Calculations'!G$86</f>
        <v>191.65577932635176</v>
      </c>
      <c r="Q6" s="80">
        <f>R6-R6*'Activity Data Calculations'!H$86</f>
        <v>266.47260925205836</v>
      </c>
      <c r="R6" s="80">
        <f>S6-S6*'Activity Data Calculations'!I$86</f>
        <v>291.65803839206757</v>
      </c>
      <c r="S6" s="29">
        <f>'Activity Data Calculations'!I12/1000</f>
        <v>287.17599999999999</v>
      </c>
      <c r="T6" s="29">
        <f>'Activity Data Calculations'!J12/1000</f>
        <v>265.12799999999999</v>
      </c>
      <c r="U6" s="29">
        <f>'Activity Data Calculations'!K12/1000</f>
        <v>340.67500000000001</v>
      </c>
      <c r="V6" s="29">
        <f>'Activity Data Calculations'!L12/1000</f>
        <v>462.78399999999999</v>
      </c>
      <c r="W6" s="29">
        <f>'Activity Data Calculations'!M12/1000</f>
        <v>552.63199999999995</v>
      </c>
      <c r="X6" s="29">
        <f>'Activity Data Calculations'!N12/1000</f>
        <v>609.745</v>
      </c>
      <c r="Y6" s="29">
        <f>'Activity Data Calculations'!O12/1000</f>
        <v>574.14099999999996</v>
      </c>
      <c r="Z6" s="29">
        <f>'Activity Data Calculations'!P12/1000</f>
        <v>643.04899999999998</v>
      </c>
      <c r="AA6" s="29">
        <f>'Activity Data Calculations'!Q12/1000</f>
        <v>617.29700000000003</v>
      </c>
      <c r="AB6" s="29">
        <f>'Activity Data Calculations'!R12/1000</f>
        <v>649.15700000000004</v>
      </c>
      <c r="AC6" s="29">
        <f>'Activity Data Calculations'!S12/1000</f>
        <v>683.20699999999999</v>
      </c>
      <c r="AD6" s="29">
        <f>'Activity Data Calculations'!T12/1000</f>
        <v>711.23599999999999</v>
      </c>
      <c r="AE6" s="29">
        <f>'Activity Data Calculations'!U12/1000</f>
        <v>684.34799999999996</v>
      </c>
      <c r="AF6" s="29">
        <f>'Activity Data Calculations'!V12/1000</f>
        <v>701.22500000000002</v>
      </c>
      <c r="AG6" s="29">
        <f>'Activity Data Calculations'!AG12/1000</f>
        <v>0</v>
      </c>
      <c r="AH6" s="79">
        <f>FORECAST(AH2,S6:AG6,S2:AG2)</f>
        <v>628.2788952380979</v>
      </c>
      <c r="AI6" s="51"/>
    </row>
    <row r="7" spans="2:35" x14ac:dyDescent="0.35">
      <c r="B7" s="644"/>
      <c r="C7" s="27" t="s">
        <v>16</v>
      </c>
      <c r="D7" s="28" t="s">
        <v>2</v>
      </c>
      <c r="E7" s="38" t="s">
        <v>69</v>
      </c>
      <c r="F7" s="80" t="e">
        <f>G7-G7*'Activity Data Calculations'!#REF!</f>
        <v>#REF!</v>
      </c>
      <c r="G7" s="80" t="e">
        <f>H7-H7*'Activity Data Calculations'!#REF!</f>
        <v>#REF!</v>
      </c>
      <c r="H7" s="80" t="e">
        <f>I7-I7*'Activity Data Calculations'!#REF!</f>
        <v>#REF!</v>
      </c>
      <c r="I7" s="80" t="e">
        <f>J7-J7*'Activity Data Calculations'!#REF!</f>
        <v>#REF!</v>
      </c>
      <c r="J7" s="80" t="e">
        <f>K7-K7*'Activity Data Calculations'!#REF!</f>
        <v>#REF!</v>
      </c>
      <c r="K7" s="80" t="e">
        <f>L7-L7*'Activity Data Calculations'!#REF!</f>
        <v>#REF!</v>
      </c>
      <c r="L7" s="80" t="e">
        <f>M7-M7*'Activity Data Calculations'!#REF!</f>
        <v>#REF!</v>
      </c>
      <c r="M7" s="80" t="e">
        <f>N7-N7*'Activity Data Calculations'!#REF!</f>
        <v>#REF!</v>
      </c>
      <c r="N7" s="80" t="e">
        <f>O7-O7*'Activity Data Calculations'!#REF!</f>
        <v>#REF!</v>
      </c>
      <c r="O7" s="80">
        <f>P7-P7*'Activity Data Calculations'!F$88</f>
        <v>988.91328817924625</v>
      </c>
      <c r="P7" s="80">
        <f>Q7-Q7*'Activity Data Calculations'!G$88</f>
        <v>988.91328817924625</v>
      </c>
      <c r="Q7" s="80">
        <f>R7-R7*'Activity Data Calculations'!H$88</f>
        <v>1110.4895696689371</v>
      </c>
      <c r="R7" s="80">
        <f>S7-S7*'Activity Data Calculations'!I$88</f>
        <v>1054.2351477924688</v>
      </c>
      <c r="S7" s="29">
        <f>'Activity Data Calculations'!I13/1000</f>
        <v>1046.7940000000001</v>
      </c>
      <c r="T7" s="29">
        <f>'Activity Data Calculations'!J13/1000</f>
        <v>1092.8230000000001</v>
      </c>
      <c r="U7" s="29">
        <f>'Activity Data Calculations'!K13/1000</f>
        <v>1055.742</v>
      </c>
      <c r="V7" s="29">
        <f>'Activity Data Calculations'!L13/1000</f>
        <v>1036.598</v>
      </c>
      <c r="W7" s="29">
        <f>'Activity Data Calculations'!M13/1000</f>
        <v>1040.2860000000001</v>
      </c>
      <c r="X7" s="29">
        <f>'Activity Data Calculations'!N13/1000</f>
        <v>1300.9390000000001</v>
      </c>
      <c r="Y7" s="29">
        <f>'Activity Data Calculations'!O13/1000</f>
        <v>1135.588</v>
      </c>
      <c r="Z7" s="29">
        <f>'Activity Data Calculations'!P13/1000</f>
        <v>1140.383</v>
      </c>
      <c r="AA7" s="29">
        <f>'Activity Data Calculations'!Q13/1000</f>
        <v>1119.04</v>
      </c>
      <c r="AB7" s="29">
        <f>'Activity Data Calculations'!R13/1000</f>
        <v>1077.7860000000001</v>
      </c>
      <c r="AC7" s="29">
        <f>'Activity Data Calculations'!S13/1000</f>
        <v>1056.146</v>
      </c>
      <c r="AD7" s="29">
        <f>'Activity Data Calculations'!T13/1000</f>
        <v>1030.5630000000001</v>
      </c>
      <c r="AE7" s="29">
        <f>'Activity Data Calculations'!U13/1000</f>
        <v>1240.3009999999999</v>
      </c>
      <c r="AF7" s="29">
        <f>'Activity Data Calculations'!V13/1000</f>
        <v>1129.5450000000001</v>
      </c>
      <c r="AG7" s="29">
        <f>'Activity Data Calculations'!AG13/1000</f>
        <v>0</v>
      </c>
      <c r="AH7" s="79">
        <f>FORECAST(AH2,S7:AG7,S2:AG2)</f>
        <v>844.24955238095572</v>
      </c>
    </row>
    <row r="8" spans="2:35" x14ac:dyDescent="0.35">
      <c r="B8" s="644" t="s">
        <v>124</v>
      </c>
      <c r="C8" s="27" t="s">
        <v>17</v>
      </c>
      <c r="D8" s="28"/>
      <c r="E8" s="38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57"/>
      <c r="AE8" s="57"/>
      <c r="AF8" s="57"/>
      <c r="AG8" s="39"/>
      <c r="AH8" s="39"/>
    </row>
    <row r="9" spans="2:35" x14ac:dyDescent="0.35">
      <c r="B9" s="644"/>
      <c r="C9" s="27" t="s">
        <v>18</v>
      </c>
      <c r="D9" s="28"/>
      <c r="E9" s="38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57"/>
      <c r="AE9" s="57"/>
      <c r="AF9" s="57"/>
      <c r="AG9" s="39"/>
      <c r="AH9" s="39"/>
    </row>
    <row r="10" spans="2:35" x14ac:dyDescent="0.35">
      <c r="B10" s="644"/>
      <c r="C10" s="27" t="s">
        <v>125</v>
      </c>
      <c r="D10" s="58"/>
      <c r="E10" s="38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57"/>
      <c r="AE10" s="57"/>
      <c r="AF10" s="57"/>
      <c r="AG10" s="39"/>
      <c r="AH10" s="39"/>
    </row>
    <row r="11" spans="2:35" x14ac:dyDescent="0.35">
      <c r="B11" s="644"/>
      <c r="C11" s="27" t="s">
        <v>15</v>
      </c>
      <c r="D11" s="58"/>
      <c r="E11" s="38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57"/>
      <c r="AE11" s="57"/>
      <c r="AF11" s="57"/>
      <c r="AG11" s="39"/>
      <c r="AH11" s="39"/>
    </row>
    <row r="12" spans="2:35" x14ac:dyDescent="0.35">
      <c r="B12" s="644"/>
      <c r="C12" s="27" t="s">
        <v>126</v>
      </c>
      <c r="D12" s="28"/>
      <c r="E12" s="38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57"/>
      <c r="AE12" s="57"/>
      <c r="AF12" s="57"/>
      <c r="AG12" s="39"/>
      <c r="AH12" s="39"/>
    </row>
    <row r="13" spans="2:35" x14ac:dyDescent="0.35">
      <c r="B13" s="644"/>
      <c r="C13" s="27" t="s">
        <v>16</v>
      </c>
      <c r="D13" s="28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57"/>
      <c r="AE13" s="57"/>
      <c r="AF13" s="57"/>
      <c r="AG13" s="39"/>
      <c r="AH13" s="39"/>
    </row>
    <row r="14" spans="2:35" x14ac:dyDescent="0.35">
      <c r="B14" s="27" t="s">
        <v>3</v>
      </c>
      <c r="C14" s="27" t="s">
        <v>22</v>
      </c>
      <c r="D14" s="28"/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44"/>
      <c r="AD14" s="57"/>
      <c r="AE14" s="57"/>
      <c r="AF14" s="57"/>
      <c r="AG14" s="39"/>
      <c r="AH14" s="39"/>
    </row>
    <row r="15" spans="2:35" x14ac:dyDescent="0.35">
      <c r="B15" s="644" t="s">
        <v>4</v>
      </c>
      <c r="C15" s="27" t="s">
        <v>136</v>
      </c>
      <c r="D15" s="28"/>
      <c r="E15" s="28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59"/>
      <c r="AE15" s="59"/>
      <c r="AF15" s="59"/>
      <c r="AG15" s="56"/>
      <c r="AH15" s="56"/>
      <c r="AI15" s="50"/>
    </row>
    <row r="16" spans="2:35" x14ac:dyDescent="0.35">
      <c r="B16" s="644"/>
      <c r="C16" s="27" t="s">
        <v>41</v>
      </c>
      <c r="D16" s="28"/>
      <c r="E16" s="28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59"/>
      <c r="AE16" s="59"/>
      <c r="AF16" s="59"/>
      <c r="AG16" s="56"/>
      <c r="AH16" s="56"/>
      <c r="AI16" s="50"/>
    </row>
    <row r="17" spans="2:35" x14ac:dyDescent="0.35">
      <c r="B17" s="644"/>
      <c r="C17" s="27" t="s">
        <v>125</v>
      </c>
      <c r="D17" s="28"/>
      <c r="E17" s="28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59"/>
      <c r="AE17" s="59"/>
      <c r="AF17" s="59"/>
      <c r="AG17" s="56"/>
      <c r="AH17" s="56"/>
      <c r="AI17" s="50"/>
    </row>
    <row r="18" spans="2:35" x14ac:dyDescent="0.35">
      <c r="B18" s="646" t="s">
        <v>6</v>
      </c>
      <c r="C18" s="36" t="s">
        <v>62</v>
      </c>
      <c r="D18" s="60"/>
      <c r="E18" s="38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0"/>
    </row>
    <row r="19" spans="2:35" ht="15" customHeight="1" x14ac:dyDescent="0.35">
      <c r="B19" s="647"/>
      <c r="C19" s="36" t="s">
        <v>136</v>
      </c>
      <c r="D19" s="28"/>
      <c r="E19" s="38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55"/>
      <c r="AE19" s="55"/>
      <c r="AF19" s="55"/>
      <c r="AG19" s="44"/>
      <c r="AH19" s="44"/>
    </row>
    <row r="20" spans="2:35" x14ac:dyDescent="0.35">
      <c r="B20" s="648"/>
      <c r="C20" s="36" t="s">
        <v>41</v>
      </c>
      <c r="D20" s="28"/>
      <c r="E20" s="38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55"/>
      <c r="AE20" s="55"/>
      <c r="AF20" s="55"/>
      <c r="AG20" s="44"/>
      <c r="AH20" s="44"/>
    </row>
    <row r="21" spans="2:35" x14ac:dyDescent="0.35">
      <c r="B21" s="645" t="s">
        <v>42</v>
      </c>
      <c r="C21" s="36" t="s">
        <v>43</v>
      </c>
      <c r="D21" s="28"/>
      <c r="E21" s="38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55"/>
      <c r="AE21" s="55"/>
      <c r="AF21" s="55"/>
      <c r="AG21" s="44"/>
      <c r="AH21" s="44"/>
    </row>
    <row r="22" spans="2:35" x14ac:dyDescent="0.35">
      <c r="B22" s="645"/>
      <c r="C22" s="36" t="s">
        <v>44</v>
      </c>
      <c r="D22" s="28"/>
      <c r="E22" s="38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55"/>
      <c r="AE22" s="55"/>
      <c r="AF22" s="55"/>
      <c r="AG22" s="44"/>
      <c r="AH22" s="44"/>
    </row>
    <row r="23" spans="2:35" x14ac:dyDescent="0.35">
      <c r="B23" s="644" t="s">
        <v>45</v>
      </c>
      <c r="C23" s="36" t="s">
        <v>14</v>
      </c>
      <c r="D23" s="28"/>
      <c r="E23" s="38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55"/>
      <c r="AE23" s="55"/>
      <c r="AF23" s="55"/>
      <c r="AG23" s="44"/>
      <c r="AH23" s="44"/>
    </row>
    <row r="24" spans="2:35" x14ac:dyDescent="0.35">
      <c r="B24" s="644"/>
      <c r="C24" s="36" t="s">
        <v>43</v>
      </c>
      <c r="D24" s="28"/>
      <c r="E24" s="38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55"/>
      <c r="AE24" s="55"/>
      <c r="AF24" s="55"/>
      <c r="AG24" s="44"/>
      <c r="AH24" s="44"/>
    </row>
    <row r="25" spans="2:35" x14ac:dyDescent="0.35">
      <c r="B25" s="644"/>
      <c r="C25" s="36" t="s">
        <v>46</v>
      </c>
      <c r="D25" s="28"/>
      <c r="E25" s="38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55"/>
      <c r="AE25" s="55"/>
      <c r="AF25" s="55"/>
      <c r="AG25" s="44"/>
      <c r="AH25" s="44"/>
    </row>
    <row r="26" spans="2:35" x14ac:dyDescent="0.35">
      <c r="B26" s="644"/>
      <c r="C26" s="36" t="s">
        <v>44</v>
      </c>
      <c r="D26" s="28"/>
      <c r="E26" s="38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55"/>
      <c r="AE26" s="55"/>
      <c r="AF26" s="55"/>
      <c r="AG26" s="44"/>
      <c r="AH26" s="44"/>
    </row>
    <row r="27" spans="2:35" x14ac:dyDescent="0.35">
      <c r="B27" s="37" t="s">
        <v>47</v>
      </c>
      <c r="C27" s="36" t="s">
        <v>41</v>
      </c>
      <c r="D27" s="28"/>
      <c r="E27" s="38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55"/>
      <c r="AE27" s="55"/>
      <c r="AF27" s="55"/>
      <c r="AG27" s="44"/>
      <c r="AH27" s="44"/>
    </row>
    <row r="28" spans="2:35" x14ac:dyDescent="0.35">
      <c r="B28" s="37" t="s">
        <v>7</v>
      </c>
      <c r="C28" s="36" t="s">
        <v>48</v>
      </c>
      <c r="D28" s="28"/>
      <c r="E28" s="28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57"/>
      <c r="AE28" s="57"/>
      <c r="AF28" s="57"/>
      <c r="AG28" s="39"/>
      <c r="AH28" s="39"/>
    </row>
    <row r="29" spans="2:35" ht="29" x14ac:dyDescent="0.35">
      <c r="B29" s="37" t="s">
        <v>8</v>
      </c>
      <c r="C29" s="36" t="s">
        <v>103</v>
      </c>
      <c r="D29" s="28"/>
      <c r="E29" s="28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57"/>
      <c r="AE29" s="57"/>
      <c r="AF29" s="57"/>
      <c r="AG29" s="39"/>
      <c r="AH29" s="39"/>
    </row>
    <row r="30" spans="2:35" x14ac:dyDescent="0.35">
      <c r="B30" s="644" t="s">
        <v>9</v>
      </c>
      <c r="C30" s="27" t="s">
        <v>49</v>
      </c>
      <c r="D30" s="28"/>
      <c r="E30" s="28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57"/>
      <c r="AE30" s="57"/>
      <c r="AF30" s="57"/>
      <c r="AG30" s="39"/>
      <c r="AH30" s="39"/>
    </row>
    <row r="31" spans="2:35" x14ac:dyDescent="0.35">
      <c r="B31" s="644"/>
      <c r="C31" s="27" t="s">
        <v>50</v>
      </c>
      <c r="D31" s="28"/>
      <c r="E31" s="28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39"/>
      <c r="V31" s="39"/>
      <c r="W31" s="39"/>
      <c r="X31" s="39"/>
      <c r="Y31" s="39"/>
      <c r="Z31" s="39"/>
      <c r="AA31" s="39"/>
      <c r="AB31" s="39"/>
      <c r="AC31" s="39"/>
      <c r="AD31" s="57"/>
      <c r="AE31" s="57"/>
      <c r="AF31" s="57"/>
      <c r="AG31" s="39"/>
      <c r="AH31" s="39"/>
    </row>
    <row r="32" spans="2:35" x14ac:dyDescent="0.35">
      <c r="B32" s="644"/>
      <c r="C32" s="27" t="s">
        <v>51</v>
      </c>
      <c r="D32" s="28"/>
      <c r="E32" s="28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39"/>
      <c r="V32" s="39"/>
      <c r="W32" s="39"/>
      <c r="X32" s="39"/>
      <c r="Y32" s="39"/>
      <c r="Z32" s="39"/>
      <c r="AA32" s="39"/>
      <c r="AB32" s="39"/>
      <c r="AC32" s="39"/>
      <c r="AD32" s="57"/>
      <c r="AE32" s="57"/>
      <c r="AF32" s="57"/>
      <c r="AG32" s="39"/>
      <c r="AH32" s="39"/>
    </row>
    <row r="33" spans="2:34" x14ac:dyDescent="0.35">
      <c r="B33" s="644"/>
      <c r="C33" s="27" t="s">
        <v>52</v>
      </c>
      <c r="D33" s="28"/>
      <c r="E33" s="2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57"/>
      <c r="AE33" s="57"/>
      <c r="AF33" s="57"/>
      <c r="AG33" s="39"/>
      <c r="AH33" s="39"/>
    </row>
    <row r="34" spans="2:34" x14ac:dyDescent="0.35">
      <c r="B34" s="644"/>
      <c r="C34" s="27" t="s">
        <v>53</v>
      </c>
      <c r="D34" s="28"/>
      <c r="E34" s="2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57"/>
      <c r="AE34" s="57"/>
      <c r="AF34" s="57"/>
      <c r="AG34" s="39"/>
      <c r="AH34" s="39"/>
    </row>
    <row r="35" spans="2:34" x14ac:dyDescent="0.35">
      <c r="B35" s="644"/>
      <c r="C35" s="27" t="s">
        <v>54</v>
      </c>
      <c r="D35" s="28"/>
      <c r="E35" s="28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39"/>
      <c r="W35" s="39"/>
      <c r="X35" s="39"/>
      <c r="Y35" s="39"/>
      <c r="Z35" s="39"/>
      <c r="AA35" s="39"/>
      <c r="AB35" s="39"/>
      <c r="AC35" s="39"/>
      <c r="AD35" s="57"/>
      <c r="AE35" s="57"/>
      <c r="AF35" s="57"/>
      <c r="AG35" s="39"/>
      <c r="AH35" s="39"/>
    </row>
    <row r="36" spans="2:34" x14ac:dyDescent="0.35">
      <c r="B36" s="644"/>
      <c r="C36" s="27" t="s">
        <v>55</v>
      </c>
      <c r="D36" s="28"/>
      <c r="E36" s="28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39"/>
      <c r="W36" s="39"/>
      <c r="X36" s="39"/>
      <c r="Y36" s="39"/>
      <c r="Z36" s="39"/>
      <c r="AA36" s="39"/>
      <c r="AB36" s="39"/>
      <c r="AC36" s="39"/>
      <c r="AD36" s="57"/>
      <c r="AE36" s="57"/>
      <c r="AF36" s="57"/>
      <c r="AG36" s="39"/>
      <c r="AH36" s="39"/>
    </row>
    <row r="37" spans="2:34" x14ac:dyDescent="0.35">
      <c r="B37" s="644"/>
      <c r="C37" s="27" t="s">
        <v>56</v>
      </c>
      <c r="D37" s="28"/>
      <c r="E37" s="2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57"/>
      <c r="AE37" s="57"/>
      <c r="AF37" s="57"/>
      <c r="AG37" s="39"/>
      <c r="AH37" s="39"/>
    </row>
    <row r="38" spans="2:34" x14ac:dyDescent="0.35">
      <c r="B38" s="644" t="s">
        <v>10</v>
      </c>
      <c r="C38" s="27" t="s">
        <v>49</v>
      </c>
      <c r="D38" s="28"/>
      <c r="E38" s="28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57"/>
      <c r="AE38" s="57"/>
      <c r="AF38" s="57"/>
      <c r="AG38" s="39"/>
      <c r="AH38" s="39"/>
    </row>
    <row r="39" spans="2:34" x14ac:dyDescent="0.35">
      <c r="B39" s="644"/>
      <c r="C39" s="27" t="s">
        <v>50</v>
      </c>
      <c r="D39" s="28"/>
      <c r="E39" s="28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57"/>
      <c r="AE39" s="57"/>
      <c r="AF39" s="57"/>
      <c r="AG39" s="39"/>
      <c r="AH39" s="39"/>
    </row>
    <row r="40" spans="2:34" x14ac:dyDescent="0.35">
      <c r="B40" s="644"/>
      <c r="C40" s="27" t="s">
        <v>51</v>
      </c>
      <c r="D40" s="28"/>
      <c r="E40" s="28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57"/>
      <c r="AE40" s="57"/>
      <c r="AF40" s="57"/>
      <c r="AG40" s="39"/>
      <c r="AH40" s="39"/>
    </row>
    <row r="41" spans="2:34" x14ac:dyDescent="0.35">
      <c r="B41" s="644"/>
      <c r="C41" s="27" t="s">
        <v>52</v>
      </c>
      <c r="D41" s="28"/>
      <c r="E41" s="28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55"/>
      <c r="AE41" s="55"/>
      <c r="AF41" s="55"/>
      <c r="AG41" s="44"/>
      <c r="AH41" s="44"/>
    </row>
    <row r="42" spans="2:34" x14ac:dyDescent="0.35">
      <c r="B42" s="644"/>
      <c r="C42" s="27" t="s">
        <v>53</v>
      </c>
      <c r="D42" s="28"/>
      <c r="E42" s="28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57"/>
      <c r="AE42" s="57"/>
      <c r="AF42" s="57"/>
      <c r="AG42" s="39"/>
      <c r="AH42" s="39"/>
    </row>
    <row r="43" spans="2:34" x14ac:dyDescent="0.35">
      <c r="B43" s="644"/>
      <c r="C43" s="27" t="s">
        <v>54</v>
      </c>
      <c r="D43" s="28"/>
      <c r="E43" s="28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57"/>
      <c r="AE43" s="57"/>
      <c r="AF43" s="57"/>
      <c r="AG43" s="39"/>
      <c r="AH43" s="39"/>
    </row>
    <row r="44" spans="2:34" x14ac:dyDescent="0.35">
      <c r="B44" s="644"/>
      <c r="C44" s="27" t="s">
        <v>55</v>
      </c>
      <c r="D44" s="28"/>
      <c r="E44" s="28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57"/>
      <c r="AE44" s="57"/>
      <c r="AF44" s="57"/>
      <c r="AG44" s="39"/>
      <c r="AH44" s="39"/>
    </row>
    <row r="45" spans="2:34" x14ac:dyDescent="0.35">
      <c r="B45" s="644"/>
      <c r="C45" s="27" t="s">
        <v>56</v>
      </c>
      <c r="D45" s="28"/>
      <c r="E45" s="2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57"/>
      <c r="AE45" s="57"/>
      <c r="AF45" s="57"/>
      <c r="AG45" s="39"/>
      <c r="AH45" s="39"/>
    </row>
  </sheetData>
  <mergeCells count="8">
    <mergeCell ref="B23:B26"/>
    <mergeCell ref="B30:B37"/>
    <mergeCell ref="B38:B45"/>
    <mergeCell ref="B3:B7"/>
    <mergeCell ref="B8:B13"/>
    <mergeCell ref="B15:B17"/>
    <mergeCell ref="B21:B22"/>
    <mergeCell ref="B18:B2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A4CE9-35F3-4BCD-BD7C-319F32FA89DB}">
  <sheetPr>
    <tabColor theme="4" tint="0.59999389629810485"/>
  </sheetPr>
  <dimension ref="B2:AI45"/>
  <sheetViews>
    <sheetView showGridLines="0" zoomScale="55" zoomScaleNormal="55" workbookViewId="0">
      <pane xSplit="5" ySplit="2" topLeftCell="F36" activePane="bottomRight" state="frozen"/>
      <selection pane="topRight" activeCell="F1" sqref="F1"/>
      <selection pane="bottomLeft" activeCell="A3" sqref="A3"/>
      <selection pane="bottomRight" activeCell="E88" sqref="E88"/>
    </sheetView>
  </sheetViews>
  <sheetFormatPr baseColWidth="10" defaultRowHeight="14.5" x14ac:dyDescent="0.35"/>
  <cols>
    <col min="1" max="1" width="2.7265625" customWidth="1"/>
    <col min="2" max="2" width="18.453125" customWidth="1"/>
    <col min="3" max="3" width="44.453125" bestFit="1" customWidth="1"/>
    <col min="4" max="4" width="11.453125" style="2"/>
    <col min="5" max="5" width="30" style="2" bestFit="1" customWidth="1"/>
    <col min="6" max="15" width="11.453125" customWidth="1"/>
  </cols>
  <sheetData>
    <row r="2" spans="2:35" x14ac:dyDescent="0.35">
      <c r="B2" s="27" t="s">
        <v>11</v>
      </c>
      <c r="C2" s="27" t="s">
        <v>12</v>
      </c>
      <c r="D2" s="28" t="s">
        <v>13</v>
      </c>
      <c r="E2" s="28" t="s">
        <v>64</v>
      </c>
      <c r="F2" s="25">
        <v>1990</v>
      </c>
      <c r="G2" s="25">
        <v>1991</v>
      </c>
      <c r="H2" s="25">
        <v>1992</v>
      </c>
      <c r="I2" s="25">
        <v>1993</v>
      </c>
      <c r="J2" s="25">
        <v>1994</v>
      </c>
      <c r="K2" s="25">
        <v>1995</v>
      </c>
      <c r="L2" s="25">
        <v>1996</v>
      </c>
      <c r="M2" s="25">
        <v>1997</v>
      </c>
      <c r="N2" s="25">
        <v>1998</v>
      </c>
      <c r="O2" s="25">
        <v>1999</v>
      </c>
      <c r="P2" s="25">
        <v>2000</v>
      </c>
      <c r="Q2" s="25">
        <v>2001</v>
      </c>
      <c r="R2" s="25">
        <v>2002</v>
      </c>
      <c r="S2" s="25">
        <v>2003</v>
      </c>
      <c r="T2" s="25">
        <v>2004</v>
      </c>
      <c r="U2" s="25">
        <v>2005</v>
      </c>
      <c r="V2" s="25">
        <v>2006</v>
      </c>
      <c r="W2" s="25">
        <v>2007</v>
      </c>
      <c r="X2" s="25">
        <v>2008</v>
      </c>
      <c r="Y2" s="25">
        <v>2009</v>
      </c>
      <c r="Z2" s="25">
        <v>2010</v>
      </c>
      <c r="AA2" s="25">
        <v>2011</v>
      </c>
      <c r="AB2" s="25">
        <v>2012</v>
      </c>
      <c r="AC2" s="25">
        <v>2013</v>
      </c>
      <c r="AD2" s="25">
        <v>2014</v>
      </c>
      <c r="AE2" s="25">
        <v>2015</v>
      </c>
      <c r="AF2" s="25">
        <v>2016</v>
      </c>
      <c r="AG2" s="25">
        <v>2017</v>
      </c>
      <c r="AH2" s="25">
        <v>2018</v>
      </c>
    </row>
    <row r="3" spans="2:35" x14ac:dyDescent="0.35">
      <c r="B3" s="644" t="s">
        <v>0</v>
      </c>
      <c r="C3" s="27" t="s">
        <v>14</v>
      </c>
      <c r="D3" s="28" t="s">
        <v>2</v>
      </c>
      <c r="E3" s="38" t="s">
        <v>69</v>
      </c>
      <c r="F3" s="80">
        <v>0</v>
      </c>
      <c r="G3" s="80">
        <v>0</v>
      </c>
      <c r="H3" s="80">
        <v>0</v>
      </c>
      <c r="I3" s="80">
        <v>0</v>
      </c>
      <c r="J3" s="80">
        <v>0</v>
      </c>
      <c r="K3" s="80">
        <v>0</v>
      </c>
      <c r="L3" s="80">
        <v>0</v>
      </c>
      <c r="M3" s="80">
        <v>0</v>
      </c>
      <c r="N3" s="80">
        <v>0</v>
      </c>
      <c r="O3" s="80">
        <v>0</v>
      </c>
      <c r="P3" s="80">
        <v>0</v>
      </c>
      <c r="Q3" s="80">
        <v>0</v>
      </c>
      <c r="R3" s="80">
        <v>0</v>
      </c>
      <c r="S3" s="29">
        <v>0</v>
      </c>
      <c r="T3" s="29">
        <v>0</v>
      </c>
      <c r="U3" s="29">
        <v>0</v>
      </c>
      <c r="V3" s="29">
        <v>0</v>
      </c>
      <c r="W3" s="29">
        <v>0</v>
      </c>
      <c r="X3" s="29">
        <v>0</v>
      </c>
      <c r="Y3" s="29">
        <v>0</v>
      </c>
      <c r="Z3" s="29">
        <v>0</v>
      </c>
      <c r="AA3" s="29">
        <v>0</v>
      </c>
      <c r="AB3" s="29">
        <v>0</v>
      </c>
      <c r="AC3" s="29">
        <v>0</v>
      </c>
      <c r="AD3" s="29">
        <v>0</v>
      </c>
      <c r="AE3" s="29">
        <v>0</v>
      </c>
      <c r="AF3" s="29">
        <v>0</v>
      </c>
      <c r="AG3" s="29">
        <v>0</v>
      </c>
      <c r="AH3" s="80">
        <v>0</v>
      </c>
    </row>
    <row r="4" spans="2:35" x14ac:dyDescent="0.35">
      <c r="B4" s="644"/>
      <c r="C4" s="27" t="s">
        <v>62</v>
      </c>
      <c r="D4" s="28" t="s">
        <v>2</v>
      </c>
      <c r="E4" s="38" t="s">
        <v>69</v>
      </c>
      <c r="F4" s="80" t="e">
        <f>G4-G4*'Activity Data Calculations'!#REF!</f>
        <v>#REF!</v>
      </c>
      <c r="G4" s="80" t="e">
        <f>H4-H4*'Activity Data Calculations'!#REF!</f>
        <v>#REF!</v>
      </c>
      <c r="H4" s="80" t="e">
        <f>I4-I4*'Activity Data Calculations'!#REF!</f>
        <v>#REF!</v>
      </c>
      <c r="I4" s="80" t="e">
        <f>J4-J4*'Activity Data Calculations'!#REF!</f>
        <v>#REF!</v>
      </c>
      <c r="J4" s="80" t="e">
        <f>K4-K4*'Activity Data Calculations'!#REF!</f>
        <v>#REF!</v>
      </c>
      <c r="K4" s="80" t="e">
        <f>L4-L4*'Activity Data Calculations'!#REF!</f>
        <v>#REF!</v>
      </c>
      <c r="L4" s="80" t="e">
        <f>M4-M4*'Activity Data Calculations'!#REF!</f>
        <v>#REF!</v>
      </c>
      <c r="M4" s="80" t="e">
        <f>N4-N4*'Activity Data Calculations'!#REF!</f>
        <v>#REF!</v>
      </c>
      <c r="N4" s="80">
        <f>O4-O4*'Activity Data Calculations'!F$91</f>
        <v>3.1309197001192399</v>
      </c>
      <c r="O4" s="80">
        <f>P4-P4*'Activity Data Calculations'!G$91</f>
        <v>3.1309197001192399</v>
      </c>
      <c r="P4" s="80">
        <f>Q4-Q4*'Activity Data Calculations'!H$91</f>
        <v>3.3007018413793268</v>
      </c>
      <c r="Q4" s="80">
        <f>R4-R4*'Activity Data Calculations'!I$91</f>
        <v>3.6421854205020887</v>
      </c>
      <c r="R4" s="80">
        <f>S4-S4*'Activity Data Calculations'!J$91</f>
        <v>3.9653199377631463</v>
      </c>
      <c r="S4" s="30">
        <f>'Activity Data Calculations'!I7/1000</f>
        <v>4.3920000000000003</v>
      </c>
      <c r="T4" s="30">
        <f>'Activity Data Calculations'!J7/1000</f>
        <v>4.7770000000000001</v>
      </c>
      <c r="U4" s="30">
        <f>'Activity Data Calculations'!K7/1000</f>
        <v>6.9089999999999998</v>
      </c>
      <c r="V4" s="30">
        <f>'Activity Data Calculations'!L7/1000</f>
        <v>6.5720000000000001</v>
      </c>
      <c r="W4" s="30">
        <f>'Activity Data Calculations'!M7/1000</f>
        <v>6.7395299999999994</v>
      </c>
      <c r="X4" s="30">
        <f>'Activity Data Calculations'!N7/1000</f>
        <v>7.1876199999999999</v>
      </c>
      <c r="Y4" s="30">
        <f>'Activity Data Calculations'!O7/1000</f>
        <v>6.9260751000000003</v>
      </c>
      <c r="Z4" s="30">
        <f>'Activity Data Calculations'!P7/1000</f>
        <v>6.774</v>
      </c>
      <c r="AA4" s="30">
        <f>'Activity Data Calculations'!Q7/1000</f>
        <v>6.9409999999999998</v>
      </c>
      <c r="AB4" s="30">
        <f>'Activity Data Calculations'!R7/1000</f>
        <v>6.8860000000000001</v>
      </c>
      <c r="AC4" s="30">
        <f>'Activity Data Calculations'!S7/1000</f>
        <v>7.3250000000000002</v>
      </c>
      <c r="AD4" s="30">
        <f>'Activity Data Calculations'!T7/1000</f>
        <v>7.7569999999999997</v>
      </c>
      <c r="AE4" s="30">
        <f>'Activity Data Calculations'!U7/1000</f>
        <v>8.4547000000000008</v>
      </c>
      <c r="AF4" s="30">
        <f>'Activity Data Calculations'!V7/1000</f>
        <v>8.4179968342963924</v>
      </c>
      <c r="AG4" s="30">
        <f>'Activity Data Calculations'!AG7/1000</f>
        <v>0</v>
      </c>
      <c r="AH4" s="80">
        <f>FORECAST(AH2,W4:AG4,W2:AG2)</f>
        <v>5.4822510142370788</v>
      </c>
    </row>
    <row r="5" spans="2:35" x14ac:dyDescent="0.35">
      <c r="B5" s="644"/>
      <c r="C5" s="27" t="s">
        <v>63</v>
      </c>
      <c r="D5" s="28" t="s">
        <v>2</v>
      </c>
      <c r="E5" s="38" t="s">
        <v>69</v>
      </c>
      <c r="F5" s="80" t="e">
        <f>G5-G5*'Activity Data Calculations'!#REF!</f>
        <v>#REF!</v>
      </c>
      <c r="G5" s="80" t="e">
        <f>H5-H5*'Activity Data Calculations'!#REF!</f>
        <v>#REF!</v>
      </c>
      <c r="H5" s="80" t="e">
        <f>I5-I5*'Activity Data Calculations'!#REF!</f>
        <v>#REF!</v>
      </c>
      <c r="I5" s="80" t="e">
        <f>J5-J5*'Activity Data Calculations'!#REF!</f>
        <v>#REF!</v>
      </c>
      <c r="J5" s="80" t="e">
        <f>K5-K5*'Activity Data Calculations'!#REF!</f>
        <v>#REF!</v>
      </c>
      <c r="K5" s="80" t="e">
        <f>L5-L5*'Activity Data Calculations'!#REF!</f>
        <v>#REF!</v>
      </c>
      <c r="L5" s="80" t="e">
        <f>M5-M5*'Activity Data Calculations'!#REF!</f>
        <v>#REF!</v>
      </c>
      <c r="M5" s="80" t="e">
        <f>N5-N5*'Activity Data Calculations'!#REF!</f>
        <v>#REF!</v>
      </c>
      <c r="N5" s="80">
        <f>O5-O5*'Activity Data Calculations'!F$91</f>
        <v>1.0493428503131876</v>
      </c>
      <c r="O5" s="80">
        <f>P5-P5*'Activity Data Calculations'!G$91</f>
        <v>1.0493428503131876</v>
      </c>
      <c r="P5" s="80">
        <f>Q5-Q5*'Activity Data Calculations'!H$91</f>
        <v>1.1062461544877886</v>
      </c>
      <c r="Q5" s="80">
        <f>R5-R5*'Activity Data Calculations'!I$91</f>
        <v>1.2206960243577125</v>
      </c>
      <c r="R5" s="80">
        <f>S5-S5*'Activity Data Calculations'!J$91</f>
        <v>1.3289961175745333</v>
      </c>
      <c r="S5" s="41">
        <f>'Activity Data Calculations'!I10/1000</f>
        <v>1.472</v>
      </c>
      <c r="T5" s="41">
        <f>'Activity Data Calculations'!J10/1000</f>
        <v>1.633</v>
      </c>
      <c r="U5" s="41">
        <f>'Activity Data Calculations'!K10/1000</f>
        <v>0.217</v>
      </c>
      <c r="V5" s="41">
        <f>'Activity Data Calculations'!L10/1000</f>
        <v>0.29899999999999999</v>
      </c>
      <c r="W5" s="41">
        <f>'Activity Data Calculations'!M10/1000</f>
        <v>0.10795</v>
      </c>
      <c r="X5" s="41">
        <f>'Activity Data Calculations'!N10/1000</f>
        <v>0.17962999999999998</v>
      </c>
      <c r="Y5" s="41">
        <f>'Activity Data Calculations'!O10/1000</f>
        <v>0.20318159999999999</v>
      </c>
      <c r="Z5" s="41">
        <f>'Activity Data Calculations'!P10/1000</f>
        <v>0.122</v>
      </c>
      <c r="AA5" s="41">
        <f>'Activity Data Calculations'!Q10/1000</f>
        <v>0.16900000000000001</v>
      </c>
      <c r="AB5" s="41">
        <f>'Activity Data Calculations'!R10/1000</f>
        <v>0.129</v>
      </c>
      <c r="AC5" s="41">
        <f>'Activity Data Calculations'!S10/1000</f>
        <v>7.9000000000000001E-2</v>
      </c>
      <c r="AD5" s="41">
        <f>'Activity Data Calculations'!T10/1000</f>
        <v>0.104</v>
      </c>
      <c r="AE5" s="41">
        <f>'Activity Data Calculations'!U10/1000</f>
        <v>0.10463</v>
      </c>
      <c r="AF5" s="41">
        <f>'Activity Data Calculations'!V10/1000</f>
        <v>0.10133846439482166</v>
      </c>
      <c r="AG5" s="41">
        <f>'Activity Data Calculations'!AG10/1000</f>
        <v>0</v>
      </c>
      <c r="AH5" s="80">
        <f>FORECAST(AH2,X5:AG5,X2:AG2)</f>
        <v>3.046394146493725E-2</v>
      </c>
      <c r="AI5" s="50"/>
    </row>
    <row r="6" spans="2:35" x14ac:dyDescent="0.35">
      <c r="B6" s="644"/>
      <c r="C6" s="27" t="s">
        <v>15</v>
      </c>
      <c r="D6" s="28" t="s">
        <v>2</v>
      </c>
      <c r="E6" s="38" t="s">
        <v>69</v>
      </c>
      <c r="F6" s="80">
        <v>0</v>
      </c>
      <c r="G6" s="80">
        <v>0</v>
      </c>
      <c r="H6" s="80">
        <v>0</v>
      </c>
      <c r="I6" s="80">
        <v>0</v>
      </c>
      <c r="J6" s="80">
        <v>0</v>
      </c>
      <c r="K6" s="80">
        <v>0</v>
      </c>
      <c r="L6" s="80">
        <v>0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80">
        <v>0</v>
      </c>
      <c r="S6" s="29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  <c r="AF6" s="30">
        <v>0</v>
      </c>
      <c r="AG6" s="30">
        <v>0</v>
      </c>
      <c r="AH6" s="79">
        <v>0</v>
      </c>
    </row>
    <row r="7" spans="2:35" x14ac:dyDescent="0.35">
      <c r="B7" s="644"/>
      <c r="C7" s="27" t="s">
        <v>16</v>
      </c>
      <c r="D7" s="28" t="s">
        <v>2</v>
      </c>
      <c r="E7" s="38" t="s">
        <v>69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29">
        <v>0</v>
      </c>
      <c r="T7" s="29">
        <v>0</v>
      </c>
      <c r="U7" s="29">
        <v>0</v>
      </c>
      <c r="V7" s="29">
        <v>0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29">
        <v>0</v>
      </c>
      <c r="AC7" s="29">
        <v>0</v>
      </c>
      <c r="AD7" s="29">
        <v>0</v>
      </c>
      <c r="AE7" s="29">
        <v>0</v>
      </c>
      <c r="AF7" s="29">
        <v>0</v>
      </c>
      <c r="AG7" s="29">
        <v>0</v>
      </c>
      <c r="AH7" s="79">
        <v>0</v>
      </c>
    </row>
    <row r="8" spans="2:35" x14ac:dyDescent="0.35">
      <c r="B8" s="644" t="s">
        <v>124</v>
      </c>
      <c r="C8" s="27" t="s">
        <v>17</v>
      </c>
      <c r="D8" s="28"/>
      <c r="E8" s="38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3"/>
      <c r="AE8" s="43"/>
      <c r="AF8" s="43"/>
      <c r="AG8" s="40"/>
      <c r="AH8" s="40"/>
    </row>
    <row r="9" spans="2:35" x14ac:dyDescent="0.35">
      <c r="B9" s="644"/>
      <c r="C9" s="27" t="s">
        <v>18</v>
      </c>
      <c r="D9" s="28"/>
      <c r="E9" s="38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3"/>
      <c r="AE9" s="43"/>
      <c r="AF9" s="43"/>
      <c r="AG9" s="40"/>
      <c r="AH9" s="40"/>
    </row>
    <row r="10" spans="2:35" x14ac:dyDescent="0.35">
      <c r="B10" s="644"/>
      <c r="C10" s="27" t="s">
        <v>125</v>
      </c>
      <c r="D10" s="58"/>
      <c r="E10" s="38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3"/>
      <c r="AE10" s="43"/>
      <c r="AF10" s="43"/>
      <c r="AG10" s="40"/>
      <c r="AH10" s="40"/>
    </row>
    <row r="11" spans="2:35" x14ac:dyDescent="0.35">
      <c r="B11" s="644"/>
      <c r="C11" s="27" t="s">
        <v>15</v>
      </c>
      <c r="D11" s="58"/>
      <c r="E11" s="38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3"/>
      <c r="AE11" s="43"/>
      <c r="AF11" s="43"/>
      <c r="AG11" s="40"/>
      <c r="AH11" s="40"/>
    </row>
    <row r="12" spans="2:35" x14ac:dyDescent="0.35">
      <c r="B12" s="644"/>
      <c r="C12" s="27" t="s">
        <v>126</v>
      </c>
      <c r="D12" s="28"/>
      <c r="E12" s="38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3"/>
      <c r="AE12" s="43"/>
      <c r="AF12" s="43"/>
      <c r="AG12" s="40"/>
      <c r="AH12" s="40"/>
    </row>
    <row r="13" spans="2:35" x14ac:dyDescent="0.35">
      <c r="B13" s="644"/>
      <c r="C13" s="27" t="s">
        <v>16</v>
      </c>
      <c r="D13" s="28"/>
      <c r="E13" s="38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3"/>
      <c r="AE13" s="43"/>
      <c r="AF13" s="43"/>
      <c r="AG13" s="40"/>
      <c r="AH13" s="40"/>
    </row>
    <row r="14" spans="2:35" x14ac:dyDescent="0.35">
      <c r="B14" s="27" t="s">
        <v>3</v>
      </c>
      <c r="C14" s="27" t="s">
        <v>22</v>
      </c>
      <c r="D14" s="28"/>
      <c r="E14" s="38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3"/>
      <c r="AE14" s="43"/>
      <c r="AF14" s="43"/>
      <c r="AG14" s="40"/>
      <c r="AH14" s="40"/>
    </row>
    <row r="15" spans="2:35" x14ac:dyDescent="0.35">
      <c r="B15" s="644" t="s">
        <v>4</v>
      </c>
      <c r="C15" s="27" t="s">
        <v>136</v>
      </c>
      <c r="D15" s="28"/>
      <c r="E15" s="28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39"/>
      <c r="AE15" s="39"/>
      <c r="AF15" s="39"/>
      <c r="AG15" s="44"/>
      <c r="AH15" s="44"/>
      <c r="AI15" s="50"/>
    </row>
    <row r="16" spans="2:35" x14ac:dyDescent="0.35">
      <c r="B16" s="644"/>
      <c r="C16" s="27" t="s">
        <v>41</v>
      </c>
      <c r="D16" s="28"/>
      <c r="E16" s="28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39"/>
      <c r="AE16" s="39"/>
      <c r="AF16" s="39"/>
      <c r="AG16" s="44"/>
      <c r="AH16" s="44"/>
      <c r="AI16" s="50"/>
    </row>
    <row r="17" spans="2:35" x14ac:dyDescent="0.35">
      <c r="B17" s="644"/>
      <c r="C17" s="27" t="s">
        <v>125</v>
      </c>
      <c r="D17" s="28"/>
      <c r="E17" s="28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39"/>
      <c r="AE17" s="39"/>
      <c r="AF17" s="39"/>
      <c r="AG17" s="44"/>
      <c r="AH17" s="44"/>
      <c r="AI17" s="50"/>
    </row>
    <row r="18" spans="2:35" x14ac:dyDescent="0.35">
      <c r="B18" s="646" t="s">
        <v>6</v>
      </c>
      <c r="C18" s="27" t="s">
        <v>62</v>
      </c>
      <c r="D18" s="60"/>
      <c r="E18" s="38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50"/>
    </row>
    <row r="19" spans="2:35" ht="15" customHeight="1" x14ac:dyDescent="0.35">
      <c r="B19" s="647"/>
      <c r="C19" s="36" t="s">
        <v>136</v>
      </c>
      <c r="D19" s="28"/>
      <c r="E19" s="38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3"/>
      <c r="AE19" s="43"/>
      <c r="AF19" s="43"/>
      <c r="AG19" s="40"/>
      <c r="AH19" s="40"/>
    </row>
    <row r="20" spans="2:35" x14ac:dyDescent="0.35">
      <c r="B20" s="648"/>
      <c r="C20" s="36" t="s">
        <v>41</v>
      </c>
      <c r="D20" s="28"/>
      <c r="E20" s="38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3"/>
      <c r="AE20" s="43"/>
      <c r="AF20" s="43"/>
      <c r="AG20" s="40"/>
      <c r="AH20" s="40"/>
    </row>
    <row r="21" spans="2:35" x14ac:dyDescent="0.35">
      <c r="B21" s="645" t="s">
        <v>42</v>
      </c>
      <c r="C21" s="36" t="s">
        <v>43</v>
      </c>
      <c r="D21" s="28"/>
      <c r="E21" s="38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3"/>
      <c r="AE21" s="43"/>
      <c r="AF21" s="43"/>
      <c r="AG21" s="40"/>
      <c r="AH21" s="40"/>
    </row>
    <row r="22" spans="2:35" x14ac:dyDescent="0.35">
      <c r="B22" s="645"/>
      <c r="C22" s="36" t="s">
        <v>44</v>
      </c>
      <c r="D22" s="28"/>
      <c r="E22" s="38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3"/>
      <c r="AE22" s="43"/>
      <c r="AF22" s="43"/>
      <c r="AG22" s="40"/>
      <c r="AH22" s="40"/>
    </row>
    <row r="23" spans="2:35" x14ac:dyDescent="0.35">
      <c r="B23" s="644" t="s">
        <v>45</v>
      </c>
      <c r="C23" s="36" t="s">
        <v>14</v>
      </c>
      <c r="D23" s="28"/>
      <c r="E23" s="38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3"/>
      <c r="AE23" s="43"/>
      <c r="AF23" s="43"/>
      <c r="AG23" s="40"/>
      <c r="AH23" s="40"/>
    </row>
    <row r="24" spans="2:35" x14ac:dyDescent="0.35">
      <c r="B24" s="644"/>
      <c r="C24" s="36" t="s">
        <v>43</v>
      </c>
      <c r="D24" s="28"/>
      <c r="E24" s="38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3"/>
      <c r="AE24" s="43"/>
      <c r="AF24" s="43"/>
      <c r="AG24" s="40"/>
      <c r="AH24" s="40"/>
    </row>
    <row r="25" spans="2:35" x14ac:dyDescent="0.35">
      <c r="B25" s="644"/>
      <c r="C25" s="36" t="s">
        <v>46</v>
      </c>
      <c r="D25" s="28"/>
      <c r="E25" s="38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3"/>
      <c r="AE25" s="43"/>
      <c r="AF25" s="43"/>
      <c r="AG25" s="40"/>
      <c r="AH25" s="40"/>
    </row>
    <row r="26" spans="2:35" x14ac:dyDescent="0.35">
      <c r="B26" s="644"/>
      <c r="C26" s="36" t="s">
        <v>44</v>
      </c>
      <c r="D26" s="28"/>
      <c r="E26" s="38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3"/>
      <c r="AE26" s="43"/>
      <c r="AF26" s="43"/>
      <c r="AG26" s="40"/>
      <c r="AH26" s="40"/>
    </row>
    <row r="27" spans="2:35" x14ac:dyDescent="0.35">
      <c r="B27" s="37" t="s">
        <v>47</v>
      </c>
      <c r="C27" s="36" t="s">
        <v>41</v>
      </c>
      <c r="D27" s="28"/>
      <c r="E27" s="38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5"/>
      <c r="AE27" s="45"/>
      <c r="AF27" s="45"/>
      <c r="AG27" s="46"/>
      <c r="AH27" s="40"/>
    </row>
    <row r="28" spans="2:35" ht="29" x14ac:dyDescent="0.35">
      <c r="B28" s="37" t="s">
        <v>7</v>
      </c>
      <c r="C28" s="36" t="s">
        <v>48</v>
      </c>
      <c r="D28" s="28"/>
      <c r="E28" s="47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3"/>
      <c r="AE28" s="43"/>
      <c r="AF28" s="43"/>
      <c r="AG28" s="40"/>
      <c r="AH28" s="40"/>
    </row>
    <row r="29" spans="2:35" ht="29" x14ac:dyDescent="0.35">
      <c r="B29" s="37" t="s">
        <v>8</v>
      </c>
      <c r="C29" s="36" t="s">
        <v>103</v>
      </c>
      <c r="D29" s="28"/>
      <c r="E29" s="47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3"/>
      <c r="AE29" s="43"/>
      <c r="AF29" s="43"/>
      <c r="AG29" s="40"/>
      <c r="AH29" s="40"/>
    </row>
    <row r="30" spans="2:35" x14ac:dyDescent="0.35">
      <c r="B30" s="644" t="s">
        <v>9</v>
      </c>
      <c r="C30" s="27" t="s">
        <v>49</v>
      </c>
      <c r="D30" s="28"/>
      <c r="E30" s="47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3"/>
      <c r="AE30" s="43"/>
      <c r="AF30" s="43"/>
      <c r="AG30" s="40"/>
      <c r="AH30" s="40"/>
    </row>
    <row r="31" spans="2:35" x14ac:dyDescent="0.35">
      <c r="B31" s="644"/>
      <c r="C31" s="27" t="s">
        <v>50</v>
      </c>
      <c r="D31" s="28"/>
      <c r="E31" s="47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0"/>
      <c r="V31" s="40"/>
      <c r="W31" s="40"/>
      <c r="X31" s="40"/>
      <c r="Y31" s="40"/>
      <c r="Z31" s="40"/>
      <c r="AA31" s="40"/>
      <c r="AB31" s="40"/>
      <c r="AC31" s="40"/>
      <c r="AD31" s="43"/>
      <c r="AE31" s="43"/>
      <c r="AF31" s="43"/>
      <c r="AG31" s="40"/>
      <c r="AH31" s="40"/>
    </row>
    <row r="32" spans="2:35" x14ac:dyDescent="0.35">
      <c r="B32" s="644"/>
      <c r="C32" s="27" t="s">
        <v>51</v>
      </c>
      <c r="D32" s="28"/>
      <c r="E32" s="47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0"/>
      <c r="V32" s="40"/>
      <c r="W32" s="40"/>
      <c r="X32" s="40"/>
      <c r="Y32" s="40"/>
      <c r="Z32" s="40"/>
      <c r="AA32" s="40"/>
      <c r="AB32" s="40"/>
      <c r="AC32" s="40"/>
      <c r="AD32" s="43"/>
      <c r="AE32" s="43"/>
      <c r="AF32" s="43"/>
      <c r="AG32" s="40"/>
      <c r="AH32" s="40"/>
    </row>
    <row r="33" spans="2:34" x14ac:dyDescent="0.35">
      <c r="B33" s="644"/>
      <c r="C33" s="27" t="s">
        <v>52</v>
      </c>
      <c r="D33" s="28"/>
      <c r="E33" s="47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3"/>
      <c r="AE33" s="43"/>
      <c r="AF33" s="43"/>
      <c r="AG33" s="40"/>
      <c r="AH33" s="40"/>
    </row>
    <row r="34" spans="2:34" x14ac:dyDescent="0.35">
      <c r="B34" s="644"/>
      <c r="C34" s="27" t="s">
        <v>53</v>
      </c>
      <c r="D34" s="28"/>
      <c r="E34" s="47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3"/>
      <c r="AE34" s="43"/>
      <c r="AF34" s="43"/>
      <c r="AG34" s="40"/>
      <c r="AH34" s="40"/>
    </row>
    <row r="35" spans="2:34" x14ac:dyDescent="0.35">
      <c r="B35" s="644"/>
      <c r="C35" s="27" t="s">
        <v>54</v>
      </c>
      <c r="D35" s="28"/>
      <c r="E35" s="47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0"/>
      <c r="W35" s="40"/>
      <c r="X35" s="40"/>
      <c r="Y35" s="40"/>
      <c r="Z35" s="40"/>
      <c r="AA35" s="40"/>
      <c r="AB35" s="40"/>
      <c r="AC35" s="40"/>
      <c r="AD35" s="43"/>
      <c r="AE35" s="43"/>
      <c r="AF35" s="43"/>
      <c r="AG35" s="40"/>
      <c r="AH35" s="40"/>
    </row>
    <row r="36" spans="2:34" x14ac:dyDescent="0.35">
      <c r="B36" s="644"/>
      <c r="C36" s="27" t="s">
        <v>55</v>
      </c>
      <c r="D36" s="28"/>
      <c r="E36" s="47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0"/>
      <c r="W36" s="40"/>
      <c r="X36" s="40"/>
      <c r="Y36" s="40"/>
      <c r="Z36" s="40"/>
      <c r="AA36" s="40"/>
      <c r="AB36" s="40"/>
      <c r="AC36" s="40"/>
      <c r="AD36" s="43"/>
      <c r="AE36" s="43"/>
      <c r="AF36" s="43"/>
      <c r="AG36" s="40"/>
      <c r="AH36" s="40"/>
    </row>
    <row r="37" spans="2:34" x14ac:dyDescent="0.35">
      <c r="B37" s="644"/>
      <c r="C37" s="27" t="s">
        <v>56</v>
      </c>
      <c r="D37" s="28"/>
      <c r="E37" s="47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3"/>
      <c r="AE37" s="43"/>
      <c r="AF37" s="43"/>
      <c r="AG37" s="40"/>
      <c r="AH37" s="40"/>
    </row>
    <row r="38" spans="2:34" x14ac:dyDescent="0.35">
      <c r="B38" s="644" t="s">
        <v>10</v>
      </c>
      <c r="C38" s="27" t="s">
        <v>49</v>
      </c>
      <c r="D38" s="28"/>
      <c r="E38" s="47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3"/>
      <c r="AE38" s="43"/>
      <c r="AF38" s="43"/>
      <c r="AG38" s="40"/>
      <c r="AH38" s="40"/>
    </row>
    <row r="39" spans="2:34" x14ac:dyDescent="0.35">
      <c r="B39" s="644"/>
      <c r="C39" s="27" t="s">
        <v>50</v>
      </c>
      <c r="D39" s="28"/>
      <c r="E39" s="47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3"/>
      <c r="AE39" s="43"/>
      <c r="AF39" s="43"/>
      <c r="AG39" s="40"/>
      <c r="AH39" s="40"/>
    </row>
    <row r="40" spans="2:34" x14ac:dyDescent="0.35">
      <c r="B40" s="644"/>
      <c r="C40" s="27" t="s">
        <v>51</v>
      </c>
      <c r="D40" s="28"/>
      <c r="E40" s="47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3"/>
      <c r="AE40" s="43"/>
      <c r="AF40" s="43"/>
      <c r="AG40" s="40"/>
      <c r="AH40" s="40"/>
    </row>
    <row r="41" spans="2:34" x14ac:dyDescent="0.35">
      <c r="B41" s="644"/>
      <c r="C41" s="27" t="s">
        <v>52</v>
      </c>
      <c r="D41" s="28"/>
      <c r="E41" s="47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3"/>
      <c r="AE41" s="43"/>
      <c r="AF41" s="43"/>
      <c r="AG41" s="40"/>
      <c r="AH41" s="40"/>
    </row>
    <row r="42" spans="2:34" x14ac:dyDescent="0.35">
      <c r="B42" s="644"/>
      <c r="C42" s="27" t="s">
        <v>53</v>
      </c>
      <c r="D42" s="28"/>
      <c r="E42" s="47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3"/>
      <c r="AE42" s="43"/>
      <c r="AF42" s="43"/>
      <c r="AG42" s="40"/>
      <c r="AH42" s="40"/>
    </row>
    <row r="43" spans="2:34" x14ac:dyDescent="0.35">
      <c r="B43" s="644"/>
      <c r="C43" s="27" t="s">
        <v>54</v>
      </c>
      <c r="D43" s="28"/>
      <c r="E43" s="47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3"/>
      <c r="AE43" s="43"/>
      <c r="AF43" s="43"/>
      <c r="AG43" s="40"/>
      <c r="AH43" s="40"/>
    </row>
    <row r="44" spans="2:34" x14ac:dyDescent="0.35">
      <c r="B44" s="644"/>
      <c r="C44" s="27" t="s">
        <v>55</v>
      </c>
      <c r="D44" s="28"/>
      <c r="E44" s="47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3"/>
      <c r="AE44" s="43"/>
      <c r="AF44" s="43"/>
      <c r="AG44" s="40"/>
      <c r="AH44" s="40"/>
    </row>
    <row r="45" spans="2:34" x14ac:dyDescent="0.35">
      <c r="B45" s="644"/>
      <c r="C45" s="27" t="s">
        <v>56</v>
      </c>
      <c r="D45" s="28"/>
      <c r="E45" s="47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3"/>
      <c r="AE45" s="43"/>
      <c r="AF45" s="43"/>
      <c r="AG45" s="40"/>
      <c r="AH45" s="40"/>
    </row>
  </sheetData>
  <mergeCells count="8">
    <mergeCell ref="B23:B26"/>
    <mergeCell ref="B30:B37"/>
    <mergeCell ref="B38:B45"/>
    <mergeCell ref="B15:B17"/>
    <mergeCell ref="B3:B7"/>
    <mergeCell ref="B8:B13"/>
    <mergeCell ref="B21:B22"/>
    <mergeCell ref="B18:B20"/>
  </mergeCells>
  <pageMargins left="0.7" right="0.7" top="0.75" bottom="0.75" header="0.3" footer="0.3"/>
  <pageSetup paperSize="8" scale="4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4A6A0-2F50-4D77-80F3-6C805B3386AC}">
  <sheetPr>
    <tabColor theme="4" tint="-0.249977111117893"/>
  </sheetPr>
  <dimension ref="B1:AD61"/>
  <sheetViews>
    <sheetView showGridLines="0" zoomScale="55" zoomScaleNormal="55" workbookViewId="0">
      <pane xSplit="3" ySplit="3" topLeftCell="P4" activePane="bottomRight" state="frozen"/>
      <selection activeCell="H265" sqref="H265"/>
      <selection pane="topRight" activeCell="H265" sqref="H265"/>
      <selection pane="bottomLeft" activeCell="H265" sqref="H265"/>
      <selection pane="bottomRight" activeCell="H265" sqref="H265"/>
    </sheetView>
  </sheetViews>
  <sheetFormatPr baseColWidth="10" defaultColWidth="11.453125" defaultRowHeight="14.5" x14ac:dyDescent="0.35"/>
  <cols>
    <col min="1" max="1" width="3.7265625" style="110" customWidth="1"/>
    <col min="2" max="2" width="50.26953125" style="110" bestFit="1" customWidth="1"/>
    <col min="3" max="3" width="49.54296875" style="110" customWidth="1"/>
    <col min="4" max="4" width="22.7265625" style="110" customWidth="1"/>
    <col min="5" max="5" width="14.1796875" style="110" customWidth="1"/>
    <col min="6" max="6" width="14.7265625" style="110" customWidth="1"/>
    <col min="7" max="8" width="14.453125" style="110" customWidth="1"/>
    <col min="9" max="9" width="13.81640625" style="110" customWidth="1"/>
    <col min="10" max="10" width="15.7265625" style="110" customWidth="1"/>
    <col min="11" max="11" width="14.7265625" style="110" customWidth="1"/>
    <col min="12" max="12" width="14.1796875" style="110" customWidth="1"/>
    <col min="13" max="13" width="13.81640625" style="110" customWidth="1"/>
    <col min="14" max="14" width="14.1796875" style="110" bestFit="1" customWidth="1"/>
    <col min="15" max="16" width="13.7265625" style="110" bestFit="1" customWidth="1"/>
    <col min="17" max="17" width="13" style="110" bestFit="1" customWidth="1"/>
    <col min="18" max="20" width="13.81640625" style="110" bestFit="1" customWidth="1"/>
    <col min="21" max="21" width="13.453125" style="110" bestFit="1" customWidth="1"/>
    <col min="22" max="22" width="13.81640625" style="110" bestFit="1" customWidth="1"/>
    <col min="23" max="23" width="13.453125" style="110" bestFit="1" customWidth="1"/>
    <col min="24" max="25" width="14.453125" style="110" bestFit="1" customWidth="1"/>
    <col min="26" max="27" width="13.81640625" style="110" bestFit="1" customWidth="1"/>
    <col min="28" max="28" width="13.81640625" style="3" bestFit="1" customWidth="1"/>
    <col min="29" max="30" width="13.453125" style="3" bestFit="1" customWidth="1"/>
    <col min="31" max="16384" width="11.453125" style="110"/>
  </cols>
  <sheetData>
    <row r="1" spans="2:30" ht="15" thickBot="1" x14ac:dyDescent="0.4"/>
    <row r="2" spans="2:30" ht="15" thickBot="1" x14ac:dyDescent="0.4">
      <c r="D2" s="652" t="s">
        <v>123</v>
      </c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Y2" s="653"/>
      <c r="Z2" s="653"/>
      <c r="AA2" s="653"/>
      <c r="AB2" s="653"/>
      <c r="AC2" s="653"/>
      <c r="AD2" s="654"/>
    </row>
    <row r="3" spans="2:30" s="52" customFormat="1" ht="15" thickBot="1" x14ac:dyDescent="0.4">
      <c r="B3" s="94" t="s">
        <v>11</v>
      </c>
      <c r="C3" s="107" t="s">
        <v>12</v>
      </c>
      <c r="D3" s="95">
        <v>1990</v>
      </c>
      <c r="E3" s="95">
        <v>1991</v>
      </c>
      <c r="F3" s="95">
        <v>1992</v>
      </c>
      <c r="G3" s="95">
        <v>1993</v>
      </c>
      <c r="H3" s="95">
        <v>1994</v>
      </c>
      <c r="I3" s="95">
        <v>1995</v>
      </c>
      <c r="J3" s="95">
        <v>1996</v>
      </c>
      <c r="K3" s="95">
        <v>1997</v>
      </c>
      <c r="L3" s="95">
        <v>1998</v>
      </c>
      <c r="M3" s="95">
        <v>1999</v>
      </c>
      <c r="N3" s="95">
        <v>2000</v>
      </c>
      <c r="O3" s="95">
        <v>2001</v>
      </c>
      <c r="P3" s="95">
        <v>2002</v>
      </c>
      <c r="Q3" s="95">
        <v>2003</v>
      </c>
      <c r="R3" s="95">
        <v>2004</v>
      </c>
      <c r="S3" s="95">
        <v>2005</v>
      </c>
      <c r="T3" s="95">
        <v>2006</v>
      </c>
      <c r="U3" s="95">
        <v>2007</v>
      </c>
      <c r="V3" s="95">
        <v>2008</v>
      </c>
      <c r="W3" s="95">
        <v>2009</v>
      </c>
      <c r="X3" s="95">
        <v>2010</v>
      </c>
      <c r="Y3" s="95">
        <v>2011</v>
      </c>
      <c r="Z3" s="95">
        <v>2012</v>
      </c>
      <c r="AA3" s="95">
        <v>2013</v>
      </c>
      <c r="AB3" s="95">
        <v>2014</v>
      </c>
      <c r="AC3" s="95">
        <v>2015</v>
      </c>
      <c r="AD3" s="96">
        <v>2016</v>
      </c>
    </row>
    <row r="4" spans="2:30" s="52" customFormat="1" ht="15" thickBot="1" x14ac:dyDescent="0.4">
      <c r="B4" s="649" t="s">
        <v>9</v>
      </c>
      <c r="C4" s="650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6"/>
    </row>
    <row r="5" spans="2:30" x14ac:dyDescent="0.35">
      <c r="B5" s="640" t="s">
        <v>326</v>
      </c>
      <c r="C5" s="251" t="s">
        <v>49</v>
      </c>
      <c r="D5" s="246">
        <f>ROUND('Activity Data Calculations'!F51,2)</f>
        <v>0</v>
      </c>
      <c r="E5" s="235">
        <f>ROUND('Activity Data Calculations'!G51,2)</f>
        <v>0</v>
      </c>
      <c r="F5" s="235">
        <f>ROUND('Activity Data Calculations'!H51,2)</f>
        <v>0</v>
      </c>
      <c r="G5" s="235">
        <f>ROUND('Activity Data Calculations'!I51,2)</f>
        <v>0</v>
      </c>
      <c r="H5" s="235">
        <f>ROUND('Activity Data Calculations'!J51,2)</f>
        <v>0</v>
      </c>
      <c r="I5" s="235">
        <f>ROUND('Activity Data Calculations'!K51,2)</f>
        <v>0</v>
      </c>
      <c r="J5" s="235">
        <f>ROUND('Activity Data Calculations'!L51,2)</f>
        <v>0</v>
      </c>
      <c r="K5" s="235">
        <f>ROUND('Activity Data Calculations'!M51,2)</f>
        <v>0</v>
      </c>
      <c r="L5" s="235">
        <f>ROUND('Activity Data Calculations'!N51,2)</f>
        <v>0</v>
      </c>
      <c r="M5" s="235">
        <f>ROUND('Activity Data Calculations'!O51,2)</f>
        <v>0</v>
      </c>
      <c r="N5" s="235">
        <f>ROUND('Activity Data Calculations'!P51,2)</f>
        <v>0</v>
      </c>
      <c r="O5" s="235">
        <f>ROUND('Activity Data Calculations'!Q51,2)</f>
        <v>0</v>
      </c>
      <c r="P5" s="235">
        <f>ROUND('Activity Data Calculations'!R51,2)</f>
        <v>0</v>
      </c>
      <c r="Q5" s="235">
        <f>ROUND('Activity Data Calculations'!S51,2)</f>
        <v>0</v>
      </c>
      <c r="R5" s="235">
        <f>ROUND('Activity Data Calculations'!T51,2)</f>
        <v>0</v>
      </c>
      <c r="S5" s="235">
        <f>ROUND('Activity Data Calculations'!U51,2)</f>
        <v>0</v>
      </c>
      <c r="T5" s="235">
        <f>ROUND('Activity Data Calculations'!V51,2)</f>
        <v>0</v>
      </c>
      <c r="U5" s="235">
        <f>ROUND('Activity Data Calculations'!W51,2)</f>
        <v>0.21</v>
      </c>
      <c r="V5" s="235">
        <f>ROUND('Activity Data Calculations'!X51,2)</f>
        <v>0</v>
      </c>
      <c r="W5" s="235">
        <f>ROUND('Activity Data Calculations'!Y51,2)</f>
        <v>0</v>
      </c>
      <c r="X5" s="235">
        <f>ROUND('Activity Data Calculations'!Z51,2)</f>
        <v>0</v>
      </c>
      <c r="Y5" s="235">
        <f>ROUND('Activity Data Calculations'!AA51,2)</f>
        <v>0</v>
      </c>
      <c r="Z5" s="235">
        <f>ROUND('Activity Data Calculations'!AB51,2)</f>
        <v>0.05</v>
      </c>
      <c r="AA5" s="235">
        <f>ROUND('Activity Data Calculations'!AC51,2)</f>
        <v>0.26</v>
      </c>
      <c r="AB5" s="235">
        <f>ROUND('Activity Data Calculations'!AD51,2)</f>
        <v>0.26</v>
      </c>
      <c r="AC5" s="235">
        <f>ROUND('Activity Data Calculations'!AE51,2)</f>
        <v>0</v>
      </c>
      <c r="AD5" s="236">
        <f>ROUND('Activity Data Calculations'!AF51,2)</f>
        <v>0.09</v>
      </c>
    </row>
    <row r="6" spans="2:30" x14ac:dyDescent="0.35">
      <c r="B6" s="641"/>
      <c r="C6" s="98" t="s">
        <v>50</v>
      </c>
      <c r="D6" s="247">
        <f>ROUND('Activity Data Calculations'!F52,2)</f>
        <v>0.99</v>
      </c>
      <c r="E6" s="196">
        <f>ROUND('Activity Data Calculations'!G52,2)</f>
        <v>0.93</v>
      </c>
      <c r="F6" s="196">
        <f>ROUND('Activity Data Calculations'!H52,2)</f>
        <v>0.92</v>
      </c>
      <c r="G6" s="196">
        <f>ROUND('Activity Data Calculations'!I52,2)</f>
        <v>0.94</v>
      </c>
      <c r="H6" s="196">
        <f>ROUND('Activity Data Calculations'!J52,2)</f>
        <v>0.92</v>
      </c>
      <c r="I6" s="196">
        <f>ROUND('Activity Data Calculations'!K52,2)</f>
        <v>0.95</v>
      </c>
      <c r="J6" s="196">
        <f>ROUND('Activity Data Calculations'!L52,2)</f>
        <v>0.99</v>
      </c>
      <c r="K6" s="196">
        <f>ROUND('Activity Data Calculations'!M52,2)</f>
        <v>1.02</v>
      </c>
      <c r="L6" s="196">
        <f>ROUND('Activity Data Calculations'!N52,2)</f>
        <v>1.06</v>
      </c>
      <c r="M6" s="196">
        <f>ROUND('Activity Data Calculations'!O52,2)</f>
        <v>1.08</v>
      </c>
      <c r="N6" s="196">
        <f>ROUND('Activity Data Calculations'!P52,2)</f>
        <v>1.18</v>
      </c>
      <c r="O6" s="196">
        <f>ROUND('Activity Data Calculations'!Q52,2)</f>
        <v>1.21</v>
      </c>
      <c r="P6" s="196">
        <f>ROUND('Activity Data Calculations'!R52,2)</f>
        <v>1.22</v>
      </c>
      <c r="Q6" s="196">
        <f>ROUND('Activity Data Calculations'!S52,2)</f>
        <v>1.27</v>
      </c>
      <c r="R6" s="196">
        <f>ROUND('Activity Data Calculations'!T52,2)</f>
        <v>1.32</v>
      </c>
      <c r="S6" s="196">
        <f>ROUND('Activity Data Calculations'!U52,2)</f>
        <v>1.38</v>
      </c>
      <c r="T6" s="196">
        <f>ROUND('Activity Data Calculations'!V52,2)</f>
        <v>1.3</v>
      </c>
      <c r="U6" s="196">
        <f>ROUND('Activity Data Calculations'!W52,2)</f>
        <v>3.01</v>
      </c>
      <c r="V6" s="196">
        <f>ROUND('Activity Data Calculations'!X52,2)</f>
        <v>5.57</v>
      </c>
      <c r="W6" s="196">
        <f>ROUND('Activity Data Calculations'!Y52,2)</f>
        <v>15.16</v>
      </c>
      <c r="X6" s="196">
        <f>ROUND('Activity Data Calculations'!Z52,2)</f>
        <v>6.98</v>
      </c>
      <c r="Y6" s="196">
        <f>ROUND('Activity Data Calculations'!AA52,2)</f>
        <v>12.85</v>
      </c>
      <c r="Z6" s="196">
        <f>ROUND('Activity Data Calculations'!AB52,2)</f>
        <v>16.73</v>
      </c>
      <c r="AA6" s="196">
        <f>ROUND('Activity Data Calculations'!AC52,2)</f>
        <v>12.01</v>
      </c>
      <c r="AB6" s="196">
        <f>ROUND('Activity Data Calculations'!AD52,2)</f>
        <v>17.46</v>
      </c>
      <c r="AC6" s="196">
        <f>ROUND('Activity Data Calculations'!AE52,2)</f>
        <v>22.38</v>
      </c>
      <c r="AD6" s="237">
        <f>ROUND('Activity Data Calculations'!AF52,2)</f>
        <v>2.4</v>
      </c>
    </row>
    <row r="7" spans="2:30" x14ac:dyDescent="0.35">
      <c r="B7" s="641"/>
      <c r="C7" s="98" t="s">
        <v>51</v>
      </c>
      <c r="D7" s="247">
        <f>ROUND('Activity Data Calculations'!F53,2)</f>
        <v>5.64</v>
      </c>
      <c r="E7" s="196">
        <f>ROUND('Activity Data Calculations'!G53,2)</f>
        <v>5.31</v>
      </c>
      <c r="F7" s="196">
        <f>ROUND('Activity Data Calculations'!H53,2)</f>
        <v>5.25</v>
      </c>
      <c r="G7" s="196">
        <f>ROUND('Activity Data Calculations'!I53,2)</f>
        <v>5.34</v>
      </c>
      <c r="H7" s="196">
        <f>ROUND('Activity Data Calculations'!J53,2)</f>
        <v>5.26</v>
      </c>
      <c r="I7" s="196">
        <f>ROUND('Activity Data Calculations'!K53,2)</f>
        <v>5.44</v>
      </c>
      <c r="J7" s="196">
        <f>ROUND('Activity Data Calculations'!L53,2)</f>
        <v>5.64</v>
      </c>
      <c r="K7" s="196">
        <f>ROUND('Activity Data Calculations'!M53,2)</f>
        <v>5.83</v>
      </c>
      <c r="L7" s="196">
        <f>ROUND('Activity Data Calculations'!N53,2)</f>
        <v>6.03</v>
      </c>
      <c r="M7" s="196">
        <f>ROUND('Activity Data Calculations'!O53,2)</f>
        <v>6.18</v>
      </c>
      <c r="N7" s="196">
        <f>ROUND('Activity Data Calculations'!P53,2)</f>
        <v>6.7</v>
      </c>
      <c r="O7" s="196">
        <f>ROUND('Activity Data Calculations'!Q53,2)</f>
        <v>6.89</v>
      </c>
      <c r="P7" s="196">
        <f>ROUND('Activity Data Calculations'!R53,2)</f>
        <v>6.95</v>
      </c>
      <c r="Q7" s="196">
        <f>ROUND('Activity Data Calculations'!S53,2)</f>
        <v>7.25</v>
      </c>
      <c r="R7" s="196">
        <f>ROUND('Activity Data Calculations'!T53,2)</f>
        <v>7.53</v>
      </c>
      <c r="S7" s="196">
        <f>ROUND('Activity Data Calculations'!U53,2)</f>
        <v>7.84</v>
      </c>
      <c r="T7" s="196">
        <f>ROUND('Activity Data Calculations'!V53,2)</f>
        <v>7.42</v>
      </c>
      <c r="U7" s="196">
        <f>ROUND('Activity Data Calculations'!W53,2)</f>
        <v>14.85</v>
      </c>
      <c r="V7" s="196">
        <f>ROUND('Activity Data Calculations'!X53,2)</f>
        <v>14.97</v>
      </c>
      <c r="W7" s="196">
        <f>ROUND('Activity Data Calculations'!Y53,2)</f>
        <v>27.27</v>
      </c>
      <c r="X7" s="196">
        <f>ROUND('Activity Data Calculations'!Z53,2)</f>
        <v>22.36</v>
      </c>
      <c r="Y7" s="196">
        <f>ROUND('Activity Data Calculations'!AA53,2)</f>
        <v>45.65</v>
      </c>
      <c r="Z7" s="196">
        <f>ROUND('Activity Data Calculations'!AB53,2)</f>
        <v>45.45</v>
      </c>
      <c r="AA7" s="196">
        <f>ROUND('Activity Data Calculations'!AC53,2)</f>
        <v>52.73</v>
      </c>
      <c r="AB7" s="196">
        <f>ROUND('Activity Data Calculations'!AD53,2)</f>
        <v>65.33</v>
      </c>
      <c r="AC7" s="196">
        <f>ROUND('Activity Data Calculations'!AE53,2)</f>
        <v>51.1</v>
      </c>
      <c r="AD7" s="237">
        <f>ROUND('Activity Data Calculations'!AF53,2)</f>
        <v>64.94</v>
      </c>
    </row>
    <row r="8" spans="2:30" x14ac:dyDescent="0.35">
      <c r="B8" s="641"/>
      <c r="C8" s="98" t="s">
        <v>52</v>
      </c>
      <c r="D8" s="247">
        <f>ROUND('Activity Data Calculations'!F54,2)</f>
        <v>15.19</v>
      </c>
      <c r="E8" s="196">
        <f>ROUND('Activity Data Calculations'!G54,2)</f>
        <v>15.23</v>
      </c>
      <c r="F8" s="196">
        <f>ROUND('Activity Data Calculations'!H54,2)</f>
        <v>15.24</v>
      </c>
      <c r="G8" s="196">
        <f>ROUND('Activity Data Calculations'!I54,2)</f>
        <v>15.23</v>
      </c>
      <c r="H8" s="196">
        <f>ROUND('Activity Data Calculations'!J54,2)</f>
        <v>15.24</v>
      </c>
      <c r="I8" s="196">
        <f>ROUND('Activity Data Calculations'!K54,2)</f>
        <v>15.21</v>
      </c>
      <c r="J8" s="196">
        <f>ROUND('Activity Data Calculations'!L54,2)</f>
        <v>15.19</v>
      </c>
      <c r="K8" s="196">
        <f>ROUND('Activity Data Calculations'!M54,2)</f>
        <v>15.16</v>
      </c>
      <c r="L8" s="196">
        <f>ROUND('Activity Data Calculations'!N54,2)</f>
        <v>15.14</v>
      </c>
      <c r="M8" s="196">
        <f>ROUND('Activity Data Calculations'!O54,2)</f>
        <v>15.12</v>
      </c>
      <c r="N8" s="196">
        <f>ROUND('Activity Data Calculations'!P54,2)</f>
        <v>12.82</v>
      </c>
      <c r="O8" s="196">
        <f>ROUND('Activity Data Calculations'!Q54,2)</f>
        <v>12.8</v>
      </c>
      <c r="P8" s="196">
        <f>ROUND('Activity Data Calculations'!R54,2)</f>
        <v>12.7</v>
      </c>
      <c r="Q8" s="196">
        <f>ROUND('Activity Data Calculations'!S54,2)</f>
        <v>12.56</v>
      </c>
      <c r="R8" s="196">
        <f>ROUND('Activity Data Calculations'!T54,2)</f>
        <v>12.48</v>
      </c>
      <c r="S8" s="196">
        <f>ROUND('Activity Data Calculations'!U54,2)</f>
        <v>12.36</v>
      </c>
      <c r="T8" s="196">
        <f>ROUND('Activity Data Calculations'!V54,2)</f>
        <v>12.37</v>
      </c>
      <c r="U8" s="196">
        <f>ROUND('Activity Data Calculations'!W54,2)</f>
        <v>22.51</v>
      </c>
      <c r="V8" s="196">
        <f>ROUND('Activity Data Calculations'!X54,2)</f>
        <v>79.650000000000006</v>
      </c>
      <c r="W8" s="196">
        <f>ROUND('Activity Data Calculations'!Y54,2)</f>
        <v>33.99</v>
      </c>
      <c r="X8" s="196">
        <f>ROUND('Activity Data Calculations'!Z54,2)</f>
        <v>23.74</v>
      </c>
      <c r="Y8" s="196">
        <f>ROUND('Activity Data Calculations'!AA54,2)</f>
        <v>41.25</v>
      </c>
      <c r="Z8" s="196">
        <f>ROUND('Activity Data Calculations'!AB54,2)</f>
        <v>32.200000000000003</v>
      </c>
      <c r="AA8" s="196">
        <f>ROUND('Activity Data Calculations'!AC54,2)</f>
        <v>23.74</v>
      </c>
      <c r="AB8" s="196">
        <f>ROUND('Activity Data Calculations'!AD54,2)</f>
        <v>27.82</v>
      </c>
      <c r="AC8" s="196">
        <f>ROUND('Activity Data Calculations'!AE54,2)</f>
        <v>31.43</v>
      </c>
      <c r="AD8" s="237">
        <f>ROUND('Activity Data Calculations'!AF54,2)</f>
        <v>41.72</v>
      </c>
    </row>
    <row r="9" spans="2:30" x14ac:dyDescent="0.35">
      <c r="B9" s="641"/>
      <c r="C9" s="98" t="s">
        <v>54</v>
      </c>
      <c r="D9" s="247">
        <f>ROUND('Activity Data Calculations'!F55,2)</f>
        <v>5.47</v>
      </c>
      <c r="E9" s="196">
        <f>ROUND('Activity Data Calculations'!G55,2)</f>
        <v>5.16</v>
      </c>
      <c r="F9" s="196">
        <f>ROUND('Activity Data Calculations'!H55,2)</f>
        <v>5.0999999999999996</v>
      </c>
      <c r="G9" s="196">
        <f>ROUND('Activity Data Calculations'!I55,2)</f>
        <v>5.19</v>
      </c>
      <c r="H9" s="196">
        <f>ROUND('Activity Data Calculations'!J55,2)</f>
        <v>5.0999999999999996</v>
      </c>
      <c r="I9" s="196">
        <f>ROUND('Activity Data Calculations'!K55,2)</f>
        <v>5.28</v>
      </c>
      <c r="J9" s="196">
        <f>ROUND('Activity Data Calculations'!L55,2)</f>
        <v>5.48</v>
      </c>
      <c r="K9" s="196">
        <f>ROUND('Activity Data Calculations'!M55,2)</f>
        <v>5.66</v>
      </c>
      <c r="L9" s="196">
        <f>ROUND('Activity Data Calculations'!N55,2)</f>
        <v>5.85</v>
      </c>
      <c r="M9" s="196">
        <f>ROUND('Activity Data Calculations'!O55,2)</f>
        <v>6</v>
      </c>
      <c r="N9" s="196">
        <f>ROUND('Activity Data Calculations'!P55,2)</f>
        <v>6.51</v>
      </c>
      <c r="O9" s="196">
        <f>ROUND('Activity Data Calculations'!Q55,2)</f>
        <v>6.69</v>
      </c>
      <c r="P9" s="196">
        <f>ROUND('Activity Data Calculations'!R55,2)</f>
        <v>6.75</v>
      </c>
      <c r="Q9" s="196">
        <f>ROUND('Activity Data Calculations'!S55,2)</f>
        <v>7.04</v>
      </c>
      <c r="R9" s="196">
        <f>ROUND('Activity Data Calculations'!T55,2)</f>
        <v>7.31</v>
      </c>
      <c r="S9" s="196">
        <f>ROUND('Activity Data Calculations'!U55,2)</f>
        <v>7.62</v>
      </c>
      <c r="T9" s="196">
        <f>ROUND('Activity Data Calculations'!V55,2)</f>
        <v>7.21</v>
      </c>
      <c r="U9" s="196">
        <f>ROUND('Activity Data Calculations'!W55,2)</f>
        <v>13.03</v>
      </c>
      <c r="V9" s="196">
        <f>ROUND('Activity Data Calculations'!X55,2)</f>
        <v>10.95</v>
      </c>
      <c r="W9" s="196">
        <f>ROUND('Activity Data Calculations'!Y55,2)</f>
        <v>13.68</v>
      </c>
      <c r="X9" s="196">
        <f>ROUND('Activity Data Calculations'!Z55,2)</f>
        <v>17.97</v>
      </c>
      <c r="Y9" s="196">
        <f>ROUND('Activity Data Calculations'!AA55,2)</f>
        <v>36.68</v>
      </c>
      <c r="Z9" s="196">
        <f>ROUND('Activity Data Calculations'!AB55,2)</f>
        <v>33.54</v>
      </c>
      <c r="AA9" s="196">
        <f>ROUND('Activity Data Calculations'!AC55,2)</f>
        <v>164.4</v>
      </c>
      <c r="AB9" s="196">
        <f>ROUND('Activity Data Calculations'!AD55,2)</f>
        <v>22.79</v>
      </c>
      <c r="AC9" s="196">
        <f>ROUND('Activity Data Calculations'!AE55,2)</f>
        <v>32.06</v>
      </c>
      <c r="AD9" s="237">
        <f>ROUND('Activity Data Calculations'!AF55,2)</f>
        <v>41.25</v>
      </c>
    </row>
    <row r="10" spans="2:30" x14ac:dyDescent="0.35">
      <c r="B10" s="641"/>
      <c r="C10" s="98" t="s">
        <v>55</v>
      </c>
      <c r="D10" s="247">
        <f>ROUND('Activity Data Calculations'!F56,2)</f>
        <v>0</v>
      </c>
      <c r="E10" s="196">
        <f>ROUND('Activity Data Calculations'!G56,2)</f>
        <v>0</v>
      </c>
      <c r="F10" s="196">
        <f>ROUND('Activity Data Calculations'!H56,2)</f>
        <v>0</v>
      </c>
      <c r="G10" s="196">
        <f>ROUND('Activity Data Calculations'!I56,2)</f>
        <v>0</v>
      </c>
      <c r="H10" s="196">
        <f>ROUND('Activity Data Calculations'!J56,2)</f>
        <v>0</v>
      </c>
      <c r="I10" s="196">
        <f>ROUND('Activity Data Calculations'!K56,2)</f>
        <v>0</v>
      </c>
      <c r="J10" s="196">
        <f>ROUND('Activity Data Calculations'!L56,2)</f>
        <v>0</v>
      </c>
      <c r="K10" s="196">
        <f>ROUND('Activity Data Calculations'!M56,2)</f>
        <v>0</v>
      </c>
      <c r="L10" s="196">
        <f>ROUND('Activity Data Calculations'!N56,2)</f>
        <v>0</v>
      </c>
      <c r="M10" s="196">
        <f>ROUND('Activity Data Calculations'!O56,2)</f>
        <v>0</v>
      </c>
      <c r="N10" s="196">
        <f>ROUND('Activity Data Calculations'!P56,2)</f>
        <v>0</v>
      </c>
      <c r="O10" s="196">
        <f>ROUND('Activity Data Calculations'!Q56,2)</f>
        <v>0</v>
      </c>
      <c r="P10" s="196">
        <f>ROUND('Activity Data Calculations'!R56,2)</f>
        <v>0</v>
      </c>
      <c r="Q10" s="196">
        <f>ROUND('Activity Data Calculations'!S56,2)</f>
        <v>0</v>
      </c>
      <c r="R10" s="196">
        <f>ROUND('Activity Data Calculations'!T56,2)</f>
        <v>0</v>
      </c>
      <c r="S10" s="196">
        <f>ROUND('Activity Data Calculations'!U56,2)</f>
        <v>0</v>
      </c>
      <c r="T10" s="196">
        <f>ROUND('Activity Data Calculations'!V56,2)</f>
        <v>0</v>
      </c>
      <c r="U10" s="196">
        <f>ROUND('Activity Data Calculations'!W56,2)</f>
        <v>0</v>
      </c>
      <c r="V10" s="196">
        <f>ROUND('Activity Data Calculations'!X56,2)</f>
        <v>0</v>
      </c>
      <c r="W10" s="196">
        <f>ROUND('Activity Data Calculations'!Y56,2)</f>
        <v>0</v>
      </c>
      <c r="X10" s="196">
        <f>ROUND('Activity Data Calculations'!Z56,2)</f>
        <v>0</v>
      </c>
      <c r="Y10" s="196">
        <f>ROUND('Activity Data Calculations'!AA56,2)</f>
        <v>0</v>
      </c>
      <c r="Z10" s="196">
        <f>ROUND('Activity Data Calculations'!AB56,2)</f>
        <v>0</v>
      </c>
      <c r="AA10" s="196">
        <f>ROUND('Activity Data Calculations'!AC56,2)</f>
        <v>0.78</v>
      </c>
      <c r="AB10" s="196">
        <f>ROUND('Activity Data Calculations'!AD56,2)</f>
        <v>0</v>
      </c>
      <c r="AC10" s="196">
        <f>ROUND('Activity Data Calculations'!AE56,2)</f>
        <v>0</v>
      </c>
      <c r="AD10" s="237">
        <f>ROUND('Activity Data Calculations'!AF56,2)</f>
        <v>0</v>
      </c>
    </row>
    <row r="11" spans="2:30" x14ac:dyDescent="0.35">
      <c r="B11" s="643" t="s">
        <v>335</v>
      </c>
      <c r="C11" s="98" t="s">
        <v>49</v>
      </c>
      <c r="D11" s="247">
        <f>D5-D17</f>
        <v>0</v>
      </c>
      <c r="E11" s="196">
        <f>E5-E17</f>
        <v>0</v>
      </c>
      <c r="F11" s="196">
        <f>F5-F17</f>
        <v>0</v>
      </c>
      <c r="G11" s="196">
        <f t="shared" ref="G11:AD11" si="0">G5-G17</f>
        <v>0</v>
      </c>
      <c r="H11" s="196">
        <f t="shared" si="0"/>
        <v>0</v>
      </c>
      <c r="I11" s="196">
        <f t="shared" si="0"/>
        <v>0</v>
      </c>
      <c r="J11" s="196">
        <f t="shared" si="0"/>
        <v>0</v>
      </c>
      <c r="K11" s="196">
        <f t="shared" si="0"/>
        <v>0</v>
      </c>
      <c r="L11" s="196">
        <f t="shared" si="0"/>
        <v>0</v>
      </c>
      <c r="M11" s="196">
        <f t="shared" si="0"/>
        <v>0</v>
      </c>
      <c r="N11" s="196">
        <f t="shared" si="0"/>
        <v>0</v>
      </c>
      <c r="O11" s="196">
        <f t="shared" si="0"/>
        <v>0</v>
      </c>
      <c r="P11" s="196">
        <f t="shared" si="0"/>
        <v>0</v>
      </c>
      <c r="Q11" s="196">
        <f t="shared" si="0"/>
        <v>0</v>
      </c>
      <c r="R11" s="196">
        <f t="shared" si="0"/>
        <v>0</v>
      </c>
      <c r="S11" s="196">
        <f t="shared" si="0"/>
        <v>0</v>
      </c>
      <c r="T11" s="196">
        <f t="shared" si="0"/>
        <v>0</v>
      </c>
      <c r="U11" s="196">
        <f t="shared" si="0"/>
        <v>0.21</v>
      </c>
      <c r="V11" s="196">
        <f t="shared" si="0"/>
        <v>0</v>
      </c>
      <c r="W11" s="196">
        <f t="shared" si="0"/>
        <v>0</v>
      </c>
      <c r="X11" s="196">
        <f t="shared" ca="1" si="0"/>
        <v>-8.1033750000000015E-2</v>
      </c>
      <c r="Y11" s="196">
        <f t="shared" ca="1" si="0"/>
        <v>-3.15E-2</v>
      </c>
      <c r="Z11" s="196">
        <f t="shared" ca="1" si="0"/>
        <v>1.8500000000000003E-2</v>
      </c>
      <c r="AA11" s="196">
        <f t="shared" ca="1" si="0"/>
        <v>0.25976889828125005</v>
      </c>
      <c r="AB11" s="196">
        <f t="shared" ca="1" si="0"/>
        <v>0.252810125</v>
      </c>
      <c r="AC11" s="196">
        <f t="shared" ca="1" si="0"/>
        <v>-2.1758624999999997E-2</v>
      </c>
      <c r="AD11" s="237">
        <f t="shared" ca="1" si="0"/>
        <v>-2.7633261124277386E-2</v>
      </c>
    </row>
    <row r="12" spans="2:30" x14ac:dyDescent="0.35">
      <c r="B12" s="641"/>
      <c r="C12" s="98" t="s">
        <v>50</v>
      </c>
      <c r="D12" s="247">
        <f t="shared" ref="D12" si="1">D6-D18</f>
        <v>0.99</v>
      </c>
      <c r="E12" s="196">
        <f t="shared" ref="E12:AD12" si="2">E6-E18</f>
        <v>0.93</v>
      </c>
      <c r="F12" s="196">
        <f t="shared" si="2"/>
        <v>0.92</v>
      </c>
      <c r="G12" s="196">
        <f t="shared" ca="1" si="2"/>
        <v>0.40948374999999992</v>
      </c>
      <c r="H12" s="196">
        <f ca="1">H6-H18</f>
        <v>0.41263624999999993</v>
      </c>
      <c r="I12" s="196">
        <f t="shared" ca="1" si="2"/>
        <v>0.30699499999999991</v>
      </c>
      <c r="J12" s="196">
        <f t="shared" ca="1" si="2"/>
        <v>0.40599045796875</v>
      </c>
      <c r="K12" s="196">
        <f t="shared" ca="1" si="2"/>
        <v>0.37335142453125014</v>
      </c>
      <c r="L12" s="196">
        <f t="shared" ca="1" si="2"/>
        <v>0.39222030437500022</v>
      </c>
      <c r="M12" s="196">
        <f t="shared" ca="1" si="2"/>
        <v>0.32797118203130871</v>
      </c>
      <c r="N12" s="196">
        <f t="shared" ca="1" si="2"/>
        <v>0.37966720036369139</v>
      </c>
      <c r="O12" s="196">
        <f t="shared" ca="1" si="2"/>
        <v>0.34638345767429679</v>
      </c>
      <c r="P12" s="196">
        <f t="shared" ca="1" si="2"/>
        <v>0.32234254210241886</v>
      </c>
      <c r="Q12" s="196">
        <f t="shared" ca="1" si="2"/>
        <v>0.30319866372371429</v>
      </c>
      <c r="R12" s="196">
        <f t="shared" ca="1" si="2"/>
        <v>0.30909194787943073</v>
      </c>
      <c r="S12" s="196">
        <f t="shared" ca="1" si="2"/>
        <v>0.47491121752458432</v>
      </c>
      <c r="T12" s="196">
        <f t="shared" ca="1" si="2"/>
        <v>0.49344698027860434</v>
      </c>
      <c r="U12" s="196">
        <f t="shared" ca="1" si="2"/>
        <v>2.2936931096964601</v>
      </c>
      <c r="V12" s="196">
        <f t="shared" ca="1" si="2"/>
        <v>4.8047663693402223</v>
      </c>
      <c r="W12" s="196">
        <f t="shared" ca="1" si="2"/>
        <v>14.378272636758826</v>
      </c>
      <c r="X12" s="196">
        <f t="shared" ca="1" si="2"/>
        <v>5.4756348645279216</v>
      </c>
      <c r="Y12" s="196">
        <f t="shared" ca="1" si="2"/>
        <v>10.093519072703728</v>
      </c>
      <c r="Z12" s="196">
        <f t="shared" ca="1" si="2"/>
        <v>9.614630100042227</v>
      </c>
      <c r="AA12" s="196">
        <f t="shared" ca="1" si="2"/>
        <v>6.2320276005442548</v>
      </c>
      <c r="AB12" s="196">
        <f t="shared" ca="1" si="2"/>
        <v>9.1279519793399224</v>
      </c>
      <c r="AC12" s="196">
        <f t="shared" ca="1" si="2"/>
        <v>12.775665480814672</v>
      </c>
      <c r="AD12" s="237">
        <f t="shared" ca="1" si="2"/>
        <v>-7.2893097760467338</v>
      </c>
    </row>
    <row r="13" spans="2:30" x14ac:dyDescent="0.35">
      <c r="B13" s="641"/>
      <c r="C13" s="98" t="s">
        <v>51</v>
      </c>
      <c r="D13" s="247">
        <f t="shared" ref="D13" si="3">D7-D19</f>
        <v>5.64</v>
      </c>
      <c r="E13" s="196">
        <f t="shared" ref="E13:AD13" si="4">E7-E19</f>
        <v>5.31</v>
      </c>
      <c r="F13" s="196">
        <f t="shared" si="4"/>
        <v>5.25</v>
      </c>
      <c r="G13" s="196">
        <f t="shared" ca="1" si="4"/>
        <v>2.3176649999999994</v>
      </c>
      <c r="H13" s="196">
        <f t="shared" ca="1" si="4"/>
        <v>2.3650037499999996</v>
      </c>
      <c r="I13" s="196">
        <f t="shared" ca="1" si="4"/>
        <v>1.7716562500000004</v>
      </c>
      <c r="J13" s="196">
        <f t="shared" ca="1" si="4"/>
        <v>2.3156710181250002</v>
      </c>
      <c r="K13" s="196">
        <f t="shared" ca="1" si="4"/>
        <v>2.1397544279687502</v>
      </c>
      <c r="L13" s="196">
        <f t="shared" ca="1" si="4"/>
        <v>2.2139618320312504</v>
      </c>
      <c r="M13" s="196">
        <f t="shared" ca="1" si="4"/>
        <v>1.8882916958810156</v>
      </c>
      <c r="N13" s="196">
        <f t="shared" ca="1" si="4"/>
        <v>2.1288228573888093</v>
      </c>
      <c r="O13" s="196">
        <f t="shared" ca="1" si="4"/>
        <v>1.9692249111508788</v>
      </c>
      <c r="P13" s="196">
        <f t="shared" ca="1" si="4"/>
        <v>1.8227986001331642</v>
      </c>
      <c r="Q13" s="196">
        <f t="shared" ca="1" si="4"/>
        <v>1.7467398838041923</v>
      </c>
      <c r="R13" s="196">
        <f t="shared" ca="1" si="4"/>
        <v>1.769001312700432</v>
      </c>
      <c r="S13" s="196">
        <f t="shared" ca="1" si="4"/>
        <v>2.6861198287917594</v>
      </c>
      <c r="T13" s="196">
        <f t="shared" ca="1" si="4"/>
        <v>2.8185491959352262</v>
      </c>
      <c r="U13" s="196">
        <f t="shared" ca="1" si="4"/>
        <v>10.765448084489261</v>
      </c>
      <c r="V13" s="196">
        <f t="shared" ca="1" si="4"/>
        <v>10.613854530187457</v>
      </c>
      <c r="W13" s="196">
        <f t="shared" ca="1" si="4"/>
        <v>22.814585936322207</v>
      </c>
      <c r="X13" s="196">
        <f t="shared" ca="1" si="4"/>
        <v>14.681042385811134</v>
      </c>
      <c r="Y13" s="196">
        <f t="shared" ca="1" si="4"/>
        <v>36.762071988622701</v>
      </c>
      <c r="Z13" s="196">
        <f t="shared" ca="1" si="4"/>
        <v>30.582999741947653</v>
      </c>
      <c r="AA13" s="196">
        <f t="shared" ca="1" si="4"/>
        <v>37.911437243857463</v>
      </c>
      <c r="AB13" s="196">
        <f t="shared" ca="1" si="4"/>
        <v>40.072007342383031</v>
      </c>
      <c r="AC13" s="196">
        <f t="shared" ca="1" si="4"/>
        <v>23.031369475883686</v>
      </c>
      <c r="AD13" s="237">
        <f t="shared" ca="1" si="4"/>
        <v>29.751442430214723</v>
      </c>
    </row>
    <row r="14" spans="2:30" x14ac:dyDescent="0.35">
      <c r="B14" s="641"/>
      <c r="C14" s="98" t="s">
        <v>52</v>
      </c>
      <c r="D14" s="247">
        <f t="shared" ref="D14" si="5">D8-D20</f>
        <v>15.19</v>
      </c>
      <c r="E14" s="196">
        <f t="shared" ref="E14:AD14" si="6">E8-E20</f>
        <v>15.23</v>
      </c>
      <c r="F14" s="196">
        <f t="shared" si="6"/>
        <v>15.24</v>
      </c>
      <c r="G14" s="196">
        <f t="shared" ca="1" si="6"/>
        <v>7.090058749999999</v>
      </c>
      <c r="H14" s="196">
        <f t="shared" ca="1" si="6"/>
        <v>7.0846237499999987</v>
      </c>
      <c r="I14" s="196">
        <f t="shared" ca="1" si="6"/>
        <v>4.7662650000000006</v>
      </c>
      <c r="J14" s="196">
        <f t="shared" ca="1" si="6"/>
        <v>5.6051235798437489</v>
      </c>
      <c r="K14" s="196">
        <f t="shared" ca="1" si="6"/>
        <v>4.5137119979687501</v>
      </c>
      <c r="L14" s="196">
        <f t="shared" ca="1" si="6"/>
        <v>4.3256151181250004</v>
      </c>
      <c r="M14" s="196">
        <f t="shared" ca="1" si="6"/>
        <v>3.2669808136277929</v>
      </c>
      <c r="N14" s="196">
        <f t="shared" ca="1" si="6"/>
        <v>0.54736072080724618</v>
      </c>
      <c r="O14" s="196">
        <f t="shared" ca="1" si="6"/>
        <v>-7.7114195378360506E-2</v>
      </c>
      <c r="P14" s="196">
        <f t="shared" ca="1" si="6"/>
        <v>-0.41745595084925213</v>
      </c>
      <c r="Q14" s="196">
        <f t="shared" ca="1" si="6"/>
        <v>1.930330423709492E-3</v>
      </c>
      <c r="R14" s="196">
        <f t="shared" ca="1" si="6"/>
        <v>8.0795480585743817E-2</v>
      </c>
      <c r="S14" s="196">
        <f t="shared" ca="1" si="6"/>
        <v>2.3821919847848285</v>
      </c>
      <c r="T14" s="196">
        <f t="shared" ca="1" si="6"/>
        <v>4.5774796961260114</v>
      </c>
      <c r="U14" s="196">
        <f t="shared" ca="1" si="6"/>
        <v>16.972758056743682</v>
      </c>
      <c r="V14" s="196">
        <f t="shared" ca="1" si="6"/>
        <v>74.276096171098004</v>
      </c>
      <c r="W14" s="196">
        <f t="shared" ca="1" si="6"/>
        <v>28.474354290266497</v>
      </c>
      <c r="X14" s="196">
        <f t="shared" ca="1" si="6"/>
        <v>13.469644048444247</v>
      </c>
      <c r="Y14" s="196">
        <f t="shared" ca="1" si="6"/>
        <v>7.1625732820327812</v>
      </c>
      <c r="Z14" s="196">
        <f t="shared" ca="1" si="6"/>
        <v>5.3219628043292566</v>
      </c>
      <c r="AA14" s="196">
        <f t="shared" ca="1" si="6"/>
        <v>-0.97040550692880956</v>
      </c>
      <c r="AB14" s="196">
        <f t="shared" ca="1" si="6"/>
        <v>4.012935939837746</v>
      </c>
      <c r="AC14" s="196">
        <f t="shared" ca="1" si="6"/>
        <v>7.3408996237377622</v>
      </c>
      <c r="AD14" s="237">
        <f t="shared" ca="1" si="6"/>
        <v>19.249105695888325</v>
      </c>
    </row>
    <row r="15" spans="2:30" x14ac:dyDescent="0.35">
      <c r="B15" s="641"/>
      <c r="C15" s="98" t="s">
        <v>54</v>
      </c>
      <c r="D15" s="247">
        <f t="shared" ref="D15" si="7">D9-D21</f>
        <v>5.47</v>
      </c>
      <c r="E15" s="196">
        <f t="shared" ref="E15:AD15" si="8">E9-E21</f>
        <v>5.16</v>
      </c>
      <c r="F15" s="196">
        <f t="shared" si="8"/>
        <v>5.0999999999999996</v>
      </c>
      <c r="G15" s="196">
        <f t="shared" ca="1" si="8"/>
        <v>2.25876375</v>
      </c>
      <c r="H15" s="196">
        <f t="shared" ca="1" si="8"/>
        <v>2.2883849999999994</v>
      </c>
      <c r="I15" s="196">
        <f t="shared" ca="1" si="8"/>
        <v>1.7175375000000002</v>
      </c>
      <c r="J15" s="196">
        <f t="shared" ca="1" si="8"/>
        <v>2.2488995379687506</v>
      </c>
      <c r="K15" s="196">
        <f t="shared" ca="1" si="8"/>
        <v>2.0786548756250007</v>
      </c>
      <c r="L15" s="196">
        <f t="shared" ca="1" si="8"/>
        <v>2.1456729046875003</v>
      </c>
      <c r="M15" s="196">
        <f t="shared" ca="1" si="8"/>
        <v>1.833002953286309</v>
      </c>
      <c r="N15" s="196">
        <f t="shared" ca="1" si="8"/>
        <v>2.0713611816728914</v>
      </c>
      <c r="O15" s="196">
        <f t="shared" ca="1" si="8"/>
        <v>1.9137023683646497</v>
      </c>
      <c r="P15" s="196">
        <f t="shared" ca="1" si="8"/>
        <v>1.7725029501584588</v>
      </c>
      <c r="Q15" s="196">
        <f t="shared" ca="1" si="8"/>
        <v>1.6955760257868393</v>
      </c>
      <c r="R15" s="196">
        <f t="shared" ca="1" si="8"/>
        <v>1.7157084431212235</v>
      </c>
      <c r="S15" s="196">
        <f t="shared" ca="1" si="8"/>
        <v>2.6136384133668393</v>
      </c>
      <c r="T15" s="196">
        <f t="shared" ca="1" si="8"/>
        <v>2.7414471477849691</v>
      </c>
      <c r="U15" s="196">
        <f t="shared" ca="1" si="8"/>
        <v>9.0643421473780386</v>
      </c>
      <c r="V15" s="196">
        <f t="shared" ca="1" si="8"/>
        <v>6.7193117161413278</v>
      </c>
      <c r="W15" s="196">
        <f t="shared" ca="1" si="8"/>
        <v>9.3512055087427051</v>
      </c>
      <c r="X15" s="196">
        <f t="shared" ca="1" si="8"/>
        <v>11.047771953606983</v>
      </c>
      <c r="Y15" s="196">
        <f t="shared" ca="1" si="8"/>
        <v>29.640344179849059</v>
      </c>
      <c r="Z15" s="196">
        <f t="shared" ca="1" si="8"/>
        <v>24.788663636551551</v>
      </c>
      <c r="AA15" s="196">
        <f t="shared" ca="1" si="8"/>
        <v>153.91317116903127</v>
      </c>
      <c r="AB15" s="196">
        <f t="shared" ca="1" si="8"/>
        <v>3.7465470111820025</v>
      </c>
      <c r="AC15" s="196">
        <f t="shared" ca="1" si="8"/>
        <v>10.75334179110051</v>
      </c>
      <c r="AD15" s="237">
        <f t="shared" ca="1" si="8"/>
        <v>-33.313821743223158</v>
      </c>
    </row>
    <row r="16" spans="2:30" x14ac:dyDescent="0.35">
      <c r="B16" s="641"/>
      <c r="C16" s="98" t="s">
        <v>55</v>
      </c>
      <c r="D16" s="247">
        <f t="shared" ref="D16" si="9">D10-D22</f>
        <v>0</v>
      </c>
      <c r="E16" s="196">
        <f t="shared" ref="E16:AD16" si="10">E10-E22</f>
        <v>0</v>
      </c>
      <c r="F16" s="196">
        <f t="shared" si="10"/>
        <v>0</v>
      </c>
      <c r="G16" s="196">
        <f t="shared" si="10"/>
        <v>0</v>
      </c>
      <c r="H16" s="196">
        <f t="shared" si="10"/>
        <v>0</v>
      </c>
      <c r="I16" s="196">
        <f t="shared" si="10"/>
        <v>0</v>
      </c>
      <c r="J16" s="196">
        <f t="shared" si="10"/>
        <v>0</v>
      </c>
      <c r="K16" s="196">
        <f t="shared" si="10"/>
        <v>0</v>
      </c>
      <c r="L16" s="196">
        <f t="shared" si="10"/>
        <v>0</v>
      </c>
      <c r="M16" s="196">
        <f t="shared" si="10"/>
        <v>0</v>
      </c>
      <c r="N16" s="196">
        <f t="shared" si="10"/>
        <v>0</v>
      </c>
      <c r="O16" s="196">
        <f t="shared" si="10"/>
        <v>0</v>
      </c>
      <c r="P16" s="196">
        <f t="shared" si="10"/>
        <v>0</v>
      </c>
      <c r="Q16" s="196">
        <f t="shared" si="10"/>
        <v>0</v>
      </c>
      <c r="R16" s="196">
        <f t="shared" si="10"/>
        <v>0</v>
      </c>
      <c r="S16" s="196">
        <f t="shared" si="10"/>
        <v>0</v>
      </c>
      <c r="T16" s="196">
        <f t="shared" si="10"/>
        <v>0</v>
      </c>
      <c r="U16" s="196">
        <f t="shared" si="10"/>
        <v>0</v>
      </c>
      <c r="V16" s="196">
        <f t="shared" si="10"/>
        <v>0</v>
      </c>
      <c r="W16" s="196">
        <f t="shared" si="10"/>
        <v>0</v>
      </c>
      <c r="X16" s="196">
        <f t="shared" si="10"/>
        <v>0</v>
      </c>
      <c r="Y16" s="196">
        <f t="shared" si="10"/>
        <v>0</v>
      </c>
      <c r="Z16" s="196">
        <f t="shared" si="10"/>
        <v>0</v>
      </c>
      <c r="AA16" s="196">
        <f t="shared" si="10"/>
        <v>0.78</v>
      </c>
      <c r="AB16" s="196">
        <f t="shared" si="10"/>
        <v>0</v>
      </c>
      <c r="AC16" s="196">
        <f t="shared" si="10"/>
        <v>0</v>
      </c>
      <c r="AD16" s="237">
        <f t="shared" ca="1" si="10"/>
        <v>-0.3009825000000001</v>
      </c>
    </row>
    <row r="17" spans="2:30" x14ac:dyDescent="0.35">
      <c r="B17" s="643" t="s">
        <v>336</v>
      </c>
      <c r="C17" s="98" t="s">
        <v>49</v>
      </c>
      <c r="D17" s="248">
        <v>0</v>
      </c>
      <c r="E17" s="224">
        <v>0</v>
      </c>
      <c r="F17" s="224">
        <v>0</v>
      </c>
      <c r="G17" s="224">
        <v>0</v>
      </c>
      <c r="H17" s="224">
        <v>0</v>
      </c>
      <c r="I17" s="224">
        <v>0</v>
      </c>
      <c r="J17" s="224">
        <v>0</v>
      </c>
      <c r="K17" s="224">
        <v>0</v>
      </c>
      <c r="L17" s="224">
        <v>0</v>
      </c>
      <c r="M17" s="224">
        <v>0</v>
      </c>
      <c r="N17" s="224">
        <v>0</v>
      </c>
      <c r="O17" s="224">
        <v>0</v>
      </c>
      <c r="P17" s="224">
        <v>0</v>
      </c>
      <c r="Q17" s="224">
        <v>0</v>
      </c>
      <c r="R17" s="224">
        <v>0</v>
      </c>
      <c r="S17" s="224">
        <v>0</v>
      </c>
      <c r="T17" s="224">
        <v>0</v>
      </c>
      <c r="U17" s="224">
        <v>0</v>
      </c>
      <c r="V17" s="224">
        <v>0</v>
      </c>
      <c r="W17" s="224">
        <v>0</v>
      </c>
      <c r="X17" s="196">
        <f ca="1">IF(X$3-'Emission Factors EF'!$C45&gt;2,IF(('Emissions GEI HFCs'!X$3-'Emission Factors EF'!$C45)&gt;='Emission Factors EF'!$E$40,(OFFSET(X11,0,-3)*(1-(1-'Emission Factors EF'!$E$41)^3)+SUM(OFFSET(X11,0,(1-'Emission Factors EF'!$E$40),1,('Emission Factors EF'!$E$40-4)))*'Emission Factors EF'!$E$41),(OFFSET(X11,0,-3)*(1-(1-'Emission Factors EF'!$E$41)^3)+SUM($C11:T11)*'Emission Factors EF'!$E$41)),0)</f>
        <v>8.1033750000000015E-2</v>
      </c>
      <c r="Y17" s="196">
        <f ca="1">IF(Y$3-'Emission Factors EF'!$C45&gt;2,IF(('Emissions GEI HFCs'!Y$3-'Emission Factors EF'!$C45)&gt;='Emission Factors EF'!$E$40,(OFFSET(Y11,0,-3)*(1-(1-'Emission Factors EF'!$E$41)^3)+SUM(OFFSET(Y11,0,(1-'Emission Factors EF'!$E$40),1,('Emission Factors EF'!$E$40-4)))*'Emission Factors EF'!$E$41),(OFFSET(Y11,0,-3)*(1-(1-'Emission Factors EF'!$E$41)^3)+SUM($C11:U11)*'Emission Factors EF'!$E$41)),0)</f>
        <v>3.15E-2</v>
      </c>
      <c r="Z17" s="196">
        <f ca="1">IF(Z$3-'Emission Factors EF'!$C45&gt;2,IF(('Emissions GEI HFCs'!Z$3-'Emission Factors EF'!$C45)&gt;='Emission Factors EF'!$E$40,(OFFSET(Z11,0,-3)*(1-(1-'Emission Factors EF'!$E$41)^3)+SUM(OFFSET(Z11,0,(1-'Emission Factors EF'!$E$40),1,('Emission Factors EF'!$E$40-4)))*'Emission Factors EF'!$E$41),(OFFSET(Z11,0,-3)*(1-(1-'Emission Factors EF'!$E$41)^3)+SUM($C11:V11)*'Emission Factors EF'!$E$41)),0)</f>
        <v>3.15E-2</v>
      </c>
      <c r="AA17" s="196">
        <f ca="1">IF(AA$3-'Emission Factors EF'!$C45&gt;2,IF(('Emissions GEI HFCs'!AA$3-'Emission Factors EF'!$C45)&gt;='Emission Factors EF'!$E$40,(OFFSET(AA11,0,-3)*(1-(1-'Emission Factors EF'!$E$41)^3)+SUM(OFFSET(AA11,0,(1-'Emission Factors EF'!$E$40),1,('Emission Factors EF'!$E$40-4)))*'Emission Factors EF'!$E$41),(OFFSET(AA11,0,-3)*(1-(1-'Emission Factors EF'!$E$41)^3)+SUM($C11:W11)*'Emission Factors EF'!$E$41)),0)</f>
        <v>2.3110171874998753E-4</v>
      </c>
      <c r="AB17" s="196">
        <f ca="1">IF(AB$3-'Emission Factors EF'!$C45&gt;2,IF(('Emissions GEI HFCs'!AB$3-'Emission Factors EF'!$C45)&gt;='Emission Factors EF'!$E$40,(OFFSET(AB11,0,-3)*(1-(1-'Emission Factors EF'!$E$41)^3)+SUM(OFFSET(AB11,0,(1-'Emission Factors EF'!$E$40),1,('Emission Factors EF'!$E$40-4)))*'Emission Factors EF'!$E$41),(OFFSET(AB11,0,-3)*(1-(1-'Emission Factors EF'!$E$41)^3)+SUM($C11:X11)*'Emission Factors EF'!$E$41)),0)</f>
        <v>7.1898749999999931E-3</v>
      </c>
      <c r="AC17" s="196">
        <f ca="1">IF(AC$3-'Emission Factors EF'!$C45&gt;2,IF(('Emissions GEI HFCs'!AC$3-'Emission Factors EF'!$C45)&gt;='Emission Factors EF'!$E$40,(OFFSET(AC11,0,-3)*(1-(1-'Emission Factors EF'!$E$41)^3)+SUM(OFFSET(AC11,0,(1-'Emission Factors EF'!$E$40),1,('Emission Factors EF'!$E$40-4)))*'Emission Factors EF'!$E$41),(OFFSET(AC11,0,-3)*(1-(1-'Emission Factors EF'!$E$41)^3)+SUM($C11:Y11)*'Emission Factors EF'!$E$41)),0)</f>
        <v>2.1758624999999997E-2</v>
      </c>
      <c r="AD17" s="238">
        <f ca="1">IF(AD$3-'Emission Factors EF'!$C45&gt;2,IF(('Emissions GEI HFCs'!AD$3-'Emission Factors EF'!$C45)&gt;='Emission Factors EF'!$E$40,(OFFSET(AD11,0,-3)*(1-(1-'Emission Factors EF'!$E$41)^3)+SUM(OFFSET(AD11,0,(1-'Emission Factors EF'!$E$40),1,('Emission Factors EF'!$E$40-4)))*'Emission Factors EF'!$E$41),(OFFSET(AD11,0,-3)*(1-(1-'Emission Factors EF'!$E$41)^3)+SUM($C11:Z11)*'Emission Factors EF'!$E$41)),0)</f>
        <v>0.11763326112427738</v>
      </c>
    </row>
    <row r="18" spans="2:30" x14ac:dyDescent="0.35">
      <c r="B18" s="641"/>
      <c r="C18" s="98" t="s">
        <v>50</v>
      </c>
      <c r="D18" s="248">
        <v>0</v>
      </c>
      <c r="E18" s="224">
        <v>0</v>
      </c>
      <c r="F18" s="224">
        <v>0</v>
      </c>
      <c r="G18" s="196">
        <f ca="1">IF(('Emissions GEI HFCs'!G$3-'Emission Factors EF'!$C46)&gt;='Emission Factors EF'!$E$40,(OFFSET(G12,0,-3)*(1-(1-'Emission Factors EF'!$E$41)^3)+SUM(OFFSET(G12,0,(1-'Emission Factors EF'!$E$40),1,('Emission Factors EF'!$E$40-4)))*'Emission Factors EF'!$E$41),(OFFSET(G12,0,-3)*(1-(1-'Emission Factors EF'!$E$41)^3)+SUM($C12:$D12)*'Emission Factors EF'!$E$41))</f>
        <v>0.53051625000000002</v>
      </c>
      <c r="H18" s="196">
        <f ca="1">IF(H$3-'Emission Factors EF'!$C46&gt;2,IF(('Emissions GEI HFCs'!H$3-'Emission Factors EF'!$C46)&gt;='Emission Factors EF'!$E$40,(OFFSET(H12,0,-3)*(1-(1-'Emission Factors EF'!$E$41)^3)+SUM(OFFSET(H12,0,(1-'Emission Factors EF'!$E$40),1,('Emission Factors EF'!$E$40-4)))*'Emission Factors EF'!$E$41),(OFFSET(H12,0,-3)*(1-(1-'Emission Factors EF'!$E$41)^3)+SUM($C12:$D12)*'Emission Factors EF'!$E$41)),0)</f>
        <v>0.50736375000000011</v>
      </c>
      <c r="I18" s="196">
        <f ca="1">IF(I$3-'Emission Factors EF'!$C46&gt;2,IF(('Emissions GEI HFCs'!I$3-'Emission Factors EF'!$C46)&gt;='Emission Factors EF'!$E$40,(OFFSET(I12,0,-3)*(1-(1-'Emission Factors EF'!$E$41)^3)+SUM(OFFSET(I12,0,(1-'Emission Factors EF'!$E$40),1,('Emission Factors EF'!$E$40-4)))*'Emission Factors EF'!$E$41),(OFFSET(I12,0,-3)*(1-(1-'Emission Factors EF'!$E$41)^3)+SUM($C12:E12)*'Emission Factors EF'!$E$41)),0)</f>
        <v>0.64300500000000005</v>
      </c>
      <c r="J18" s="196">
        <f ca="1">IF(J$3-'Emission Factors EF'!$C46&gt;2,IF(('Emissions GEI HFCs'!J$3-'Emission Factors EF'!$C46)&gt;='Emission Factors EF'!$E$40,(OFFSET(J12,0,-3)*(1-(1-'Emission Factors EF'!$E$41)^3)+SUM(OFFSET(J12,0,(1-'Emission Factors EF'!$E$40),1,('Emission Factors EF'!$E$40-4)))*'Emission Factors EF'!$E$41),(OFFSET(J12,0,-3)*(1-(1-'Emission Factors EF'!$E$41)^3)+SUM($C12:F12)*'Emission Factors EF'!$E$41)),0)</f>
        <v>0.58400954203125</v>
      </c>
      <c r="K18" s="196">
        <f ca="1">IF(K$3-'Emission Factors EF'!$C46&gt;2,IF(('Emissions GEI HFCs'!K$3-'Emission Factors EF'!$C46)&gt;='Emission Factors EF'!$E$40,(OFFSET(K12,0,-3)*(1-(1-'Emission Factors EF'!$E$41)^3)+SUM(OFFSET(K12,0,(1-'Emission Factors EF'!$E$40),1,('Emission Factors EF'!$E$40-4)))*'Emission Factors EF'!$E$41),(OFFSET(K12,0,-3)*(1-(1-'Emission Factors EF'!$E$41)^3)+SUM($C12:G12)*'Emission Factors EF'!$E$41)),0)</f>
        <v>0.64664857546874988</v>
      </c>
      <c r="L18" s="196">
        <f ca="1">IF(L$3-'Emission Factors EF'!$C46&gt;2,IF(('Emissions GEI HFCs'!L$3-'Emission Factors EF'!$C46)&gt;='Emission Factors EF'!$E$40,(OFFSET(L12,0,-3)*(1-(1-'Emission Factors EF'!$E$41)^3)+SUM(OFFSET(L12,0,(1-'Emission Factors EF'!$E$40),1,('Emission Factors EF'!$E$40-4)))*'Emission Factors EF'!$E$41),(OFFSET(L12,0,-3)*(1-(1-'Emission Factors EF'!$E$41)^3)+SUM($C12:H12)*'Emission Factors EF'!$E$41)),0)</f>
        <v>0.66777969562499984</v>
      </c>
      <c r="M18" s="196">
        <f ca="1">IF(M$3-'Emission Factors EF'!$C46&gt;2,IF(('Emissions GEI HFCs'!M$3-'Emission Factors EF'!$C46)&gt;='Emission Factors EF'!$E$40,(OFFSET(M12,0,-3)*(1-(1-'Emission Factors EF'!$E$41)^3)+SUM(OFFSET(M12,0,(1-'Emission Factors EF'!$E$40),1,('Emission Factors EF'!$E$40-4)))*'Emission Factors EF'!$E$41),(OFFSET(M12,0,-3)*(1-(1-'Emission Factors EF'!$E$41)^3)+SUM($C12:I12)*'Emission Factors EF'!$E$41)),0)</f>
        <v>0.75202881796869137</v>
      </c>
      <c r="N18" s="196">
        <f ca="1">IF(N$3-'Emission Factors EF'!$C46&gt;2,IF(('Emissions GEI HFCs'!N$3-'Emission Factors EF'!$C46)&gt;='Emission Factors EF'!$E$40,(OFFSET(N12,0,-3)*(1-(1-'Emission Factors EF'!$E$41)^3)+SUM(OFFSET(N12,0,(1-'Emission Factors EF'!$E$40),1,('Emission Factors EF'!$E$40-4)))*'Emission Factors EF'!$E$41),(OFFSET(N12,0,-3)*(1-(1-'Emission Factors EF'!$E$41)^3)+SUM($C12:J12)*'Emission Factors EF'!$E$41)),0)</f>
        <v>0.80033279963630855</v>
      </c>
      <c r="O18" s="196">
        <f ca="1">IF(O$3-'Emission Factors EF'!$C46&gt;2,IF(('Emissions GEI HFCs'!O$3-'Emission Factors EF'!$C46)&gt;='Emission Factors EF'!$E$40,(OFFSET(O12,0,-3)*(1-(1-'Emission Factors EF'!$E$41)^3)+SUM(OFFSET(O12,0,(1-'Emission Factors EF'!$E$40),1,('Emission Factors EF'!$E$40-4)))*'Emission Factors EF'!$E$41),(OFFSET(O12,0,-3)*(1-(1-'Emission Factors EF'!$E$41)^3)+SUM($C12:K12)*'Emission Factors EF'!$E$41)),0)</f>
        <v>0.86361654232570317</v>
      </c>
      <c r="P18" s="196">
        <f ca="1">IF(P$3-'Emission Factors EF'!$C46&gt;2,IF(('Emissions GEI HFCs'!P$3-'Emission Factors EF'!$C46)&gt;='Emission Factors EF'!$E$40,(OFFSET(P12,0,-3)*(1-(1-'Emission Factors EF'!$E$41)^3)+SUM(OFFSET(P12,0,(1-'Emission Factors EF'!$E$40),1,('Emission Factors EF'!$E$40-4)))*'Emission Factors EF'!$E$41),(OFFSET(P12,0,-3)*(1-(1-'Emission Factors EF'!$E$41)^3)+SUM($C12:L12)*'Emission Factors EF'!$E$41)),0)</f>
        <v>0.89765745789758111</v>
      </c>
      <c r="Q18" s="196">
        <f ca="1">IF(Q$3-'Emission Factors EF'!$C46&gt;2,IF(('Emissions GEI HFCs'!Q$3-'Emission Factors EF'!$C46)&gt;='Emission Factors EF'!$E$40,(OFFSET(Q12,0,-3)*(1-(1-'Emission Factors EF'!$E$41)^3)+SUM(OFFSET(Q12,0,(1-'Emission Factors EF'!$E$40),1,('Emission Factors EF'!$E$40-4)))*'Emission Factors EF'!$E$41),(OFFSET(Q12,0,-3)*(1-(1-'Emission Factors EF'!$E$41)^3)+SUM($C12:M12)*'Emission Factors EF'!$E$41)),0)</f>
        <v>0.96680133627628573</v>
      </c>
      <c r="R18" s="196">
        <f ca="1">IF(R$3-'Emission Factors EF'!$C46&gt;2,IF(('Emissions GEI HFCs'!R$3-'Emission Factors EF'!$C46)&gt;='Emission Factors EF'!$E$40,(OFFSET(R12,0,-3)*(1-(1-'Emission Factors EF'!$E$41)^3)+SUM(OFFSET(R12,0,(1-'Emission Factors EF'!$E$40),1,('Emission Factors EF'!$E$40-4)))*'Emission Factors EF'!$E$41),(OFFSET(R12,0,-3)*(1-(1-'Emission Factors EF'!$E$41)^3)+SUM($C12:N12)*'Emission Factors EF'!$E$41)),0)</f>
        <v>1.0109080521205693</v>
      </c>
      <c r="S18" s="196">
        <f ca="1">IF(S$3-'Emission Factors EF'!$C46&gt;2,IF(('Emissions GEI HFCs'!S$3-'Emission Factors EF'!$C46)&gt;='Emission Factors EF'!$E$40,(OFFSET(S12,0,-3)*(1-(1-'Emission Factors EF'!$E$41)^3)+SUM(OFFSET(S12,0,(1-'Emission Factors EF'!$E$40),1,('Emission Factors EF'!$E$40-4)))*'Emission Factors EF'!$E$41),(OFFSET(S12,0,-3)*(1-(1-'Emission Factors EF'!$E$41)^3)+SUM($C12:O12)*'Emission Factors EF'!$E$41)),0)</f>
        <v>0.90508878247541558</v>
      </c>
      <c r="T18" s="196">
        <f ca="1">IF(T$3-'Emission Factors EF'!$C46&gt;2,IF(('Emissions GEI HFCs'!T$3-'Emission Factors EF'!$C46)&gt;='Emission Factors EF'!$E$40,(OFFSET(T12,0,-3)*(1-(1-'Emission Factors EF'!$E$41)^3)+SUM(OFFSET(T12,0,(1-'Emission Factors EF'!$E$40),1,('Emission Factors EF'!$E$40-4)))*'Emission Factors EF'!$E$41),(OFFSET(T12,0,-3)*(1-(1-'Emission Factors EF'!$E$41)^3)+SUM($C12:P12)*'Emission Factors EF'!$E$41)),0)</f>
        <v>0.8065530197213957</v>
      </c>
      <c r="U18" s="196">
        <f ca="1">IF(U$3-'Emission Factors EF'!$C46&gt;2,IF(('Emissions GEI HFCs'!U$3-'Emission Factors EF'!$C46)&gt;='Emission Factors EF'!$E$40,(OFFSET(U12,0,-3)*(1-(1-'Emission Factors EF'!$E$41)^3)+SUM(OFFSET(U12,0,(1-'Emission Factors EF'!$E$40),1,('Emission Factors EF'!$E$40-4)))*'Emission Factors EF'!$E$41),(OFFSET(U12,0,-3)*(1-(1-'Emission Factors EF'!$E$41)^3)+SUM($C12:Q12)*'Emission Factors EF'!$E$41)),0)</f>
        <v>0.71630689030353989</v>
      </c>
      <c r="V18" s="196">
        <f ca="1">IF(V$3-'Emission Factors EF'!$C46&gt;2,IF(('Emissions GEI HFCs'!V$3-'Emission Factors EF'!$C46)&gt;='Emission Factors EF'!$E$40,(OFFSET(V12,0,-3)*(1-(1-'Emission Factors EF'!$E$41)^3)+SUM(OFFSET(V12,0,(1-'Emission Factors EF'!$E$40),1,('Emission Factors EF'!$E$40-4)))*'Emission Factors EF'!$E$41),(OFFSET(V12,0,-3)*(1-(1-'Emission Factors EF'!$E$41)^3)+SUM($C12:R12)*'Emission Factors EF'!$E$41)),0)</f>
        <v>0.76523363065977812</v>
      </c>
      <c r="W18" s="196">
        <f ca="1">IF(W$3-'Emission Factors EF'!$C46&gt;2,IF(('Emissions GEI HFCs'!W$3-'Emission Factors EF'!$C46)&gt;='Emission Factors EF'!$E$40,(OFFSET(W12,0,-3)*(1-(1-'Emission Factors EF'!$E$41)^3)+SUM(OFFSET(W12,0,(1-'Emission Factors EF'!$E$40),1,('Emission Factors EF'!$E$40-4)))*'Emission Factors EF'!$E$41),(OFFSET(W12,0,-3)*(1-(1-'Emission Factors EF'!$E$41)^3)+SUM($C12:S12)*'Emission Factors EF'!$E$41)),0)</f>
        <v>0.78172736324117331</v>
      </c>
      <c r="X18" s="196">
        <f ca="1">IF(X$3-'Emission Factors EF'!$C46&gt;2,IF(('Emissions GEI HFCs'!X$3-'Emission Factors EF'!$C46)&gt;='Emission Factors EF'!$E$40,(OFFSET(X12,0,-3)*(1-(1-'Emission Factors EF'!$E$41)^3)+SUM(OFFSET(X12,0,(1-'Emission Factors EF'!$E$40),1,('Emission Factors EF'!$E$40-4)))*'Emission Factors EF'!$E$41),(OFFSET(X12,0,-3)*(1-(1-'Emission Factors EF'!$E$41)^3)+SUM($C12:T12)*'Emission Factors EF'!$E$41)),0)</f>
        <v>1.5043651354720791</v>
      </c>
      <c r="Y18" s="196">
        <f ca="1">IF(Y$3-'Emission Factors EF'!$C46&gt;2,IF(('Emissions GEI HFCs'!Y$3-'Emission Factors EF'!$C46)&gt;='Emission Factors EF'!$E$40,(OFFSET(Y12,0,-3)*(1-(1-'Emission Factors EF'!$E$41)^3)+SUM(OFFSET(Y12,0,(1-'Emission Factors EF'!$E$40),1,('Emission Factors EF'!$E$40-4)))*'Emission Factors EF'!$E$41),(OFFSET(Y12,0,-3)*(1-(1-'Emission Factors EF'!$E$41)^3)+SUM($C12:U12)*'Emission Factors EF'!$E$41)),0)</f>
        <v>2.7564809272962725</v>
      </c>
      <c r="Z18" s="196">
        <f ca="1">IF(Z$3-'Emission Factors EF'!$C46&gt;2,IF(('Emissions GEI HFCs'!Z$3-'Emission Factors EF'!$C46)&gt;='Emission Factors EF'!$E$40,(OFFSET(Z12,0,-3)*(1-(1-'Emission Factors EF'!$E$41)^3)+SUM(OFFSET(Z12,0,(1-'Emission Factors EF'!$E$40),1,('Emission Factors EF'!$E$40-4)))*'Emission Factors EF'!$E$41),(OFFSET(Z12,0,-3)*(1-(1-'Emission Factors EF'!$E$41)^3)+SUM($C12:V12)*'Emission Factors EF'!$E$41)),0)</f>
        <v>7.1153698999577726</v>
      </c>
      <c r="AA18" s="196">
        <f ca="1">IF(AA$3-'Emission Factors EF'!$C46&gt;2,IF(('Emissions GEI HFCs'!AA$3-'Emission Factors EF'!$C46)&gt;='Emission Factors EF'!$E$40,(OFFSET(AA12,0,-3)*(1-(1-'Emission Factors EF'!$E$41)^3)+SUM(OFFSET(AA12,0,(1-'Emission Factors EF'!$E$40),1,('Emission Factors EF'!$E$40-4)))*'Emission Factors EF'!$E$41),(OFFSET(AA12,0,-3)*(1-(1-'Emission Factors EF'!$E$41)^3)+SUM($C12:W12)*'Emission Factors EF'!$E$41)),0)</f>
        <v>5.777972399455745</v>
      </c>
      <c r="AB18" s="196">
        <f ca="1">IF(AB$3-'Emission Factors EF'!$C46&gt;2,IF(('Emissions GEI HFCs'!AB$3-'Emission Factors EF'!$C46)&gt;='Emission Factors EF'!$E$40,(OFFSET(AB12,0,-3)*(1-(1-'Emission Factors EF'!$E$41)^3)+SUM(OFFSET(AB12,0,(1-'Emission Factors EF'!$E$40),1,('Emission Factors EF'!$E$40-4)))*'Emission Factors EF'!$E$41),(OFFSET(AB12,0,-3)*(1-(1-'Emission Factors EF'!$E$41)^3)+SUM($C12:X12)*'Emission Factors EF'!$E$41)),0)</f>
        <v>8.3320480206600784</v>
      </c>
      <c r="AC18" s="196">
        <f ca="1">IF(AC$3-'Emission Factors EF'!$C46&gt;2,IF(('Emissions GEI HFCs'!AC$3-'Emission Factors EF'!$C46)&gt;='Emission Factors EF'!$E$40,(OFFSET(AC12,0,-3)*(1-(1-'Emission Factors EF'!$E$41)^3)+SUM(OFFSET(AC12,0,(1-'Emission Factors EF'!$E$40),1,('Emission Factors EF'!$E$40-4)))*'Emission Factors EF'!$E$41),(OFFSET(AC12,0,-3)*(1-(1-'Emission Factors EF'!$E$41)^3)+SUM($C12:Y12)*'Emission Factors EF'!$E$41)),0)</f>
        <v>9.6043345191853273</v>
      </c>
      <c r="AD18" s="238">
        <f ca="1">IF(AD$3-'Emission Factors EF'!$C46&gt;2,IF(('Emissions GEI HFCs'!AD$3-'Emission Factors EF'!$C46)&gt;='Emission Factors EF'!$E$40,(OFFSET(AD12,0,-3)*(1-(1-'Emission Factors EF'!$E$41)^3)+SUM(OFFSET(AD12,0,(1-'Emission Factors EF'!$E$40),1,('Emission Factors EF'!$E$40-4)))*'Emission Factors EF'!$E$41),(OFFSET(AD12,0,-3)*(1-(1-'Emission Factors EF'!$E$41)^3)+SUM($C12:Z12)*'Emission Factors EF'!$E$41)),0)</f>
        <v>9.6893097760467342</v>
      </c>
    </row>
    <row r="19" spans="2:30" x14ac:dyDescent="0.35">
      <c r="B19" s="641"/>
      <c r="C19" s="98" t="s">
        <v>51</v>
      </c>
      <c r="D19" s="248">
        <v>0</v>
      </c>
      <c r="E19" s="224">
        <v>0</v>
      </c>
      <c r="F19" s="224">
        <v>0</v>
      </c>
      <c r="G19" s="196">
        <f ca="1">IF(G$3-'Emission Factors EF'!$C47&gt;2,IF((G$3-'Emission Factors EF'!$C47)&gt;='Emission Factors EF'!$E$40,(OFFSET(G13,0,-3)*(1-(1-'Emission Factors EF'!$E$41)^3)+SUM(OFFSET(G13,0,(1-'Emission Factors EF'!$E$40),1,('Emission Factors EF'!$E$40-4)))*'Emission Factors EF'!$E$41),(OFFSET(G13,0,-3)*(1-(1-'Emission Factors EF'!$E$41)^3)+SUM($C13:$D13)*'Emission Factors EF'!$E$41)),0)</f>
        <v>3.0223350000000004</v>
      </c>
      <c r="H19" s="196">
        <f ca="1">IF(H$3-'Emission Factors EF'!$C47&gt;2,IF(('Emissions GEI HFCs'!H$3-'Emission Factors EF'!$C47)&gt;='Emission Factors EF'!$E$40,(OFFSET(H13,0,-3)*(1-(1-'Emission Factors EF'!$E$41)^3)+SUM(OFFSET(H13,0,(1-'Emission Factors EF'!$E$40),1,('Emission Factors EF'!$E$40-4)))*'Emission Factors EF'!$E$41),(OFFSET(H13,0,-3)*(1-(1-'Emission Factors EF'!$E$41)^3)+SUM($C13:$D13)*'Emission Factors EF'!$E$41)),0)</f>
        <v>2.8949962500000002</v>
      </c>
      <c r="I19" s="196">
        <f ca="1">IF(I$3-'Emission Factors EF'!$C47&gt;2,IF(('Emissions GEI HFCs'!I$3-'Emission Factors EF'!$C47)&gt;='Emission Factors EF'!$E$40,(OFFSET(I13,0,-3)*(1-(1-'Emission Factors EF'!$E$41)^3)+SUM(OFFSET(I13,0,(1-'Emission Factors EF'!$E$40),1,('Emission Factors EF'!$E$40-4)))*'Emission Factors EF'!$E$41),(OFFSET(I13,0,-3)*(1-(1-'Emission Factors EF'!$E$41)^3)+SUM($C13:E13)*'Emission Factors EF'!$E$41)),0)</f>
        <v>3.66834375</v>
      </c>
      <c r="J19" s="196">
        <f ca="1">IF(J$3-'Emission Factors EF'!$C47&gt;2,IF(('Emissions GEI HFCs'!J$3-'Emission Factors EF'!$C47)&gt;='Emission Factors EF'!$E$40,(OFFSET(J13,0,-3)*(1-(1-'Emission Factors EF'!$E$41)^3)+SUM(OFFSET(J13,0,(1-'Emission Factors EF'!$E$40),1,('Emission Factors EF'!$E$40-4)))*'Emission Factors EF'!$E$41),(OFFSET(J13,0,-3)*(1-(1-'Emission Factors EF'!$E$41)^3)+SUM($C13:F13)*'Emission Factors EF'!$E$41)),0)</f>
        <v>3.3243289818749995</v>
      </c>
      <c r="K19" s="196">
        <f ca="1">IF(K$3-'Emission Factors EF'!$C47&gt;2,IF(('Emissions GEI HFCs'!K$3-'Emission Factors EF'!$C47)&gt;='Emission Factors EF'!$E$40,(OFFSET(K13,0,-3)*(1-(1-'Emission Factors EF'!$E$41)^3)+SUM(OFFSET(K13,0,(1-'Emission Factors EF'!$E$40),1,('Emission Factors EF'!$E$40-4)))*'Emission Factors EF'!$E$41),(OFFSET(K13,0,-3)*(1-(1-'Emission Factors EF'!$E$41)^3)+SUM($C13:G13)*'Emission Factors EF'!$E$41)),0)</f>
        <v>3.6902455720312499</v>
      </c>
      <c r="L19" s="196">
        <f ca="1">IF(L$3-'Emission Factors EF'!$C47&gt;2,IF(('Emissions GEI HFCs'!L$3-'Emission Factors EF'!$C47)&gt;='Emission Factors EF'!$E$40,(OFFSET(L13,0,-3)*(1-(1-'Emission Factors EF'!$E$41)^3)+SUM(OFFSET(L13,0,(1-'Emission Factors EF'!$E$40),1,('Emission Factors EF'!$E$40-4)))*'Emission Factors EF'!$E$41),(OFFSET(L13,0,-3)*(1-(1-'Emission Factors EF'!$E$41)^3)+SUM($C13:H13)*'Emission Factors EF'!$E$41)),0)</f>
        <v>3.8160381679687498</v>
      </c>
      <c r="M19" s="196">
        <f ca="1">IF(M$3-'Emission Factors EF'!$C47&gt;2,IF(('Emissions GEI HFCs'!M$3-'Emission Factors EF'!$C47)&gt;='Emission Factors EF'!$E$40,(OFFSET(M13,0,-3)*(1-(1-'Emission Factors EF'!$E$41)^3)+SUM(OFFSET(M13,0,(1-'Emission Factors EF'!$E$40),1,('Emission Factors EF'!$E$40-4)))*'Emission Factors EF'!$E$41),(OFFSET(M13,0,-3)*(1-(1-'Emission Factors EF'!$E$41)^3)+SUM($C13:I13)*'Emission Factors EF'!$E$41)),0)</f>
        <v>4.2917083041189841</v>
      </c>
      <c r="N19" s="196">
        <f ca="1">IF(N$3-'Emission Factors EF'!$C47&gt;2,IF(('Emissions GEI HFCs'!N$3-'Emission Factors EF'!$C47)&gt;='Emission Factors EF'!$E$40,(OFFSET(N13,0,-3)*(1-(1-'Emission Factors EF'!$E$41)^3)+SUM(OFFSET(N13,0,(1-'Emission Factors EF'!$E$40),1,('Emission Factors EF'!$E$40-4)))*'Emission Factors EF'!$E$41),(OFFSET(N13,0,-3)*(1-(1-'Emission Factors EF'!$E$41)^3)+SUM($C13:J13)*'Emission Factors EF'!$E$41)),0)</f>
        <v>4.5711771426111909</v>
      </c>
      <c r="O19" s="196">
        <f ca="1">IF(O$3-'Emission Factors EF'!$C47&gt;2,IF(('Emissions GEI HFCs'!O$3-'Emission Factors EF'!$C47)&gt;='Emission Factors EF'!$E$40,(OFFSET(O13,0,-3)*(1-(1-'Emission Factors EF'!$E$41)^3)+SUM(OFFSET(O13,0,(1-'Emission Factors EF'!$E$40),1,('Emission Factors EF'!$E$40-4)))*'Emission Factors EF'!$E$41),(OFFSET(O13,0,-3)*(1-(1-'Emission Factors EF'!$E$41)^3)+SUM($C13:K13)*'Emission Factors EF'!$E$41)),0)</f>
        <v>4.9207750888491208</v>
      </c>
      <c r="P19" s="196">
        <f ca="1">IF(P$3-'Emission Factors EF'!$C47&gt;2,IF(('Emissions GEI HFCs'!P$3-'Emission Factors EF'!$C47)&gt;='Emission Factors EF'!$E$40,(OFFSET(P13,0,-3)*(1-(1-'Emission Factors EF'!$E$41)^3)+SUM(OFFSET(P13,0,(1-'Emission Factors EF'!$E$40),1,('Emission Factors EF'!$E$40-4)))*'Emission Factors EF'!$E$41),(OFFSET(P13,0,-3)*(1-(1-'Emission Factors EF'!$E$41)^3)+SUM($C13:L13)*'Emission Factors EF'!$E$41)),0)</f>
        <v>5.127201399866836</v>
      </c>
      <c r="Q19" s="196">
        <f ca="1">IF(Q$3-'Emission Factors EF'!$C47&gt;2,IF(('Emissions GEI HFCs'!Q$3-'Emission Factors EF'!$C47)&gt;='Emission Factors EF'!$E$40,(OFFSET(Q13,0,-3)*(1-(1-'Emission Factors EF'!$E$41)^3)+SUM(OFFSET(Q13,0,(1-'Emission Factors EF'!$E$40),1,('Emission Factors EF'!$E$40-4)))*'Emission Factors EF'!$E$41),(OFFSET(Q13,0,-3)*(1-(1-'Emission Factors EF'!$E$41)^3)+SUM($C13:M13)*'Emission Factors EF'!$E$41)),0)</f>
        <v>5.5032601161958077</v>
      </c>
      <c r="R19" s="196">
        <f ca="1">IF(R$3-'Emission Factors EF'!$C47&gt;2,IF(('Emissions GEI HFCs'!R$3-'Emission Factors EF'!$C47)&gt;='Emission Factors EF'!$E$40,(OFFSET(R13,0,-3)*(1-(1-'Emission Factors EF'!$E$41)^3)+SUM(OFFSET(R13,0,(1-'Emission Factors EF'!$E$40),1,('Emission Factors EF'!$E$40-4)))*'Emission Factors EF'!$E$41),(OFFSET(R13,0,-3)*(1-(1-'Emission Factors EF'!$E$41)^3)+SUM($C13:N13)*'Emission Factors EF'!$E$41)),0)</f>
        <v>5.7609986872995682</v>
      </c>
      <c r="S19" s="196">
        <f ca="1">IF(S$3-'Emission Factors EF'!$C47&gt;2,IF(('Emissions GEI HFCs'!S$3-'Emission Factors EF'!$C47)&gt;='Emission Factors EF'!$E$40,(OFFSET(S13,0,-3)*(1-(1-'Emission Factors EF'!$E$41)^3)+SUM(OFFSET(S13,0,(1-'Emission Factors EF'!$E$40),1,('Emission Factors EF'!$E$40-4)))*'Emission Factors EF'!$E$41),(OFFSET(S13,0,-3)*(1-(1-'Emission Factors EF'!$E$41)^3)+SUM($C13:O13)*'Emission Factors EF'!$E$41)),0)</f>
        <v>5.1538801712082405</v>
      </c>
      <c r="T19" s="196">
        <f ca="1">IF(T$3-'Emission Factors EF'!$C47&gt;2,IF(('Emissions GEI HFCs'!T$3-'Emission Factors EF'!$C47)&gt;='Emission Factors EF'!$E$40,(OFFSET(T13,0,-3)*(1-(1-'Emission Factors EF'!$E$41)^3)+SUM(OFFSET(T13,0,(1-'Emission Factors EF'!$E$40),1,('Emission Factors EF'!$E$40-4)))*'Emission Factors EF'!$E$41),(OFFSET(T13,0,-3)*(1-(1-'Emission Factors EF'!$E$41)^3)+SUM($C13:P13)*'Emission Factors EF'!$E$41)),0)</f>
        <v>4.6014508040647737</v>
      </c>
      <c r="U19" s="196">
        <f ca="1">IF(U$3-'Emission Factors EF'!$C47&gt;2,IF(('Emissions GEI HFCs'!U$3-'Emission Factors EF'!$C47)&gt;='Emission Factors EF'!$E$40,(OFFSET(U13,0,-3)*(1-(1-'Emission Factors EF'!$E$41)^3)+SUM(OFFSET(U13,0,(1-'Emission Factors EF'!$E$40),1,('Emission Factors EF'!$E$40-4)))*'Emission Factors EF'!$E$41),(OFFSET(U13,0,-3)*(1-(1-'Emission Factors EF'!$E$41)^3)+SUM($C13:Q13)*'Emission Factors EF'!$E$41)),0)</f>
        <v>4.0845519155107386</v>
      </c>
      <c r="V19" s="196">
        <f ca="1">IF(V$3-'Emission Factors EF'!$C47&gt;2,IF(('Emissions GEI HFCs'!V$3-'Emission Factors EF'!$C47)&gt;='Emission Factors EF'!$E$40,(OFFSET(V13,0,-3)*(1-(1-'Emission Factors EF'!$E$41)^3)+SUM(OFFSET(V13,0,(1-'Emission Factors EF'!$E$40),1,('Emission Factors EF'!$E$40-4)))*'Emission Factors EF'!$E$41),(OFFSET(V13,0,-3)*(1-(1-'Emission Factors EF'!$E$41)^3)+SUM($C13:R13)*'Emission Factors EF'!$E$41)),0)</f>
        <v>4.3561454698125441</v>
      </c>
      <c r="W19" s="196">
        <f ca="1">IF(W$3-'Emission Factors EF'!$C47&gt;2,IF(('Emissions GEI HFCs'!W$3-'Emission Factors EF'!$C47)&gt;='Emission Factors EF'!$E$40,(OFFSET(W13,0,-3)*(1-(1-'Emission Factors EF'!$E$41)^3)+SUM(OFFSET(W13,0,(1-'Emission Factors EF'!$E$40),1,('Emission Factors EF'!$E$40-4)))*'Emission Factors EF'!$E$41),(OFFSET(W13,0,-3)*(1-(1-'Emission Factors EF'!$E$41)^3)+SUM($C13:S13)*'Emission Factors EF'!$E$41)),0)</f>
        <v>4.455414063677793</v>
      </c>
      <c r="X19" s="196">
        <f ca="1">IF(X$3-'Emission Factors EF'!$C47&gt;2,IF(('Emissions GEI HFCs'!X$3-'Emission Factors EF'!$C47)&gt;='Emission Factors EF'!$E$40,(OFFSET(X13,0,-3)*(1-(1-'Emission Factors EF'!$E$41)^3)+SUM(OFFSET(X13,0,(1-'Emission Factors EF'!$E$40),1,('Emission Factors EF'!$E$40-4)))*'Emission Factors EF'!$E$41),(OFFSET(X13,0,-3)*(1-(1-'Emission Factors EF'!$E$41)^3)+SUM($C13:T13)*'Emission Factors EF'!$E$41)),0)</f>
        <v>7.6789576141888656</v>
      </c>
      <c r="Y19" s="196">
        <f ca="1">IF(Y$3-'Emission Factors EF'!$C47&gt;2,IF(('Emissions GEI HFCs'!Y$3-'Emission Factors EF'!$C47)&gt;='Emission Factors EF'!$E$40,(OFFSET(Y13,0,-3)*(1-(1-'Emission Factors EF'!$E$41)^3)+SUM(OFFSET(Y13,0,(1-'Emission Factors EF'!$E$40),1,('Emission Factors EF'!$E$40-4)))*'Emission Factors EF'!$E$41),(OFFSET(Y13,0,-3)*(1-(1-'Emission Factors EF'!$E$41)^3)+SUM($C13:U13)*'Emission Factors EF'!$E$41)),0)</f>
        <v>8.887928011377296</v>
      </c>
      <c r="Z19" s="196">
        <f ca="1">IF(Z$3-'Emission Factors EF'!$C47&gt;2,IF(('Emissions GEI HFCs'!Z$3-'Emission Factors EF'!$C47)&gt;='Emission Factors EF'!$E$40,(OFFSET(Z13,0,-3)*(1-(1-'Emission Factors EF'!$E$41)^3)+SUM(OFFSET(Z13,0,(1-'Emission Factors EF'!$E$40),1,('Emission Factors EF'!$E$40-4)))*'Emission Factors EF'!$E$41),(OFFSET(Z13,0,-3)*(1-(1-'Emission Factors EF'!$E$41)^3)+SUM($C13:V13)*'Emission Factors EF'!$E$41)),0)</f>
        <v>14.86700025805235</v>
      </c>
      <c r="AA19" s="196">
        <f ca="1">IF(AA$3-'Emission Factors EF'!$C47&gt;2,IF(('Emissions GEI HFCs'!AA$3-'Emission Factors EF'!$C47)&gt;='Emission Factors EF'!$E$40,(OFFSET(AA13,0,-3)*(1-(1-'Emission Factors EF'!$E$41)^3)+SUM(OFFSET(AA13,0,(1-'Emission Factors EF'!$E$40),1,('Emission Factors EF'!$E$40-4)))*'Emission Factors EF'!$E$41),(OFFSET(AA13,0,-3)*(1-(1-'Emission Factors EF'!$E$41)^3)+SUM($C13:W13)*'Emission Factors EF'!$E$41)),0)</f>
        <v>14.818562756142533</v>
      </c>
      <c r="AB19" s="196">
        <f ca="1">IF(AB$3-'Emission Factors EF'!$C47&gt;2,IF(('Emissions GEI HFCs'!AB$3-'Emission Factors EF'!$C47)&gt;='Emission Factors EF'!$E$40,(OFFSET(AB13,0,-3)*(1-(1-'Emission Factors EF'!$E$41)^3)+SUM(OFFSET(AB13,0,(1-'Emission Factors EF'!$E$40),1,('Emission Factors EF'!$E$40-4)))*'Emission Factors EF'!$E$41),(OFFSET(AB13,0,-3)*(1-(1-'Emission Factors EF'!$E$41)^3)+SUM($C13:X13)*'Emission Factors EF'!$E$41)),0)</f>
        <v>25.257992657616967</v>
      </c>
      <c r="AC19" s="196">
        <f ca="1">IF(AC$3-'Emission Factors EF'!$C47&gt;2,IF(('Emissions GEI HFCs'!AC$3-'Emission Factors EF'!$C47)&gt;='Emission Factors EF'!$E$40,(OFFSET(AC13,0,-3)*(1-(1-'Emission Factors EF'!$E$41)^3)+SUM(OFFSET(AC13,0,(1-'Emission Factors EF'!$E$40),1,('Emission Factors EF'!$E$40-4)))*'Emission Factors EF'!$E$41),(OFFSET(AC13,0,-3)*(1-(1-'Emission Factors EF'!$E$41)^3)+SUM($C13:Y13)*'Emission Factors EF'!$E$41)),0)</f>
        <v>28.068630524116315</v>
      </c>
      <c r="AD19" s="238">
        <f ca="1">IF(AD$3-'Emission Factors EF'!$C47&gt;2,IF(('Emissions GEI HFCs'!AD$3-'Emission Factors EF'!$C47)&gt;='Emission Factors EF'!$E$40,(OFFSET(AD13,0,-3)*(1-(1-'Emission Factors EF'!$E$41)^3)+SUM(OFFSET(AD13,0,(1-'Emission Factors EF'!$E$40),1,('Emission Factors EF'!$E$40-4)))*'Emission Factors EF'!$E$41),(OFFSET(AD13,0,-3)*(1-(1-'Emission Factors EF'!$E$41)^3)+SUM($C13:Z13)*'Emission Factors EF'!$E$41)),0)</f>
        <v>35.188557569785274</v>
      </c>
    </row>
    <row r="20" spans="2:30" x14ac:dyDescent="0.35">
      <c r="B20" s="641"/>
      <c r="C20" s="98" t="s">
        <v>52</v>
      </c>
      <c r="D20" s="248">
        <v>0</v>
      </c>
      <c r="E20" s="224">
        <v>0</v>
      </c>
      <c r="F20" s="224">
        <v>0</v>
      </c>
      <c r="G20" s="196">
        <f ca="1">IF(G$3-'Emission Factors EF'!$C48&gt;2,IF(('Emissions GEI HFCs'!G$3-'Emission Factors EF'!$C48)&gt;='Emission Factors EF'!$E$40,(OFFSET(G14,0,-3)*(1-(1-'Emission Factors EF'!$E$41)^3)+SUM(OFFSET(G14,0,(1-'Emission Factors EF'!$E$40),1,('Emission Factors EF'!$E$40-4)))*'Emission Factors EF'!$E$41),(OFFSET(G14,0,-3)*(1-(1-'Emission Factors EF'!$E$41)^3)+SUM($C14:$D14)*'Emission Factors EF'!$E$41)),0)</f>
        <v>8.1399412500000015</v>
      </c>
      <c r="H20" s="196">
        <f ca="1">IF(H$3-'Emission Factors EF'!$C48&gt;2,IF(('Emissions GEI HFCs'!H$3-'Emission Factors EF'!$C48)&gt;='Emission Factors EF'!$E$40,(OFFSET(H14,0,-3)*(1-(1-'Emission Factors EF'!$E$41)^3)+SUM(OFFSET(H14,0,(1-'Emission Factors EF'!$E$40),1,('Emission Factors EF'!$E$40-4)))*'Emission Factors EF'!$E$41),(OFFSET(H14,0,-3)*(1-(1-'Emission Factors EF'!$E$41)^3)+SUM($C14:$D14)*'Emission Factors EF'!$E$41)),0)</f>
        <v>8.1553762500000015</v>
      </c>
      <c r="I20" s="196">
        <f ca="1">IF(I$3-'Emission Factors EF'!$C48&gt;2,IF(('Emissions GEI HFCs'!I$3-'Emission Factors EF'!$C48)&gt;='Emission Factors EF'!$E$40,(OFFSET(I14,0,-3)*(1-(1-'Emission Factors EF'!$E$41)^3)+SUM(OFFSET(I14,0,(1-'Emission Factors EF'!$E$40),1,('Emission Factors EF'!$E$40-4)))*'Emission Factors EF'!$E$41),(OFFSET(I14,0,-3)*(1-(1-'Emission Factors EF'!$E$41)^3)+SUM($C14:E14)*'Emission Factors EF'!$E$41)),0)</f>
        <v>10.443735</v>
      </c>
      <c r="J20" s="196">
        <f ca="1">IF(J$3-'Emission Factors EF'!$C48&gt;2,IF(('Emissions GEI HFCs'!J$3-'Emission Factors EF'!$C48)&gt;='Emission Factors EF'!$E$40,(OFFSET(J14,0,-3)*(1-(1-'Emission Factors EF'!$E$41)^3)+SUM(OFFSET(J14,0,(1-'Emission Factors EF'!$E$40),1,('Emission Factors EF'!$E$40-4)))*'Emission Factors EF'!$E$41),(OFFSET(J14,0,-3)*(1-(1-'Emission Factors EF'!$E$41)^3)+SUM($C14:F14)*'Emission Factors EF'!$E$41)),0)</f>
        <v>9.5848764201562506</v>
      </c>
      <c r="K20" s="196">
        <f ca="1">IF(K$3-'Emission Factors EF'!$C48&gt;2,IF(('Emissions GEI HFCs'!K$3-'Emission Factors EF'!$C48)&gt;='Emission Factors EF'!$E$40,(OFFSET(K14,0,-3)*(1-(1-'Emission Factors EF'!$E$41)^3)+SUM(OFFSET(K14,0,(1-'Emission Factors EF'!$E$40),1,('Emission Factors EF'!$E$40-4)))*'Emission Factors EF'!$E$41),(OFFSET(K14,0,-3)*(1-(1-'Emission Factors EF'!$E$41)^3)+SUM($C14:G14)*'Emission Factors EF'!$E$41)),0)</f>
        <v>10.64628800203125</v>
      </c>
      <c r="L20" s="196">
        <f ca="1">IF(L$3-'Emission Factors EF'!$C48&gt;2,IF(('Emissions GEI HFCs'!L$3-'Emission Factors EF'!$C48)&gt;='Emission Factors EF'!$E$40,(OFFSET(L14,0,-3)*(1-(1-'Emission Factors EF'!$E$41)^3)+SUM(OFFSET(L14,0,(1-'Emission Factors EF'!$E$40),1,('Emission Factors EF'!$E$40-4)))*'Emission Factors EF'!$E$41),(OFFSET(L14,0,-3)*(1-(1-'Emission Factors EF'!$E$41)^3)+SUM($C14:H14)*'Emission Factors EF'!$E$41)),0)</f>
        <v>10.814384881875</v>
      </c>
      <c r="M20" s="196">
        <f ca="1">IF(M$3-'Emission Factors EF'!$C48&gt;2,IF(('Emissions GEI HFCs'!M$3-'Emission Factors EF'!$C48)&gt;='Emission Factors EF'!$E$40,(OFFSET(M14,0,-3)*(1-(1-'Emission Factors EF'!$E$41)^3)+SUM(OFFSET(M14,0,(1-'Emission Factors EF'!$E$40),1,('Emission Factors EF'!$E$40-4)))*'Emission Factors EF'!$E$41),(OFFSET(M14,0,-3)*(1-(1-'Emission Factors EF'!$E$41)^3)+SUM($C14:I14)*'Emission Factors EF'!$E$41)),0)</f>
        <v>11.853019186372206</v>
      </c>
      <c r="N20" s="196">
        <f ca="1">IF(N$3-'Emission Factors EF'!$C48&gt;2,IF(('Emissions GEI HFCs'!N$3-'Emission Factors EF'!$C48)&gt;='Emission Factors EF'!$E$40,(OFFSET(N14,0,-3)*(1-(1-'Emission Factors EF'!$E$41)^3)+SUM(OFFSET(N14,0,(1-'Emission Factors EF'!$E$40),1,('Emission Factors EF'!$E$40-4)))*'Emission Factors EF'!$E$41),(OFFSET(N14,0,-3)*(1-(1-'Emission Factors EF'!$E$41)^3)+SUM($C14:J14)*'Emission Factors EF'!$E$41)),0)</f>
        <v>12.272639279192754</v>
      </c>
      <c r="O20" s="196">
        <f ca="1">IF(O$3-'Emission Factors EF'!$C48&gt;2,IF(('Emissions GEI HFCs'!O$3-'Emission Factors EF'!$C48)&gt;='Emission Factors EF'!$E$40,(OFFSET(O14,0,-3)*(1-(1-'Emission Factors EF'!$E$41)^3)+SUM(OFFSET(O14,0,(1-'Emission Factors EF'!$E$40),1,('Emission Factors EF'!$E$40-4)))*'Emission Factors EF'!$E$41),(OFFSET(O14,0,-3)*(1-(1-'Emission Factors EF'!$E$41)^3)+SUM($C14:K14)*'Emission Factors EF'!$E$41)),0)</f>
        <v>12.877114195378361</v>
      </c>
      <c r="P20" s="196">
        <f ca="1">IF(P$3-'Emission Factors EF'!$C48&gt;2,IF(('Emissions GEI HFCs'!P$3-'Emission Factors EF'!$C48)&gt;='Emission Factors EF'!$E$40,(OFFSET(P14,0,-3)*(1-(1-'Emission Factors EF'!$E$41)^3)+SUM(OFFSET(P14,0,(1-'Emission Factors EF'!$E$40),1,('Emission Factors EF'!$E$40-4)))*'Emission Factors EF'!$E$41),(OFFSET(P14,0,-3)*(1-(1-'Emission Factors EF'!$E$41)^3)+SUM($C14:L14)*'Emission Factors EF'!$E$41)),0)</f>
        <v>13.117455950849251</v>
      </c>
      <c r="Q20" s="196">
        <f ca="1">IF(Q$3-'Emission Factors EF'!$C48&gt;2,IF(('Emissions GEI HFCs'!Q$3-'Emission Factors EF'!$C48)&gt;='Emission Factors EF'!$E$40,(OFFSET(Q14,0,-3)*(1-(1-'Emission Factors EF'!$E$41)^3)+SUM(OFFSET(Q14,0,(1-'Emission Factors EF'!$E$40),1,('Emission Factors EF'!$E$40-4)))*'Emission Factors EF'!$E$41),(OFFSET(Q14,0,-3)*(1-(1-'Emission Factors EF'!$E$41)^3)+SUM($C14:M14)*'Emission Factors EF'!$E$41)),0)</f>
        <v>12.558069669576291</v>
      </c>
      <c r="R20" s="196">
        <f ca="1">IF(R$3-'Emission Factors EF'!$C48&gt;2,IF(('Emissions GEI HFCs'!R$3-'Emission Factors EF'!$C48)&gt;='Emission Factors EF'!$E$40,(OFFSET(R14,0,-3)*(1-(1-'Emission Factors EF'!$E$41)^3)+SUM(OFFSET(R14,0,(1-'Emission Factors EF'!$E$40),1,('Emission Factors EF'!$E$40-4)))*'Emission Factors EF'!$E$41),(OFFSET(R14,0,-3)*(1-(1-'Emission Factors EF'!$E$41)^3)+SUM($C14:N14)*'Emission Factors EF'!$E$41)),0)</f>
        <v>12.399204519414257</v>
      </c>
      <c r="S20" s="196">
        <f ca="1">IF(S$3-'Emission Factors EF'!$C48&gt;2,IF(('Emissions GEI HFCs'!S$3-'Emission Factors EF'!$C48)&gt;='Emission Factors EF'!$E$40,(OFFSET(S14,0,-3)*(1-(1-'Emission Factors EF'!$E$41)^3)+SUM(OFFSET(S14,0,(1-'Emission Factors EF'!$E$40),1,('Emission Factors EF'!$E$40-4)))*'Emission Factors EF'!$E$41),(OFFSET(S14,0,-3)*(1-(1-'Emission Factors EF'!$E$41)^3)+SUM($C14:O14)*'Emission Factors EF'!$E$41)),0)</f>
        <v>9.9778080152151709</v>
      </c>
      <c r="T20" s="196">
        <f ca="1">IF(T$3-'Emission Factors EF'!$C48&gt;2,IF(('Emissions GEI HFCs'!T$3-'Emission Factors EF'!$C48)&gt;='Emission Factors EF'!$E$40,(OFFSET(T14,0,-3)*(1-(1-'Emission Factors EF'!$E$41)^3)+SUM(OFFSET(T14,0,(1-'Emission Factors EF'!$E$40),1,('Emission Factors EF'!$E$40-4)))*'Emission Factors EF'!$E$41),(OFFSET(T14,0,-3)*(1-(1-'Emission Factors EF'!$E$41)^3)+SUM($C14:P14)*'Emission Factors EF'!$E$41)),0)</f>
        <v>7.7925203038739879</v>
      </c>
      <c r="U20" s="196">
        <f ca="1">IF(U$3-'Emission Factors EF'!$C48&gt;2,IF(('Emissions GEI HFCs'!U$3-'Emission Factors EF'!$C48)&gt;='Emission Factors EF'!$E$40,(OFFSET(U14,0,-3)*(1-(1-'Emission Factors EF'!$E$41)^3)+SUM(OFFSET(U14,0,(1-'Emission Factors EF'!$E$40),1,('Emission Factors EF'!$E$40-4)))*'Emission Factors EF'!$E$41),(OFFSET(U14,0,-3)*(1-(1-'Emission Factors EF'!$E$41)^3)+SUM($C14:Q14)*'Emission Factors EF'!$E$41)),0)</f>
        <v>5.53724194325632</v>
      </c>
      <c r="V20" s="196">
        <f ca="1">IF(V$3-'Emission Factors EF'!$C48&gt;2,IF(('Emissions GEI HFCs'!V$3-'Emission Factors EF'!$C48)&gt;='Emission Factors EF'!$E$40,(OFFSET(V14,0,-3)*(1-(1-'Emission Factors EF'!$E$41)^3)+SUM(OFFSET(V14,0,(1-'Emission Factors EF'!$E$40),1,('Emission Factors EF'!$E$40-4)))*'Emission Factors EF'!$E$41),(OFFSET(V14,0,-3)*(1-(1-'Emission Factors EF'!$E$41)^3)+SUM($C14:R14)*'Emission Factors EF'!$E$41)),0)</f>
        <v>5.3739038289020016</v>
      </c>
      <c r="W20" s="196">
        <f ca="1">IF(W$3-'Emission Factors EF'!$C48&gt;2,IF(('Emissions GEI HFCs'!W$3-'Emission Factors EF'!$C48)&gt;='Emission Factors EF'!$E$40,(OFFSET(W14,0,-3)*(1-(1-'Emission Factors EF'!$E$41)^3)+SUM(OFFSET(W14,0,(1-'Emission Factors EF'!$E$40),1,('Emission Factors EF'!$E$40-4)))*'Emission Factors EF'!$E$41),(OFFSET(W14,0,-3)*(1-(1-'Emission Factors EF'!$E$41)^3)+SUM($C14:S14)*'Emission Factors EF'!$E$41)),0)</f>
        <v>5.5156457097335059</v>
      </c>
      <c r="X20" s="196">
        <f ca="1">IF(X$3-'Emission Factors EF'!$C48&gt;2,IF(('Emissions GEI HFCs'!X$3-'Emission Factors EF'!$C48)&gt;='Emission Factors EF'!$E$40,(OFFSET(X14,0,-3)*(1-(1-'Emission Factors EF'!$E$41)^3)+SUM(OFFSET(X14,0,(1-'Emission Factors EF'!$E$40),1,('Emission Factors EF'!$E$40-4)))*'Emission Factors EF'!$E$41),(OFFSET(X14,0,-3)*(1-(1-'Emission Factors EF'!$E$41)^3)+SUM($C14:T14)*'Emission Factors EF'!$E$41)),0)</f>
        <v>10.270355951555752</v>
      </c>
      <c r="Y20" s="196">
        <f ca="1">IF(Y$3-'Emission Factors EF'!$C48&gt;2,IF(('Emissions GEI HFCs'!Y$3-'Emission Factors EF'!$C48)&gt;='Emission Factors EF'!$E$40,(OFFSET(Y14,0,-3)*(1-(1-'Emission Factors EF'!$E$41)^3)+SUM(OFFSET(Y14,0,(1-'Emission Factors EF'!$E$40),1,('Emission Factors EF'!$E$40-4)))*'Emission Factors EF'!$E$41),(OFFSET(Y14,0,-3)*(1-(1-'Emission Factors EF'!$E$41)^3)+SUM($C14:U14)*'Emission Factors EF'!$E$41)),0)</f>
        <v>34.087426717967219</v>
      </c>
      <c r="Z20" s="196">
        <f ca="1">IF(Z$3-'Emission Factors EF'!$C48&gt;2,IF(('Emissions GEI HFCs'!Z$3-'Emission Factors EF'!$C48)&gt;='Emission Factors EF'!$E$40,(OFFSET(Z14,0,-3)*(1-(1-'Emission Factors EF'!$E$41)^3)+SUM(OFFSET(Z14,0,(1-'Emission Factors EF'!$E$40),1,('Emission Factors EF'!$E$40-4)))*'Emission Factors EF'!$E$41),(OFFSET(Z14,0,-3)*(1-(1-'Emission Factors EF'!$E$41)^3)+SUM($C14:V14)*'Emission Factors EF'!$E$41)),0)</f>
        <v>26.878037195670746</v>
      </c>
      <c r="AA20" s="196">
        <f ca="1">IF(AA$3-'Emission Factors EF'!$C48&gt;2,IF(('Emissions GEI HFCs'!AA$3-'Emission Factors EF'!$C48)&gt;='Emission Factors EF'!$E$40,(OFFSET(AA14,0,-3)*(1-(1-'Emission Factors EF'!$E$41)^3)+SUM(OFFSET(AA14,0,(1-'Emission Factors EF'!$E$40),1,('Emission Factors EF'!$E$40-4)))*'Emission Factors EF'!$E$41),(OFFSET(AA14,0,-3)*(1-(1-'Emission Factors EF'!$E$41)^3)+SUM($C14:W14)*'Emission Factors EF'!$E$41)),0)</f>
        <v>24.710405506928808</v>
      </c>
      <c r="AB20" s="196">
        <f ca="1">IF(AB$3-'Emission Factors EF'!$C48&gt;2,IF(('Emissions GEI HFCs'!AB$3-'Emission Factors EF'!$C48)&gt;='Emission Factors EF'!$E$40,(OFFSET(AB14,0,-3)*(1-(1-'Emission Factors EF'!$E$41)^3)+SUM(OFFSET(AB14,0,(1-'Emission Factors EF'!$E$40),1,('Emission Factors EF'!$E$40-4)))*'Emission Factors EF'!$E$41),(OFFSET(AB14,0,-3)*(1-(1-'Emission Factors EF'!$E$41)^3)+SUM($C14:X14)*'Emission Factors EF'!$E$41)),0)</f>
        <v>23.807064060162254</v>
      </c>
      <c r="AC20" s="196">
        <f ca="1">IF(AC$3-'Emission Factors EF'!$C48&gt;2,IF(('Emissions GEI HFCs'!AC$3-'Emission Factors EF'!$C48)&gt;='Emission Factors EF'!$E$40,(OFFSET(AC14,0,-3)*(1-(1-'Emission Factors EF'!$E$41)^3)+SUM(OFFSET(AC14,0,(1-'Emission Factors EF'!$E$40),1,('Emission Factors EF'!$E$40-4)))*'Emission Factors EF'!$E$41),(OFFSET(AC14,0,-3)*(1-(1-'Emission Factors EF'!$E$41)^3)+SUM($C14:Y14)*'Emission Factors EF'!$E$41)),0)</f>
        <v>24.089100376262238</v>
      </c>
      <c r="AD20" s="238">
        <f ca="1">IF(AD$3-'Emission Factors EF'!$C48&gt;2,IF(('Emissions GEI HFCs'!AD$3-'Emission Factors EF'!$C48)&gt;='Emission Factors EF'!$E$40,(OFFSET(AD14,0,-3)*(1-(1-'Emission Factors EF'!$E$41)^3)+SUM(OFFSET(AD14,0,(1-'Emission Factors EF'!$E$40),1,('Emission Factors EF'!$E$40-4)))*'Emission Factors EF'!$E$41),(OFFSET(AD14,0,-3)*(1-(1-'Emission Factors EF'!$E$41)^3)+SUM($C14:Z14)*'Emission Factors EF'!$E$41)),0)</f>
        <v>22.470894304111674</v>
      </c>
    </row>
    <row r="21" spans="2:30" x14ac:dyDescent="0.35">
      <c r="B21" s="641"/>
      <c r="C21" s="98" t="s">
        <v>54</v>
      </c>
      <c r="D21" s="248">
        <v>0</v>
      </c>
      <c r="E21" s="224">
        <v>0</v>
      </c>
      <c r="F21" s="224">
        <v>0</v>
      </c>
      <c r="G21" s="196">
        <f ca="1">IF(G$3-'Emission Factors EF'!$C49&gt;2,IF(('Emissions GEI HFCs'!G$3-'Emission Factors EF'!$C49)&gt;='Emission Factors EF'!$E$40,(OFFSET(G15,0,-3)*(1-(1-'Emission Factors EF'!$E$41)^3)+SUM(OFFSET(G15,0,(1-'Emission Factors EF'!$E$40),1,('Emission Factors EF'!$E$40-4)))*'Emission Factors EF'!$E$41),(OFFSET(G15,0,-3)*(1-(1-'Emission Factors EF'!$E$41)^3)+SUM($C15:$D15)*'Emission Factors EF'!$E$41)),0)</f>
        <v>2.9312362500000004</v>
      </c>
      <c r="H21" s="196">
        <f ca="1">IF(H$3-'Emission Factors EF'!$C49&gt;2,IF(('Emissions GEI HFCs'!H$3-'Emission Factors EF'!$C49)&gt;='Emission Factors EF'!$E$40,(OFFSET(H15,0,-3)*(1-(1-'Emission Factors EF'!$E$41)^3)+SUM(OFFSET(H15,0,(1-'Emission Factors EF'!$E$40),1,('Emission Factors EF'!$E$40-4)))*'Emission Factors EF'!$E$41),(OFFSET(H15,0,-3)*(1-(1-'Emission Factors EF'!$E$41)^3)+SUM($C15:$D15)*'Emission Factors EF'!$E$41)),0)</f>
        <v>2.8116150000000002</v>
      </c>
      <c r="I21" s="196">
        <f ca="1">IF(I$3-'Emission Factors EF'!$C49&gt;2,IF(('Emissions GEI HFCs'!I$3-'Emission Factors EF'!$C49)&gt;='Emission Factors EF'!$E$40,(OFFSET(I15,0,-3)*(1-(1-'Emission Factors EF'!$E$41)^3)+SUM(OFFSET(I15,0,(1-'Emission Factors EF'!$E$40),1,('Emission Factors EF'!$E$40-4)))*'Emission Factors EF'!$E$41),(OFFSET(I15,0,-3)*(1-(1-'Emission Factors EF'!$E$41)^3)+SUM($C15:E15)*'Emission Factors EF'!$E$41)),0)</f>
        <v>3.5624625000000001</v>
      </c>
      <c r="J21" s="196">
        <f ca="1">IF(J$3-'Emission Factors EF'!$C49&gt;2,IF(('Emissions GEI HFCs'!J$3-'Emission Factors EF'!$C49)&gt;='Emission Factors EF'!$E$40,(OFFSET(J15,0,-3)*(1-(1-'Emission Factors EF'!$E$41)^3)+SUM(OFFSET(J15,0,(1-'Emission Factors EF'!$E$40),1,('Emission Factors EF'!$E$40-4)))*'Emission Factors EF'!$E$41),(OFFSET(J15,0,-3)*(1-(1-'Emission Factors EF'!$E$41)^3)+SUM($C15:F15)*'Emission Factors EF'!$E$41)),0)</f>
        <v>3.2311004620312498</v>
      </c>
      <c r="K21" s="196">
        <f ca="1">IF(K$3-'Emission Factors EF'!$C49&gt;2,IF(('Emissions GEI HFCs'!K$3-'Emission Factors EF'!$C49)&gt;='Emission Factors EF'!$E$40,(OFFSET(K15,0,-3)*(1-(1-'Emission Factors EF'!$E$41)^3)+SUM(OFFSET(K15,0,(1-'Emission Factors EF'!$E$40),1,('Emission Factors EF'!$E$40-4)))*'Emission Factors EF'!$E$41),(OFFSET(K15,0,-3)*(1-(1-'Emission Factors EF'!$E$41)^3)+SUM($C15:G15)*'Emission Factors EF'!$E$41)),0)</f>
        <v>3.5813451243749994</v>
      </c>
      <c r="L21" s="196">
        <f ca="1">IF(L$3-'Emission Factors EF'!$C49&gt;2,IF(('Emissions GEI HFCs'!L$3-'Emission Factors EF'!$C49)&gt;='Emission Factors EF'!$E$40,(OFFSET(L15,0,-3)*(1-(1-'Emission Factors EF'!$E$41)^3)+SUM(OFFSET(L15,0,(1-'Emission Factors EF'!$E$40),1,('Emission Factors EF'!$E$40-4)))*'Emission Factors EF'!$E$41),(OFFSET(L15,0,-3)*(1-(1-'Emission Factors EF'!$E$41)^3)+SUM($C15:H15)*'Emission Factors EF'!$E$41)),0)</f>
        <v>3.7043270953124994</v>
      </c>
      <c r="M21" s="196">
        <f ca="1">IF(M$3-'Emission Factors EF'!$C49&gt;2,IF(('Emissions GEI HFCs'!M$3-'Emission Factors EF'!$C49)&gt;='Emission Factors EF'!$E$40,(OFFSET(M15,0,-3)*(1-(1-'Emission Factors EF'!$E$41)^3)+SUM(OFFSET(M15,0,(1-'Emission Factors EF'!$E$40),1,('Emission Factors EF'!$E$40-4)))*'Emission Factors EF'!$E$41),(OFFSET(M15,0,-3)*(1-(1-'Emission Factors EF'!$E$41)^3)+SUM($C15:I15)*'Emission Factors EF'!$E$41)),0)</f>
        <v>4.166997046713691</v>
      </c>
      <c r="N21" s="196">
        <f ca="1">IF(N$3-'Emission Factors EF'!$C49&gt;2,IF(('Emissions GEI HFCs'!N$3-'Emission Factors EF'!$C49)&gt;='Emission Factors EF'!$E$40,(OFFSET(N15,0,-3)*(1-(1-'Emission Factors EF'!$E$41)^3)+SUM(OFFSET(N15,0,(1-'Emission Factors EF'!$E$40),1,('Emission Factors EF'!$E$40-4)))*'Emission Factors EF'!$E$41),(OFFSET(N15,0,-3)*(1-(1-'Emission Factors EF'!$E$41)^3)+SUM($C15:J15)*'Emission Factors EF'!$E$41)),0)</f>
        <v>4.4386388183271084</v>
      </c>
      <c r="O21" s="196">
        <f ca="1">IF(O$3-'Emission Factors EF'!$C49&gt;2,IF(('Emissions GEI HFCs'!O$3-'Emission Factors EF'!$C49)&gt;='Emission Factors EF'!$E$40,(OFFSET(O15,0,-3)*(1-(1-'Emission Factors EF'!$E$41)^3)+SUM(OFFSET(O15,0,(1-'Emission Factors EF'!$E$40),1,('Emission Factors EF'!$E$40-4)))*'Emission Factors EF'!$E$41),(OFFSET(O15,0,-3)*(1-(1-'Emission Factors EF'!$E$41)^3)+SUM($C15:K15)*'Emission Factors EF'!$E$41)),0)</f>
        <v>4.7762976316353507</v>
      </c>
      <c r="P21" s="196">
        <f ca="1">IF(P$3-'Emission Factors EF'!$C49&gt;2,IF(('Emissions GEI HFCs'!P$3-'Emission Factors EF'!$C49)&gt;='Emission Factors EF'!$E$40,(OFFSET(P15,0,-3)*(1-(1-'Emission Factors EF'!$E$41)^3)+SUM(OFFSET(P15,0,(1-'Emission Factors EF'!$E$40),1,('Emission Factors EF'!$E$40-4)))*'Emission Factors EF'!$E$41),(OFFSET(P15,0,-3)*(1-(1-'Emission Factors EF'!$E$41)^3)+SUM($C15:L15)*'Emission Factors EF'!$E$41)),0)</f>
        <v>4.9774970498415412</v>
      </c>
      <c r="Q21" s="196">
        <f ca="1">IF(Q$3-'Emission Factors EF'!$C49&gt;2,IF(('Emissions GEI HFCs'!Q$3-'Emission Factors EF'!$C49)&gt;='Emission Factors EF'!$E$40,(OFFSET(Q15,0,-3)*(1-(1-'Emission Factors EF'!$E$41)^3)+SUM(OFFSET(Q15,0,(1-'Emission Factors EF'!$E$40),1,('Emission Factors EF'!$E$40-4)))*'Emission Factors EF'!$E$41),(OFFSET(Q15,0,-3)*(1-(1-'Emission Factors EF'!$E$41)^3)+SUM($C15:M15)*'Emission Factors EF'!$E$41)),0)</f>
        <v>5.3444239742131607</v>
      </c>
      <c r="R21" s="196">
        <f ca="1">IF(R$3-'Emission Factors EF'!$C49&gt;2,IF(('Emissions GEI HFCs'!R$3-'Emission Factors EF'!$C49)&gt;='Emission Factors EF'!$E$40,(OFFSET(R15,0,-3)*(1-(1-'Emission Factors EF'!$E$41)^3)+SUM(OFFSET(R15,0,(1-'Emission Factors EF'!$E$40),1,('Emission Factors EF'!$E$40-4)))*'Emission Factors EF'!$E$41),(OFFSET(R15,0,-3)*(1-(1-'Emission Factors EF'!$E$41)^3)+SUM($C15:N15)*'Emission Factors EF'!$E$41)),0)</f>
        <v>5.5942915568787761</v>
      </c>
      <c r="S21" s="196">
        <f ca="1">IF(S$3-'Emission Factors EF'!$C49&gt;2,IF(('Emissions GEI HFCs'!S$3-'Emission Factors EF'!$C49)&gt;='Emission Factors EF'!$E$40,(OFFSET(S15,0,-3)*(1-(1-'Emission Factors EF'!$E$41)^3)+SUM(OFFSET(S15,0,(1-'Emission Factors EF'!$E$40),1,('Emission Factors EF'!$E$40-4)))*'Emission Factors EF'!$E$41),(OFFSET(S15,0,-3)*(1-(1-'Emission Factors EF'!$E$41)^3)+SUM($C15:O15)*'Emission Factors EF'!$E$41)),0)</f>
        <v>5.0063615866331608</v>
      </c>
      <c r="T21" s="196">
        <f ca="1">IF(T$3-'Emission Factors EF'!$C49&gt;2,IF(('Emissions GEI HFCs'!T$3-'Emission Factors EF'!$C49)&gt;='Emission Factors EF'!$E$40,(OFFSET(T15,0,-3)*(1-(1-'Emission Factors EF'!$E$41)^3)+SUM(OFFSET(T15,0,(1-'Emission Factors EF'!$E$40),1,('Emission Factors EF'!$E$40-4)))*'Emission Factors EF'!$E$41),(OFFSET(T15,0,-3)*(1-(1-'Emission Factors EF'!$E$41)^3)+SUM($C15:P15)*'Emission Factors EF'!$E$41)),0)</f>
        <v>4.4685528522150308</v>
      </c>
      <c r="U21" s="196">
        <f ca="1">IF(U$3-'Emission Factors EF'!$C49&gt;2,IF(('Emissions GEI HFCs'!U$3-'Emission Factors EF'!$C49)&gt;='Emission Factors EF'!$E$40,(OFFSET(U15,0,-3)*(1-(1-'Emission Factors EF'!$E$41)^3)+SUM(OFFSET(U15,0,(1-'Emission Factors EF'!$E$40),1,('Emission Factors EF'!$E$40-4)))*'Emission Factors EF'!$E$41),(OFFSET(U15,0,-3)*(1-(1-'Emission Factors EF'!$E$41)^3)+SUM($C15:Q15)*'Emission Factors EF'!$E$41)),0)</f>
        <v>3.9656578526219617</v>
      </c>
      <c r="V21" s="196">
        <f ca="1">IF(V$3-'Emission Factors EF'!$C49&gt;2,IF(('Emissions GEI HFCs'!V$3-'Emission Factors EF'!$C49)&gt;='Emission Factors EF'!$E$40,(OFFSET(V15,0,-3)*(1-(1-'Emission Factors EF'!$E$41)^3)+SUM(OFFSET(V15,0,(1-'Emission Factors EF'!$E$40),1,('Emission Factors EF'!$E$40-4)))*'Emission Factors EF'!$E$41),(OFFSET(V15,0,-3)*(1-(1-'Emission Factors EF'!$E$41)^3)+SUM($C15:R15)*'Emission Factors EF'!$E$41)),0)</f>
        <v>4.2306882838586715</v>
      </c>
      <c r="W21" s="196">
        <f ca="1">IF(W$3-'Emission Factors EF'!$C49&gt;2,IF(('Emissions GEI HFCs'!W$3-'Emission Factors EF'!$C49)&gt;='Emission Factors EF'!$E$40,(OFFSET(W15,0,-3)*(1-(1-'Emission Factors EF'!$E$41)^3)+SUM(OFFSET(W15,0,(1-'Emission Factors EF'!$E$40),1,('Emission Factors EF'!$E$40-4)))*'Emission Factors EF'!$E$41),(OFFSET(W15,0,-3)*(1-(1-'Emission Factors EF'!$E$41)^3)+SUM($C15:S15)*'Emission Factors EF'!$E$41)),0)</f>
        <v>4.3287944912572947</v>
      </c>
      <c r="X21" s="196">
        <f ca="1">IF(X$3-'Emission Factors EF'!$C49&gt;2,IF(('Emissions GEI HFCs'!X$3-'Emission Factors EF'!$C49)&gt;='Emission Factors EF'!$E$40,(OFFSET(X15,0,-3)*(1-(1-'Emission Factors EF'!$E$41)^3)+SUM(OFFSET(X15,0,(1-'Emission Factors EF'!$E$40),1,('Emission Factors EF'!$E$40-4)))*'Emission Factors EF'!$E$41),(OFFSET(X15,0,-3)*(1-(1-'Emission Factors EF'!$E$41)^3)+SUM($C15:T15)*'Emission Factors EF'!$E$41)),0)</f>
        <v>6.9222280463930161</v>
      </c>
      <c r="Y21" s="196">
        <f ca="1">IF(Y$3-'Emission Factors EF'!$C49&gt;2,IF(('Emissions GEI HFCs'!Y$3-'Emission Factors EF'!$C49)&gt;='Emission Factors EF'!$E$40,(OFFSET(Y15,0,-3)*(1-(1-'Emission Factors EF'!$E$41)^3)+SUM(OFFSET(Y15,0,(1-'Emission Factors EF'!$E$40),1,('Emission Factors EF'!$E$40-4)))*'Emission Factors EF'!$E$41),(OFFSET(Y15,0,-3)*(1-(1-'Emission Factors EF'!$E$41)^3)+SUM($C15:U15)*'Emission Factors EF'!$E$41)),0)</f>
        <v>7.0396558201509425</v>
      </c>
      <c r="Z21" s="196">
        <f ca="1">IF(Z$3-'Emission Factors EF'!$C49&gt;2,IF(('Emissions GEI HFCs'!Z$3-'Emission Factors EF'!$C49)&gt;='Emission Factors EF'!$E$40,(OFFSET(Z15,0,-3)*(1-(1-'Emission Factors EF'!$E$41)^3)+SUM(OFFSET(Z15,0,(1-'Emission Factors EF'!$E$40),1,('Emission Factors EF'!$E$40-4)))*'Emission Factors EF'!$E$41),(OFFSET(Z15,0,-3)*(1-(1-'Emission Factors EF'!$E$41)^3)+SUM($C15:V15)*'Emission Factors EF'!$E$41)),0)</f>
        <v>8.7513363634484485</v>
      </c>
      <c r="AA21" s="196">
        <f ca="1">IF(AA$3-'Emission Factors EF'!$C49&gt;2,IF(('Emissions GEI HFCs'!AA$3-'Emission Factors EF'!$C49)&gt;='Emission Factors EF'!$E$40,(OFFSET(AA15,0,-3)*(1-(1-'Emission Factors EF'!$E$41)^3)+SUM(OFFSET(AA15,0,(1-'Emission Factors EF'!$E$40),1,('Emission Factors EF'!$E$40-4)))*'Emission Factors EF'!$E$41),(OFFSET(AA15,0,-3)*(1-(1-'Emission Factors EF'!$E$41)^3)+SUM($C15:W15)*'Emission Factors EF'!$E$41)),0)</f>
        <v>10.486828830968733</v>
      </c>
      <c r="AB21" s="196">
        <f ca="1">IF(AB$3-'Emission Factors EF'!$C49&gt;2,IF(('Emissions GEI HFCs'!AB$3-'Emission Factors EF'!$C49)&gt;='Emission Factors EF'!$E$40,(OFFSET(AB15,0,-3)*(1-(1-'Emission Factors EF'!$E$41)^3)+SUM(OFFSET(AB15,0,(1-'Emission Factors EF'!$E$40),1,('Emission Factors EF'!$E$40-4)))*'Emission Factors EF'!$E$41),(OFFSET(AB15,0,-3)*(1-(1-'Emission Factors EF'!$E$41)^3)+SUM($C15:X15)*'Emission Factors EF'!$E$41)),0)</f>
        <v>19.043452988817997</v>
      </c>
      <c r="AC21" s="196">
        <f ca="1">IF(AC$3-'Emission Factors EF'!$C49&gt;2,IF(('Emissions GEI HFCs'!AC$3-'Emission Factors EF'!$C49)&gt;='Emission Factors EF'!$E$40,(OFFSET(AC15,0,-3)*(1-(1-'Emission Factors EF'!$E$41)^3)+SUM(OFFSET(AC15,0,(1-'Emission Factors EF'!$E$40),1,('Emission Factors EF'!$E$40-4)))*'Emission Factors EF'!$E$41),(OFFSET(AC15,0,-3)*(1-(1-'Emission Factors EF'!$E$41)^3)+SUM($C15:Y15)*'Emission Factors EF'!$E$41)),0)</f>
        <v>21.306658208899492</v>
      </c>
      <c r="AD21" s="238">
        <f ca="1">IF(AD$3-'Emission Factors EF'!$C49&gt;2,IF(('Emissions GEI HFCs'!AD$3-'Emission Factors EF'!$C49)&gt;='Emission Factors EF'!$E$40,(OFFSET(AD15,0,-3)*(1-(1-'Emission Factors EF'!$E$41)^3)+SUM(OFFSET(AD15,0,(1-'Emission Factors EF'!$E$40),1,('Emission Factors EF'!$E$40-4)))*'Emission Factors EF'!$E$41),(OFFSET(AD15,0,-3)*(1-(1-'Emission Factors EF'!$E$41)^3)+SUM($C15:Z15)*'Emission Factors EF'!$E$41)),0)</f>
        <v>74.563821743223158</v>
      </c>
    </row>
    <row r="22" spans="2:30" x14ac:dyDescent="0.35">
      <c r="B22" s="641"/>
      <c r="C22" s="98" t="s">
        <v>55</v>
      </c>
      <c r="D22" s="248">
        <v>0</v>
      </c>
      <c r="E22" s="224">
        <v>0</v>
      </c>
      <c r="F22" s="224">
        <v>0</v>
      </c>
      <c r="G22" s="224">
        <v>0</v>
      </c>
      <c r="H22" s="224">
        <v>0</v>
      </c>
      <c r="I22" s="224">
        <v>0</v>
      </c>
      <c r="J22" s="224">
        <v>0</v>
      </c>
      <c r="K22" s="224">
        <v>0</v>
      </c>
      <c r="L22" s="224">
        <v>0</v>
      </c>
      <c r="M22" s="224">
        <v>0</v>
      </c>
      <c r="N22" s="224">
        <v>0</v>
      </c>
      <c r="O22" s="224">
        <v>0</v>
      </c>
      <c r="P22" s="224">
        <v>0</v>
      </c>
      <c r="Q22" s="224">
        <v>0</v>
      </c>
      <c r="R22" s="224">
        <v>0</v>
      </c>
      <c r="S22" s="224">
        <v>0</v>
      </c>
      <c r="T22" s="224">
        <v>0</v>
      </c>
      <c r="U22" s="224">
        <v>0</v>
      </c>
      <c r="V22" s="224">
        <v>0</v>
      </c>
      <c r="W22" s="224">
        <v>0</v>
      </c>
      <c r="X22" s="224">
        <v>0</v>
      </c>
      <c r="Y22" s="224">
        <v>0</v>
      </c>
      <c r="Z22" s="224">
        <v>0</v>
      </c>
      <c r="AA22" s="224">
        <v>0</v>
      </c>
      <c r="AB22" s="224">
        <v>0</v>
      </c>
      <c r="AC22" s="224">
        <v>0</v>
      </c>
      <c r="AD22" s="238">
        <f ca="1">IF(AD$3-'Emission Factors EF'!$C50&gt;2,IF(('Emissions GEI HFCs'!AD$3-'Emission Factors EF'!$C50)&gt;='Emission Factors EF'!$E$40,(OFFSET(AD16,0,-3)*(1-(1-'Emission Factors EF'!$E$41)^3)+SUM(OFFSET(AD16,0,(1-'Emission Factors EF'!$E$40),1,('Emission Factors EF'!$E$40-4)))*'Emission Factors EF'!$E$41),(OFFSET(AD16,0,-3)*(1-(1-'Emission Factors EF'!$E$41)^3)+SUM($C16:Z16)*'Emission Factors EF'!$E$41)),0)</f>
        <v>0.3009825000000001</v>
      </c>
    </row>
    <row r="23" spans="2:30" x14ac:dyDescent="0.35">
      <c r="B23" s="643" t="s">
        <v>327</v>
      </c>
      <c r="C23" s="98" t="s">
        <v>49</v>
      </c>
      <c r="D23" s="247">
        <v>0</v>
      </c>
      <c r="E23" s="196">
        <f ca="1">IF((E$3-'Emission Factors EF'!$C45)&gt;('Emission Factors EF'!$E$40-1),IF(OFFSET(E11,0,-'Emission Factors EF'!$E$40)*(1-'Emission Factors EF'!$E$41)&gt;D41*(1-'Emission Factors EF'!$E$41),D41*(1-'Emission Factors EF'!$E$41),OFFSET(E11,0,-'Emission Factors EF'!$E$40)*(1-'Emission Factors EF'!$E$41)),0)</f>
        <v>0</v>
      </c>
      <c r="F23" s="196">
        <f ca="1">IF((F$3-'Emission Factors EF'!$C45)&gt;('Emission Factors EF'!$E$40-1),IF(OFFSET(F11,0,-'Emission Factors EF'!$E$40)*(1-'Emission Factors EF'!$E$41)&gt;E41*(1-'Emission Factors EF'!$E$41),E41*(1-'Emission Factors EF'!$E$41),OFFSET(F11,0,-'Emission Factors EF'!$E$40)*(1-'Emission Factors EF'!$E$41)),0)</f>
        <v>0</v>
      </c>
      <c r="G23" s="196">
        <f ca="1">IF((G$3-'Emission Factors EF'!$C45)&gt;('Emission Factors EF'!$E$40-1),IF(OFFSET(G11,0,-'Emission Factors EF'!$E$40)*(1-'Emission Factors EF'!$E$41)&gt;F41*(1-'Emission Factors EF'!$E$41),F41*(1-'Emission Factors EF'!$E$41),OFFSET(G11,0,-'Emission Factors EF'!$E$40)*(1-'Emission Factors EF'!$E$41)),0)</f>
        <v>0</v>
      </c>
      <c r="H23" s="196">
        <f ca="1">IF((H$3-'Emission Factors EF'!$C45)&gt;('Emission Factors EF'!$E$40-1),IF(OFFSET(H11,0,-'Emission Factors EF'!$E$40)*(1-'Emission Factors EF'!$E$41)&gt;G41*(1-'Emission Factors EF'!$E$41),G41*(1-'Emission Factors EF'!$E$41),OFFSET(H11,0,-'Emission Factors EF'!$E$40)*(1-'Emission Factors EF'!$E$41)),0)</f>
        <v>0</v>
      </c>
      <c r="I23" s="196">
        <f ca="1">IF((I$3-'Emission Factors EF'!$C45)&gt;('Emission Factors EF'!$E$40-1),IF(OFFSET(I11,0,-'Emission Factors EF'!$E$40)*(1-'Emission Factors EF'!$E$41)&gt;H41*(1-'Emission Factors EF'!$E$41),H41*(1-'Emission Factors EF'!$E$41),OFFSET(I11,0,-'Emission Factors EF'!$E$40)*(1-'Emission Factors EF'!$E$41)),0)</f>
        <v>0</v>
      </c>
      <c r="J23" s="196">
        <f ca="1">IF((J$3-'Emission Factors EF'!$C45)&gt;('Emission Factors EF'!$E$40-1),IF(OFFSET(J11,0,-'Emission Factors EF'!$E$40)*(1-'Emission Factors EF'!$E$41)&gt;I41*(1-'Emission Factors EF'!$E$41),I41*(1-'Emission Factors EF'!$E$41),OFFSET(J11,0,-'Emission Factors EF'!$E$40)*(1-'Emission Factors EF'!$E$41)),0)</f>
        <v>0</v>
      </c>
      <c r="K23" s="196">
        <f ca="1">IF((K$3-'Emission Factors EF'!$C45)&gt;('Emission Factors EF'!$E$40-1),IF(OFFSET(K11,0,-'Emission Factors EF'!$E$40)*(1-'Emission Factors EF'!$E$41)&gt;J41*(1-'Emission Factors EF'!$E$41),J41*(1-'Emission Factors EF'!$E$41),OFFSET(K11,0,-'Emission Factors EF'!$E$40)*(1-'Emission Factors EF'!$E$41)),0)</f>
        <v>0</v>
      </c>
      <c r="L23" s="196">
        <f ca="1">IF((L$3-'Emission Factors EF'!$C45)&gt;('Emission Factors EF'!$E$40-1),IF(OFFSET(L11,0,-'Emission Factors EF'!$E$40)*(1-'Emission Factors EF'!$E$41)&gt;K41*(1-'Emission Factors EF'!$E$41),K41*(1-'Emission Factors EF'!$E$41),OFFSET(L11,0,-'Emission Factors EF'!$E$40)*(1-'Emission Factors EF'!$E$41)),0)</f>
        <v>0</v>
      </c>
      <c r="M23" s="196">
        <f ca="1">IF((M$3-'Emission Factors EF'!$C45)&gt;('Emission Factors EF'!$E$40-1),IF(OFFSET(M11,0,-'Emission Factors EF'!$E$40)*(1-'Emission Factors EF'!$E$41)&gt;L41*(1-'Emission Factors EF'!$E$41),L41*(1-'Emission Factors EF'!$E$41),OFFSET(M11,0,-'Emission Factors EF'!$E$40)*(1-'Emission Factors EF'!$E$41)),0)</f>
        <v>0</v>
      </c>
      <c r="N23" s="196">
        <f ca="1">IF((N$3-'Emission Factors EF'!$C45)&gt;('Emission Factors EF'!$E$40-1),IF(OFFSET(N11,0,-'Emission Factors EF'!$E$40)*(1-'Emission Factors EF'!$E$41)&gt;M41*(1-'Emission Factors EF'!$E$41),M41*(1-'Emission Factors EF'!$E$41),OFFSET(N11,0,-'Emission Factors EF'!$E$40)*(1-'Emission Factors EF'!$E$41)),0)</f>
        <v>0</v>
      </c>
      <c r="O23" s="196">
        <f ca="1">IF((O$3-'Emission Factors EF'!$C45)&gt;('Emission Factors EF'!$E$40-1),IF(OFFSET(O11,0,-'Emission Factors EF'!$E$40)*(1-'Emission Factors EF'!$E$41)&gt;N41*(1-'Emission Factors EF'!$E$41),N41*(1-'Emission Factors EF'!$E$41),OFFSET(O11,0,-'Emission Factors EF'!$E$40)*(1-'Emission Factors EF'!$E$41)),0)</f>
        <v>0</v>
      </c>
      <c r="P23" s="196">
        <f ca="1">IF((P$3-'Emission Factors EF'!$C45)&gt;('Emission Factors EF'!$E$40-1),IF(OFFSET(P11,0,-'Emission Factors EF'!$E$40)*(1-'Emission Factors EF'!$E$41)&gt;O41*(1-'Emission Factors EF'!$E$41),O41*(1-'Emission Factors EF'!$E$41),OFFSET(P11,0,-'Emission Factors EF'!$E$40)*(1-'Emission Factors EF'!$E$41)),0)</f>
        <v>0</v>
      </c>
      <c r="Q23" s="196">
        <f ca="1">IF((Q$3-'Emission Factors EF'!$C45)&gt;('Emission Factors EF'!$E$40-1),IF(OFFSET(Q11,0,-'Emission Factors EF'!$E$40)*(1-'Emission Factors EF'!$E$41)&gt;P41*(1-'Emission Factors EF'!$E$41),P41*(1-'Emission Factors EF'!$E$41),OFFSET(Q11,0,-'Emission Factors EF'!$E$40)*(1-'Emission Factors EF'!$E$41)),0)</f>
        <v>0</v>
      </c>
      <c r="R23" s="196">
        <f ca="1">IF((R$3-'Emission Factors EF'!$C45)&gt;('Emission Factors EF'!$E$40-1),IF(OFFSET(R11,0,-'Emission Factors EF'!$E$40)*(1-'Emission Factors EF'!$E$41)&gt;Q41*(1-'Emission Factors EF'!$E$41),Q41*(1-'Emission Factors EF'!$E$41),OFFSET(R11,0,-'Emission Factors EF'!$E$40)*(1-'Emission Factors EF'!$E$41)),0)</f>
        <v>0</v>
      </c>
      <c r="S23" s="196">
        <f ca="1">IF((S$3-'Emission Factors EF'!$C45)&gt;('Emission Factors EF'!$E$40-1),IF(OFFSET(S11,0,-'Emission Factors EF'!$E$40)*(1-'Emission Factors EF'!$E$41)&gt;R41*(1-'Emission Factors EF'!$E$41),R41*(1-'Emission Factors EF'!$E$41),OFFSET(S11,0,-'Emission Factors EF'!$E$40)*(1-'Emission Factors EF'!$E$41)),0)</f>
        <v>0</v>
      </c>
      <c r="T23" s="196">
        <f ca="1">IF((T$3-'Emission Factors EF'!$C45)&gt;('Emission Factors EF'!$E$40-1),IF(OFFSET(T11,0,-'Emission Factors EF'!$E$40)*(1-'Emission Factors EF'!$E$41)&gt;S41*(1-'Emission Factors EF'!$E$41),S41*(1-'Emission Factors EF'!$E$41),OFFSET(T11,0,-'Emission Factors EF'!$E$40)*(1-'Emission Factors EF'!$E$41)),0)</f>
        <v>0</v>
      </c>
      <c r="U23" s="196">
        <f ca="1">IF((U$3-'Emission Factors EF'!$C45)&gt;('Emission Factors EF'!$E$40-1),IF(OFFSET(U11,0,-'Emission Factors EF'!$E$40)*(1-'Emission Factors EF'!$E$41)&gt;T41*(1-'Emission Factors EF'!$E$41),T41*(1-'Emission Factors EF'!$E$41),OFFSET(U11,0,-'Emission Factors EF'!$E$40)*(1-'Emission Factors EF'!$E$41)),0)</f>
        <v>0</v>
      </c>
      <c r="V23" s="196">
        <f ca="1">IF((V$3-'Emission Factors EF'!$C45)&gt;('Emission Factors EF'!$E$40-1),IF(OFFSET(V11,0,-'Emission Factors EF'!$E$40)*(1-'Emission Factors EF'!$E$41)&gt;U41*(1-'Emission Factors EF'!$E$41),U41*(1-'Emission Factors EF'!$E$41),OFFSET(V11,0,-'Emission Factors EF'!$E$40)*(1-'Emission Factors EF'!$E$41)),0)</f>
        <v>0</v>
      </c>
      <c r="W23" s="196">
        <f ca="1">IF((W$3-'Emission Factors EF'!$C45)&gt;('Emission Factors EF'!$E$40-1),IF(OFFSET(W11,0,-'Emission Factors EF'!$E$40)*(1-'Emission Factors EF'!$E$41)&gt;V41*(1-'Emission Factors EF'!$E$41),V41*(1-'Emission Factors EF'!$E$41),OFFSET(W11,0,-'Emission Factors EF'!$E$40)*(1-'Emission Factors EF'!$E$41)),0)</f>
        <v>0</v>
      </c>
      <c r="X23" s="196">
        <f ca="1">IF((X$3-'Emission Factors EF'!$C45)&gt;('Emission Factors EF'!$E$40-1),IF(OFFSET(X11,0,-'Emission Factors EF'!$E$40)*(1-'Emission Factors EF'!$E$41)&gt;W41*(1-'Emission Factors EF'!$E$41),W41*(1-'Emission Factors EF'!$E$41),OFFSET(X11,0,-'Emission Factors EF'!$E$40)*(1-'Emission Factors EF'!$E$41)),0)</f>
        <v>0</v>
      </c>
      <c r="Y23" s="196">
        <f ca="1">IF((Y$3-'Emission Factors EF'!$C45)&gt;('Emission Factors EF'!$E$40-1),IF(OFFSET(Y11,0,-'Emission Factors EF'!$E$40)*(1-'Emission Factors EF'!$E$41)&gt;X41*(1-'Emission Factors EF'!$E$41),X41*(1-'Emission Factors EF'!$E$41),OFFSET(Y11,0,-'Emission Factors EF'!$E$40)*(1-'Emission Factors EF'!$E$41)),0)</f>
        <v>0</v>
      </c>
      <c r="Z23" s="196">
        <f ca="1">IF((Z$3-'Emission Factors EF'!$C45)&gt;('Emission Factors EF'!$E$40-1),IF(OFFSET(Z11,0,-'Emission Factors EF'!$E$40)*(1-'Emission Factors EF'!$E$41)&gt;Y41*(1-'Emission Factors EF'!$E$41),Y41*(1-'Emission Factors EF'!$E$41),OFFSET(Z11,0,-'Emission Factors EF'!$E$40)*(1-'Emission Factors EF'!$E$41)),0)</f>
        <v>0</v>
      </c>
      <c r="AA23" s="196">
        <f ca="1">IF((AA$3-'Emission Factors EF'!$C45)&gt;('Emission Factors EF'!$E$40-1),IF(OFFSET(AA11,0,-'Emission Factors EF'!$E$40)*(1-'Emission Factors EF'!$E$41)&gt;Z41*(1-'Emission Factors EF'!$E$41),Z41*(1-'Emission Factors EF'!$E$41),OFFSET(AA11,0,-'Emission Factors EF'!$E$40)*(1-'Emission Factors EF'!$E$41)),0)</f>
        <v>0</v>
      </c>
      <c r="AB23" s="196">
        <f ca="1">IF((AB$3-'Emission Factors EF'!$C45)&gt;('Emission Factors EF'!$E$40-1),IF(OFFSET(AB11,0,-'Emission Factors EF'!$E$40)*(1-'Emission Factors EF'!$E$41)&gt;AA41*(1-'Emission Factors EF'!$E$41),AA41*(1-'Emission Factors EF'!$E$41),OFFSET(AB11,0,-'Emission Factors EF'!$E$40)*(1-'Emission Factors EF'!$E$41)),0)</f>
        <v>0</v>
      </c>
      <c r="AC23" s="196">
        <f ca="1">IF((AC$3-'Emission Factors EF'!$C45)&gt;('Emission Factors EF'!$E$40-1),IF(OFFSET(AC11,0,-'Emission Factors EF'!$E$40)*(1-'Emission Factors EF'!$E$41)&gt;AB41*(1-'Emission Factors EF'!$E$41),AB41*(1-'Emission Factors EF'!$E$41),OFFSET(AC11,0,-'Emission Factors EF'!$E$40)*(1-'Emission Factors EF'!$E$41)),0)</f>
        <v>0</v>
      </c>
      <c r="AD23" s="238">
        <f ca="1">IF((AD$3-'Emission Factors EF'!$C45)&gt;('Emission Factors EF'!$E$40-1),IF(OFFSET(AD11,0,-'Emission Factors EF'!$E$40)*(1-'Emission Factors EF'!$E$41)&gt;AC41*(1-'Emission Factors EF'!$E$41),AC41*(1-'Emission Factors EF'!$E$41),OFFSET(AD11,0,-'Emission Factors EF'!$E$40)*(1-'Emission Factors EF'!$E$41)),0)</f>
        <v>0</v>
      </c>
    </row>
    <row r="24" spans="2:30" x14ac:dyDescent="0.35">
      <c r="B24" s="641"/>
      <c r="C24" s="98" t="s">
        <v>50</v>
      </c>
      <c r="D24" s="247">
        <v>0</v>
      </c>
      <c r="E24" s="196">
        <f ca="1">IF((E$3-'Emission Factors EF'!$C46)&gt;('Emission Factors EF'!$E$40-1),IF(OFFSET(E12,0,-'Emission Factors EF'!$E$40)*(1-'Emission Factors EF'!$E$41)&gt;D42*(1-'Emission Factors EF'!$E$41),D42*(1-'Emission Factors EF'!$E$41),OFFSET(E12,0,-'Emission Factors EF'!$E$40)*(1-'Emission Factors EF'!$E$41)),0)</f>
        <v>0</v>
      </c>
      <c r="F24" s="196">
        <f ca="1">IF((F$3-'Emission Factors EF'!$C46)&gt;('Emission Factors EF'!$E$40-1),IF(OFFSET(F12,0,-'Emission Factors EF'!$E$40)*(1-'Emission Factors EF'!$E$41)&gt;E42*(1-'Emission Factors EF'!$E$41),E42*(1-'Emission Factors EF'!$E$41),OFFSET(F12,0,-'Emission Factors EF'!$E$40)*(1-'Emission Factors EF'!$E$41)),0)</f>
        <v>0</v>
      </c>
      <c r="G24" s="196">
        <f ca="1">IF((G$3-'Emission Factors EF'!$C46)&gt;('Emission Factors EF'!$E$40-1),IF(OFFSET(G12,0,-'Emission Factors EF'!$E$40)*(1-'Emission Factors EF'!$E$41)&gt;F42*(1-'Emission Factors EF'!$E$41),F42*(1-'Emission Factors EF'!$E$41),OFFSET(G12,0,-'Emission Factors EF'!$E$40)*(1-'Emission Factors EF'!$E$41)),0)</f>
        <v>0</v>
      </c>
      <c r="H24" s="196">
        <f ca="1">IF((H$3-'Emission Factors EF'!$C46)&gt;('Emission Factors EF'!$E$40-1),IF(OFFSET(H12,0,-'Emission Factors EF'!$E$40)*(1-'Emission Factors EF'!$E$41)&gt;G42*(1-'Emission Factors EF'!$E$41),G42*(1-'Emission Factors EF'!$E$41),OFFSET(H12,0,-'Emission Factors EF'!$E$40)*(1-'Emission Factors EF'!$E$41)),0)</f>
        <v>0</v>
      </c>
      <c r="I24" s="196">
        <f ca="1">IF((I$3-'Emission Factors EF'!$C46)&gt;('Emission Factors EF'!$E$40-1),IF(OFFSET(I12,0,-'Emission Factors EF'!$E$40)*(1-'Emission Factors EF'!$E$41)&gt;H42*(1-'Emission Factors EF'!$E$41),H42*(1-'Emission Factors EF'!$E$41),OFFSET(I12,0,-'Emission Factors EF'!$E$40)*(1-'Emission Factors EF'!$E$41)),0)</f>
        <v>0</v>
      </c>
      <c r="J24" s="196">
        <f ca="1">IF((J$3-'Emission Factors EF'!$C46)&gt;('Emission Factors EF'!$E$40-1),IF(OFFSET(J12,0,-'Emission Factors EF'!$E$40)*(1-'Emission Factors EF'!$E$41)&gt;I42*(1-'Emission Factors EF'!$E$41),I42*(1-'Emission Factors EF'!$E$41),OFFSET(J12,0,-'Emission Factors EF'!$E$40)*(1-'Emission Factors EF'!$E$41)),0)</f>
        <v>0</v>
      </c>
      <c r="K24" s="196">
        <f ca="1">IF((K$3-'Emission Factors EF'!$C46)&gt;('Emission Factors EF'!$E$40-1),IF(OFFSET(K12,0,-'Emission Factors EF'!$E$40)*(1-'Emission Factors EF'!$E$41)&gt;J42*(1-'Emission Factors EF'!$E$41),J42*(1-'Emission Factors EF'!$E$41),OFFSET(K12,0,-'Emission Factors EF'!$E$40)*(1-'Emission Factors EF'!$E$41)),0)</f>
        <v>0</v>
      </c>
      <c r="L24" s="196">
        <f ca="1">IF((L$3-'Emission Factors EF'!$C46)&gt;('Emission Factors EF'!$E$40-1),IF(OFFSET(L12,0,-'Emission Factors EF'!$E$40)*(1-'Emission Factors EF'!$E$41)&gt;K42*(1-'Emission Factors EF'!$E$41),K42*(1-'Emission Factors EF'!$E$41),OFFSET(L12,0,-'Emission Factors EF'!$E$40)*(1-'Emission Factors EF'!$E$41)),0)</f>
        <v>0</v>
      </c>
      <c r="M24" s="196">
        <f ca="1">IF((M$3-'Emission Factors EF'!$C46)&gt;('Emission Factors EF'!$E$40-1),IF(OFFSET(M12,0,-'Emission Factors EF'!$E$40)*(1-'Emission Factors EF'!$E$41)&gt;L42*(1-'Emission Factors EF'!$E$41),L42*(1-'Emission Factors EF'!$E$41),OFFSET(M12,0,-'Emission Factors EF'!$E$40)*(1-'Emission Factors EF'!$E$41)),0)</f>
        <v>0</v>
      </c>
      <c r="N24" s="196">
        <f ca="1">IF((N$3-'Emission Factors EF'!$C46)&gt;('Emission Factors EF'!$E$40-1),IF(OFFSET(N12,0,-'Emission Factors EF'!$E$40)*(1-'Emission Factors EF'!$E$41)&gt;M42*(1-'Emission Factors EF'!$E$41),M42*(1-'Emission Factors EF'!$E$41),OFFSET(N12,0,-'Emission Factors EF'!$E$40)*(1-'Emission Factors EF'!$E$41)),0)</f>
        <v>0</v>
      </c>
      <c r="O24" s="196">
        <f ca="1">IF((O$3-'Emission Factors EF'!$C46)&gt;('Emission Factors EF'!$E$40-1),IF(OFFSET(O12,0,-'Emission Factors EF'!$E$40)*(1-'Emission Factors EF'!$E$41)&gt;N42*(1-'Emission Factors EF'!$E$41),N42*(1-'Emission Factors EF'!$E$41),OFFSET(O12,0,-'Emission Factors EF'!$E$40)*(1-'Emission Factors EF'!$E$41)),0)</f>
        <v>0</v>
      </c>
      <c r="P24" s="196">
        <f ca="1">IF((P$3-'Emission Factors EF'!$C46)&gt;('Emission Factors EF'!$E$40-1),IF(OFFSET(P12,0,-'Emission Factors EF'!$E$40)*(1-'Emission Factors EF'!$E$41)&gt;O42*(1-'Emission Factors EF'!$E$41),O42*(1-'Emission Factors EF'!$E$41),OFFSET(P12,0,-'Emission Factors EF'!$E$40)*(1-'Emission Factors EF'!$E$41)),0)</f>
        <v>0</v>
      </c>
      <c r="Q24" s="196">
        <f ca="1">IF((Q$3-'Emission Factors EF'!$C46)&gt;('Emission Factors EF'!$E$40-1),IF(OFFSET(Q12,0,-'Emission Factors EF'!$E$40)*(1-'Emission Factors EF'!$E$41)&gt;P42*(1-'Emission Factors EF'!$E$41),P42*(1-'Emission Factors EF'!$E$41),OFFSET(Q12,0,-'Emission Factors EF'!$E$40)*(1-'Emission Factors EF'!$E$41)),0)</f>
        <v>0</v>
      </c>
      <c r="R24" s="196">
        <f ca="1">IF((R$3-'Emission Factors EF'!$C46)&gt;('Emission Factors EF'!$E$40-1),IF(OFFSET(R12,0,-'Emission Factors EF'!$E$40)*(1-'Emission Factors EF'!$E$41)&gt;Q42*(1-'Emission Factors EF'!$E$41),Q42*(1-'Emission Factors EF'!$E$41),OFFSET(R12,0,-'Emission Factors EF'!$E$40)*(1-'Emission Factors EF'!$E$41)),0)</f>
        <v>0</v>
      </c>
      <c r="S24" s="196">
        <f ca="1">IF((S$3-'Emission Factors EF'!$C46)&gt;('Emission Factors EF'!$E$40-1),IF(OFFSET(S12,0,-'Emission Factors EF'!$E$40)*(1-'Emission Factors EF'!$E$41)&gt;R42*(1-'Emission Factors EF'!$E$41),R42*(1-'Emission Factors EF'!$E$41),OFFSET(S12,0,-'Emission Factors EF'!$E$40)*(1-'Emission Factors EF'!$E$41)),0)</f>
        <v>0.84150000000000003</v>
      </c>
      <c r="T24" s="196">
        <f ca="1">IF((T$3-'Emission Factors EF'!$C46)&gt;('Emission Factors EF'!$E$40-1),IF(OFFSET(T12,0,-'Emission Factors EF'!$E$40)*(1-'Emission Factors EF'!$E$41)&gt;S42*(1-'Emission Factors EF'!$E$41),S42*(1-'Emission Factors EF'!$E$41),OFFSET(T12,0,-'Emission Factors EF'!$E$40)*(1-'Emission Factors EF'!$E$41)),0)</f>
        <v>0.79049999999999998</v>
      </c>
      <c r="U24" s="196">
        <f ca="1">IF((U$3-'Emission Factors EF'!$C46)&gt;('Emission Factors EF'!$E$40-1),IF(OFFSET(U12,0,-'Emission Factors EF'!$E$40)*(1-'Emission Factors EF'!$E$41)&gt;T42*(1-'Emission Factors EF'!$E$41),T42*(1-'Emission Factors EF'!$E$41),OFFSET(U12,0,-'Emission Factors EF'!$E$40)*(1-'Emission Factors EF'!$E$41)),0)</f>
        <v>0.78200000000000003</v>
      </c>
      <c r="V24" s="196">
        <f ca="1">IF((V$3-'Emission Factors EF'!$C46)&gt;('Emission Factors EF'!$E$40-1),IF(OFFSET(V12,0,-'Emission Factors EF'!$E$40)*(1-'Emission Factors EF'!$E$41)&gt;U42*(1-'Emission Factors EF'!$E$41),U42*(1-'Emission Factors EF'!$E$41),OFFSET(V12,0,-'Emission Factors EF'!$E$40)*(1-'Emission Factors EF'!$E$41)),0)</f>
        <v>0.34806118749999992</v>
      </c>
      <c r="W24" s="196">
        <f ca="1">IF((W$3-'Emission Factors EF'!$C46)&gt;('Emission Factors EF'!$E$40-1),IF(OFFSET(W12,0,-'Emission Factors EF'!$E$40)*(1-'Emission Factors EF'!$E$41)&gt;V42*(1-'Emission Factors EF'!$E$41),V42*(1-'Emission Factors EF'!$E$41),OFFSET(W12,0,-'Emission Factors EF'!$E$40)*(1-'Emission Factors EF'!$E$41)),0)</f>
        <v>0.35074081249999994</v>
      </c>
      <c r="X24" s="196">
        <f ca="1">IF((X$3-'Emission Factors EF'!$C46)&gt;('Emission Factors EF'!$E$40-1),IF(OFFSET(X12,0,-'Emission Factors EF'!$E$40)*(1-'Emission Factors EF'!$E$41)&gt;W42*(1-'Emission Factors EF'!$E$41),W42*(1-'Emission Factors EF'!$E$41),OFFSET(X12,0,-'Emission Factors EF'!$E$40)*(1-'Emission Factors EF'!$E$41)),0)</f>
        <v>0.26094574999999992</v>
      </c>
      <c r="Y24" s="196">
        <f ca="1">IF((Y$3-'Emission Factors EF'!$C46)&gt;('Emission Factors EF'!$E$40-1),IF(OFFSET(Y12,0,-'Emission Factors EF'!$E$40)*(1-'Emission Factors EF'!$E$41)&gt;X42*(1-'Emission Factors EF'!$E$41),X42*(1-'Emission Factors EF'!$E$41),OFFSET(Y12,0,-'Emission Factors EF'!$E$40)*(1-'Emission Factors EF'!$E$41)),0)</f>
        <v>0.34509188927343748</v>
      </c>
      <c r="Z24" s="196">
        <f ca="1">IF((Z$3-'Emission Factors EF'!$C46)&gt;('Emission Factors EF'!$E$40-1),IF(OFFSET(Z12,0,-'Emission Factors EF'!$E$40)*(1-'Emission Factors EF'!$E$41)&gt;Y42*(1-'Emission Factors EF'!$E$41),Y42*(1-'Emission Factors EF'!$E$41),OFFSET(Z12,0,-'Emission Factors EF'!$E$40)*(1-'Emission Factors EF'!$E$41)),0)</f>
        <v>0.31734871085156263</v>
      </c>
      <c r="AA24" s="196">
        <f ca="1">IF((AA$3-'Emission Factors EF'!$C46)&gt;('Emission Factors EF'!$E$40-1),IF(OFFSET(AA12,0,-'Emission Factors EF'!$E$40)*(1-'Emission Factors EF'!$E$41)&gt;Z42*(1-'Emission Factors EF'!$E$41),Z42*(1-'Emission Factors EF'!$E$41),OFFSET(AA12,0,-'Emission Factors EF'!$E$40)*(1-'Emission Factors EF'!$E$41)),0)</f>
        <v>0.33338725871875019</v>
      </c>
      <c r="AB24" s="196">
        <f ca="1">IF((AB$3-'Emission Factors EF'!$C46)&gt;('Emission Factors EF'!$E$40-1),IF(OFFSET(AB12,0,-'Emission Factors EF'!$E$40)*(1-'Emission Factors EF'!$E$41)&gt;AA42*(1-'Emission Factors EF'!$E$41),AA42*(1-'Emission Factors EF'!$E$41),OFFSET(AB12,0,-'Emission Factors EF'!$E$40)*(1-'Emission Factors EF'!$E$41)),0)</f>
        <v>0.27877550472661239</v>
      </c>
      <c r="AC24" s="196">
        <f ca="1">IF((AC$3-'Emission Factors EF'!$C46)&gt;('Emission Factors EF'!$E$40-1),IF(OFFSET(AC12,0,-'Emission Factors EF'!$E$40)*(1-'Emission Factors EF'!$E$41)&gt;AB42*(1-'Emission Factors EF'!$E$41),AB42*(1-'Emission Factors EF'!$E$41),OFFSET(AC12,0,-'Emission Factors EF'!$E$40)*(1-'Emission Factors EF'!$E$41)),0)</f>
        <v>0.32271712030913768</v>
      </c>
      <c r="AD24" s="238">
        <f ca="1">IF((AD$3-'Emission Factors EF'!$C46)&gt;('Emission Factors EF'!$E$40-1),IF(OFFSET(AD12,0,-'Emission Factors EF'!$E$40)*(1-'Emission Factors EF'!$E$41)&gt;AC42*(1-'Emission Factors EF'!$E$41),AC42*(1-'Emission Factors EF'!$E$41),OFFSET(AD12,0,-'Emission Factors EF'!$E$40)*(1-'Emission Factors EF'!$E$41)),0)</f>
        <v>0.29442593902315228</v>
      </c>
    </row>
    <row r="25" spans="2:30" x14ac:dyDescent="0.35">
      <c r="B25" s="641"/>
      <c r="C25" s="98" t="s">
        <v>51</v>
      </c>
      <c r="D25" s="247">
        <v>0</v>
      </c>
      <c r="E25" s="196">
        <f ca="1">IF((E$3-'Emission Factors EF'!$C47)&gt;('Emission Factors EF'!$E$40-1),IF(OFFSET(E13,0,-'Emission Factors EF'!$E$40)*(1-'Emission Factors EF'!$E$41)&gt;D43*(1-'Emission Factors EF'!$E$41),D43*(1-'Emission Factors EF'!$E$41),OFFSET(E13,0,-'Emission Factors EF'!$E$40)*(1-'Emission Factors EF'!$E$41)),0)</f>
        <v>0</v>
      </c>
      <c r="F25" s="196">
        <f ca="1">IF((F$3-'Emission Factors EF'!$C47)&gt;('Emission Factors EF'!$E$40-1),IF(OFFSET(F13,0,-'Emission Factors EF'!$E$40)*(1-'Emission Factors EF'!$E$41)&gt;E43*(1-'Emission Factors EF'!$E$41),E43*(1-'Emission Factors EF'!$E$41),OFFSET(F13,0,-'Emission Factors EF'!$E$40)*(1-'Emission Factors EF'!$E$41)),0)</f>
        <v>0</v>
      </c>
      <c r="G25" s="196">
        <f ca="1">IF((G$3-'Emission Factors EF'!$C47)&gt;('Emission Factors EF'!$E$40-1),IF(OFFSET(G13,0,-'Emission Factors EF'!$E$40)*(1-'Emission Factors EF'!$E$41)&gt;F43*(1-'Emission Factors EF'!$E$41),F43*(1-'Emission Factors EF'!$E$41),OFFSET(G13,0,-'Emission Factors EF'!$E$40)*(1-'Emission Factors EF'!$E$41)),0)</f>
        <v>0</v>
      </c>
      <c r="H25" s="196">
        <f ca="1">IF((H$3-'Emission Factors EF'!$C47)&gt;('Emission Factors EF'!$E$40-1),IF(OFFSET(H13,0,-'Emission Factors EF'!$E$40)*(1-'Emission Factors EF'!$E$41)&gt;G43*(1-'Emission Factors EF'!$E$41),G43*(1-'Emission Factors EF'!$E$41),OFFSET(H13,0,-'Emission Factors EF'!$E$40)*(1-'Emission Factors EF'!$E$41)),0)</f>
        <v>0</v>
      </c>
      <c r="I25" s="196">
        <f ca="1">IF((I$3-'Emission Factors EF'!$C47)&gt;('Emission Factors EF'!$E$40-1),IF(OFFSET(I13,0,-'Emission Factors EF'!$E$40)*(1-'Emission Factors EF'!$E$41)&gt;H43*(1-'Emission Factors EF'!$E$41),H43*(1-'Emission Factors EF'!$E$41),OFFSET(I13,0,-'Emission Factors EF'!$E$40)*(1-'Emission Factors EF'!$E$41)),0)</f>
        <v>0</v>
      </c>
      <c r="J25" s="196">
        <f ca="1">IF((J$3-'Emission Factors EF'!$C47)&gt;('Emission Factors EF'!$E$40-1),IF(OFFSET(J13,0,-'Emission Factors EF'!$E$40)*(1-'Emission Factors EF'!$E$41)&gt;I43*(1-'Emission Factors EF'!$E$41),I43*(1-'Emission Factors EF'!$E$41),OFFSET(J13,0,-'Emission Factors EF'!$E$40)*(1-'Emission Factors EF'!$E$41)),0)</f>
        <v>0</v>
      </c>
      <c r="K25" s="196">
        <f ca="1">IF((K$3-'Emission Factors EF'!$C47)&gt;('Emission Factors EF'!$E$40-1),IF(OFFSET(K13,0,-'Emission Factors EF'!$E$40)*(1-'Emission Factors EF'!$E$41)&gt;J43*(1-'Emission Factors EF'!$E$41),J43*(1-'Emission Factors EF'!$E$41),OFFSET(K13,0,-'Emission Factors EF'!$E$40)*(1-'Emission Factors EF'!$E$41)),0)</f>
        <v>0</v>
      </c>
      <c r="L25" s="196">
        <f ca="1">IF((L$3-'Emission Factors EF'!$C47)&gt;('Emission Factors EF'!$E$40-1),IF(OFFSET(L13,0,-'Emission Factors EF'!$E$40)*(1-'Emission Factors EF'!$E$41)&gt;K43*(1-'Emission Factors EF'!$E$41),K43*(1-'Emission Factors EF'!$E$41),OFFSET(L13,0,-'Emission Factors EF'!$E$40)*(1-'Emission Factors EF'!$E$41)),0)</f>
        <v>0</v>
      </c>
      <c r="M25" s="196">
        <f ca="1">IF((M$3-'Emission Factors EF'!$C47)&gt;('Emission Factors EF'!$E$40-1),IF(OFFSET(M13,0,-'Emission Factors EF'!$E$40)*(1-'Emission Factors EF'!$E$41)&gt;L43*(1-'Emission Factors EF'!$E$41),L43*(1-'Emission Factors EF'!$E$41),OFFSET(M13,0,-'Emission Factors EF'!$E$40)*(1-'Emission Factors EF'!$E$41)),0)</f>
        <v>0</v>
      </c>
      <c r="N25" s="196">
        <f ca="1">IF((N$3-'Emission Factors EF'!$C47)&gt;('Emission Factors EF'!$E$40-1),IF(OFFSET(N13,0,-'Emission Factors EF'!$E$40)*(1-'Emission Factors EF'!$E$41)&gt;M43*(1-'Emission Factors EF'!$E$41),M43*(1-'Emission Factors EF'!$E$41),OFFSET(N13,0,-'Emission Factors EF'!$E$40)*(1-'Emission Factors EF'!$E$41)),0)</f>
        <v>0</v>
      </c>
      <c r="O25" s="196">
        <f ca="1">IF((O$3-'Emission Factors EF'!$C47)&gt;('Emission Factors EF'!$E$40-1),IF(OFFSET(O13,0,-'Emission Factors EF'!$E$40)*(1-'Emission Factors EF'!$E$41)&gt;N43*(1-'Emission Factors EF'!$E$41),N43*(1-'Emission Factors EF'!$E$41),OFFSET(O13,0,-'Emission Factors EF'!$E$40)*(1-'Emission Factors EF'!$E$41)),0)</f>
        <v>0</v>
      </c>
      <c r="P25" s="196">
        <f ca="1">IF((P$3-'Emission Factors EF'!$C47)&gt;('Emission Factors EF'!$E$40-1),IF(OFFSET(P13,0,-'Emission Factors EF'!$E$40)*(1-'Emission Factors EF'!$E$41)&gt;O43*(1-'Emission Factors EF'!$E$41),O43*(1-'Emission Factors EF'!$E$41),OFFSET(P13,0,-'Emission Factors EF'!$E$40)*(1-'Emission Factors EF'!$E$41)),0)</f>
        <v>0</v>
      </c>
      <c r="Q25" s="196">
        <f ca="1">IF((Q$3-'Emission Factors EF'!$C47)&gt;('Emission Factors EF'!$E$40-1),IF(OFFSET(Q13,0,-'Emission Factors EF'!$E$40)*(1-'Emission Factors EF'!$E$41)&gt;P43*(1-'Emission Factors EF'!$E$41),P43*(1-'Emission Factors EF'!$E$41),OFFSET(Q13,0,-'Emission Factors EF'!$E$40)*(1-'Emission Factors EF'!$E$41)),0)</f>
        <v>0</v>
      </c>
      <c r="R25" s="196">
        <f ca="1">IF((R$3-'Emission Factors EF'!$C47)&gt;('Emission Factors EF'!$E$40-1),IF(OFFSET(R13,0,-'Emission Factors EF'!$E$40)*(1-'Emission Factors EF'!$E$41)&gt;Q43*(1-'Emission Factors EF'!$E$41),Q43*(1-'Emission Factors EF'!$E$41),OFFSET(R13,0,-'Emission Factors EF'!$E$40)*(1-'Emission Factors EF'!$E$41)),0)</f>
        <v>0</v>
      </c>
      <c r="S25" s="196">
        <f ca="1">IF((S$3-'Emission Factors EF'!$C47)&gt;('Emission Factors EF'!$E$40-1),IF(OFFSET(S13,0,-'Emission Factors EF'!$E$40)*(1-'Emission Factors EF'!$E$41)&gt;R43*(1-'Emission Factors EF'!$E$41),R43*(1-'Emission Factors EF'!$E$41),OFFSET(S13,0,-'Emission Factors EF'!$E$40)*(1-'Emission Factors EF'!$E$41)),0)</f>
        <v>4.7939999999999996</v>
      </c>
      <c r="T25" s="196">
        <f ca="1">IF((T$3-'Emission Factors EF'!$C47)&gt;('Emission Factors EF'!$E$40-1),IF(OFFSET(T13,0,-'Emission Factors EF'!$E$40)*(1-'Emission Factors EF'!$E$41)&gt;S43*(1-'Emission Factors EF'!$E$41),S43*(1-'Emission Factors EF'!$E$41),OFFSET(T13,0,-'Emission Factors EF'!$E$40)*(1-'Emission Factors EF'!$E$41)),0)</f>
        <v>4.5134999999999996</v>
      </c>
      <c r="U25" s="196">
        <f ca="1">IF((U$3-'Emission Factors EF'!$C47)&gt;('Emission Factors EF'!$E$40-1),IF(OFFSET(U13,0,-'Emission Factors EF'!$E$40)*(1-'Emission Factors EF'!$E$41)&gt;T43*(1-'Emission Factors EF'!$E$41),T43*(1-'Emission Factors EF'!$E$41),OFFSET(U13,0,-'Emission Factors EF'!$E$40)*(1-'Emission Factors EF'!$E$41)),0)</f>
        <v>4.4624999999999995</v>
      </c>
      <c r="V25" s="196">
        <f ca="1">IF((V$3-'Emission Factors EF'!$C47)&gt;('Emission Factors EF'!$E$40-1),IF(OFFSET(V13,0,-'Emission Factors EF'!$E$40)*(1-'Emission Factors EF'!$E$41)&gt;U43*(1-'Emission Factors EF'!$E$41),U43*(1-'Emission Factors EF'!$E$41),OFFSET(V13,0,-'Emission Factors EF'!$E$40)*(1-'Emission Factors EF'!$E$41)),0)</f>
        <v>1.9700152499999994</v>
      </c>
      <c r="W25" s="196">
        <f ca="1">IF((W$3-'Emission Factors EF'!$C47)&gt;('Emission Factors EF'!$E$40-1),IF(OFFSET(W13,0,-'Emission Factors EF'!$E$40)*(1-'Emission Factors EF'!$E$41)&gt;V43*(1-'Emission Factors EF'!$E$41),V43*(1-'Emission Factors EF'!$E$41),OFFSET(W13,0,-'Emission Factors EF'!$E$40)*(1-'Emission Factors EF'!$E$41)),0)</f>
        <v>2.0102531874999996</v>
      </c>
      <c r="X25" s="196">
        <f ca="1">IF((X$3-'Emission Factors EF'!$C47)&gt;('Emission Factors EF'!$E$40-1),IF(OFFSET(X13,0,-'Emission Factors EF'!$E$40)*(1-'Emission Factors EF'!$E$41)&gt;W43*(1-'Emission Factors EF'!$E$41),W43*(1-'Emission Factors EF'!$E$41),OFFSET(X13,0,-'Emission Factors EF'!$E$40)*(1-'Emission Factors EF'!$E$41)),0)</f>
        <v>1.5059078125000003</v>
      </c>
      <c r="Y25" s="196">
        <f ca="1">IF((Y$3-'Emission Factors EF'!$C47)&gt;('Emission Factors EF'!$E$40-1),IF(OFFSET(Y13,0,-'Emission Factors EF'!$E$40)*(1-'Emission Factors EF'!$E$41)&gt;X43*(1-'Emission Factors EF'!$E$41),X43*(1-'Emission Factors EF'!$E$41),OFFSET(Y13,0,-'Emission Factors EF'!$E$40)*(1-'Emission Factors EF'!$E$41)),0)</f>
        <v>1.9683203654062502</v>
      </c>
      <c r="Z25" s="196">
        <f ca="1">IF((Z$3-'Emission Factors EF'!$C47)&gt;('Emission Factors EF'!$E$40-1),IF(OFFSET(Z13,0,-'Emission Factors EF'!$E$40)*(1-'Emission Factors EF'!$E$41)&gt;Y43*(1-'Emission Factors EF'!$E$41),Y43*(1-'Emission Factors EF'!$E$41),OFFSET(Z13,0,-'Emission Factors EF'!$E$40)*(1-'Emission Factors EF'!$E$41)),0)</f>
        <v>1.8187912637734376</v>
      </c>
      <c r="AA25" s="196">
        <f ca="1">IF((AA$3-'Emission Factors EF'!$C47)&gt;('Emission Factors EF'!$E$40-1),IF(OFFSET(AA13,0,-'Emission Factors EF'!$E$40)*(1-'Emission Factors EF'!$E$41)&gt;Z43*(1-'Emission Factors EF'!$E$41),Z43*(1-'Emission Factors EF'!$E$41),OFFSET(AA13,0,-'Emission Factors EF'!$E$40)*(1-'Emission Factors EF'!$E$41)),0)</f>
        <v>1.8818675572265628</v>
      </c>
      <c r="AB25" s="196">
        <f ca="1">IF((AB$3-'Emission Factors EF'!$C47)&gt;('Emission Factors EF'!$E$40-1),IF(OFFSET(AB13,0,-'Emission Factors EF'!$E$40)*(1-'Emission Factors EF'!$E$41)&gt;AA43*(1-'Emission Factors EF'!$E$41),AA43*(1-'Emission Factors EF'!$E$41),OFFSET(AB13,0,-'Emission Factors EF'!$E$40)*(1-'Emission Factors EF'!$E$41)),0)</f>
        <v>1.6050479414988632</v>
      </c>
      <c r="AC25" s="196">
        <f ca="1">IF((AC$3-'Emission Factors EF'!$C47)&gt;('Emission Factors EF'!$E$40-1),IF(OFFSET(AC13,0,-'Emission Factors EF'!$E$40)*(1-'Emission Factors EF'!$E$41)&gt;AB43*(1-'Emission Factors EF'!$E$41),AB43*(1-'Emission Factors EF'!$E$41),OFFSET(AC13,0,-'Emission Factors EF'!$E$40)*(1-'Emission Factors EF'!$E$41)),0)</f>
        <v>1.8094994287804878</v>
      </c>
      <c r="AD25" s="238">
        <f ca="1">IF((AD$3-'Emission Factors EF'!$C47)&gt;('Emission Factors EF'!$E$40-1),IF(OFFSET(AD13,0,-'Emission Factors EF'!$E$40)*(1-'Emission Factors EF'!$E$41)&gt;AC43*(1-'Emission Factors EF'!$E$41),AC43*(1-'Emission Factors EF'!$E$41),OFFSET(AD13,0,-'Emission Factors EF'!$E$40)*(1-'Emission Factors EF'!$E$41)),0)</f>
        <v>1.6738411744782469</v>
      </c>
    </row>
    <row r="26" spans="2:30" x14ac:dyDescent="0.35">
      <c r="B26" s="641"/>
      <c r="C26" s="98" t="s">
        <v>52</v>
      </c>
      <c r="D26" s="247">
        <v>0</v>
      </c>
      <c r="E26" s="196">
        <f ca="1">IF((E$3-'Emission Factors EF'!$C48)&gt;('Emission Factors EF'!$E$40-1),IF(OFFSET(E14,0,-'Emission Factors EF'!$E$40)*(1-'Emission Factors EF'!$E$41)&gt;D44*(1-'Emission Factors EF'!$E$41),D44*(1-'Emission Factors EF'!$E$41),OFFSET(E14,0,-'Emission Factors EF'!$E$40)*(1-'Emission Factors EF'!$E$41)),0)</f>
        <v>0</v>
      </c>
      <c r="F26" s="196">
        <f ca="1">IF((F$3-'Emission Factors EF'!$C48)&gt;('Emission Factors EF'!$E$40-1),IF(OFFSET(F14,0,-'Emission Factors EF'!$E$40)*(1-'Emission Factors EF'!$E$41)&gt;E44*(1-'Emission Factors EF'!$E$41),E44*(1-'Emission Factors EF'!$E$41),OFFSET(F14,0,-'Emission Factors EF'!$E$40)*(1-'Emission Factors EF'!$E$41)),0)</f>
        <v>0</v>
      </c>
      <c r="G26" s="196">
        <f ca="1">IF((G$3-'Emission Factors EF'!$C48)&gt;('Emission Factors EF'!$E$40-1),IF(OFFSET(G14,0,-'Emission Factors EF'!$E$40)*(1-'Emission Factors EF'!$E$41)&gt;F44*(1-'Emission Factors EF'!$E$41),F44*(1-'Emission Factors EF'!$E$41),OFFSET(G14,0,-'Emission Factors EF'!$E$40)*(1-'Emission Factors EF'!$E$41)),0)</f>
        <v>0</v>
      </c>
      <c r="H26" s="196">
        <f ca="1">IF((H$3-'Emission Factors EF'!$C48)&gt;('Emission Factors EF'!$E$40-1),IF(OFFSET(H14,0,-'Emission Factors EF'!$E$40)*(1-'Emission Factors EF'!$E$41)&gt;G44*(1-'Emission Factors EF'!$E$41),G44*(1-'Emission Factors EF'!$E$41),OFFSET(H14,0,-'Emission Factors EF'!$E$40)*(1-'Emission Factors EF'!$E$41)),0)</f>
        <v>0</v>
      </c>
      <c r="I26" s="196">
        <f ca="1">IF((I$3-'Emission Factors EF'!$C48)&gt;('Emission Factors EF'!$E$40-1),IF(OFFSET(I14,0,-'Emission Factors EF'!$E$40)*(1-'Emission Factors EF'!$E$41)&gt;H44*(1-'Emission Factors EF'!$E$41),H44*(1-'Emission Factors EF'!$E$41),OFFSET(I14,0,-'Emission Factors EF'!$E$40)*(1-'Emission Factors EF'!$E$41)),0)</f>
        <v>0</v>
      </c>
      <c r="J26" s="196">
        <f ca="1">IF((J$3-'Emission Factors EF'!$C48)&gt;('Emission Factors EF'!$E$40-1),IF(OFFSET(J14,0,-'Emission Factors EF'!$E$40)*(1-'Emission Factors EF'!$E$41)&gt;I44*(1-'Emission Factors EF'!$E$41),I44*(1-'Emission Factors EF'!$E$41),OFFSET(J14,0,-'Emission Factors EF'!$E$40)*(1-'Emission Factors EF'!$E$41)),0)</f>
        <v>0</v>
      </c>
      <c r="K26" s="196">
        <f ca="1">IF((K$3-'Emission Factors EF'!$C48)&gt;('Emission Factors EF'!$E$40-1),IF(OFFSET(K14,0,-'Emission Factors EF'!$E$40)*(1-'Emission Factors EF'!$E$41)&gt;J44*(1-'Emission Factors EF'!$E$41),J44*(1-'Emission Factors EF'!$E$41),OFFSET(K14,0,-'Emission Factors EF'!$E$40)*(1-'Emission Factors EF'!$E$41)),0)</f>
        <v>0</v>
      </c>
      <c r="L26" s="196">
        <f ca="1">IF((L$3-'Emission Factors EF'!$C48)&gt;('Emission Factors EF'!$E$40-1),IF(OFFSET(L14,0,-'Emission Factors EF'!$E$40)*(1-'Emission Factors EF'!$E$41)&gt;K44*(1-'Emission Factors EF'!$E$41),K44*(1-'Emission Factors EF'!$E$41),OFFSET(L14,0,-'Emission Factors EF'!$E$40)*(1-'Emission Factors EF'!$E$41)),0)</f>
        <v>0</v>
      </c>
      <c r="M26" s="196">
        <f ca="1">IF((M$3-'Emission Factors EF'!$C48)&gt;('Emission Factors EF'!$E$40-1),IF(OFFSET(M14,0,-'Emission Factors EF'!$E$40)*(1-'Emission Factors EF'!$E$41)&gt;L44*(1-'Emission Factors EF'!$E$41),L44*(1-'Emission Factors EF'!$E$41),OFFSET(M14,0,-'Emission Factors EF'!$E$40)*(1-'Emission Factors EF'!$E$41)),0)</f>
        <v>0</v>
      </c>
      <c r="N26" s="196">
        <f ca="1">IF((N$3-'Emission Factors EF'!$C48)&gt;('Emission Factors EF'!$E$40-1),IF(OFFSET(N14,0,-'Emission Factors EF'!$E$40)*(1-'Emission Factors EF'!$E$41)&gt;M44*(1-'Emission Factors EF'!$E$41),M44*(1-'Emission Factors EF'!$E$41),OFFSET(N14,0,-'Emission Factors EF'!$E$40)*(1-'Emission Factors EF'!$E$41)),0)</f>
        <v>0</v>
      </c>
      <c r="O26" s="196">
        <f ca="1">IF((O$3-'Emission Factors EF'!$C48)&gt;('Emission Factors EF'!$E$40-1),IF(OFFSET(O14,0,-'Emission Factors EF'!$E$40)*(1-'Emission Factors EF'!$E$41)&gt;N44*(1-'Emission Factors EF'!$E$41),N44*(1-'Emission Factors EF'!$E$41),OFFSET(O14,0,-'Emission Factors EF'!$E$40)*(1-'Emission Factors EF'!$E$41)),0)</f>
        <v>0</v>
      </c>
      <c r="P26" s="196">
        <f ca="1">IF((P$3-'Emission Factors EF'!$C48)&gt;('Emission Factors EF'!$E$40-1),IF(OFFSET(P14,0,-'Emission Factors EF'!$E$40)*(1-'Emission Factors EF'!$E$41)&gt;O44*(1-'Emission Factors EF'!$E$41),O44*(1-'Emission Factors EF'!$E$41),OFFSET(P14,0,-'Emission Factors EF'!$E$40)*(1-'Emission Factors EF'!$E$41)),0)</f>
        <v>0</v>
      </c>
      <c r="Q26" s="196">
        <f ca="1">IF((Q$3-'Emission Factors EF'!$C48)&gt;('Emission Factors EF'!$E$40-1),IF(OFFSET(Q14,0,-'Emission Factors EF'!$E$40)*(1-'Emission Factors EF'!$E$41)&gt;P44*(1-'Emission Factors EF'!$E$41),P44*(1-'Emission Factors EF'!$E$41),OFFSET(Q14,0,-'Emission Factors EF'!$E$40)*(1-'Emission Factors EF'!$E$41)),0)</f>
        <v>0</v>
      </c>
      <c r="R26" s="196">
        <f ca="1">IF((R$3-'Emission Factors EF'!$C48)&gt;('Emission Factors EF'!$E$40-1),IF(OFFSET(R14,0,-'Emission Factors EF'!$E$40)*(1-'Emission Factors EF'!$E$41)&gt;Q44*(1-'Emission Factors EF'!$E$41),Q44*(1-'Emission Factors EF'!$E$41),OFFSET(R14,0,-'Emission Factors EF'!$E$40)*(1-'Emission Factors EF'!$E$41)),0)</f>
        <v>0</v>
      </c>
      <c r="S26" s="196">
        <f ca="1">IF((S$3-'Emission Factors EF'!$C48)&gt;('Emission Factors EF'!$E$40-1),IF(OFFSET(S14,0,-'Emission Factors EF'!$E$40)*(1-'Emission Factors EF'!$E$41)&gt;R44*(1-'Emission Factors EF'!$E$41),R44*(1-'Emission Factors EF'!$E$41),OFFSET(S14,0,-'Emission Factors EF'!$E$40)*(1-'Emission Factors EF'!$E$41)),0)</f>
        <v>12.911499999999998</v>
      </c>
      <c r="T26" s="196">
        <f ca="1">IF((T$3-'Emission Factors EF'!$C48)&gt;('Emission Factors EF'!$E$40-1),IF(OFFSET(T14,0,-'Emission Factors EF'!$E$40)*(1-'Emission Factors EF'!$E$41)&gt;S44*(1-'Emission Factors EF'!$E$41),S44*(1-'Emission Factors EF'!$E$41),OFFSET(T14,0,-'Emission Factors EF'!$E$40)*(1-'Emission Factors EF'!$E$41)),0)</f>
        <v>12.945500000000001</v>
      </c>
      <c r="U26" s="196">
        <f ca="1">IF((U$3-'Emission Factors EF'!$C48)&gt;('Emission Factors EF'!$E$40-1),IF(OFFSET(U14,0,-'Emission Factors EF'!$E$40)*(1-'Emission Factors EF'!$E$41)&gt;T44*(1-'Emission Factors EF'!$E$41),T44*(1-'Emission Factors EF'!$E$41),OFFSET(U14,0,-'Emission Factors EF'!$E$40)*(1-'Emission Factors EF'!$E$41)),0)</f>
        <v>12.954000000000001</v>
      </c>
      <c r="V26" s="196">
        <f ca="1">IF((V$3-'Emission Factors EF'!$C48)&gt;('Emission Factors EF'!$E$40-1),IF(OFFSET(V14,0,-'Emission Factors EF'!$E$40)*(1-'Emission Factors EF'!$E$41)&gt;U44*(1-'Emission Factors EF'!$E$41),U44*(1-'Emission Factors EF'!$E$41),OFFSET(V14,0,-'Emission Factors EF'!$E$40)*(1-'Emission Factors EF'!$E$41)),0)</f>
        <v>6.0265499374999987</v>
      </c>
      <c r="W26" s="196">
        <f ca="1">IF((W$3-'Emission Factors EF'!$C48)&gt;('Emission Factors EF'!$E$40-1),IF(OFFSET(W14,0,-'Emission Factors EF'!$E$40)*(1-'Emission Factors EF'!$E$41)&gt;V44*(1-'Emission Factors EF'!$E$41),V44*(1-'Emission Factors EF'!$E$41),OFFSET(W14,0,-'Emission Factors EF'!$E$40)*(1-'Emission Factors EF'!$E$41)),0)</f>
        <v>6.0219301874999989</v>
      </c>
      <c r="X26" s="196">
        <f ca="1">IF((X$3-'Emission Factors EF'!$C48)&gt;('Emission Factors EF'!$E$40-1),IF(OFFSET(X14,0,-'Emission Factors EF'!$E$40)*(1-'Emission Factors EF'!$E$41)&gt;W44*(1-'Emission Factors EF'!$E$41),W44*(1-'Emission Factors EF'!$E$41),OFFSET(X14,0,-'Emission Factors EF'!$E$40)*(1-'Emission Factors EF'!$E$41)),0)</f>
        <v>4.0513252500000005</v>
      </c>
      <c r="Y26" s="196">
        <f ca="1">IF((Y$3-'Emission Factors EF'!$C48)&gt;('Emission Factors EF'!$E$40-1),IF(OFFSET(Y14,0,-'Emission Factors EF'!$E$40)*(1-'Emission Factors EF'!$E$41)&gt;X44*(1-'Emission Factors EF'!$E$41),X44*(1-'Emission Factors EF'!$E$41),OFFSET(Y14,0,-'Emission Factors EF'!$E$40)*(1-'Emission Factors EF'!$E$41)),0)</f>
        <v>4.7643550428671864</v>
      </c>
      <c r="Z26" s="196">
        <f ca="1">IF((Z$3-'Emission Factors EF'!$C48)&gt;('Emission Factors EF'!$E$40-1),IF(OFFSET(Z14,0,-'Emission Factors EF'!$E$40)*(1-'Emission Factors EF'!$E$41)&gt;Y44*(1-'Emission Factors EF'!$E$41),Y44*(1-'Emission Factors EF'!$E$41),OFFSET(Z14,0,-'Emission Factors EF'!$E$40)*(1-'Emission Factors EF'!$E$41)),0)</f>
        <v>3.8366551982734376</v>
      </c>
      <c r="AA26" s="196">
        <f ca="1">IF((AA$3-'Emission Factors EF'!$C48)&gt;('Emission Factors EF'!$E$40-1),IF(OFFSET(AA14,0,-'Emission Factors EF'!$E$40)*(1-'Emission Factors EF'!$E$41)&gt;Z44*(1-'Emission Factors EF'!$E$41),Z44*(1-'Emission Factors EF'!$E$41),OFFSET(AA14,0,-'Emission Factors EF'!$E$40)*(1-'Emission Factors EF'!$E$41)),0)</f>
        <v>3.6767728504062505</v>
      </c>
      <c r="AB26" s="196">
        <f ca="1">IF((AB$3-'Emission Factors EF'!$C48)&gt;('Emission Factors EF'!$E$40-1),IF(OFFSET(AB14,0,-'Emission Factors EF'!$E$40)*(1-'Emission Factors EF'!$E$41)&gt;AA44*(1-'Emission Factors EF'!$E$41),AA44*(1-'Emission Factors EF'!$E$41),OFFSET(AB14,0,-'Emission Factors EF'!$E$40)*(1-'Emission Factors EF'!$E$41)),0)</f>
        <v>2.7769336915836238</v>
      </c>
      <c r="AC26" s="196">
        <f ca="1">IF((AC$3-'Emission Factors EF'!$C48)&gt;('Emission Factors EF'!$E$40-1),IF(OFFSET(AC14,0,-'Emission Factors EF'!$E$40)*(1-'Emission Factors EF'!$E$41)&gt;AB44*(1-'Emission Factors EF'!$E$41),AB44*(1-'Emission Factors EF'!$E$41),OFFSET(AC14,0,-'Emission Factors EF'!$E$40)*(1-'Emission Factors EF'!$E$41)),0)</f>
        <v>0.46525661268615925</v>
      </c>
      <c r="AD26" s="238">
        <f ca="1">IF((AD$3-'Emission Factors EF'!$C48)&gt;('Emission Factors EF'!$E$40-1),IF(OFFSET(AD14,0,-'Emission Factors EF'!$E$40)*(1-'Emission Factors EF'!$E$41)&gt;AC44*(1-'Emission Factors EF'!$E$41),AC44*(1-'Emission Factors EF'!$E$41),OFFSET(AD14,0,-'Emission Factors EF'!$E$40)*(1-'Emission Factors EF'!$E$41)),0)</f>
        <v>-6.554706607160643E-2</v>
      </c>
    </row>
    <row r="27" spans="2:30" x14ac:dyDescent="0.35">
      <c r="B27" s="641"/>
      <c r="C27" s="98" t="s">
        <v>54</v>
      </c>
      <c r="D27" s="247">
        <v>0</v>
      </c>
      <c r="E27" s="196">
        <f ca="1">IF((E$3-'Emission Factors EF'!$C49)&gt;('Emission Factors EF'!$E$40-1),IF(OFFSET(E15,0,-'Emission Factors EF'!$E$40)*(1-'Emission Factors EF'!$E$41)&gt;D45*(1-'Emission Factors EF'!$E$41),D45*(1-'Emission Factors EF'!$E$41),OFFSET(E15,0,-'Emission Factors EF'!$E$40)*(1-'Emission Factors EF'!$E$41)),0)</f>
        <v>0</v>
      </c>
      <c r="F27" s="196">
        <f ca="1">IF((F$3-'Emission Factors EF'!$C49)&gt;('Emission Factors EF'!$E$40-1),IF(OFFSET(F15,0,-'Emission Factors EF'!$E$40)*(1-'Emission Factors EF'!$E$41)&gt;E45*(1-'Emission Factors EF'!$E$41),E45*(1-'Emission Factors EF'!$E$41),OFFSET(F15,0,-'Emission Factors EF'!$E$40)*(1-'Emission Factors EF'!$E$41)),0)</f>
        <v>0</v>
      </c>
      <c r="G27" s="196">
        <f ca="1">IF((G$3-'Emission Factors EF'!$C49)&gt;('Emission Factors EF'!$E$40-1),IF(OFFSET(G15,0,-'Emission Factors EF'!$E$40)*(1-'Emission Factors EF'!$E$41)&gt;F45*(1-'Emission Factors EF'!$E$41),F45*(1-'Emission Factors EF'!$E$41),OFFSET(G15,0,-'Emission Factors EF'!$E$40)*(1-'Emission Factors EF'!$E$41)),0)</f>
        <v>0</v>
      </c>
      <c r="H27" s="196">
        <f ca="1">IF((H$3-'Emission Factors EF'!$C49)&gt;('Emission Factors EF'!$E$40-1),IF(OFFSET(H15,0,-'Emission Factors EF'!$E$40)*(1-'Emission Factors EF'!$E$41)&gt;G45*(1-'Emission Factors EF'!$E$41),G45*(1-'Emission Factors EF'!$E$41),OFFSET(H15,0,-'Emission Factors EF'!$E$40)*(1-'Emission Factors EF'!$E$41)),0)</f>
        <v>0</v>
      </c>
      <c r="I27" s="196">
        <f ca="1">IF((I$3-'Emission Factors EF'!$C49)&gt;('Emission Factors EF'!$E$40-1),IF(OFFSET(I15,0,-'Emission Factors EF'!$E$40)*(1-'Emission Factors EF'!$E$41)&gt;H45*(1-'Emission Factors EF'!$E$41),H45*(1-'Emission Factors EF'!$E$41),OFFSET(I15,0,-'Emission Factors EF'!$E$40)*(1-'Emission Factors EF'!$E$41)),0)</f>
        <v>0</v>
      </c>
      <c r="J27" s="196">
        <f ca="1">IF((J$3-'Emission Factors EF'!$C49)&gt;('Emission Factors EF'!$E$40-1),IF(OFFSET(J15,0,-'Emission Factors EF'!$E$40)*(1-'Emission Factors EF'!$E$41)&gt;I45*(1-'Emission Factors EF'!$E$41),I45*(1-'Emission Factors EF'!$E$41),OFFSET(J15,0,-'Emission Factors EF'!$E$40)*(1-'Emission Factors EF'!$E$41)),0)</f>
        <v>0</v>
      </c>
      <c r="K27" s="196">
        <f ca="1">IF((K$3-'Emission Factors EF'!$C49)&gt;('Emission Factors EF'!$E$40-1),IF(OFFSET(K15,0,-'Emission Factors EF'!$E$40)*(1-'Emission Factors EF'!$E$41)&gt;J45*(1-'Emission Factors EF'!$E$41),J45*(1-'Emission Factors EF'!$E$41),OFFSET(K15,0,-'Emission Factors EF'!$E$40)*(1-'Emission Factors EF'!$E$41)),0)</f>
        <v>0</v>
      </c>
      <c r="L27" s="196">
        <f ca="1">IF((L$3-'Emission Factors EF'!$C49)&gt;('Emission Factors EF'!$E$40-1),IF(OFFSET(L15,0,-'Emission Factors EF'!$E$40)*(1-'Emission Factors EF'!$E$41)&gt;K45*(1-'Emission Factors EF'!$E$41),K45*(1-'Emission Factors EF'!$E$41),OFFSET(L15,0,-'Emission Factors EF'!$E$40)*(1-'Emission Factors EF'!$E$41)),0)</f>
        <v>0</v>
      </c>
      <c r="M27" s="196">
        <f ca="1">IF((M$3-'Emission Factors EF'!$C49)&gt;('Emission Factors EF'!$E$40-1),IF(OFFSET(M15,0,-'Emission Factors EF'!$E$40)*(1-'Emission Factors EF'!$E$41)&gt;L45*(1-'Emission Factors EF'!$E$41),L45*(1-'Emission Factors EF'!$E$41),OFFSET(M15,0,-'Emission Factors EF'!$E$40)*(1-'Emission Factors EF'!$E$41)),0)</f>
        <v>0</v>
      </c>
      <c r="N27" s="196">
        <f ca="1">IF((N$3-'Emission Factors EF'!$C49)&gt;('Emission Factors EF'!$E$40-1),IF(OFFSET(N15,0,-'Emission Factors EF'!$E$40)*(1-'Emission Factors EF'!$E$41)&gt;M45*(1-'Emission Factors EF'!$E$41),M45*(1-'Emission Factors EF'!$E$41),OFFSET(N15,0,-'Emission Factors EF'!$E$40)*(1-'Emission Factors EF'!$E$41)),0)</f>
        <v>0</v>
      </c>
      <c r="O27" s="196">
        <f ca="1">IF((O$3-'Emission Factors EF'!$C49)&gt;('Emission Factors EF'!$E$40-1),IF(OFFSET(O15,0,-'Emission Factors EF'!$E$40)*(1-'Emission Factors EF'!$E$41)&gt;N45*(1-'Emission Factors EF'!$E$41),N45*(1-'Emission Factors EF'!$E$41),OFFSET(O15,0,-'Emission Factors EF'!$E$40)*(1-'Emission Factors EF'!$E$41)),0)</f>
        <v>0</v>
      </c>
      <c r="P27" s="196">
        <f ca="1">IF((P$3-'Emission Factors EF'!$C49)&gt;('Emission Factors EF'!$E$40-1),IF(OFFSET(P15,0,-'Emission Factors EF'!$E$40)*(1-'Emission Factors EF'!$E$41)&gt;O45*(1-'Emission Factors EF'!$E$41),O45*(1-'Emission Factors EF'!$E$41),OFFSET(P15,0,-'Emission Factors EF'!$E$40)*(1-'Emission Factors EF'!$E$41)),0)</f>
        <v>0</v>
      </c>
      <c r="Q27" s="196">
        <f ca="1">IF((Q$3-'Emission Factors EF'!$C49)&gt;('Emission Factors EF'!$E$40-1),IF(OFFSET(Q15,0,-'Emission Factors EF'!$E$40)*(1-'Emission Factors EF'!$E$41)&gt;P45*(1-'Emission Factors EF'!$E$41),P45*(1-'Emission Factors EF'!$E$41),OFFSET(Q15,0,-'Emission Factors EF'!$E$40)*(1-'Emission Factors EF'!$E$41)),0)</f>
        <v>0</v>
      </c>
      <c r="R27" s="196">
        <f ca="1">IF((R$3-'Emission Factors EF'!$C49)&gt;('Emission Factors EF'!$E$40-1),IF(OFFSET(R15,0,-'Emission Factors EF'!$E$40)*(1-'Emission Factors EF'!$E$41)&gt;Q45*(1-'Emission Factors EF'!$E$41),Q45*(1-'Emission Factors EF'!$E$41),OFFSET(R15,0,-'Emission Factors EF'!$E$40)*(1-'Emission Factors EF'!$E$41)),0)</f>
        <v>0</v>
      </c>
      <c r="S27" s="196">
        <f ca="1">IF((S$3-'Emission Factors EF'!$C49)&gt;('Emission Factors EF'!$E$40-1),IF(OFFSET(S15,0,-'Emission Factors EF'!$E$40)*(1-'Emission Factors EF'!$E$41)&gt;R45*(1-'Emission Factors EF'!$E$41),R45*(1-'Emission Factors EF'!$E$41),OFFSET(S15,0,-'Emission Factors EF'!$E$40)*(1-'Emission Factors EF'!$E$41)),0)</f>
        <v>4.6494999999999997</v>
      </c>
      <c r="T27" s="196">
        <f ca="1">IF((T$3-'Emission Factors EF'!$C49)&gt;('Emission Factors EF'!$E$40-1),IF(OFFSET(T15,0,-'Emission Factors EF'!$E$40)*(1-'Emission Factors EF'!$E$41)&gt;S45*(1-'Emission Factors EF'!$E$41),S45*(1-'Emission Factors EF'!$E$41),OFFSET(T15,0,-'Emission Factors EF'!$E$40)*(1-'Emission Factors EF'!$E$41)),0)</f>
        <v>4.3860000000000001</v>
      </c>
      <c r="U27" s="196">
        <f ca="1">IF((U$3-'Emission Factors EF'!$C49)&gt;('Emission Factors EF'!$E$40-1),IF(OFFSET(U15,0,-'Emission Factors EF'!$E$40)*(1-'Emission Factors EF'!$E$41)&gt;T45*(1-'Emission Factors EF'!$E$41),T45*(1-'Emission Factors EF'!$E$41),OFFSET(U15,0,-'Emission Factors EF'!$E$40)*(1-'Emission Factors EF'!$E$41)),0)</f>
        <v>4.335</v>
      </c>
      <c r="V27" s="196">
        <f ca="1">IF((V$3-'Emission Factors EF'!$C49)&gt;('Emission Factors EF'!$E$40-1),IF(OFFSET(V15,0,-'Emission Factors EF'!$E$40)*(1-'Emission Factors EF'!$E$41)&gt;U45*(1-'Emission Factors EF'!$E$41),U45*(1-'Emission Factors EF'!$E$41),OFFSET(V15,0,-'Emission Factors EF'!$E$40)*(1-'Emission Factors EF'!$E$41)),0)</f>
        <v>1.9199491874999999</v>
      </c>
      <c r="W27" s="196">
        <f ca="1">IF((W$3-'Emission Factors EF'!$C49)&gt;('Emission Factors EF'!$E$40-1),IF(OFFSET(W15,0,-'Emission Factors EF'!$E$40)*(1-'Emission Factors EF'!$E$41)&gt;V45*(1-'Emission Factors EF'!$E$41),V45*(1-'Emission Factors EF'!$E$41),OFFSET(W15,0,-'Emission Factors EF'!$E$40)*(1-'Emission Factors EF'!$E$41)),0)</f>
        <v>1.9451272499999994</v>
      </c>
      <c r="X27" s="196">
        <f ca="1">IF((X$3-'Emission Factors EF'!$C49)&gt;('Emission Factors EF'!$E$40-1),IF(OFFSET(X15,0,-'Emission Factors EF'!$E$40)*(1-'Emission Factors EF'!$E$41)&gt;W45*(1-'Emission Factors EF'!$E$41),W45*(1-'Emission Factors EF'!$E$41),OFFSET(X15,0,-'Emission Factors EF'!$E$40)*(1-'Emission Factors EF'!$E$41)),0)</f>
        <v>1.4599068750000002</v>
      </c>
      <c r="Y27" s="196">
        <f ca="1">IF((Y$3-'Emission Factors EF'!$C49)&gt;('Emission Factors EF'!$E$40-1),IF(OFFSET(Y15,0,-'Emission Factors EF'!$E$40)*(1-'Emission Factors EF'!$E$41)&gt;X45*(1-'Emission Factors EF'!$E$41),X45*(1-'Emission Factors EF'!$E$41),OFFSET(Y15,0,-'Emission Factors EF'!$E$40)*(1-'Emission Factors EF'!$E$41)),0)</f>
        <v>1.911564607273438</v>
      </c>
      <c r="Z27" s="196">
        <f ca="1">IF((Z$3-'Emission Factors EF'!$C49)&gt;('Emission Factors EF'!$E$40-1),IF(OFFSET(Z15,0,-'Emission Factors EF'!$E$40)*(1-'Emission Factors EF'!$E$41)&gt;Y45*(1-'Emission Factors EF'!$E$41),Y45*(1-'Emission Factors EF'!$E$41),OFFSET(Z15,0,-'Emission Factors EF'!$E$40)*(1-'Emission Factors EF'!$E$41)),0)</f>
        <v>1.7668566442812506</v>
      </c>
      <c r="AA27" s="196">
        <f ca="1">IF((AA$3-'Emission Factors EF'!$C49)&gt;('Emission Factors EF'!$E$40-1),IF(OFFSET(AA15,0,-'Emission Factors EF'!$E$40)*(1-'Emission Factors EF'!$E$41)&gt;Z45*(1-'Emission Factors EF'!$E$41),Z45*(1-'Emission Factors EF'!$E$41),OFFSET(AA15,0,-'Emission Factors EF'!$E$40)*(1-'Emission Factors EF'!$E$41)),0)</f>
        <v>1.8238219689843751</v>
      </c>
      <c r="AB27" s="196">
        <f ca="1">IF((AB$3-'Emission Factors EF'!$C49)&gt;('Emission Factors EF'!$E$40-1),IF(OFFSET(AB15,0,-'Emission Factors EF'!$E$40)*(1-'Emission Factors EF'!$E$41)&gt;AA45*(1-'Emission Factors EF'!$E$41),AA45*(1-'Emission Factors EF'!$E$41),OFFSET(AB15,0,-'Emission Factors EF'!$E$40)*(1-'Emission Factors EF'!$E$41)),0)</f>
        <v>1.5580525102933627</v>
      </c>
      <c r="AC27" s="196">
        <f ca="1">IF((AC$3-'Emission Factors EF'!$C49)&gt;('Emission Factors EF'!$E$40-1),IF(OFFSET(AC15,0,-'Emission Factors EF'!$E$40)*(1-'Emission Factors EF'!$E$41)&gt;AB45*(1-'Emission Factors EF'!$E$41),AB45*(1-'Emission Factors EF'!$E$41),OFFSET(AC15,0,-'Emission Factors EF'!$E$40)*(1-'Emission Factors EF'!$E$41)),0)</f>
        <v>1.7606570044219576</v>
      </c>
      <c r="AD27" s="238">
        <f ca="1">IF((AD$3-'Emission Factors EF'!$C49)&gt;('Emission Factors EF'!$E$40-1),IF(OFFSET(AD15,0,-'Emission Factors EF'!$E$40)*(1-'Emission Factors EF'!$E$41)&gt;AC45*(1-'Emission Factors EF'!$E$41),AC45*(1-'Emission Factors EF'!$E$41),OFFSET(AD15,0,-'Emission Factors EF'!$E$40)*(1-'Emission Factors EF'!$E$41)),0)</f>
        <v>1.6266470131099522</v>
      </c>
    </row>
    <row r="28" spans="2:30" x14ac:dyDescent="0.35">
      <c r="B28" s="641"/>
      <c r="C28" s="98" t="s">
        <v>55</v>
      </c>
      <c r="D28" s="247">
        <v>0</v>
      </c>
      <c r="E28" s="196">
        <f ca="1">IF((E$3-'Emission Factors EF'!$C50)&gt;('Emission Factors EF'!$E$40-1),IF(OFFSET(E16,0,-'Emission Factors EF'!$E$40)*(1-'Emission Factors EF'!$E$41)&gt;D46*(1-'Emission Factors EF'!$E$41),D46*(1-'Emission Factors EF'!$E$41),OFFSET(E16,0,-'Emission Factors EF'!$E$40)*(1-'Emission Factors EF'!$E$41)),0)</f>
        <v>0</v>
      </c>
      <c r="F28" s="196">
        <f ca="1">IF((F$3-'Emission Factors EF'!$C50)&gt;('Emission Factors EF'!$E$40-1),IF(OFFSET(F16,0,-'Emission Factors EF'!$E$40)*(1-'Emission Factors EF'!$E$41)&gt;E46*(1-'Emission Factors EF'!$E$41),E46*(1-'Emission Factors EF'!$E$41),OFFSET(F16,0,-'Emission Factors EF'!$E$40)*(1-'Emission Factors EF'!$E$41)),0)</f>
        <v>0</v>
      </c>
      <c r="G28" s="196">
        <f ca="1">IF((G$3-'Emission Factors EF'!$C50)&gt;('Emission Factors EF'!$E$40-1),IF(OFFSET(G16,0,-'Emission Factors EF'!$E$40)*(1-'Emission Factors EF'!$E$41)&gt;F46*(1-'Emission Factors EF'!$E$41),F46*(1-'Emission Factors EF'!$E$41),OFFSET(G16,0,-'Emission Factors EF'!$E$40)*(1-'Emission Factors EF'!$E$41)),0)</f>
        <v>0</v>
      </c>
      <c r="H28" s="196">
        <f ca="1">IF((H$3-'Emission Factors EF'!$C50)&gt;('Emission Factors EF'!$E$40-1),IF(OFFSET(H16,0,-'Emission Factors EF'!$E$40)*(1-'Emission Factors EF'!$E$41)&gt;G46*(1-'Emission Factors EF'!$E$41),G46*(1-'Emission Factors EF'!$E$41),OFFSET(H16,0,-'Emission Factors EF'!$E$40)*(1-'Emission Factors EF'!$E$41)),0)</f>
        <v>0</v>
      </c>
      <c r="I28" s="196">
        <f ca="1">IF((I$3-'Emission Factors EF'!$C50)&gt;('Emission Factors EF'!$E$40-1),IF(OFFSET(I16,0,-'Emission Factors EF'!$E$40)*(1-'Emission Factors EF'!$E$41)&gt;H46*(1-'Emission Factors EF'!$E$41),H46*(1-'Emission Factors EF'!$E$41),OFFSET(I16,0,-'Emission Factors EF'!$E$40)*(1-'Emission Factors EF'!$E$41)),0)</f>
        <v>0</v>
      </c>
      <c r="J28" s="196">
        <f ca="1">IF((J$3-'Emission Factors EF'!$C50)&gt;('Emission Factors EF'!$E$40-1),IF(OFFSET(J16,0,-'Emission Factors EF'!$E$40)*(1-'Emission Factors EF'!$E$41)&gt;I46*(1-'Emission Factors EF'!$E$41),I46*(1-'Emission Factors EF'!$E$41),OFFSET(J16,0,-'Emission Factors EF'!$E$40)*(1-'Emission Factors EF'!$E$41)),0)</f>
        <v>0</v>
      </c>
      <c r="K28" s="196">
        <f ca="1">IF((K$3-'Emission Factors EF'!$C50)&gt;('Emission Factors EF'!$E$40-1),IF(OFFSET(K16,0,-'Emission Factors EF'!$E$40)*(1-'Emission Factors EF'!$E$41)&gt;J46*(1-'Emission Factors EF'!$E$41),J46*(1-'Emission Factors EF'!$E$41),OFFSET(K16,0,-'Emission Factors EF'!$E$40)*(1-'Emission Factors EF'!$E$41)),0)</f>
        <v>0</v>
      </c>
      <c r="L28" s="196">
        <f ca="1">IF((L$3-'Emission Factors EF'!$C50)&gt;('Emission Factors EF'!$E$40-1),IF(OFFSET(L16,0,-'Emission Factors EF'!$E$40)*(1-'Emission Factors EF'!$E$41)&gt;K46*(1-'Emission Factors EF'!$E$41),K46*(1-'Emission Factors EF'!$E$41),OFFSET(L16,0,-'Emission Factors EF'!$E$40)*(1-'Emission Factors EF'!$E$41)),0)</f>
        <v>0</v>
      </c>
      <c r="M28" s="196">
        <f ca="1">IF((M$3-'Emission Factors EF'!$C50)&gt;('Emission Factors EF'!$E$40-1),IF(OFFSET(M16,0,-'Emission Factors EF'!$E$40)*(1-'Emission Factors EF'!$E$41)&gt;L46*(1-'Emission Factors EF'!$E$41),L46*(1-'Emission Factors EF'!$E$41),OFFSET(M16,0,-'Emission Factors EF'!$E$40)*(1-'Emission Factors EF'!$E$41)),0)</f>
        <v>0</v>
      </c>
      <c r="N28" s="196">
        <f ca="1">IF((N$3-'Emission Factors EF'!$C50)&gt;('Emission Factors EF'!$E$40-1),IF(OFFSET(N16,0,-'Emission Factors EF'!$E$40)*(1-'Emission Factors EF'!$E$41)&gt;M46*(1-'Emission Factors EF'!$E$41),M46*(1-'Emission Factors EF'!$E$41),OFFSET(N16,0,-'Emission Factors EF'!$E$40)*(1-'Emission Factors EF'!$E$41)),0)</f>
        <v>0</v>
      </c>
      <c r="O28" s="196">
        <f ca="1">IF((O$3-'Emission Factors EF'!$C50)&gt;('Emission Factors EF'!$E$40-1),IF(OFFSET(O16,0,-'Emission Factors EF'!$E$40)*(1-'Emission Factors EF'!$E$41)&gt;N46*(1-'Emission Factors EF'!$E$41),N46*(1-'Emission Factors EF'!$E$41),OFFSET(O16,0,-'Emission Factors EF'!$E$40)*(1-'Emission Factors EF'!$E$41)),0)</f>
        <v>0</v>
      </c>
      <c r="P28" s="196">
        <f ca="1">IF((P$3-'Emission Factors EF'!$C50)&gt;('Emission Factors EF'!$E$40-1),IF(OFFSET(P16,0,-'Emission Factors EF'!$E$40)*(1-'Emission Factors EF'!$E$41)&gt;O46*(1-'Emission Factors EF'!$E$41),O46*(1-'Emission Factors EF'!$E$41),OFFSET(P16,0,-'Emission Factors EF'!$E$40)*(1-'Emission Factors EF'!$E$41)),0)</f>
        <v>0</v>
      </c>
      <c r="Q28" s="196">
        <f ca="1">IF((Q$3-'Emission Factors EF'!$C50)&gt;('Emission Factors EF'!$E$40-1),IF(OFFSET(Q16,0,-'Emission Factors EF'!$E$40)*(1-'Emission Factors EF'!$E$41)&gt;P46*(1-'Emission Factors EF'!$E$41),P46*(1-'Emission Factors EF'!$E$41),OFFSET(Q16,0,-'Emission Factors EF'!$E$40)*(1-'Emission Factors EF'!$E$41)),0)</f>
        <v>0</v>
      </c>
      <c r="R28" s="196">
        <f ca="1">IF((R$3-'Emission Factors EF'!$C50)&gt;('Emission Factors EF'!$E$40-1),IF(OFFSET(R16,0,-'Emission Factors EF'!$E$40)*(1-'Emission Factors EF'!$E$41)&gt;Q46*(1-'Emission Factors EF'!$E$41),Q46*(1-'Emission Factors EF'!$E$41),OFFSET(R16,0,-'Emission Factors EF'!$E$40)*(1-'Emission Factors EF'!$E$41)),0)</f>
        <v>0</v>
      </c>
      <c r="S28" s="196">
        <f ca="1">IF((S$3-'Emission Factors EF'!$C50)&gt;('Emission Factors EF'!$E$40-1),IF(OFFSET(S16,0,-'Emission Factors EF'!$E$40)*(1-'Emission Factors EF'!$E$41)&gt;R46*(1-'Emission Factors EF'!$E$41),R46*(1-'Emission Factors EF'!$E$41),OFFSET(S16,0,-'Emission Factors EF'!$E$40)*(1-'Emission Factors EF'!$E$41)),0)</f>
        <v>0</v>
      </c>
      <c r="T28" s="196">
        <f ca="1">IF((T$3-'Emission Factors EF'!$C50)&gt;('Emission Factors EF'!$E$40-1),IF(OFFSET(T16,0,-'Emission Factors EF'!$E$40)*(1-'Emission Factors EF'!$E$41)&gt;S46*(1-'Emission Factors EF'!$E$41),S46*(1-'Emission Factors EF'!$E$41),OFFSET(T16,0,-'Emission Factors EF'!$E$40)*(1-'Emission Factors EF'!$E$41)),0)</f>
        <v>0</v>
      </c>
      <c r="U28" s="196">
        <f ca="1">IF((U$3-'Emission Factors EF'!$C50)&gt;('Emission Factors EF'!$E$40-1),IF(OFFSET(U16,0,-'Emission Factors EF'!$E$40)*(1-'Emission Factors EF'!$E$41)&gt;T46*(1-'Emission Factors EF'!$E$41),T46*(1-'Emission Factors EF'!$E$41),OFFSET(U16,0,-'Emission Factors EF'!$E$40)*(1-'Emission Factors EF'!$E$41)),0)</f>
        <v>0</v>
      </c>
      <c r="V28" s="196">
        <f ca="1">IF((V$3-'Emission Factors EF'!$C50)&gt;('Emission Factors EF'!$E$40-1),IF(OFFSET(V16,0,-'Emission Factors EF'!$E$40)*(1-'Emission Factors EF'!$E$41)&gt;U46*(1-'Emission Factors EF'!$E$41),U46*(1-'Emission Factors EF'!$E$41),OFFSET(V16,0,-'Emission Factors EF'!$E$40)*(1-'Emission Factors EF'!$E$41)),0)</f>
        <v>0</v>
      </c>
      <c r="W28" s="196">
        <f ca="1">IF((W$3-'Emission Factors EF'!$C50)&gt;('Emission Factors EF'!$E$40-1),IF(OFFSET(W16,0,-'Emission Factors EF'!$E$40)*(1-'Emission Factors EF'!$E$41)&gt;V46*(1-'Emission Factors EF'!$E$41),V46*(1-'Emission Factors EF'!$E$41),OFFSET(W16,0,-'Emission Factors EF'!$E$40)*(1-'Emission Factors EF'!$E$41)),0)</f>
        <v>0</v>
      </c>
      <c r="X28" s="196">
        <f ca="1">IF((X$3-'Emission Factors EF'!$C50)&gt;('Emission Factors EF'!$E$40-1),IF(OFFSET(X16,0,-'Emission Factors EF'!$E$40)*(1-'Emission Factors EF'!$E$41)&gt;W46*(1-'Emission Factors EF'!$E$41),W46*(1-'Emission Factors EF'!$E$41),OFFSET(X16,0,-'Emission Factors EF'!$E$40)*(1-'Emission Factors EF'!$E$41)),0)</f>
        <v>0</v>
      </c>
      <c r="Y28" s="196">
        <f ca="1">IF((Y$3-'Emission Factors EF'!$C50)&gt;('Emission Factors EF'!$E$40-1),IF(OFFSET(Y16,0,-'Emission Factors EF'!$E$40)*(1-'Emission Factors EF'!$E$41)&gt;X46*(1-'Emission Factors EF'!$E$41),X46*(1-'Emission Factors EF'!$E$41),OFFSET(Y16,0,-'Emission Factors EF'!$E$40)*(1-'Emission Factors EF'!$E$41)),0)</f>
        <v>0</v>
      </c>
      <c r="Z28" s="196">
        <f ca="1">IF((Z$3-'Emission Factors EF'!$C50)&gt;('Emission Factors EF'!$E$40-1),IF(OFFSET(Z16,0,-'Emission Factors EF'!$E$40)*(1-'Emission Factors EF'!$E$41)&gt;Y46*(1-'Emission Factors EF'!$E$41),Y46*(1-'Emission Factors EF'!$E$41),OFFSET(Z16,0,-'Emission Factors EF'!$E$40)*(1-'Emission Factors EF'!$E$41)),0)</f>
        <v>0</v>
      </c>
      <c r="AA28" s="196">
        <f ca="1">IF((AA$3-'Emission Factors EF'!$C50)&gt;('Emission Factors EF'!$E$40-1),IF(OFFSET(AA16,0,-'Emission Factors EF'!$E$40)*(1-'Emission Factors EF'!$E$41)&gt;Z46*(1-'Emission Factors EF'!$E$41),Z46*(1-'Emission Factors EF'!$E$41),OFFSET(AA16,0,-'Emission Factors EF'!$E$40)*(1-'Emission Factors EF'!$E$41)),0)</f>
        <v>0</v>
      </c>
      <c r="AB28" s="196">
        <f ca="1">IF((AB$3-'Emission Factors EF'!$C50)&gt;('Emission Factors EF'!$E$40-1),IF(OFFSET(AB16,0,-'Emission Factors EF'!$E$40)*(1-'Emission Factors EF'!$E$41)&gt;AA46*(1-'Emission Factors EF'!$E$41),AA46*(1-'Emission Factors EF'!$E$41),OFFSET(AB16,0,-'Emission Factors EF'!$E$40)*(1-'Emission Factors EF'!$E$41)),0)</f>
        <v>0</v>
      </c>
      <c r="AC28" s="196">
        <f ca="1">IF((AC$3-'Emission Factors EF'!$C50)&gt;('Emission Factors EF'!$E$40-1),IF(OFFSET(AC16,0,-'Emission Factors EF'!$E$40)*(1-'Emission Factors EF'!$E$41)&gt;AB46*(1-'Emission Factors EF'!$E$41),AB46*(1-'Emission Factors EF'!$E$41),OFFSET(AC16,0,-'Emission Factors EF'!$E$40)*(1-'Emission Factors EF'!$E$41)),0)</f>
        <v>0</v>
      </c>
      <c r="AD28" s="238">
        <f ca="1">IF((AD$3-'Emission Factors EF'!$C50)&gt;('Emission Factors EF'!$E$40-1),IF(OFFSET(AD16,0,-'Emission Factors EF'!$E$40)*(1-'Emission Factors EF'!$E$41)&gt;AC46*(1-'Emission Factors EF'!$E$41),AC46*(1-'Emission Factors EF'!$E$41),OFFSET(AD16,0,-'Emission Factors EF'!$E$40)*(1-'Emission Factors EF'!$E$41)),0)</f>
        <v>0</v>
      </c>
    </row>
    <row r="29" spans="2:30" x14ac:dyDescent="0.35">
      <c r="B29" s="639" t="s">
        <v>328</v>
      </c>
      <c r="C29" s="98" t="s">
        <v>49</v>
      </c>
      <c r="D29" s="247">
        <f>D23*'Emission Factors EF'!$E$42</f>
        <v>0</v>
      </c>
      <c r="E29" s="196">
        <f ca="1">E23*'Emission Factors EF'!$E$42</f>
        <v>0</v>
      </c>
      <c r="F29" s="196">
        <f ca="1">F23*'Emission Factors EF'!$E$42</f>
        <v>0</v>
      </c>
      <c r="G29" s="196">
        <f ca="1">G23*'Emission Factors EF'!$E$42</f>
        <v>0</v>
      </c>
      <c r="H29" s="196">
        <f ca="1">H23*'Emission Factors EF'!$E$42</f>
        <v>0</v>
      </c>
      <c r="I29" s="196">
        <f ca="1">I23*'Emission Factors EF'!$E$42</f>
        <v>0</v>
      </c>
      <c r="J29" s="196">
        <f ca="1">J23*'Emission Factors EF'!$E$42</f>
        <v>0</v>
      </c>
      <c r="K29" s="196">
        <f ca="1">K23*'Emission Factors EF'!$E$42</f>
        <v>0</v>
      </c>
      <c r="L29" s="196">
        <f ca="1">L23*'Emission Factors EF'!$E$42</f>
        <v>0</v>
      </c>
      <c r="M29" s="196">
        <f ca="1">M23*'Emission Factors EF'!$E$42</f>
        <v>0</v>
      </c>
      <c r="N29" s="196">
        <f ca="1">N23*'Emission Factors EF'!$E$42</f>
        <v>0</v>
      </c>
      <c r="O29" s="196">
        <f ca="1">O23*'Emission Factors EF'!$E$42</f>
        <v>0</v>
      </c>
      <c r="P29" s="196">
        <f ca="1">P23*'Emission Factors EF'!$E$42</f>
        <v>0</v>
      </c>
      <c r="Q29" s="196">
        <f ca="1">Q23*'Emission Factors EF'!$E$42</f>
        <v>0</v>
      </c>
      <c r="R29" s="196">
        <f ca="1">R23*'Emission Factors EF'!$E$42</f>
        <v>0</v>
      </c>
      <c r="S29" s="196">
        <f ca="1">S23*'Emission Factors EF'!$E$42</f>
        <v>0</v>
      </c>
      <c r="T29" s="196">
        <f ca="1">T23*'Emission Factors EF'!$E$42</f>
        <v>0</v>
      </c>
      <c r="U29" s="196">
        <f ca="1">U23*'Emission Factors EF'!$E$42</f>
        <v>0</v>
      </c>
      <c r="V29" s="196">
        <f ca="1">V23*'Emission Factors EF'!$E$42</f>
        <v>0</v>
      </c>
      <c r="W29" s="196">
        <f ca="1">W23*'Emission Factors EF'!$E$42</f>
        <v>0</v>
      </c>
      <c r="X29" s="196">
        <f ca="1">X23*'Emission Factors EF'!$E$42</f>
        <v>0</v>
      </c>
      <c r="Y29" s="196">
        <f ca="1">Y23*'Emission Factors EF'!$E$42</f>
        <v>0</v>
      </c>
      <c r="Z29" s="196">
        <f ca="1">Z23*'Emission Factors EF'!$E$42</f>
        <v>0</v>
      </c>
      <c r="AA29" s="196">
        <f ca="1">AA23*'Emission Factors EF'!$E$42</f>
        <v>0</v>
      </c>
      <c r="AB29" s="196">
        <f ca="1">AB23*'Emission Factors EF'!$E$42</f>
        <v>0</v>
      </c>
      <c r="AC29" s="196">
        <f ca="1">AC23*'Emission Factors EF'!$E$42</f>
        <v>0</v>
      </c>
      <c r="AD29" s="237">
        <f ca="1">AD23*'Emission Factors EF'!$E$42</f>
        <v>0</v>
      </c>
    </row>
    <row r="30" spans="2:30" x14ac:dyDescent="0.35">
      <c r="B30" s="639"/>
      <c r="C30" s="98" t="s">
        <v>50</v>
      </c>
      <c r="D30" s="247">
        <f>D24*'Emission Factors EF'!$E$42</f>
        <v>0</v>
      </c>
      <c r="E30" s="196">
        <f ca="1">E24*'Emission Factors EF'!$E$42</f>
        <v>0</v>
      </c>
      <c r="F30" s="196">
        <f ca="1">F24*'Emission Factors EF'!$E$42</f>
        <v>0</v>
      </c>
      <c r="G30" s="196">
        <f ca="1">G24*'Emission Factors EF'!$E$42</f>
        <v>0</v>
      </c>
      <c r="H30" s="196">
        <f ca="1">H24*'Emission Factors EF'!$E$42</f>
        <v>0</v>
      </c>
      <c r="I30" s="196">
        <f ca="1">I24*'Emission Factors EF'!$E$42</f>
        <v>0</v>
      </c>
      <c r="J30" s="196">
        <f ca="1">J24*'Emission Factors EF'!$E$42</f>
        <v>0</v>
      </c>
      <c r="K30" s="196">
        <f ca="1">K24*'Emission Factors EF'!$E$42</f>
        <v>0</v>
      </c>
      <c r="L30" s="196">
        <f ca="1">L24*'Emission Factors EF'!$E$42</f>
        <v>0</v>
      </c>
      <c r="M30" s="196">
        <f ca="1">M24*'Emission Factors EF'!$E$42</f>
        <v>0</v>
      </c>
      <c r="N30" s="196">
        <f ca="1">N24*'Emission Factors EF'!$E$42</f>
        <v>0</v>
      </c>
      <c r="O30" s="196">
        <f ca="1">O24*'Emission Factors EF'!$E$42</f>
        <v>0</v>
      </c>
      <c r="P30" s="196">
        <f ca="1">P24*'Emission Factors EF'!$E$42</f>
        <v>0</v>
      </c>
      <c r="Q30" s="196">
        <f ca="1">Q24*'Emission Factors EF'!$E$42</f>
        <v>0</v>
      </c>
      <c r="R30" s="196">
        <f ca="1">R24*'Emission Factors EF'!$E$42</f>
        <v>0</v>
      </c>
      <c r="S30" s="196">
        <f ca="1">S24*'Emission Factors EF'!$E$42</f>
        <v>0.21037500000000001</v>
      </c>
      <c r="T30" s="196">
        <f ca="1">T24*'Emission Factors EF'!$E$42</f>
        <v>0.197625</v>
      </c>
      <c r="U30" s="196">
        <f ca="1">U24*'Emission Factors EF'!$E$42</f>
        <v>0.19550000000000001</v>
      </c>
      <c r="V30" s="196">
        <f ca="1">V24*'Emission Factors EF'!$E$42</f>
        <v>8.7015296874999981E-2</v>
      </c>
      <c r="W30" s="196">
        <f ca="1">W24*'Emission Factors EF'!$E$42</f>
        <v>8.7685203124999986E-2</v>
      </c>
      <c r="X30" s="196">
        <f ca="1">X24*'Emission Factors EF'!$E$42</f>
        <v>6.523643749999998E-2</v>
      </c>
      <c r="Y30" s="196">
        <f ca="1">Y24*'Emission Factors EF'!$E$42</f>
        <v>8.627297231835937E-2</v>
      </c>
      <c r="Z30" s="196">
        <f ca="1">Z24*'Emission Factors EF'!$E$42</f>
        <v>7.9337177712890658E-2</v>
      </c>
      <c r="AA30" s="196">
        <f ca="1">AA24*'Emission Factors EF'!$E$42</f>
        <v>8.3346814679687548E-2</v>
      </c>
      <c r="AB30" s="196">
        <f ca="1">AB24*'Emission Factors EF'!$E$42</f>
        <v>6.9693876181653097E-2</v>
      </c>
      <c r="AC30" s="196">
        <f ca="1">AC24*'Emission Factors EF'!$E$42</f>
        <v>8.0679280077284421E-2</v>
      </c>
      <c r="AD30" s="237">
        <f ca="1">AD24*'Emission Factors EF'!$E$42</f>
        <v>7.3606484755788071E-2</v>
      </c>
    </row>
    <row r="31" spans="2:30" x14ac:dyDescent="0.35">
      <c r="B31" s="639"/>
      <c r="C31" s="98" t="s">
        <v>51</v>
      </c>
      <c r="D31" s="247">
        <f>D25*'Emission Factors EF'!$E$42</f>
        <v>0</v>
      </c>
      <c r="E31" s="196">
        <f ca="1">E25*'Emission Factors EF'!$E$42</f>
        <v>0</v>
      </c>
      <c r="F31" s="196">
        <f ca="1">F25*'Emission Factors EF'!$E$42</f>
        <v>0</v>
      </c>
      <c r="G31" s="196">
        <f ca="1">G25*'Emission Factors EF'!$E$42</f>
        <v>0</v>
      </c>
      <c r="H31" s="196">
        <f ca="1">H25*'Emission Factors EF'!$E$42</f>
        <v>0</v>
      </c>
      <c r="I31" s="196">
        <f ca="1">I25*'Emission Factors EF'!$E$42</f>
        <v>0</v>
      </c>
      <c r="J31" s="196">
        <f ca="1">J25*'Emission Factors EF'!$E$42</f>
        <v>0</v>
      </c>
      <c r="K31" s="196">
        <f ca="1">K25*'Emission Factors EF'!$E$42</f>
        <v>0</v>
      </c>
      <c r="L31" s="196">
        <f ca="1">L25*'Emission Factors EF'!$E$42</f>
        <v>0</v>
      </c>
      <c r="M31" s="196">
        <f ca="1">M25*'Emission Factors EF'!$E$42</f>
        <v>0</v>
      </c>
      <c r="N31" s="196">
        <f ca="1">N25*'Emission Factors EF'!$E$42</f>
        <v>0</v>
      </c>
      <c r="O31" s="196">
        <f ca="1">O25*'Emission Factors EF'!$E$42</f>
        <v>0</v>
      </c>
      <c r="P31" s="196">
        <f ca="1">P25*'Emission Factors EF'!$E$42</f>
        <v>0</v>
      </c>
      <c r="Q31" s="196">
        <f ca="1">Q25*'Emission Factors EF'!$E$42</f>
        <v>0</v>
      </c>
      <c r="R31" s="196">
        <f ca="1">R25*'Emission Factors EF'!$E$42</f>
        <v>0</v>
      </c>
      <c r="S31" s="196">
        <f ca="1">S25*'Emission Factors EF'!$E$42</f>
        <v>1.1984999999999999</v>
      </c>
      <c r="T31" s="196">
        <f ca="1">T25*'Emission Factors EF'!$E$42</f>
        <v>1.1283749999999999</v>
      </c>
      <c r="U31" s="196">
        <f ca="1">U25*'Emission Factors EF'!$E$42</f>
        <v>1.1156249999999999</v>
      </c>
      <c r="V31" s="196">
        <f ca="1">V25*'Emission Factors EF'!$E$42</f>
        <v>0.49250381249999986</v>
      </c>
      <c r="W31" s="196">
        <f ca="1">W25*'Emission Factors EF'!$E$42</f>
        <v>0.5025632968749999</v>
      </c>
      <c r="X31" s="196">
        <f ca="1">X25*'Emission Factors EF'!$E$42</f>
        <v>0.37647695312500007</v>
      </c>
      <c r="Y31" s="196">
        <f ca="1">Y25*'Emission Factors EF'!$E$42</f>
        <v>0.49208009135156255</v>
      </c>
      <c r="Z31" s="196">
        <f ca="1">Z25*'Emission Factors EF'!$E$42</f>
        <v>0.4546978159433594</v>
      </c>
      <c r="AA31" s="196">
        <f ca="1">AA25*'Emission Factors EF'!$E$42</f>
        <v>0.47046688930664071</v>
      </c>
      <c r="AB31" s="196">
        <f ca="1">AB25*'Emission Factors EF'!$E$42</f>
        <v>0.4012619853747158</v>
      </c>
      <c r="AC31" s="196">
        <f ca="1">AC25*'Emission Factors EF'!$E$42</f>
        <v>0.45237485719512194</v>
      </c>
      <c r="AD31" s="237">
        <f ca="1">AD25*'Emission Factors EF'!$E$42</f>
        <v>0.41846029361956172</v>
      </c>
    </row>
    <row r="32" spans="2:30" x14ac:dyDescent="0.35">
      <c r="B32" s="639"/>
      <c r="C32" s="98" t="s">
        <v>52</v>
      </c>
      <c r="D32" s="247">
        <f>D26*'Emission Factors EF'!$E$42</f>
        <v>0</v>
      </c>
      <c r="E32" s="196">
        <f ca="1">E26*'Emission Factors EF'!$E$42</f>
        <v>0</v>
      </c>
      <c r="F32" s="196">
        <f ca="1">F26*'Emission Factors EF'!$E$42</f>
        <v>0</v>
      </c>
      <c r="G32" s="196">
        <f ca="1">G26*'Emission Factors EF'!$E$42</f>
        <v>0</v>
      </c>
      <c r="H32" s="196">
        <f ca="1">H26*'Emission Factors EF'!$E$42</f>
        <v>0</v>
      </c>
      <c r="I32" s="196">
        <f ca="1">I26*'Emission Factors EF'!$E$42</f>
        <v>0</v>
      </c>
      <c r="J32" s="196">
        <f ca="1">J26*'Emission Factors EF'!$E$42</f>
        <v>0</v>
      </c>
      <c r="K32" s="196">
        <f ca="1">K26*'Emission Factors EF'!$E$42</f>
        <v>0</v>
      </c>
      <c r="L32" s="196">
        <f ca="1">L26*'Emission Factors EF'!$E$42</f>
        <v>0</v>
      </c>
      <c r="M32" s="196">
        <f ca="1">M26*'Emission Factors EF'!$E$42</f>
        <v>0</v>
      </c>
      <c r="N32" s="196">
        <f ca="1">N26*'Emission Factors EF'!$E$42</f>
        <v>0</v>
      </c>
      <c r="O32" s="196">
        <f ca="1">O26*'Emission Factors EF'!$E$42</f>
        <v>0</v>
      </c>
      <c r="P32" s="196">
        <f ca="1">P26*'Emission Factors EF'!$E$42</f>
        <v>0</v>
      </c>
      <c r="Q32" s="196">
        <f ca="1">Q26*'Emission Factors EF'!$E$42</f>
        <v>0</v>
      </c>
      <c r="R32" s="196">
        <f ca="1">R26*'Emission Factors EF'!$E$42</f>
        <v>0</v>
      </c>
      <c r="S32" s="196">
        <f ca="1">S26*'Emission Factors EF'!$E$42</f>
        <v>3.2278749999999996</v>
      </c>
      <c r="T32" s="196">
        <f ca="1">T26*'Emission Factors EF'!$E$42</f>
        <v>3.2363750000000002</v>
      </c>
      <c r="U32" s="196">
        <f ca="1">U26*'Emission Factors EF'!$E$42</f>
        <v>3.2385000000000002</v>
      </c>
      <c r="V32" s="196">
        <f ca="1">V26*'Emission Factors EF'!$E$42</f>
        <v>1.5066374843749997</v>
      </c>
      <c r="W32" s="196">
        <f ca="1">W26*'Emission Factors EF'!$E$42</f>
        <v>1.5054825468749997</v>
      </c>
      <c r="X32" s="196">
        <f ca="1">X26*'Emission Factors EF'!$E$42</f>
        <v>1.0128313125000001</v>
      </c>
      <c r="Y32" s="196">
        <f ca="1">Y26*'Emission Factors EF'!$E$42</f>
        <v>1.1910887607167966</v>
      </c>
      <c r="Z32" s="196">
        <f ca="1">Z26*'Emission Factors EF'!$E$42</f>
        <v>0.9591637995683594</v>
      </c>
      <c r="AA32" s="196">
        <f ca="1">AA26*'Emission Factors EF'!$E$42</f>
        <v>0.91919321260156261</v>
      </c>
      <c r="AB32" s="196">
        <f ca="1">AB26*'Emission Factors EF'!$E$42</f>
        <v>0.69423342289590595</v>
      </c>
      <c r="AC32" s="196">
        <f ca="1">AC26*'Emission Factors EF'!$E$42</f>
        <v>0.11631415317153981</v>
      </c>
      <c r="AD32" s="237">
        <f ca="1">AD26*'Emission Factors EF'!$E$42</f>
        <v>-1.6386766517901608E-2</v>
      </c>
    </row>
    <row r="33" spans="2:30" x14ac:dyDescent="0.35">
      <c r="B33" s="639"/>
      <c r="C33" s="98" t="s">
        <v>54</v>
      </c>
      <c r="D33" s="247">
        <f>D27*'Emission Factors EF'!$E$42</f>
        <v>0</v>
      </c>
      <c r="E33" s="196">
        <f ca="1">E27*'Emission Factors EF'!$E$42</f>
        <v>0</v>
      </c>
      <c r="F33" s="196">
        <f ca="1">F27*'Emission Factors EF'!$E$42</f>
        <v>0</v>
      </c>
      <c r="G33" s="196">
        <f ca="1">G27*'Emission Factors EF'!$E$42</f>
        <v>0</v>
      </c>
      <c r="H33" s="196">
        <f ca="1">H27*'Emission Factors EF'!$E$42</f>
        <v>0</v>
      </c>
      <c r="I33" s="196">
        <f ca="1">I27*'Emission Factors EF'!$E$42</f>
        <v>0</v>
      </c>
      <c r="J33" s="196">
        <f ca="1">J27*'Emission Factors EF'!$E$42</f>
        <v>0</v>
      </c>
      <c r="K33" s="196">
        <f ca="1">K27*'Emission Factors EF'!$E$42</f>
        <v>0</v>
      </c>
      <c r="L33" s="196">
        <f ca="1">L27*'Emission Factors EF'!$E$42</f>
        <v>0</v>
      </c>
      <c r="M33" s="196">
        <f ca="1">M27*'Emission Factors EF'!$E$42</f>
        <v>0</v>
      </c>
      <c r="N33" s="196">
        <f ca="1">N27*'Emission Factors EF'!$E$42</f>
        <v>0</v>
      </c>
      <c r="O33" s="196">
        <f ca="1">O27*'Emission Factors EF'!$E$42</f>
        <v>0</v>
      </c>
      <c r="P33" s="196">
        <f ca="1">P27*'Emission Factors EF'!$E$42</f>
        <v>0</v>
      </c>
      <c r="Q33" s="196">
        <f ca="1">Q27*'Emission Factors EF'!$E$42</f>
        <v>0</v>
      </c>
      <c r="R33" s="196">
        <f ca="1">R27*'Emission Factors EF'!$E$42</f>
        <v>0</v>
      </c>
      <c r="S33" s="196">
        <f ca="1">S27*'Emission Factors EF'!$E$42</f>
        <v>1.1623749999999999</v>
      </c>
      <c r="T33" s="196">
        <f ca="1">T27*'Emission Factors EF'!$E$42</f>
        <v>1.0965</v>
      </c>
      <c r="U33" s="196">
        <f ca="1">U27*'Emission Factors EF'!$E$42</f>
        <v>1.08375</v>
      </c>
      <c r="V33" s="196">
        <f ca="1">V27*'Emission Factors EF'!$E$42</f>
        <v>0.47998729687499997</v>
      </c>
      <c r="W33" s="196">
        <f ca="1">W27*'Emission Factors EF'!$E$42</f>
        <v>0.48628181249999985</v>
      </c>
      <c r="X33" s="196">
        <f ca="1">X27*'Emission Factors EF'!$E$42</f>
        <v>0.36497671875000004</v>
      </c>
      <c r="Y33" s="196">
        <f ca="1">Y27*'Emission Factors EF'!$E$42</f>
        <v>0.47789115181835951</v>
      </c>
      <c r="Z33" s="196">
        <f ca="1">Z27*'Emission Factors EF'!$E$42</f>
        <v>0.44171416107031264</v>
      </c>
      <c r="AA33" s="196">
        <f ca="1">AA27*'Emission Factors EF'!$E$42</f>
        <v>0.45595549224609377</v>
      </c>
      <c r="AB33" s="196">
        <f ca="1">AB27*'Emission Factors EF'!$E$42</f>
        <v>0.38951312757334067</v>
      </c>
      <c r="AC33" s="196">
        <f ca="1">AC27*'Emission Factors EF'!$E$42</f>
        <v>0.4401642511054894</v>
      </c>
      <c r="AD33" s="237">
        <f ca="1">AD27*'Emission Factors EF'!$E$42</f>
        <v>0.40666175327748805</v>
      </c>
    </row>
    <row r="34" spans="2:30" x14ac:dyDescent="0.35">
      <c r="B34" s="639"/>
      <c r="C34" s="98" t="s">
        <v>55</v>
      </c>
      <c r="D34" s="247">
        <f>D28*'Emission Factors EF'!$E$42</f>
        <v>0</v>
      </c>
      <c r="E34" s="196">
        <f ca="1">E28*'Emission Factors EF'!$E$42</f>
        <v>0</v>
      </c>
      <c r="F34" s="196">
        <f ca="1">F28*'Emission Factors EF'!$E$42</f>
        <v>0</v>
      </c>
      <c r="G34" s="196">
        <f ca="1">G28*'Emission Factors EF'!$E$42</f>
        <v>0</v>
      </c>
      <c r="H34" s="196">
        <f ca="1">H28*'Emission Factors EF'!$E$42</f>
        <v>0</v>
      </c>
      <c r="I34" s="196">
        <f ca="1">I28*'Emission Factors EF'!$E$42</f>
        <v>0</v>
      </c>
      <c r="J34" s="196">
        <f ca="1">J28*'Emission Factors EF'!$E$42</f>
        <v>0</v>
      </c>
      <c r="K34" s="196">
        <f ca="1">K28*'Emission Factors EF'!$E$42</f>
        <v>0</v>
      </c>
      <c r="L34" s="196">
        <f ca="1">L28*'Emission Factors EF'!$E$42</f>
        <v>0</v>
      </c>
      <c r="M34" s="196">
        <f ca="1">M28*'Emission Factors EF'!$E$42</f>
        <v>0</v>
      </c>
      <c r="N34" s="196">
        <f ca="1">N28*'Emission Factors EF'!$E$42</f>
        <v>0</v>
      </c>
      <c r="O34" s="196">
        <f ca="1">O28*'Emission Factors EF'!$E$42</f>
        <v>0</v>
      </c>
      <c r="P34" s="196">
        <f ca="1">P28*'Emission Factors EF'!$E$42</f>
        <v>0</v>
      </c>
      <c r="Q34" s="196">
        <f ca="1">Q28*'Emission Factors EF'!$E$42</f>
        <v>0</v>
      </c>
      <c r="R34" s="196">
        <f ca="1">R28*'Emission Factors EF'!$E$42</f>
        <v>0</v>
      </c>
      <c r="S34" s="196">
        <f ca="1">S28*'Emission Factors EF'!$E$42</f>
        <v>0</v>
      </c>
      <c r="T34" s="196">
        <f ca="1">T28*'Emission Factors EF'!$E$42</f>
        <v>0</v>
      </c>
      <c r="U34" s="196">
        <f ca="1">U28*'Emission Factors EF'!$E$42</f>
        <v>0</v>
      </c>
      <c r="V34" s="196">
        <f ca="1">V28*'Emission Factors EF'!$E$42</f>
        <v>0</v>
      </c>
      <c r="W34" s="196">
        <f ca="1">W28*'Emission Factors EF'!$E$42</f>
        <v>0</v>
      </c>
      <c r="X34" s="196">
        <f ca="1">X28*'Emission Factors EF'!$E$42</f>
        <v>0</v>
      </c>
      <c r="Y34" s="196">
        <f ca="1">Y28*'Emission Factors EF'!$E$42</f>
        <v>0</v>
      </c>
      <c r="Z34" s="196">
        <f ca="1">Z28*'Emission Factors EF'!$E$42</f>
        <v>0</v>
      </c>
      <c r="AA34" s="196">
        <f ca="1">AA28*'Emission Factors EF'!$E$42</f>
        <v>0</v>
      </c>
      <c r="AB34" s="196">
        <f ca="1">AB28*'Emission Factors EF'!$E$42</f>
        <v>0</v>
      </c>
      <c r="AC34" s="196">
        <f ca="1">AC28*'Emission Factors EF'!$E$42</f>
        <v>0</v>
      </c>
      <c r="AD34" s="237">
        <f ca="1">AD28*'Emission Factors EF'!$E$42</f>
        <v>0</v>
      </c>
    </row>
    <row r="35" spans="2:30" x14ac:dyDescent="0.35">
      <c r="B35" s="639" t="s">
        <v>329</v>
      </c>
      <c r="C35" s="98" t="s">
        <v>49</v>
      </c>
      <c r="D35" s="247">
        <f>D23-D29</f>
        <v>0</v>
      </c>
      <c r="E35" s="196">
        <f t="shared" ref="E35:AD35" ca="1" si="11">E23-E29</f>
        <v>0</v>
      </c>
      <c r="F35" s="196">
        <f t="shared" ca="1" si="11"/>
        <v>0</v>
      </c>
      <c r="G35" s="196">
        <f t="shared" ca="1" si="11"/>
        <v>0</v>
      </c>
      <c r="H35" s="196">
        <f t="shared" ca="1" si="11"/>
        <v>0</v>
      </c>
      <c r="I35" s="196">
        <f t="shared" ca="1" si="11"/>
        <v>0</v>
      </c>
      <c r="J35" s="196">
        <f t="shared" ca="1" si="11"/>
        <v>0</v>
      </c>
      <c r="K35" s="196">
        <f t="shared" ca="1" si="11"/>
        <v>0</v>
      </c>
      <c r="L35" s="196">
        <f t="shared" ca="1" si="11"/>
        <v>0</v>
      </c>
      <c r="M35" s="196">
        <f t="shared" ca="1" si="11"/>
        <v>0</v>
      </c>
      <c r="N35" s="196">
        <f t="shared" ca="1" si="11"/>
        <v>0</v>
      </c>
      <c r="O35" s="196">
        <f t="shared" ca="1" si="11"/>
        <v>0</v>
      </c>
      <c r="P35" s="196">
        <f t="shared" ca="1" si="11"/>
        <v>0</v>
      </c>
      <c r="Q35" s="196">
        <f t="shared" ca="1" si="11"/>
        <v>0</v>
      </c>
      <c r="R35" s="196">
        <f t="shared" ca="1" si="11"/>
        <v>0</v>
      </c>
      <c r="S35" s="196">
        <f t="shared" ca="1" si="11"/>
        <v>0</v>
      </c>
      <c r="T35" s="196">
        <f t="shared" ca="1" si="11"/>
        <v>0</v>
      </c>
      <c r="U35" s="196">
        <f t="shared" ca="1" si="11"/>
        <v>0</v>
      </c>
      <c r="V35" s="196">
        <f t="shared" ca="1" si="11"/>
        <v>0</v>
      </c>
      <c r="W35" s="196">
        <f t="shared" ca="1" si="11"/>
        <v>0</v>
      </c>
      <c r="X35" s="196">
        <f t="shared" ca="1" si="11"/>
        <v>0</v>
      </c>
      <c r="Y35" s="196">
        <f t="shared" ca="1" si="11"/>
        <v>0</v>
      </c>
      <c r="Z35" s="196">
        <f t="shared" ca="1" si="11"/>
        <v>0</v>
      </c>
      <c r="AA35" s="196">
        <f t="shared" ca="1" si="11"/>
        <v>0</v>
      </c>
      <c r="AB35" s="196">
        <f t="shared" ca="1" si="11"/>
        <v>0</v>
      </c>
      <c r="AC35" s="196">
        <f t="shared" ca="1" si="11"/>
        <v>0</v>
      </c>
      <c r="AD35" s="237">
        <f t="shared" ca="1" si="11"/>
        <v>0</v>
      </c>
    </row>
    <row r="36" spans="2:30" x14ac:dyDescent="0.35">
      <c r="B36" s="639"/>
      <c r="C36" s="98" t="s">
        <v>50</v>
      </c>
      <c r="D36" s="247">
        <f>D24-D30</f>
        <v>0</v>
      </c>
      <c r="E36" s="196">
        <f t="shared" ref="E36:AD36" ca="1" si="12">E24-E30</f>
        <v>0</v>
      </c>
      <c r="F36" s="196">
        <f t="shared" ca="1" si="12"/>
        <v>0</v>
      </c>
      <c r="G36" s="196">
        <f t="shared" ca="1" si="12"/>
        <v>0</v>
      </c>
      <c r="H36" s="196">
        <f t="shared" ca="1" si="12"/>
        <v>0</v>
      </c>
      <c r="I36" s="196">
        <f t="shared" ca="1" si="12"/>
        <v>0</v>
      </c>
      <c r="J36" s="196">
        <f t="shared" ca="1" si="12"/>
        <v>0</v>
      </c>
      <c r="K36" s="196">
        <f t="shared" ca="1" si="12"/>
        <v>0</v>
      </c>
      <c r="L36" s="196">
        <f t="shared" ca="1" si="12"/>
        <v>0</v>
      </c>
      <c r="M36" s="196">
        <f t="shared" ca="1" si="12"/>
        <v>0</v>
      </c>
      <c r="N36" s="196">
        <f t="shared" ca="1" si="12"/>
        <v>0</v>
      </c>
      <c r="O36" s="196">
        <f t="shared" ca="1" si="12"/>
        <v>0</v>
      </c>
      <c r="P36" s="196">
        <f t="shared" ca="1" si="12"/>
        <v>0</v>
      </c>
      <c r="Q36" s="196">
        <f t="shared" ca="1" si="12"/>
        <v>0</v>
      </c>
      <c r="R36" s="196">
        <f t="shared" ca="1" si="12"/>
        <v>0</v>
      </c>
      <c r="S36" s="196">
        <f t="shared" ca="1" si="12"/>
        <v>0.63112500000000005</v>
      </c>
      <c r="T36" s="196">
        <f t="shared" ca="1" si="12"/>
        <v>0.59287500000000004</v>
      </c>
      <c r="U36" s="196">
        <f t="shared" ca="1" si="12"/>
        <v>0.58650000000000002</v>
      </c>
      <c r="V36" s="196">
        <f t="shared" ca="1" si="12"/>
        <v>0.26104589062499994</v>
      </c>
      <c r="W36" s="196">
        <f t="shared" ca="1" si="12"/>
        <v>0.26305560937499994</v>
      </c>
      <c r="X36" s="196">
        <f t="shared" ca="1" si="12"/>
        <v>0.19570931249999995</v>
      </c>
      <c r="Y36" s="196">
        <f t="shared" ca="1" si="12"/>
        <v>0.25881891695507808</v>
      </c>
      <c r="Z36" s="196">
        <f t="shared" ca="1" si="12"/>
        <v>0.23801153313867196</v>
      </c>
      <c r="AA36" s="196">
        <f t="shared" ca="1" si="12"/>
        <v>0.25004044403906267</v>
      </c>
      <c r="AB36" s="196">
        <f t="shared" ca="1" si="12"/>
        <v>0.20908162854495929</v>
      </c>
      <c r="AC36" s="196">
        <f t="shared" ca="1" si="12"/>
        <v>0.24203784023185326</v>
      </c>
      <c r="AD36" s="237">
        <f t="shared" ca="1" si="12"/>
        <v>0.22081945426736421</v>
      </c>
    </row>
    <row r="37" spans="2:30" x14ac:dyDescent="0.35">
      <c r="B37" s="639"/>
      <c r="C37" s="98" t="s">
        <v>51</v>
      </c>
      <c r="D37" s="247">
        <f>D25-D31</f>
        <v>0</v>
      </c>
      <c r="E37" s="196">
        <f t="shared" ref="E37:AD37" ca="1" si="13">E25-E31</f>
        <v>0</v>
      </c>
      <c r="F37" s="196">
        <f t="shared" ca="1" si="13"/>
        <v>0</v>
      </c>
      <c r="G37" s="196">
        <f t="shared" ca="1" si="13"/>
        <v>0</v>
      </c>
      <c r="H37" s="196">
        <f t="shared" ca="1" si="13"/>
        <v>0</v>
      </c>
      <c r="I37" s="196">
        <f t="shared" ca="1" si="13"/>
        <v>0</v>
      </c>
      <c r="J37" s="196">
        <f t="shared" ca="1" si="13"/>
        <v>0</v>
      </c>
      <c r="K37" s="196">
        <f t="shared" ca="1" si="13"/>
        <v>0</v>
      </c>
      <c r="L37" s="196">
        <f t="shared" ca="1" si="13"/>
        <v>0</v>
      </c>
      <c r="M37" s="196">
        <f t="shared" ca="1" si="13"/>
        <v>0</v>
      </c>
      <c r="N37" s="196">
        <f t="shared" ca="1" si="13"/>
        <v>0</v>
      </c>
      <c r="O37" s="196">
        <f t="shared" ca="1" si="13"/>
        <v>0</v>
      </c>
      <c r="P37" s="196">
        <f t="shared" ca="1" si="13"/>
        <v>0</v>
      </c>
      <c r="Q37" s="196">
        <f t="shared" ca="1" si="13"/>
        <v>0</v>
      </c>
      <c r="R37" s="196">
        <f t="shared" ca="1" si="13"/>
        <v>0</v>
      </c>
      <c r="S37" s="196">
        <f t="shared" ca="1" si="13"/>
        <v>3.5954999999999995</v>
      </c>
      <c r="T37" s="196">
        <f t="shared" ca="1" si="13"/>
        <v>3.3851249999999995</v>
      </c>
      <c r="U37" s="196">
        <f t="shared" ca="1" si="13"/>
        <v>3.3468749999999998</v>
      </c>
      <c r="V37" s="196">
        <f t="shared" ca="1" si="13"/>
        <v>1.4775114374999996</v>
      </c>
      <c r="W37" s="196">
        <f t="shared" ca="1" si="13"/>
        <v>1.5076898906249996</v>
      </c>
      <c r="X37" s="196">
        <f t="shared" ca="1" si="13"/>
        <v>1.1294308593750002</v>
      </c>
      <c r="Y37" s="196">
        <f t="shared" ca="1" si="13"/>
        <v>1.4762402740546876</v>
      </c>
      <c r="Z37" s="196">
        <f t="shared" ca="1" si="13"/>
        <v>1.3640934478300781</v>
      </c>
      <c r="AA37" s="196">
        <f t="shared" ca="1" si="13"/>
        <v>1.411400667919922</v>
      </c>
      <c r="AB37" s="196">
        <f t="shared" ca="1" si="13"/>
        <v>1.2037859561241473</v>
      </c>
      <c r="AC37" s="196">
        <f t="shared" ca="1" si="13"/>
        <v>1.3571245715853659</v>
      </c>
      <c r="AD37" s="237">
        <f t="shared" ca="1" si="13"/>
        <v>1.2553808808586853</v>
      </c>
    </row>
    <row r="38" spans="2:30" x14ac:dyDescent="0.35">
      <c r="B38" s="639"/>
      <c r="C38" s="98" t="s">
        <v>52</v>
      </c>
      <c r="D38" s="247">
        <f t="shared" ref="D38:D40" si="14">D26-D32</f>
        <v>0</v>
      </c>
      <c r="E38" s="196">
        <f t="shared" ref="E38:AD38" ca="1" si="15">E26-E32</f>
        <v>0</v>
      </c>
      <c r="F38" s="196">
        <f t="shared" ca="1" si="15"/>
        <v>0</v>
      </c>
      <c r="G38" s="196">
        <f t="shared" ca="1" si="15"/>
        <v>0</v>
      </c>
      <c r="H38" s="196">
        <f ca="1">H26-H32</f>
        <v>0</v>
      </c>
      <c r="I38" s="196">
        <f t="shared" ca="1" si="15"/>
        <v>0</v>
      </c>
      <c r="J38" s="196">
        <f t="shared" ca="1" si="15"/>
        <v>0</v>
      </c>
      <c r="K38" s="196">
        <f t="shared" ca="1" si="15"/>
        <v>0</v>
      </c>
      <c r="L38" s="196">
        <f t="shared" ca="1" si="15"/>
        <v>0</v>
      </c>
      <c r="M38" s="196">
        <f t="shared" ca="1" si="15"/>
        <v>0</v>
      </c>
      <c r="N38" s="196">
        <f t="shared" ca="1" si="15"/>
        <v>0</v>
      </c>
      <c r="O38" s="196">
        <f t="shared" ca="1" si="15"/>
        <v>0</v>
      </c>
      <c r="P38" s="196">
        <f t="shared" ca="1" si="15"/>
        <v>0</v>
      </c>
      <c r="Q38" s="196">
        <f t="shared" ca="1" si="15"/>
        <v>0</v>
      </c>
      <c r="R38" s="196">
        <f t="shared" ca="1" si="15"/>
        <v>0</v>
      </c>
      <c r="S38" s="196">
        <f t="shared" ca="1" si="15"/>
        <v>9.6836249999999993</v>
      </c>
      <c r="T38" s="196">
        <f t="shared" ca="1" si="15"/>
        <v>9.7091250000000002</v>
      </c>
      <c r="U38" s="196">
        <f t="shared" ca="1" si="15"/>
        <v>9.7155000000000005</v>
      </c>
      <c r="V38" s="196">
        <f t="shared" ca="1" si="15"/>
        <v>4.5199124531249986</v>
      </c>
      <c r="W38" s="196">
        <f t="shared" ca="1" si="15"/>
        <v>4.5164476406249996</v>
      </c>
      <c r="X38" s="196">
        <f t="shared" ca="1" si="15"/>
        <v>3.0384939375000002</v>
      </c>
      <c r="Y38" s="196">
        <f t="shared" ca="1" si="15"/>
        <v>3.5732662821503896</v>
      </c>
      <c r="Z38" s="196">
        <f t="shared" ca="1" si="15"/>
        <v>2.8774913987050783</v>
      </c>
      <c r="AA38" s="196">
        <f t="shared" ca="1" si="15"/>
        <v>2.757579637804688</v>
      </c>
      <c r="AB38" s="196">
        <f t="shared" ca="1" si="15"/>
        <v>2.0827002686877178</v>
      </c>
      <c r="AC38" s="196">
        <f t="shared" ca="1" si="15"/>
        <v>0.34894245951461944</v>
      </c>
      <c r="AD38" s="237">
        <f t="shared" ca="1" si="15"/>
        <v>-4.9160299553704823E-2</v>
      </c>
    </row>
    <row r="39" spans="2:30" x14ac:dyDescent="0.35">
      <c r="B39" s="639"/>
      <c r="C39" s="98" t="s">
        <v>54</v>
      </c>
      <c r="D39" s="247">
        <f t="shared" si="14"/>
        <v>0</v>
      </c>
      <c r="E39" s="196">
        <f t="shared" ref="E39:AD39" ca="1" si="16">E27-E33</f>
        <v>0</v>
      </c>
      <c r="F39" s="196">
        <f t="shared" ca="1" si="16"/>
        <v>0</v>
      </c>
      <c r="G39" s="196">
        <f t="shared" ca="1" si="16"/>
        <v>0</v>
      </c>
      <c r="H39" s="196">
        <f t="shared" ca="1" si="16"/>
        <v>0</v>
      </c>
      <c r="I39" s="196">
        <f t="shared" ca="1" si="16"/>
        <v>0</v>
      </c>
      <c r="J39" s="196">
        <f t="shared" ca="1" si="16"/>
        <v>0</v>
      </c>
      <c r="K39" s="196">
        <f t="shared" ca="1" si="16"/>
        <v>0</v>
      </c>
      <c r="L39" s="196">
        <f t="shared" ca="1" si="16"/>
        <v>0</v>
      </c>
      <c r="M39" s="196">
        <f t="shared" ca="1" si="16"/>
        <v>0</v>
      </c>
      <c r="N39" s="196">
        <f t="shared" ca="1" si="16"/>
        <v>0</v>
      </c>
      <c r="O39" s="196">
        <f t="shared" ca="1" si="16"/>
        <v>0</v>
      </c>
      <c r="P39" s="196">
        <f t="shared" ca="1" si="16"/>
        <v>0</v>
      </c>
      <c r="Q39" s="196">
        <f t="shared" ca="1" si="16"/>
        <v>0</v>
      </c>
      <c r="R39" s="196">
        <f t="shared" ca="1" si="16"/>
        <v>0</v>
      </c>
      <c r="S39" s="196">
        <f t="shared" ca="1" si="16"/>
        <v>3.4871249999999998</v>
      </c>
      <c r="T39" s="196">
        <f t="shared" ca="1" si="16"/>
        <v>3.2895000000000003</v>
      </c>
      <c r="U39" s="196">
        <f t="shared" ca="1" si="16"/>
        <v>3.2512499999999998</v>
      </c>
      <c r="V39" s="196">
        <f t="shared" ca="1" si="16"/>
        <v>1.4399618906249998</v>
      </c>
      <c r="W39" s="196">
        <f t="shared" ca="1" si="16"/>
        <v>1.4588454374999995</v>
      </c>
      <c r="X39" s="196">
        <f t="shared" ca="1" si="16"/>
        <v>1.0949301562500002</v>
      </c>
      <c r="Y39" s="196">
        <f t="shared" ca="1" si="16"/>
        <v>1.4336734554550785</v>
      </c>
      <c r="Z39" s="196">
        <f t="shared" ca="1" si="16"/>
        <v>1.325142483210938</v>
      </c>
      <c r="AA39" s="196">
        <f t="shared" ca="1" si="16"/>
        <v>1.3678664767382813</v>
      </c>
      <c r="AB39" s="196">
        <f t="shared" ca="1" si="16"/>
        <v>1.1685393827200219</v>
      </c>
      <c r="AC39" s="196">
        <f t="shared" ca="1" si="16"/>
        <v>1.3204927533164681</v>
      </c>
      <c r="AD39" s="237">
        <f t="shared" ca="1" si="16"/>
        <v>1.2199852598324641</v>
      </c>
    </row>
    <row r="40" spans="2:30" x14ac:dyDescent="0.35">
      <c r="B40" s="639"/>
      <c r="C40" s="98" t="s">
        <v>55</v>
      </c>
      <c r="D40" s="247">
        <f t="shared" si="14"/>
        <v>0</v>
      </c>
      <c r="E40" s="196">
        <f t="shared" ref="E40:AD40" ca="1" si="17">E28-E34</f>
        <v>0</v>
      </c>
      <c r="F40" s="196">
        <f t="shared" ca="1" si="17"/>
        <v>0</v>
      </c>
      <c r="G40" s="196">
        <f t="shared" ca="1" si="17"/>
        <v>0</v>
      </c>
      <c r="H40" s="196">
        <f t="shared" ca="1" si="17"/>
        <v>0</v>
      </c>
      <c r="I40" s="196">
        <f t="shared" ca="1" si="17"/>
        <v>0</v>
      </c>
      <c r="J40" s="196">
        <f t="shared" ca="1" si="17"/>
        <v>0</v>
      </c>
      <c r="K40" s="196">
        <f t="shared" ca="1" si="17"/>
        <v>0</v>
      </c>
      <c r="L40" s="196">
        <f t="shared" ca="1" si="17"/>
        <v>0</v>
      </c>
      <c r="M40" s="196">
        <f t="shared" ca="1" si="17"/>
        <v>0</v>
      </c>
      <c r="N40" s="196">
        <f t="shared" ca="1" si="17"/>
        <v>0</v>
      </c>
      <c r="O40" s="196">
        <f t="shared" ca="1" si="17"/>
        <v>0</v>
      </c>
      <c r="P40" s="196">
        <f t="shared" ca="1" si="17"/>
        <v>0</v>
      </c>
      <c r="Q40" s="196">
        <f t="shared" ca="1" si="17"/>
        <v>0</v>
      </c>
      <c r="R40" s="196">
        <f t="shared" ca="1" si="17"/>
        <v>0</v>
      </c>
      <c r="S40" s="196">
        <f t="shared" ca="1" si="17"/>
        <v>0</v>
      </c>
      <c r="T40" s="196">
        <f t="shared" ca="1" si="17"/>
        <v>0</v>
      </c>
      <c r="U40" s="196">
        <f t="shared" ca="1" si="17"/>
        <v>0</v>
      </c>
      <c r="V40" s="196">
        <f t="shared" ca="1" si="17"/>
        <v>0</v>
      </c>
      <c r="W40" s="196">
        <f t="shared" ca="1" si="17"/>
        <v>0</v>
      </c>
      <c r="X40" s="196">
        <f t="shared" ca="1" si="17"/>
        <v>0</v>
      </c>
      <c r="Y40" s="196">
        <f t="shared" ca="1" si="17"/>
        <v>0</v>
      </c>
      <c r="Z40" s="196">
        <f t="shared" ca="1" si="17"/>
        <v>0</v>
      </c>
      <c r="AA40" s="196">
        <f t="shared" ca="1" si="17"/>
        <v>0</v>
      </c>
      <c r="AB40" s="196">
        <f t="shared" ca="1" si="17"/>
        <v>0</v>
      </c>
      <c r="AC40" s="196">
        <f t="shared" ca="1" si="17"/>
        <v>0</v>
      </c>
      <c r="AD40" s="237">
        <f t="shared" ca="1" si="17"/>
        <v>0</v>
      </c>
    </row>
    <row r="41" spans="2:30" x14ac:dyDescent="0.35">
      <c r="B41" s="639" t="s">
        <v>330</v>
      </c>
      <c r="C41" s="98" t="s">
        <v>49</v>
      </c>
      <c r="D41" s="247">
        <f t="shared" ref="D41:D46" si="18">D5-D23</f>
        <v>0</v>
      </c>
      <c r="E41" s="196">
        <f ca="1">SUM($D5:E5)-SUM($D23:E23)-(SUM($D47:D47)-SUM($D35:D35))</f>
        <v>0</v>
      </c>
      <c r="F41" s="196">
        <f ca="1">SUM($D5:F5)-SUM($D23:F23)-(SUM($D47:E47)-SUM($D35:E35))</f>
        <v>0</v>
      </c>
      <c r="G41" s="196">
        <f ca="1">SUM($D5:G5)-SUM($D23:G23)-(SUM($D47:F47)-SUM($D35:F35))</f>
        <v>0</v>
      </c>
      <c r="H41" s="196">
        <f ca="1">SUM($D5:H5)-SUM($D23:H23)-(SUM($D47:G47)-SUM($D35:G35))</f>
        <v>0</v>
      </c>
      <c r="I41" s="196">
        <f ca="1">SUM($D5:I5)-SUM($D23:I23)-(SUM($D47:H47)-SUM($D35:H35))</f>
        <v>0</v>
      </c>
      <c r="J41" s="196">
        <f ca="1">SUM($D5:J5)-SUM($D23:J23)-(SUM($D47:I47)-SUM($D35:I35))</f>
        <v>0</v>
      </c>
      <c r="K41" s="196">
        <f ca="1">SUM($D5:K5)-SUM($D23:K23)-(SUM($D47:J47)-SUM($D35:J35))</f>
        <v>0</v>
      </c>
      <c r="L41" s="196">
        <f ca="1">SUM($D5:L5)-SUM($D23:L23)-(SUM($D47:K47)-SUM($D35:K35))</f>
        <v>0</v>
      </c>
      <c r="M41" s="196">
        <f ca="1">SUM($D5:M5)-SUM($D23:M23)-(SUM($D47:L47)-SUM($D35:L35))</f>
        <v>0</v>
      </c>
      <c r="N41" s="196">
        <f ca="1">SUM($D5:N5)-SUM($D23:N23)-(SUM($D47:M47)-SUM($D35:M35))</f>
        <v>0</v>
      </c>
      <c r="O41" s="196">
        <f ca="1">SUM($D5:O5)-SUM($D23:O23)-(SUM($D47:N47)-SUM($D35:N35))</f>
        <v>0</v>
      </c>
      <c r="P41" s="196">
        <f ca="1">SUM($D5:P5)-SUM($D23:P23)-(SUM($D47:O47)-SUM($D35:O35))</f>
        <v>0</v>
      </c>
      <c r="Q41" s="196">
        <f ca="1">SUM($D5:Q5)-SUM($D23:Q23)-(SUM($D47:P47)-SUM($D35:P35))</f>
        <v>0</v>
      </c>
      <c r="R41" s="196">
        <f ca="1">SUM($D5:R5)-SUM($D23:R23)-(SUM($D47:Q47)-SUM($D35:Q35))</f>
        <v>0</v>
      </c>
      <c r="S41" s="196">
        <f ca="1">SUM($D5:S5)-SUM($D23:S23)-(SUM($D47:R47)-SUM($D35:R35))</f>
        <v>0</v>
      </c>
      <c r="T41" s="196">
        <f ca="1">SUM($D5:T5)-SUM($D23:T23)-(SUM($D47:S47)-SUM($D35:S35))</f>
        <v>0</v>
      </c>
      <c r="U41" s="196">
        <f ca="1">SUM($D5:U5)-SUM($D23:U23)-(SUM($D47:T47)-SUM($D35:T35))</f>
        <v>0.21</v>
      </c>
      <c r="V41" s="196">
        <f ca="1">SUM($D5:V5)-SUM($D23:V23)-(SUM($D47:U47)-SUM($D35:U35))</f>
        <v>0.17849999999999999</v>
      </c>
      <c r="W41" s="196">
        <f ca="1">SUM($D5:W5)-SUM($D23:W23)-(SUM($D47:V47)-SUM($D35:V35))</f>
        <v>0.151725</v>
      </c>
      <c r="X41" s="196">
        <f ca="1">SUM($D5:X5)-SUM($D23:X23)-(SUM($D47:W47)-SUM($D35:W35))</f>
        <v>0.12896625</v>
      </c>
      <c r="Y41" s="196">
        <f ca="1">SUM($D5:Y5)-SUM($D23:Y23)-(SUM($D47:X47)-SUM($D35:X35))</f>
        <v>0.10962131250000001</v>
      </c>
      <c r="Z41" s="196">
        <f ca="1">SUM($D5:Z5)-SUM($D23:Z23)-(SUM($D47:Y47)-SUM($D35:Y35))</f>
        <v>0.14317811562500005</v>
      </c>
      <c r="AA41" s="196">
        <f ca="1">SUM($D5:AA5)-SUM($D23:AA23)-(SUM($D47:Z47)-SUM($D35:Z35))</f>
        <v>0.38170139828125005</v>
      </c>
      <c r="AB41" s="196">
        <f ca="1">SUM($D5:AB5)-SUM($D23:AB23)-(SUM($D47:AA47)-SUM($D35:AA35))</f>
        <v>0.58444618853906261</v>
      </c>
      <c r="AC41" s="196">
        <f ca="1">SUM($D5:AC5)-SUM($D23:AC23)-(SUM($D47:AB47)-SUM($D35:AB35))</f>
        <v>0.49677926025820318</v>
      </c>
      <c r="AD41" s="238">
        <f ca="1">SUM($D5:AD5)-SUM($D23:AD23)-(SUM($D47:AC47)-SUM($D35:AC35))</f>
        <v>0.51226237121947271</v>
      </c>
    </row>
    <row r="42" spans="2:30" x14ac:dyDescent="0.35">
      <c r="B42" s="639"/>
      <c r="C42" s="98" t="s">
        <v>50</v>
      </c>
      <c r="D42" s="247">
        <f t="shared" si="18"/>
        <v>0.99</v>
      </c>
      <c r="E42" s="196">
        <f ca="1">SUM($D6:E6)-SUM($D24:E24)-(SUM($D48:D48)-SUM($D36:D36))</f>
        <v>1.7714999999999999</v>
      </c>
      <c r="F42" s="196">
        <f ca="1">SUM($D6:F6)-SUM($D24:F24)-(SUM($D48:E48)-SUM($D36:E36))</f>
        <v>2.4257749999999998</v>
      </c>
      <c r="G42" s="196">
        <f ca="1">SUM($D6:G6)-SUM($D24:G24)-(SUM($D48:F48)-SUM($D36:F36))</f>
        <v>3.0019087500000001</v>
      </c>
      <c r="H42" s="196">
        <f ca="1">SUM($D6:H6)-SUM($D24:H24)-(SUM($D48:G48)-SUM($D36:G36))</f>
        <v>3.4716224375000002</v>
      </c>
      <c r="I42" s="196">
        <f ca="1">SUM($D6:I6)-SUM($D24:I24)-(SUM($D48:H48)-SUM($D36:H36))</f>
        <v>3.9008790718750004</v>
      </c>
      <c r="J42" s="196">
        <f ca="1">SUM($D6:J6)-SUM($D24:J24)-(SUM($D48:I48)-SUM($D36:I36))</f>
        <v>4.3057472110937507</v>
      </c>
      <c r="K42" s="196">
        <f ca="1">SUM($D6:K6)-SUM($D24:K24)-(SUM($D48:J48)-SUM($D36:J36))</f>
        <v>4.6798851294296879</v>
      </c>
      <c r="L42" s="196">
        <f ca="1">SUM($D6:L6)-SUM($D24:L24)-(SUM($D48:K48)-SUM($D36:K36))</f>
        <v>5.0379023600152353</v>
      </c>
      <c r="M42" s="196">
        <f ca="1">SUM($D6:M6)-SUM($D24:M24)-(SUM($D48:L48)-SUM($D36:L36))</f>
        <v>5.3622170060129504</v>
      </c>
      <c r="N42" s="196">
        <f ca="1">SUM($D6:N6)-SUM($D24:N24)-(SUM($D48:M48)-SUM($D36:M36))</f>
        <v>5.7378844551110078</v>
      </c>
      <c r="O42" s="196">
        <f ca="1">SUM($D6:O6)-SUM($D24:O24)-(SUM($D48:N48)-SUM($D36:N36))</f>
        <v>6.0872017868443571</v>
      </c>
      <c r="P42" s="196">
        <f ca="1">SUM($D6:P6)-SUM($D24:P24)-(SUM($D48:O48)-SUM($D36:O36))</f>
        <v>6.3941215188177045</v>
      </c>
      <c r="Q42" s="196">
        <f ca="1">SUM($D6:Q6)-SUM($D24:Q24)-(SUM($D48:P48)-SUM($D36:P36))</f>
        <v>6.7050032909950481</v>
      </c>
      <c r="R42" s="196">
        <f ca="1">SUM($D6:R6)-SUM($D24:R24)-(SUM($D48:Q48)-SUM($D36:Q36))</f>
        <v>7.0192527973457892</v>
      </c>
      <c r="S42" s="196">
        <f ca="1">SUM($D6:S6)-SUM($D24:S24)-(SUM($D48:R48)-SUM($D36:R36))</f>
        <v>6.5048648777439197</v>
      </c>
      <c r="T42" s="196">
        <f ca="1">SUM($D6:T6)-SUM($D24:T24)-(SUM($D48:S48)-SUM($D36:S36))</f>
        <v>6.0386351460823313</v>
      </c>
      <c r="U42" s="196">
        <f ca="1">SUM($D6:U6)-SUM($D24:U24)-(SUM($D48:T48)-SUM($D36:T36))</f>
        <v>7.3608398741699794</v>
      </c>
      <c r="V42" s="196">
        <f ca="1">SUM($D6:V6)-SUM($D24:V24)-(SUM($D48:U48)-SUM($D36:U36))</f>
        <v>11.478652705544487</v>
      </c>
      <c r="W42" s="196">
        <f ca="1">SUM($D6:W6)-SUM($D24:W24)-(SUM($D48:V48)-SUM($D36:V36))</f>
        <v>24.566113987212812</v>
      </c>
      <c r="X42" s="196">
        <f ca="1">SUM($D6:X6)-SUM($D24:X24)-(SUM($D48:W48)-SUM($D36:W36))</f>
        <v>27.600251139130897</v>
      </c>
      <c r="Y42" s="196">
        <f ca="1">SUM($D6:Y6)-SUM($D24:Y24)-(SUM($D48:X48)-SUM($D36:X36))</f>
        <v>35.965121578987826</v>
      </c>
      <c r="Z42" s="196">
        <f ca="1">SUM($D6:Z6)-SUM($D24:Z24)-(SUM($D48:Y48)-SUM($D36:Y36))</f>
        <v>46.983004631288082</v>
      </c>
      <c r="AA42" s="196">
        <f ca="1">SUM($D6:AA6)-SUM($D24:AA24)-(SUM($D48:Z48)-SUM($D36:Z36))</f>
        <v>51.612166677876139</v>
      </c>
      <c r="AB42" s="196">
        <f ca="1">SUM($D6:AB6)-SUM($D24:AB24)-(SUM($D48:AA48)-SUM($D36:AA36))</f>
        <v>61.05156617146811</v>
      </c>
      <c r="AC42" s="196">
        <f ca="1">SUM($D6:AC6)-SUM($D24:AC24)-(SUM($D48:AB48)-SUM($D36:AB36))</f>
        <v>73.95111412543875</v>
      </c>
      <c r="AD42" s="238">
        <f ca="1">SUM($D6:AD6)-SUM($D24:AD24)-(SUM($D48:AC48)-SUM($D36:AC36))</f>
        <v>64.964021067599788</v>
      </c>
    </row>
    <row r="43" spans="2:30" x14ac:dyDescent="0.35">
      <c r="B43" s="639"/>
      <c r="C43" s="98" t="s">
        <v>51</v>
      </c>
      <c r="D43" s="247">
        <f t="shared" si="18"/>
        <v>5.64</v>
      </c>
      <c r="E43" s="196">
        <f ca="1">SUM($D7:E7)-SUM($D25:E25)-(SUM($D49:D49)-SUM($D37:D37))</f>
        <v>10.103999999999999</v>
      </c>
      <c r="F43" s="196">
        <f ca="1">SUM($D7:F7)-SUM($D25:F25)-(SUM($D49:E49)-SUM($D37:E37))</f>
        <v>13.8384</v>
      </c>
      <c r="G43" s="196">
        <f ca="1">SUM($D7:G7)-SUM($D25:G25)-(SUM($D49:F49)-SUM($D37:F37))</f>
        <v>17.102640000000001</v>
      </c>
      <c r="H43" s="196">
        <f ca="1">SUM($D7:H7)-SUM($D25:H25)-(SUM($D49:G49)-SUM($D37:G37))</f>
        <v>19.797243999999999</v>
      </c>
      <c r="I43" s="196">
        <f ca="1">SUM($D7:I7)-SUM($D25:I25)-(SUM($D49:H49)-SUM($D37:H37))</f>
        <v>22.267657399999997</v>
      </c>
      <c r="J43" s="196">
        <f ca="1">SUM($D7:J7)-SUM($D25:J25)-(SUM($D49:I49)-SUM($D37:I37))</f>
        <v>24.567508789999998</v>
      </c>
      <c r="K43" s="196">
        <f ca="1">SUM($D7:K7)-SUM($D25:K25)-(SUM($D49:J49)-SUM($D37:J37))</f>
        <v>26.712382471499996</v>
      </c>
      <c r="L43" s="196">
        <f ca="1">SUM($D7:L7)-SUM($D25:L25)-(SUM($D49:K49)-SUM($D37:K37))</f>
        <v>28.735525100775</v>
      </c>
      <c r="M43" s="196">
        <f ca="1">SUM($D7:M7)-SUM($D25:M25)-(SUM($D49:L49)-SUM($D37:L37))</f>
        <v>30.60519633565875</v>
      </c>
      <c r="N43" s="196">
        <f ca="1">SUM($D7:N7)-SUM($D25:N25)-(SUM($D49:M49)-SUM($D37:M37))</f>
        <v>32.714416885309944</v>
      </c>
      <c r="O43" s="196">
        <f ca="1">SUM($D7:O7)-SUM($D25:O25)-(SUM($D49:N49)-SUM($D37:N37))</f>
        <v>34.69725435251344</v>
      </c>
      <c r="P43" s="196">
        <f ca="1">SUM($D7:P7)-SUM($D25:P25)-(SUM($D49:O49)-SUM($D37:O37))</f>
        <v>36.442666199636427</v>
      </c>
      <c r="Q43" s="196">
        <f ca="1">SUM($D7:Q7)-SUM($D25:Q25)-(SUM($D49:P49)-SUM($D37:P37))</f>
        <v>38.226266269690967</v>
      </c>
      <c r="R43" s="196">
        <f ca="1">SUM($D7:R7)-SUM($D25:R25)-(SUM($D49:Q49)-SUM($D37:Q37))</f>
        <v>40.022326329237323</v>
      </c>
      <c r="S43" s="196">
        <f ca="1">SUM($D7:S7)-SUM($D25:S25)-(SUM($D49:R49)-SUM($D37:R37))</f>
        <v>37.064977379851733</v>
      </c>
      <c r="T43" s="196">
        <f ca="1">SUM($D7:T7)-SUM($D25:T25)-(SUM($D49:S49)-SUM($D37:S37))</f>
        <v>34.411730772873966</v>
      </c>
      <c r="U43" s="196">
        <f ca="1">SUM($D7:U7)-SUM($D25:U25)-(SUM($D49:T49)-SUM($D37:T37))</f>
        <v>39.63747115694288</v>
      </c>
      <c r="V43" s="196">
        <f ca="1">SUM($D7:V7)-SUM($D25:V25)-(SUM($D49:U49)-SUM($D37:U37))</f>
        <v>46.691835233401449</v>
      </c>
      <c r="W43" s="196">
        <f ca="1">SUM($D7:W7)-SUM($D25:W25)-(SUM($D49:V49)-SUM($D37:V37))</f>
        <v>64.947806760891226</v>
      </c>
      <c r="X43" s="196">
        <f ca="1">SUM($D7:X7)-SUM($D25:X25)-(SUM($D49:W49)-SUM($D37:W37))</f>
        <v>76.059727934257523</v>
      </c>
      <c r="Y43" s="196">
        <f ca="1">SUM($D7:Y7)-SUM($D25:Y25)-(SUM($D49:X49)-SUM($D37:X37))</f>
        <v>108.33244837871266</v>
      </c>
      <c r="Z43" s="196">
        <f ca="1">SUM($D7:Z7)-SUM($D25:Z25)-(SUM($D49:Y49)-SUM($D37:Y37))</f>
        <v>135.71378985813237</v>
      </c>
      <c r="AA43" s="196">
        <f ca="1">SUM($D7:AA7)-SUM($D25:AA25)-(SUM($D49:Z49)-SUM($D37:Z37))</f>
        <v>166.20485382218592</v>
      </c>
      <c r="AB43" s="196">
        <f ca="1">SUM($D7:AB7)-SUM($D25:AB25)-(SUM($D49:AA49)-SUM($D37:AA37))</f>
        <v>204.99907780735919</v>
      </c>
      <c r="AC43" s="196">
        <f ca="1">SUM($D7:AC7)-SUM($D25:AC25)-(SUM($D49:AB49)-SUM($D37:AB37))</f>
        <v>223.53971670747487</v>
      </c>
      <c r="AD43" s="238">
        <f ca="1">SUM($D7:AD7)-SUM($D25:AD25)-(SUM($D49:AC49)-SUM($D37:AC37))</f>
        <v>253.27491802687538</v>
      </c>
    </row>
    <row r="44" spans="2:30" x14ac:dyDescent="0.35">
      <c r="B44" s="639"/>
      <c r="C44" s="98" t="s">
        <v>52</v>
      </c>
      <c r="D44" s="247">
        <f t="shared" si="18"/>
        <v>15.19</v>
      </c>
      <c r="E44" s="196">
        <f ca="1">SUM($D8:E8)-SUM($D26:E26)-(SUM($D50:D50)-SUM($D38:D38))</f>
        <v>28.141500000000001</v>
      </c>
      <c r="F44" s="196">
        <f ca="1">SUM($D8:F8)-SUM($D26:F26)-(SUM($D50:E50)-SUM($D38:E38))</f>
        <v>39.160275000000006</v>
      </c>
      <c r="G44" s="196">
        <f ca="1">SUM($D8:G8)-SUM($D26:G26)-(SUM($D50:F50)-SUM($D38:F38))</f>
        <v>48.516233749999998</v>
      </c>
      <c r="H44" s="196">
        <f ca="1">SUM($D8:H8)-SUM($D26:H26)-(SUM($D50:G50)-SUM($D38:G38))</f>
        <v>56.478798687499996</v>
      </c>
      <c r="I44" s="196">
        <f ca="1">SUM($D8:I8)-SUM($D26:I26)-(SUM($D50:H50)-SUM($D38:H38))</f>
        <v>63.216978884375003</v>
      </c>
      <c r="J44" s="196">
        <f ca="1">SUM($D8:J8)-SUM($D26:J26)-(SUM($D50:I50)-SUM($D38:I38))</f>
        <v>68.924432051718753</v>
      </c>
      <c r="K44" s="196">
        <f ca="1">SUM($D8:K8)-SUM($D26:K26)-(SUM($D50:J50)-SUM($D38:J38))</f>
        <v>73.745767243960941</v>
      </c>
      <c r="L44" s="196">
        <f ca="1">SUM($D8:L8)-SUM($D26:L26)-(SUM($D50:K50)-SUM($D38:K38))</f>
        <v>77.823902157366788</v>
      </c>
      <c r="M44" s="196">
        <f ca="1">SUM($D8:M8)-SUM($D26:M26)-(SUM($D50:L50)-SUM($D38:L38))</f>
        <v>81.270316833761768</v>
      </c>
      <c r="N44" s="196">
        <f ca="1">SUM($D8:N8)-SUM($D26:N26)-(SUM($D50:M50)-SUM($D38:M38))</f>
        <v>81.8997693086975</v>
      </c>
      <c r="O44" s="196">
        <f ca="1">SUM($D8:O8)-SUM($D26:O26)-(SUM($D50:N50)-SUM($D38:N38))</f>
        <v>82.414803912392884</v>
      </c>
      <c r="P44" s="196">
        <f ca="1">SUM($D8:P8)-SUM($D26:P26)-(SUM($D50:O50)-SUM($D38:O38))</f>
        <v>82.752583325533948</v>
      </c>
      <c r="Q44" s="196">
        <f ca="1">SUM($D8:Q8)-SUM($D26:Q26)-(SUM($D50:P50)-SUM($D38:P38))</f>
        <v>82.899695826703862</v>
      </c>
      <c r="R44" s="196">
        <f ca="1">SUM($D8:R8)-SUM($D26:R26)-(SUM($D50:Q50)-SUM($D38:Q38))</f>
        <v>82.944741452698281</v>
      </c>
      <c r="S44" s="196">
        <f ca="1">SUM($D8:S8)-SUM($D26:S26)-(SUM($D50:R50)-SUM($D38:R38))</f>
        <v>69.951530234793523</v>
      </c>
      <c r="T44" s="196">
        <f ca="1">SUM($D8:T8)-SUM($D26:T26)-(SUM($D50:S50)-SUM($D38:S38))</f>
        <v>58.883300699574505</v>
      </c>
      <c r="U44" s="196">
        <f ca="1">SUM($D8:U8)-SUM($D26:U26)-(SUM($D50:T50)-SUM($D38:T38))</f>
        <v>59.606805594638303</v>
      </c>
      <c r="V44" s="196">
        <f ca="1">SUM($D8:V8)-SUM($D26:V26)-(SUM($D50:U50)-SUM($D38:U38))</f>
        <v>124.28923481794254</v>
      </c>
      <c r="W44" s="196">
        <f ca="1">SUM($D8:W8)-SUM($D26:W26)-(SUM($D50:V50)-SUM($D38:V38))</f>
        <v>133.61391940775115</v>
      </c>
      <c r="X44" s="196">
        <f ca="1">SUM($D8:X8)-SUM($D26:X26)-(SUM($D50:W50)-SUM($D38:W38))</f>
        <v>133.26050624658851</v>
      </c>
      <c r="Y44" s="196">
        <f ca="1">SUM($D8:Y8)-SUM($D26:Y26)-(SUM($D50:X50)-SUM($D38:X38))</f>
        <v>149.75707526673304</v>
      </c>
      <c r="Z44" s="196">
        <f ca="1">SUM($D8:Z8)-SUM($D26:Z26)-(SUM($D50:Y50)-SUM($D38:Y38))</f>
        <v>155.65685877844965</v>
      </c>
      <c r="AA44" s="196">
        <f ca="1">SUM($D8:AA8)-SUM($D26:AA26)-(SUM($D50:Z50)-SUM($D38:Z38))</f>
        <v>152.37155711127588</v>
      </c>
      <c r="AB44" s="196">
        <f ca="1">SUM($D8:AB8)-SUM($D26:AB26)-(SUM($D50:AA50)-SUM($D38:AA38))</f>
        <v>154.55888985300089</v>
      </c>
      <c r="AC44" s="196">
        <f ca="1">SUM($D8:AC8)-SUM($D26:AC26)-(SUM($D50:AB50)-SUM($D38:AB38))</f>
        <v>162.33979976236452</v>
      </c>
      <c r="AD44" s="238">
        <f ca="1">SUM($D8:AD8)-SUM($D26:AD26)-(SUM($D50:AC50)-SUM($D38:AC38))</f>
        <v>179.77437686408155</v>
      </c>
    </row>
    <row r="45" spans="2:30" x14ac:dyDescent="0.35">
      <c r="B45" s="639"/>
      <c r="C45" s="98" t="s">
        <v>54</v>
      </c>
      <c r="D45" s="247">
        <f t="shared" si="18"/>
        <v>5.47</v>
      </c>
      <c r="E45" s="196">
        <f ca="1">SUM($D9:E9)-SUM($D27:E27)-(SUM($D51:D51)-SUM($D39:D39))</f>
        <v>9.8094999999999999</v>
      </c>
      <c r="F45" s="196">
        <f ca="1">SUM($D9:F9)-SUM($D27:F27)-(SUM($D51:E51)-SUM($D39:E39))</f>
        <v>13.438074999999998</v>
      </c>
      <c r="G45" s="196">
        <f ca="1">SUM($D9:G9)-SUM($D27:G27)-(SUM($D51:F51)-SUM($D39:F39))</f>
        <v>16.61236375</v>
      </c>
      <c r="H45" s="196">
        <f ca="1">SUM($D9:H9)-SUM($D27:H27)-(SUM($D51:G51)-SUM($D39:G39))</f>
        <v>19.220509187499996</v>
      </c>
      <c r="I45" s="196">
        <f ca="1">SUM($D9:I9)-SUM($D27:I27)-(SUM($D51:H51)-SUM($D39:H39))</f>
        <v>21.617432809374996</v>
      </c>
      <c r="J45" s="196">
        <f ca="1">SUM($D9:J9)-SUM($D27:J27)-(SUM($D51:I51)-SUM($D39:I39))</f>
        <v>23.854817887968753</v>
      </c>
      <c r="K45" s="196">
        <f ca="1">SUM($D9:K9)-SUM($D27:K27)-(SUM($D51:J51)-SUM($D39:J39))</f>
        <v>25.936595204773436</v>
      </c>
      <c r="L45" s="196">
        <f ca="1">SUM($D9:L9)-SUM($D27:L27)-(SUM($D51:K51)-SUM($D39:K39))</f>
        <v>27.896105924057423</v>
      </c>
      <c r="M45" s="196">
        <f ca="1">SUM($D9:M9)-SUM($D27:M27)-(SUM($D51:L51)-SUM($D39:L39))</f>
        <v>29.711690035448811</v>
      </c>
      <c r="N45" s="196">
        <f ca="1">SUM($D9:N9)-SUM($D27:N27)-(SUM($D51:M51)-SUM($D39:M39))</f>
        <v>31.764936530131486</v>
      </c>
      <c r="O45" s="196">
        <f ca="1">SUM($D9:O9)-SUM($D27:O27)-(SUM($D51:N51)-SUM($D39:N39))</f>
        <v>33.69019605061176</v>
      </c>
      <c r="P45" s="196">
        <f ca="1">SUM($D9:P9)-SUM($D27:P27)-(SUM($D51:O51)-SUM($D39:O39))</f>
        <v>35.386666643019993</v>
      </c>
      <c r="Q45" s="196">
        <f ca="1">SUM($D9:Q9)-SUM($D27:Q27)-(SUM($D51:P51)-SUM($D39:P39))</f>
        <v>37.118666646567</v>
      </c>
      <c r="R45" s="196">
        <f ca="1">SUM($D9:R9)-SUM($D27:R27)-(SUM($D51:Q51)-SUM($D39:Q39))</f>
        <v>38.860866649581951</v>
      </c>
      <c r="S45" s="196">
        <f ca="1">SUM($D9:S9)-SUM($D27:S27)-(SUM($D51:R51)-SUM($D39:R39))</f>
        <v>36.00223665214466</v>
      </c>
      <c r="T45" s="196">
        <f ca="1">SUM($D9:T9)-SUM($D27:T27)-(SUM($D51:S51)-SUM($D39:S39))</f>
        <v>33.425901154322965</v>
      </c>
      <c r="U45" s="196">
        <f ca="1">SUM($D9:U9)-SUM($D27:U27)-(SUM($D51:T51)-SUM($D39:T39))</f>
        <v>37.107015981174513</v>
      </c>
      <c r="V45" s="196">
        <f ca="1">SUM($D9:V9)-SUM($D27:V27)-(SUM($D51:U51)-SUM($D39:U39))</f>
        <v>40.571014396498342</v>
      </c>
      <c r="W45" s="196">
        <f ca="1">SUM($D9:W9)-SUM($D27:W27)-(SUM($D51:V51)-SUM($D39:V39))</f>
        <v>46.220234987023602</v>
      </c>
      <c r="X45" s="196">
        <f ca="1">SUM($D9:X9)-SUM($D27:X27)-(SUM($D51:W51)-SUM($D39:W39))</f>
        <v>55.797292863970043</v>
      </c>
      <c r="Y45" s="196">
        <f ca="1">SUM($D9:Y9)-SUM($D27:Y27)-(SUM($D51:X51)-SUM($D39:X39))</f>
        <v>82.19613432710112</v>
      </c>
      <c r="Z45" s="196">
        <f ca="1">SUM($D9:Z9)-SUM($D27:Z27)-(SUM($D51:Y51)-SUM($D39:Y39))</f>
        <v>101.63985753375468</v>
      </c>
      <c r="AA45" s="196">
        <f ca="1">SUM($D9:AA9)-SUM($D27:AA27)-(SUM($D51:Z51)-SUM($D39:Z39))</f>
        <v>248.97005693470709</v>
      </c>
      <c r="AB45" s="196">
        <f ca="1">SUM($D9:AB9)-SUM($D27:AB27)-(SUM($D51:AA51)-SUM($D39:AA39))</f>
        <v>232.8564958842077</v>
      </c>
      <c r="AC45" s="196">
        <f ca="1">SUM($D9:AC9)-SUM($D27:AC27)-(SUM($D51:AB51)-SUM($D39:AB39))</f>
        <v>228.22736449715461</v>
      </c>
      <c r="AD45" s="238">
        <f ca="1">SUM($D9:AD9)-SUM($D27:AD27)-(SUM($D51:AC51)-SUM($D39:AC39))</f>
        <v>233.61661280947146</v>
      </c>
    </row>
    <row r="46" spans="2:30" x14ac:dyDescent="0.35">
      <c r="B46" s="639"/>
      <c r="C46" s="98" t="s">
        <v>55</v>
      </c>
      <c r="D46" s="247">
        <f t="shared" si="18"/>
        <v>0</v>
      </c>
      <c r="E46" s="196">
        <f ca="1">SUM($D10:E10)-SUM($D28:E28)-(SUM($D52:D52)-SUM($D40:D40))</f>
        <v>0</v>
      </c>
      <c r="F46" s="196">
        <f ca="1">SUM($D10:F10)-SUM($D28:F28)-(SUM($D52:E52)-SUM($D40:E40))</f>
        <v>0</v>
      </c>
      <c r="G46" s="196">
        <f ca="1">SUM($D10:G10)-SUM($D28:G28)-(SUM($D52:F52)-SUM($D40:F40))</f>
        <v>0</v>
      </c>
      <c r="H46" s="196">
        <f ca="1">SUM($D10:H10)-SUM($D28:H28)-(SUM($D52:G52)-SUM($D40:G40))</f>
        <v>0</v>
      </c>
      <c r="I46" s="196">
        <f ca="1">SUM($D10:I10)-SUM($D28:I28)-(SUM($D52:H52)-SUM($D40:H40))</f>
        <v>0</v>
      </c>
      <c r="J46" s="196">
        <f ca="1">SUM($D10:J10)-SUM($D28:J28)-(SUM($D52:I52)-SUM($D40:I40))</f>
        <v>0</v>
      </c>
      <c r="K46" s="196">
        <f ca="1">SUM($D10:K10)-SUM($D28:K28)-(SUM($D52:J52)-SUM($D40:J40))</f>
        <v>0</v>
      </c>
      <c r="L46" s="196">
        <f ca="1">SUM($D10:L10)-SUM($D28:L28)-(SUM($D52:K52)-SUM($D40:K40))</f>
        <v>0</v>
      </c>
      <c r="M46" s="196">
        <f ca="1">SUM($D10:M10)-SUM($D28:M28)-(SUM($D52:L52)-SUM($D40:L40))</f>
        <v>0</v>
      </c>
      <c r="N46" s="196">
        <f ca="1">SUM($D10:N10)-SUM($D28:N28)-(SUM($D52:M52)-SUM($D40:M40))</f>
        <v>0</v>
      </c>
      <c r="O46" s="196">
        <f ca="1">SUM($D10:O10)-SUM($D28:O28)-(SUM($D52:N52)-SUM($D40:N40))</f>
        <v>0</v>
      </c>
      <c r="P46" s="196">
        <f ca="1">SUM($D10:P10)-SUM($D28:P28)-(SUM($D52:O52)-SUM($D40:O40))</f>
        <v>0</v>
      </c>
      <c r="Q46" s="196">
        <f ca="1">SUM($D10:Q10)-SUM($D28:Q28)-(SUM($D52:P52)-SUM($D40:P40))</f>
        <v>0</v>
      </c>
      <c r="R46" s="196">
        <f ca="1">SUM($D10:R10)-SUM($D28:R28)-(SUM($D52:Q52)-SUM($D40:Q40))</f>
        <v>0</v>
      </c>
      <c r="S46" s="196">
        <f ca="1">SUM($D10:S10)-SUM($D28:S28)-(SUM($D52:R52)-SUM($D40:R40))</f>
        <v>0</v>
      </c>
      <c r="T46" s="196">
        <f ca="1">SUM($D10:T10)-SUM($D28:T28)-(SUM($D52:S52)-SUM($D40:S40))</f>
        <v>0</v>
      </c>
      <c r="U46" s="196">
        <f ca="1">SUM($D10:U10)-SUM($D28:U28)-(SUM($D52:T52)-SUM($D40:T40))</f>
        <v>0</v>
      </c>
      <c r="V46" s="196">
        <f ca="1">SUM($D10:V10)-SUM($D28:V28)-(SUM($D52:U52)-SUM($D40:U40))</f>
        <v>0</v>
      </c>
      <c r="W46" s="196">
        <f ca="1">SUM($D10:W10)-SUM($D28:W28)-(SUM($D52:V52)-SUM($D40:V40))</f>
        <v>0</v>
      </c>
      <c r="X46" s="196">
        <f ca="1">SUM($D10:X10)-SUM($D28:X28)-(SUM($D52:W52)-SUM($D40:W40))</f>
        <v>0</v>
      </c>
      <c r="Y46" s="196">
        <f ca="1">SUM($D10:Y10)-SUM($D28:Y28)-(SUM($D52:X52)-SUM($D40:X40))</f>
        <v>0</v>
      </c>
      <c r="Z46" s="196">
        <f ca="1">SUM($D10:Z10)-SUM($D28:Z28)-(SUM($D52:Y52)-SUM($D40:Y40))</f>
        <v>0</v>
      </c>
      <c r="AA46" s="196">
        <f ca="1">SUM($D10:AA10)-SUM($D28:AA28)-(SUM($D52:Z52)-SUM($D40:Z40))</f>
        <v>0.78</v>
      </c>
      <c r="AB46" s="196">
        <f ca="1">SUM($D10:AB10)-SUM($D28:AB28)-(SUM($D52:AA52)-SUM($D40:AA40))</f>
        <v>0.66300000000000003</v>
      </c>
      <c r="AC46" s="196">
        <f ca="1">SUM($D10:AC10)-SUM($D28:AC28)-(SUM($D52:AB52)-SUM($D40:AB40))</f>
        <v>0.56355</v>
      </c>
      <c r="AD46" s="238">
        <f ca="1">SUM($D10:AD10)-SUM($D28:AD28)-(SUM($D52:AC52)-SUM($D40:AC40))</f>
        <v>0.47901750000000004</v>
      </c>
    </row>
    <row r="47" spans="2:30" x14ac:dyDescent="0.35">
      <c r="B47" s="639" t="s">
        <v>331</v>
      </c>
      <c r="C47" s="98" t="s">
        <v>49</v>
      </c>
      <c r="D47" s="247">
        <f>D41*'Emission Factors EF'!$E$41+'Emissions GEI HFCs'!D35</f>
        <v>0</v>
      </c>
      <c r="E47" s="196">
        <f ca="1">E41*'Emission Factors EF'!$E$41+'Emissions GEI HFCs'!E35</f>
        <v>0</v>
      </c>
      <c r="F47" s="196">
        <f ca="1">F41*'Emission Factors EF'!$E$41+'Emissions GEI HFCs'!F35</f>
        <v>0</v>
      </c>
      <c r="G47" s="196">
        <f ca="1">G41*'Emission Factors EF'!$E$41+'Emissions GEI HFCs'!G35</f>
        <v>0</v>
      </c>
      <c r="H47" s="196">
        <f ca="1">H41*'Emission Factors EF'!$E$41+'Emissions GEI HFCs'!H35</f>
        <v>0</v>
      </c>
      <c r="I47" s="196">
        <f ca="1">I41*'Emission Factors EF'!$E$41+'Emissions GEI HFCs'!I35</f>
        <v>0</v>
      </c>
      <c r="J47" s="196">
        <f ca="1">J41*'Emission Factors EF'!$E$41+'Emissions GEI HFCs'!J35</f>
        <v>0</v>
      </c>
      <c r="K47" s="196">
        <f ca="1">K41*'Emission Factors EF'!$E$41+'Emissions GEI HFCs'!K35</f>
        <v>0</v>
      </c>
      <c r="L47" s="196">
        <f ca="1">L41*'Emission Factors EF'!$E$41+'Emissions GEI HFCs'!L35</f>
        <v>0</v>
      </c>
      <c r="M47" s="196">
        <f ca="1">M41*'Emission Factors EF'!$E$41+'Emissions GEI HFCs'!M35</f>
        <v>0</v>
      </c>
      <c r="N47" s="196">
        <f ca="1">N41*'Emission Factors EF'!$E$41+'Emissions GEI HFCs'!N35</f>
        <v>0</v>
      </c>
      <c r="O47" s="196">
        <f ca="1">O41*'Emission Factors EF'!$E$41+'Emissions GEI HFCs'!O35</f>
        <v>0</v>
      </c>
      <c r="P47" s="196">
        <f ca="1">P41*'Emission Factors EF'!$E$41+'Emissions GEI HFCs'!P35</f>
        <v>0</v>
      </c>
      <c r="Q47" s="196">
        <f ca="1">Q41*'Emission Factors EF'!$E$41+'Emissions GEI HFCs'!Q35</f>
        <v>0</v>
      </c>
      <c r="R47" s="196">
        <f ca="1">R41*'Emission Factors EF'!$E$41+'Emissions GEI HFCs'!R35</f>
        <v>0</v>
      </c>
      <c r="S47" s="196">
        <f ca="1">S41*'Emission Factors EF'!$E$41+'Emissions GEI HFCs'!S35</f>
        <v>0</v>
      </c>
      <c r="T47" s="196">
        <f ca="1">T41*'Emission Factors EF'!$E$41+'Emissions GEI HFCs'!T35</f>
        <v>0</v>
      </c>
      <c r="U47" s="196">
        <f ca="1">U41*'Emission Factors EF'!$E$41+'Emissions GEI HFCs'!U35</f>
        <v>3.15E-2</v>
      </c>
      <c r="V47" s="196">
        <f ca="1">V41*'Emission Factors EF'!$E$41+'Emissions GEI HFCs'!V35</f>
        <v>2.6774999999999997E-2</v>
      </c>
      <c r="W47" s="196">
        <f ca="1">W41*'Emission Factors EF'!$E$41+'Emissions GEI HFCs'!W35</f>
        <v>2.2758749999999998E-2</v>
      </c>
      <c r="X47" s="196">
        <f ca="1">X41*'Emission Factors EF'!$E$41+'Emissions GEI HFCs'!X35</f>
        <v>1.9344937499999999E-2</v>
      </c>
      <c r="Y47" s="196">
        <f ca="1">Y41*'Emission Factors EF'!$E$41+'Emissions GEI HFCs'!Y35</f>
        <v>1.6443196875E-2</v>
      </c>
      <c r="Z47" s="196">
        <f ca="1">Z41*'Emission Factors EF'!$E$41+'Emissions GEI HFCs'!Z35</f>
        <v>2.1476717343750007E-2</v>
      </c>
      <c r="AA47" s="196">
        <f ca="1">AA41*'Emission Factors EF'!$E$41+'Emissions GEI HFCs'!AA35</f>
        <v>5.7255209742187507E-2</v>
      </c>
      <c r="AB47" s="196">
        <f ca="1">AB41*'Emission Factors EF'!$E$41+'Emissions GEI HFCs'!AB35</f>
        <v>8.7666928280859382E-2</v>
      </c>
      <c r="AC47" s="196">
        <f ca="1">AC41*'Emission Factors EF'!$E$41+'Emissions GEI HFCs'!AC35</f>
        <v>7.451688903873048E-2</v>
      </c>
      <c r="AD47" s="237">
        <f ca="1">AD41*'Emission Factors EF'!$E$41+'Emissions GEI HFCs'!AD35</f>
        <v>7.6839355682920898E-2</v>
      </c>
    </row>
    <row r="48" spans="2:30" x14ac:dyDescent="0.35">
      <c r="B48" s="639"/>
      <c r="C48" s="98" t="s">
        <v>50</v>
      </c>
      <c r="D48" s="247">
        <f>D42*'Emission Factors EF'!$E$41+'Emissions GEI HFCs'!D36</f>
        <v>0.14849999999999999</v>
      </c>
      <c r="E48" s="196">
        <f ca="1">E42*'Emission Factors EF'!$E$41+'Emissions GEI HFCs'!E36</f>
        <v>0.26572499999999999</v>
      </c>
      <c r="F48" s="196">
        <f ca="1">F42*'Emission Factors EF'!$E$41+'Emissions GEI HFCs'!F36</f>
        <v>0.36386624999999995</v>
      </c>
      <c r="G48" s="196">
        <f ca="1">G42*'Emission Factors EF'!$E$41+'Emissions GEI HFCs'!G36</f>
        <v>0.45028631250000001</v>
      </c>
      <c r="H48" s="196">
        <f ca="1">H42*'Emission Factors EF'!$E$41+'Emissions GEI HFCs'!H36</f>
        <v>0.52074336562500001</v>
      </c>
      <c r="I48" s="196">
        <f ca="1">I42*'Emission Factors EF'!$E$41+'Emissions GEI HFCs'!I36</f>
        <v>0.58513186078125001</v>
      </c>
      <c r="J48" s="196">
        <f ca="1">J42*'Emission Factors EF'!$E$41+'Emissions GEI HFCs'!J36</f>
        <v>0.64586208166406256</v>
      </c>
      <c r="K48" s="196">
        <f ca="1">K42*'Emission Factors EF'!$E$41+'Emissions GEI HFCs'!K36</f>
        <v>0.70198276941445314</v>
      </c>
      <c r="L48" s="196">
        <f ca="1">L42*'Emission Factors EF'!$E$41+'Emissions GEI HFCs'!L36</f>
        <v>0.75568535400228531</v>
      </c>
      <c r="M48" s="196">
        <f ca="1">M42*'Emission Factors EF'!$E$41+'Emissions GEI HFCs'!M36</f>
        <v>0.80433255090194256</v>
      </c>
      <c r="N48" s="196">
        <f ca="1">N42*'Emission Factors EF'!$E$41+'Emissions GEI HFCs'!N36</f>
        <v>0.86068266826665119</v>
      </c>
      <c r="O48" s="196">
        <f ca="1">O42*'Emission Factors EF'!$E$41+'Emissions GEI HFCs'!O36</f>
        <v>0.91308026802665354</v>
      </c>
      <c r="P48" s="196">
        <f ca="1">P42*'Emission Factors EF'!$E$41+'Emissions GEI HFCs'!P36</f>
        <v>0.95911822782265566</v>
      </c>
      <c r="Q48" s="196">
        <f ca="1">Q42*'Emission Factors EF'!$E$41+'Emissions GEI HFCs'!Q36</f>
        <v>1.0057504936492572</v>
      </c>
      <c r="R48" s="196">
        <f ca="1">R42*'Emission Factors EF'!$E$41+'Emissions GEI HFCs'!R36</f>
        <v>1.0528879196018683</v>
      </c>
      <c r="S48" s="196">
        <f ca="1">S42*'Emission Factors EF'!$E$41+'Emissions GEI HFCs'!S36</f>
        <v>1.606854731661588</v>
      </c>
      <c r="T48" s="196">
        <f ca="1">T42*'Emission Factors EF'!$E$41+'Emissions GEI HFCs'!T36</f>
        <v>1.4986702719123497</v>
      </c>
      <c r="U48" s="196">
        <f ca="1">U42*'Emission Factors EF'!$E$41+'Emissions GEI HFCs'!U36</f>
        <v>1.6906259811254969</v>
      </c>
      <c r="V48" s="196">
        <f ca="1">V42*'Emission Factors EF'!$E$41+'Emissions GEI HFCs'!V36</f>
        <v>1.982843796456673</v>
      </c>
      <c r="W48" s="196">
        <f ca="1">W42*'Emission Factors EF'!$E$41+'Emissions GEI HFCs'!W36</f>
        <v>3.9479727074569215</v>
      </c>
      <c r="X48" s="196">
        <f ca="1">X42*'Emission Factors EF'!$E$41+'Emissions GEI HFCs'!X36</f>
        <v>4.335746983369634</v>
      </c>
      <c r="Y48" s="196">
        <f ca="1">Y42*'Emission Factors EF'!$E$41+'Emissions GEI HFCs'!Y36</f>
        <v>5.6535871538032518</v>
      </c>
      <c r="Z48" s="196">
        <f ca="1">Z42*'Emission Factors EF'!$E$41+'Emissions GEI HFCs'!Z36</f>
        <v>7.2854622278318839</v>
      </c>
      <c r="AA48" s="196">
        <f ca="1">AA42*'Emission Factors EF'!$E$41+'Emissions GEI HFCs'!AA36</f>
        <v>7.9918654457204834</v>
      </c>
      <c r="AB48" s="196">
        <f ca="1">AB42*'Emission Factors EF'!$E$41+'Emissions GEI HFCs'!AB36</f>
        <v>9.366816554265176</v>
      </c>
      <c r="AC48" s="196">
        <f ca="1">AC42*'Emission Factors EF'!$E$41+'Emissions GEI HFCs'!AC36</f>
        <v>11.334704959047667</v>
      </c>
      <c r="AD48" s="237">
        <f ca="1">AD42*'Emission Factors EF'!$E$41+'Emissions GEI HFCs'!AD36</f>
        <v>9.9654226144073323</v>
      </c>
    </row>
    <row r="49" spans="2:30" x14ac:dyDescent="0.35">
      <c r="B49" s="639"/>
      <c r="C49" s="98" t="s">
        <v>51</v>
      </c>
      <c r="D49" s="247">
        <f>D43*'Emission Factors EF'!$E$41+'Emissions GEI HFCs'!D37</f>
        <v>0.84599999999999997</v>
      </c>
      <c r="E49" s="196">
        <f ca="1">E43*'Emission Factors EF'!$E$41+'Emissions GEI HFCs'!E37</f>
        <v>1.5155999999999998</v>
      </c>
      <c r="F49" s="196">
        <f ca="1">F43*'Emission Factors EF'!$E$41+'Emissions GEI HFCs'!F37</f>
        <v>2.0757599999999998</v>
      </c>
      <c r="G49" s="196">
        <f ca="1">G43*'Emission Factors EF'!$E$41+'Emissions GEI HFCs'!G37</f>
        <v>2.5653960000000002</v>
      </c>
      <c r="H49" s="196">
        <f ca="1">H43*'Emission Factors EF'!$E$41+'Emissions GEI HFCs'!H37</f>
        <v>2.9695866</v>
      </c>
      <c r="I49" s="196">
        <f ca="1">I43*'Emission Factors EF'!$E$41+'Emissions GEI HFCs'!I37</f>
        <v>3.3401486099999995</v>
      </c>
      <c r="J49" s="196">
        <f ca="1">J43*'Emission Factors EF'!$E$41+'Emissions GEI HFCs'!J37</f>
        <v>3.6851263184999996</v>
      </c>
      <c r="K49" s="196">
        <f ca="1">K43*'Emission Factors EF'!$E$41+'Emissions GEI HFCs'!K37</f>
        <v>4.0068573707249993</v>
      </c>
      <c r="L49" s="196">
        <f ca="1">L43*'Emission Factors EF'!$E$41+'Emissions GEI HFCs'!L37</f>
        <v>4.3103287651162496</v>
      </c>
      <c r="M49" s="196">
        <f ca="1">M43*'Emission Factors EF'!$E$41+'Emissions GEI HFCs'!M37</f>
        <v>4.590779450348812</v>
      </c>
      <c r="N49" s="196">
        <f ca="1">N43*'Emission Factors EF'!$E$41+'Emissions GEI HFCs'!N37</f>
        <v>4.9071625327964918</v>
      </c>
      <c r="O49" s="196">
        <f ca="1">O43*'Emission Factors EF'!$E$41+'Emissions GEI HFCs'!O37</f>
        <v>5.2045881528770161</v>
      </c>
      <c r="P49" s="196">
        <f ca="1">P43*'Emission Factors EF'!$E$41+'Emissions GEI HFCs'!P37</f>
        <v>5.4663999299454638</v>
      </c>
      <c r="Q49" s="196">
        <f ca="1">Q43*'Emission Factors EF'!$E$41+'Emissions GEI HFCs'!Q37</f>
        <v>5.7339399404536451</v>
      </c>
      <c r="R49" s="196">
        <f ca="1">R43*'Emission Factors EF'!$E$41+'Emissions GEI HFCs'!R37</f>
        <v>6.0033489493855985</v>
      </c>
      <c r="S49" s="196">
        <f ca="1">S43*'Emission Factors EF'!$E$41+'Emissions GEI HFCs'!S37</f>
        <v>9.1552466069777587</v>
      </c>
      <c r="T49" s="196">
        <f ca="1">T43*'Emission Factors EF'!$E$41+'Emissions GEI HFCs'!T37</f>
        <v>8.5468846159310949</v>
      </c>
      <c r="U49" s="196">
        <f ca="1">U43*'Emission Factors EF'!$E$41+'Emissions GEI HFCs'!U37</f>
        <v>9.2924956735414312</v>
      </c>
      <c r="V49" s="196">
        <f ca="1">V43*'Emission Factors EF'!$E$41+'Emissions GEI HFCs'!V37</f>
        <v>8.481286722510216</v>
      </c>
      <c r="W49" s="196">
        <f ca="1">W43*'Emission Factors EF'!$E$41+'Emissions GEI HFCs'!W37</f>
        <v>11.249860904758684</v>
      </c>
      <c r="X49" s="196">
        <f ca="1">X43*'Emission Factors EF'!$E$41+'Emissions GEI HFCs'!X37</f>
        <v>12.538390049513628</v>
      </c>
      <c r="Y49" s="196">
        <f ca="1">Y43*'Emission Factors EF'!$E$41+'Emissions GEI HFCs'!Y37</f>
        <v>17.726107530861587</v>
      </c>
      <c r="Z49" s="196">
        <f ca="1">Z43*'Emission Factors EF'!$E$41+'Emissions GEI HFCs'!Z37</f>
        <v>21.721161926549936</v>
      </c>
      <c r="AA49" s="196">
        <f ca="1">AA43*'Emission Factors EF'!$E$41+'Emissions GEI HFCs'!AA37</f>
        <v>26.342128741247809</v>
      </c>
      <c r="AB49" s="196">
        <f ca="1">AB43*'Emission Factors EF'!$E$41+'Emissions GEI HFCs'!AB37</f>
        <v>31.953647627228023</v>
      </c>
      <c r="AC49" s="196">
        <f ca="1">AC43*'Emission Factors EF'!$E$41+'Emissions GEI HFCs'!AC37</f>
        <v>34.888082077706592</v>
      </c>
      <c r="AD49" s="237">
        <f ca="1">AD43*'Emission Factors EF'!$E$41+'Emissions GEI HFCs'!AD37</f>
        <v>39.246618584889994</v>
      </c>
    </row>
    <row r="50" spans="2:30" x14ac:dyDescent="0.35">
      <c r="B50" s="639"/>
      <c r="C50" s="98" t="s">
        <v>52</v>
      </c>
      <c r="D50" s="247">
        <f>D44*'Emission Factors EF'!$E$41+'Emissions GEI HFCs'!D38</f>
        <v>2.2784999999999997</v>
      </c>
      <c r="E50" s="196">
        <f ca="1">E44*'Emission Factors EF'!$E$41+'Emissions GEI HFCs'!E38</f>
        <v>4.2212249999999996</v>
      </c>
      <c r="F50" s="196">
        <f ca="1">F44*'Emission Factors EF'!$E$41+'Emissions GEI HFCs'!F38</f>
        <v>5.8740412500000003</v>
      </c>
      <c r="G50" s="196">
        <f ca="1">G44*'Emission Factors EF'!$E$41+'Emissions GEI HFCs'!G38</f>
        <v>7.2774350624999995</v>
      </c>
      <c r="H50" s="196">
        <f ca="1">H44*'Emission Factors EF'!$E$41+'Emissions GEI HFCs'!H38</f>
        <v>8.4718198031249994</v>
      </c>
      <c r="I50" s="196">
        <f ca="1">I44*'Emission Factors EF'!$E$41+'Emissions GEI HFCs'!I38</f>
        <v>9.4825468326562508</v>
      </c>
      <c r="J50" s="196">
        <f ca="1">J44*'Emission Factors EF'!$E$41+'Emissions GEI HFCs'!J38</f>
        <v>10.338664807757812</v>
      </c>
      <c r="K50" s="196">
        <f ca="1">K44*'Emission Factors EF'!$E$41+'Emissions GEI HFCs'!K38</f>
        <v>11.061865086594141</v>
      </c>
      <c r="L50" s="196">
        <f ca="1">L44*'Emission Factors EF'!$E$41+'Emissions GEI HFCs'!L38</f>
        <v>11.673585323605018</v>
      </c>
      <c r="M50" s="196">
        <f ca="1">M44*'Emission Factors EF'!$E$41+'Emissions GEI HFCs'!M38</f>
        <v>12.190547525064265</v>
      </c>
      <c r="N50" s="196">
        <f ca="1">N44*'Emission Factors EF'!$E$41+'Emissions GEI HFCs'!N38</f>
        <v>12.284965396304624</v>
      </c>
      <c r="O50" s="196">
        <f ca="1">O44*'Emission Factors EF'!$E$41+'Emissions GEI HFCs'!O38</f>
        <v>12.362220586858932</v>
      </c>
      <c r="P50" s="196">
        <f ca="1">P44*'Emission Factors EF'!$E$41+'Emissions GEI HFCs'!P38</f>
        <v>12.412887498830091</v>
      </c>
      <c r="Q50" s="196">
        <f ca="1">Q44*'Emission Factors EF'!$E$41+'Emissions GEI HFCs'!Q38</f>
        <v>12.43495437400558</v>
      </c>
      <c r="R50" s="196">
        <f ca="1">R44*'Emission Factors EF'!$E$41+'Emissions GEI HFCs'!R38</f>
        <v>12.441711217904741</v>
      </c>
      <c r="S50" s="196">
        <f ca="1">S44*'Emission Factors EF'!$E$41+'Emissions GEI HFCs'!S38</f>
        <v>20.176354535219026</v>
      </c>
      <c r="T50" s="196">
        <f ca="1">T44*'Emission Factors EF'!$E$41+'Emissions GEI HFCs'!T38</f>
        <v>18.541620104936175</v>
      </c>
      <c r="U50" s="196">
        <f ca="1">U44*'Emission Factors EF'!$E$41+'Emissions GEI HFCs'!U38</f>
        <v>18.656520839195746</v>
      </c>
      <c r="V50" s="196">
        <f ca="1">V44*'Emission Factors EF'!$E$41+'Emissions GEI HFCs'!V38</f>
        <v>23.163297675816381</v>
      </c>
      <c r="W50" s="196">
        <f ca="1">W44*'Emission Factors EF'!$E$41+'Emissions GEI HFCs'!W38</f>
        <v>24.558535551787671</v>
      </c>
      <c r="X50" s="196">
        <f ca="1">X44*'Emission Factors EF'!$E$41+'Emissions GEI HFCs'!X38</f>
        <v>23.027569874488275</v>
      </c>
      <c r="Y50" s="196">
        <f ca="1">Y44*'Emission Factors EF'!$E$41+'Emissions GEI HFCs'!Y38</f>
        <v>26.036827572160345</v>
      </c>
      <c r="Z50" s="196">
        <f ca="1">Z44*'Emission Factors EF'!$E$41+'Emissions GEI HFCs'!Z38</f>
        <v>26.226020215472523</v>
      </c>
      <c r="AA50" s="196">
        <f ca="1">AA44*'Emission Factors EF'!$E$41+'Emissions GEI HFCs'!AA38</f>
        <v>25.61331320449607</v>
      </c>
      <c r="AB50" s="196">
        <f ca="1">AB44*'Emission Factors EF'!$E$41+'Emissions GEI HFCs'!AB38</f>
        <v>25.266533746637851</v>
      </c>
      <c r="AC50" s="196">
        <f ca="1">AC44*'Emission Factors EF'!$E$41+'Emissions GEI HFCs'!AC38</f>
        <v>24.6999124238693</v>
      </c>
      <c r="AD50" s="237">
        <f ca="1">AD44*'Emission Factors EF'!$E$41+'Emissions GEI HFCs'!AD38</f>
        <v>26.916996230058526</v>
      </c>
    </row>
    <row r="51" spans="2:30" x14ac:dyDescent="0.35">
      <c r="B51" s="639"/>
      <c r="C51" s="98" t="s">
        <v>54</v>
      </c>
      <c r="D51" s="247">
        <f>D45*'Emission Factors EF'!$E$41+'Emissions GEI HFCs'!D39</f>
        <v>0.8204999999999999</v>
      </c>
      <c r="E51" s="196">
        <f ca="1">E45*'Emission Factors EF'!$E$41+'Emissions GEI HFCs'!E39</f>
        <v>1.471425</v>
      </c>
      <c r="F51" s="196">
        <f ca="1">F45*'Emission Factors EF'!$E$41+'Emissions GEI HFCs'!F39</f>
        <v>2.0157112499999994</v>
      </c>
      <c r="G51" s="196">
        <f ca="1">G45*'Emission Factors EF'!$E$41+'Emissions GEI HFCs'!G39</f>
        <v>2.4918545624999999</v>
      </c>
      <c r="H51" s="196">
        <f ca="1">H45*'Emission Factors EF'!$E$41+'Emissions GEI HFCs'!H39</f>
        <v>2.8830763781249993</v>
      </c>
      <c r="I51" s="196">
        <f ca="1">I45*'Emission Factors EF'!$E$41+'Emissions GEI HFCs'!I39</f>
        <v>3.2426149214062492</v>
      </c>
      <c r="J51" s="196">
        <f ca="1">J45*'Emission Factors EF'!$E$41+'Emissions GEI HFCs'!J39</f>
        <v>3.578222683195313</v>
      </c>
      <c r="K51" s="196">
        <f ca="1">K45*'Emission Factors EF'!$E$41+'Emissions GEI HFCs'!K39</f>
        <v>3.8904892807160154</v>
      </c>
      <c r="L51" s="196">
        <f ca="1">L45*'Emission Factors EF'!$E$41+'Emissions GEI HFCs'!L39</f>
        <v>4.1844158886086129</v>
      </c>
      <c r="M51" s="196">
        <f ca="1">M45*'Emission Factors EF'!$E$41+'Emissions GEI HFCs'!M39</f>
        <v>4.4567535053173213</v>
      </c>
      <c r="N51" s="196">
        <f ca="1">N45*'Emission Factors EF'!$E$41+'Emissions GEI HFCs'!N39</f>
        <v>4.7647404795197223</v>
      </c>
      <c r="O51" s="196">
        <f ca="1">O45*'Emission Factors EF'!$E$41+'Emissions GEI HFCs'!O39</f>
        <v>5.0535294075917641</v>
      </c>
      <c r="P51" s="196">
        <f ca="1">P45*'Emission Factors EF'!$E$41+'Emissions GEI HFCs'!P39</f>
        <v>5.3079999964529989</v>
      </c>
      <c r="Q51" s="196">
        <f ca="1">Q45*'Emission Factors EF'!$E$41+'Emissions GEI HFCs'!Q39</f>
        <v>5.56779999698505</v>
      </c>
      <c r="R51" s="196">
        <f ca="1">R45*'Emission Factors EF'!$E$41+'Emissions GEI HFCs'!R39</f>
        <v>5.8291299974372928</v>
      </c>
      <c r="S51" s="196">
        <f ca="1">S45*'Emission Factors EF'!$E$41+'Emissions GEI HFCs'!S39</f>
        <v>8.8874604978216993</v>
      </c>
      <c r="T51" s="196">
        <f ca="1">T45*'Emission Factors EF'!$E$41+'Emissions GEI HFCs'!T39</f>
        <v>8.3033851731484454</v>
      </c>
      <c r="U51" s="196">
        <f ca="1">U45*'Emission Factors EF'!$E$41+'Emissions GEI HFCs'!U39</f>
        <v>8.8173023971761761</v>
      </c>
      <c r="V51" s="196">
        <f ca="1">V45*'Emission Factors EF'!$E$41+'Emissions GEI HFCs'!V39</f>
        <v>7.525614050099751</v>
      </c>
      <c r="W51" s="196">
        <f ca="1">W45*'Emission Factors EF'!$E$41+'Emissions GEI HFCs'!W39</f>
        <v>8.3918806855535397</v>
      </c>
      <c r="X51" s="196">
        <f ca="1">X45*'Emission Factors EF'!$E$41+'Emissions GEI HFCs'!X39</f>
        <v>9.4645240858455075</v>
      </c>
      <c r="Y51" s="196">
        <f ca="1">Y45*'Emission Factors EF'!$E$41+'Emissions GEI HFCs'!Y39</f>
        <v>13.763093604520247</v>
      </c>
      <c r="Z51" s="196">
        <f ca="1">Z45*'Emission Factors EF'!$E$41+'Emissions GEI HFCs'!Z39</f>
        <v>16.571121113274138</v>
      </c>
      <c r="AA51" s="196">
        <f ca="1">AA45*'Emission Factors EF'!$E$41+'Emissions GEI HFCs'!AA39</f>
        <v>38.71337501694434</v>
      </c>
      <c r="AB51" s="196">
        <f ca="1">AB45*'Emission Factors EF'!$E$41+'Emissions GEI HFCs'!AB39</f>
        <v>36.097013765351171</v>
      </c>
      <c r="AC51" s="196">
        <f ca="1">AC45*'Emission Factors EF'!$E$41+'Emissions GEI HFCs'!AC39</f>
        <v>35.554597427889654</v>
      </c>
      <c r="AD51" s="237">
        <f ca="1">AD45*'Emission Factors EF'!$E$41+'Emissions GEI HFCs'!AD39</f>
        <v>36.262477181253182</v>
      </c>
    </row>
    <row r="52" spans="2:30" ht="15" thickBot="1" x14ac:dyDescent="0.4">
      <c r="B52" s="643"/>
      <c r="C52" s="266" t="s">
        <v>55</v>
      </c>
      <c r="D52" s="267">
        <f>D46*'Emission Factors EF'!$E$41+'Emissions GEI HFCs'!D40</f>
        <v>0</v>
      </c>
      <c r="E52" s="268">
        <f ca="1">E46*'Emission Factors EF'!$E$41+'Emissions GEI HFCs'!E40</f>
        <v>0</v>
      </c>
      <c r="F52" s="268">
        <f ca="1">F46*'Emission Factors EF'!$E$41+'Emissions GEI HFCs'!F40</f>
        <v>0</v>
      </c>
      <c r="G52" s="268">
        <f ca="1">G46*'Emission Factors EF'!$E$41+'Emissions GEI HFCs'!G40</f>
        <v>0</v>
      </c>
      <c r="H52" s="268">
        <f ca="1">H46*'Emission Factors EF'!$E$41+'Emissions GEI HFCs'!H40</f>
        <v>0</v>
      </c>
      <c r="I52" s="268">
        <f ca="1">I46*'Emission Factors EF'!$E$41+'Emissions GEI HFCs'!I40</f>
        <v>0</v>
      </c>
      <c r="J52" s="268">
        <f ca="1">J46*'Emission Factors EF'!$E$41+'Emissions GEI HFCs'!J40</f>
        <v>0</v>
      </c>
      <c r="K52" s="268">
        <f ca="1">K46*'Emission Factors EF'!$E$41+'Emissions GEI HFCs'!K40</f>
        <v>0</v>
      </c>
      <c r="L52" s="268">
        <f ca="1">L46*'Emission Factors EF'!$E$41+'Emissions GEI HFCs'!L40</f>
        <v>0</v>
      </c>
      <c r="M52" s="268">
        <f ca="1">M46*'Emission Factors EF'!$E$41+'Emissions GEI HFCs'!M40</f>
        <v>0</v>
      </c>
      <c r="N52" s="268">
        <f ca="1">N46*'Emission Factors EF'!$E$41+'Emissions GEI HFCs'!N40</f>
        <v>0</v>
      </c>
      <c r="O52" s="268">
        <f ca="1">O46*'Emission Factors EF'!$E$41+'Emissions GEI HFCs'!O40</f>
        <v>0</v>
      </c>
      <c r="P52" s="268">
        <f ca="1">P46*'Emission Factors EF'!$E$41+'Emissions GEI HFCs'!P40</f>
        <v>0</v>
      </c>
      <c r="Q52" s="268">
        <f ca="1">Q46*'Emission Factors EF'!$E$41+'Emissions GEI HFCs'!Q40</f>
        <v>0</v>
      </c>
      <c r="R52" s="268">
        <f ca="1">R46*'Emission Factors EF'!$E$41+'Emissions GEI HFCs'!R40</f>
        <v>0</v>
      </c>
      <c r="S52" s="268">
        <f ca="1">S46*'Emission Factors EF'!$E$41+'Emissions GEI HFCs'!S40</f>
        <v>0</v>
      </c>
      <c r="T52" s="268">
        <f ca="1">T46*'Emission Factors EF'!$E$41+'Emissions GEI HFCs'!T40</f>
        <v>0</v>
      </c>
      <c r="U52" s="268">
        <f ca="1">U46*'Emission Factors EF'!$E$41+'Emissions GEI HFCs'!U40</f>
        <v>0</v>
      </c>
      <c r="V52" s="268">
        <f ca="1">V46*'Emission Factors EF'!$E$41+'Emissions GEI HFCs'!V40</f>
        <v>0</v>
      </c>
      <c r="W52" s="268">
        <f ca="1">W46*'Emission Factors EF'!$E$41+'Emissions GEI HFCs'!W40</f>
        <v>0</v>
      </c>
      <c r="X52" s="268">
        <f ca="1">X46*'Emission Factors EF'!$E$41+'Emissions GEI HFCs'!X40</f>
        <v>0</v>
      </c>
      <c r="Y52" s="268">
        <f ca="1">Y46*'Emission Factors EF'!$E$41+'Emissions GEI HFCs'!Y40</f>
        <v>0</v>
      </c>
      <c r="Z52" s="268">
        <f ca="1">Z46*'Emission Factors EF'!$E$41+'Emissions GEI HFCs'!Z40</f>
        <v>0</v>
      </c>
      <c r="AA52" s="268">
        <f ca="1">AA46*'Emission Factors EF'!$E$41+'Emissions GEI HFCs'!AA40</f>
        <v>0.11699999999999999</v>
      </c>
      <c r="AB52" s="268">
        <f ca="1">AB46*'Emission Factors EF'!$E$41+'Emissions GEI HFCs'!AB40</f>
        <v>9.9449999999999997E-2</v>
      </c>
      <c r="AC52" s="268">
        <f ca="1">AC46*'Emission Factors EF'!$E$41+'Emissions GEI HFCs'!AC40</f>
        <v>8.4532499999999997E-2</v>
      </c>
      <c r="AD52" s="269">
        <f ca="1">AD46*'Emission Factors EF'!$E$41+'Emissions GEI HFCs'!AD40</f>
        <v>7.1852625000000003E-2</v>
      </c>
    </row>
    <row r="53" spans="2:30" s="52" customFormat="1" ht="15" thickBot="1" x14ac:dyDescent="0.4">
      <c r="B53" s="649" t="s">
        <v>10</v>
      </c>
      <c r="C53" s="651"/>
      <c r="D53" s="275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7"/>
      <c r="AC53" s="277"/>
      <c r="AD53" s="278"/>
    </row>
    <row r="54" spans="2:30" x14ac:dyDescent="0.35">
      <c r="B54" s="270" t="s">
        <v>326</v>
      </c>
      <c r="C54" s="271" t="s">
        <v>52</v>
      </c>
      <c r="D54" s="272">
        <f>ROUND('Activity Data Calculations'!F73,2)</f>
        <v>0</v>
      </c>
      <c r="E54" s="273">
        <f>ROUND('Activity Data Calculations'!G73,2)</f>
        <v>0</v>
      </c>
      <c r="F54" s="273">
        <f>ROUND('Activity Data Calculations'!H73,2)</f>
        <v>0</v>
      </c>
      <c r="G54" s="273">
        <f>ROUND('Activity Data Calculations'!I73,2)</f>
        <v>0</v>
      </c>
      <c r="H54" s="273">
        <f>ROUND('Activity Data Calculations'!J73,2)</f>
        <v>0</v>
      </c>
      <c r="I54" s="273">
        <f>ROUND('Activity Data Calculations'!K73,2)</f>
        <v>0</v>
      </c>
      <c r="J54" s="273">
        <f>ROUND('Activity Data Calculations'!L73,2)</f>
        <v>0</v>
      </c>
      <c r="K54" s="273">
        <f>ROUND('Activity Data Calculations'!M73,2)</f>
        <v>0</v>
      </c>
      <c r="L54" s="273">
        <f>ROUND('Activity Data Calculations'!N73,2)</f>
        <v>0</v>
      </c>
      <c r="M54" s="273">
        <f>ROUND('Activity Data Calculations'!O73,2)</f>
        <v>0</v>
      </c>
      <c r="N54" s="273">
        <f>ROUND('Activity Data Calculations'!P73,2)</f>
        <v>2.23</v>
      </c>
      <c r="O54" s="273">
        <f>ROUND('Activity Data Calculations'!Q73,2)</f>
        <v>2.23</v>
      </c>
      <c r="P54" s="273">
        <f>ROUND('Activity Data Calculations'!R73,2)</f>
        <v>2.31</v>
      </c>
      <c r="Q54" s="273">
        <f>ROUND('Activity Data Calculations'!S73,2)</f>
        <v>2.41</v>
      </c>
      <c r="R54" s="273">
        <f>ROUND('Activity Data Calculations'!T73,2)</f>
        <v>2.46</v>
      </c>
      <c r="S54" s="273">
        <f>ROUND('Activity Data Calculations'!U73,2)</f>
        <v>2.54</v>
      </c>
      <c r="T54" s="273">
        <f>ROUND('Activity Data Calculations'!V73,2)</f>
        <v>2.59</v>
      </c>
      <c r="U54" s="273">
        <f>ROUND('Activity Data Calculations'!W73,2)</f>
        <v>4.45</v>
      </c>
      <c r="V54" s="273">
        <f>ROUND('Activity Data Calculations'!X73,2)</f>
        <v>17.04</v>
      </c>
      <c r="W54" s="273">
        <f>ROUND('Activity Data Calculations'!Y73,2)</f>
        <v>5.94</v>
      </c>
      <c r="X54" s="273">
        <f>ROUND('Activity Data Calculations'!Z73,2)</f>
        <v>4.9000000000000004</v>
      </c>
      <c r="Y54" s="273">
        <f>ROUND('Activity Data Calculations'!AA73,2)</f>
        <v>9.23</v>
      </c>
      <c r="Z54" s="273">
        <f>ROUND('Activity Data Calculations'!AB73,2)</f>
        <v>5.74</v>
      </c>
      <c r="AA54" s="273">
        <f>ROUND('Activity Data Calculations'!AC73,2)</f>
        <v>4.99</v>
      </c>
      <c r="AB54" s="273">
        <f>ROUND('Activity Data Calculations'!AD73,2)</f>
        <v>5.45</v>
      </c>
      <c r="AC54" s="273">
        <f>ROUND('Activity Data Calculations'!AE73,2)</f>
        <v>6.67</v>
      </c>
      <c r="AD54" s="274">
        <f>ROUND('Activity Data Calculations'!AF73,2)</f>
        <v>8.5500000000000007</v>
      </c>
    </row>
    <row r="55" spans="2:30" x14ac:dyDescent="0.35">
      <c r="B55" s="239" t="s">
        <v>335</v>
      </c>
      <c r="C55" s="98" t="s">
        <v>52</v>
      </c>
      <c r="D55" s="249">
        <f>D54-D56</f>
        <v>0</v>
      </c>
      <c r="E55" s="223">
        <f t="shared" ref="E55:AD55" si="19">E54-E56</f>
        <v>0</v>
      </c>
      <c r="F55" s="223">
        <f t="shared" si="19"/>
        <v>0</v>
      </c>
      <c r="G55" s="223">
        <f t="shared" ca="1" si="19"/>
        <v>0</v>
      </c>
      <c r="H55" s="223">
        <f t="shared" ca="1" si="19"/>
        <v>0</v>
      </c>
      <c r="I55" s="223">
        <f t="shared" ca="1" si="19"/>
        <v>0</v>
      </c>
      <c r="J55" s="223">
        <f t="shared" ca="1" si="19"/>
        <v>0</v>
      </c>
      <c r="K55" s="223">
        <f t="shared" ca="1" si="19"/>
        <v>0</v>
      </c>
      <c r="L55" s="223">
        <f t="shared" ca="1" si="19"/>
        <v>0</v>
      </c>
      <c r="M55" s="223">
        <f t="shared" ca="1" si="19"/>
        <v>0</v>
      </c>
      <c r="N55" s="223">
        <f t="shared" ca="1" si="19"/>
        <v>2.23</v>
      </c>
      <c r="O55" s="223">
        <f t="shared" ca="1" si="19"/>
        <v>2.23</v>
      </c>
      <c r="P55" s="223">
        <f t="shared" ca="1" si="19"/>
        <v>2.31</v>
      </c>
      <c r="Q55" s="223">
        <f t="shared" ca="1" si="19"/>
        <v>1.5494987499999999</v>
      </c>
      <c r="R55" s="223">
        <f t="shared" ca="1" si="19"/>
        <v>1.5994987499999997</v>
      </c>
      <c r="S55" s="223">
        <f t="shared" ca="1" si="19"/>
        <v>1.6486287499999999</v>
      </c>
      <c r="T55" s="223">
        <f t="shared" ca="1" si="19"/>
        <v>1.9920871698437499</v>
      </c>
      <c r="U55" s="223">
        <f t="shared" ca="1" si="19"/>
        <v>3.8327934198437501</v>
      </c>
      <c r="V55" s="223">
        <f t="shared" ca="1" si="19"/>
        <v>16.403835381093749</v>
      </c>
      <c r="W55" s="223">
        <f t="shared" ca="1" si="19"/>
        <v>5.1713033633365431</v>
      </c>
      <c r="X55" s="223">
        <f t="shared" ca="1" si="19"/>
        <v>3.421020839117793</v>
      </c>
      <c r="Y55" s="223">
        <f t="shared" ca="1" si="19"/>
        <v>2.9001700223204487</v>
      </c>
      <c r="Z55" s="223">
        <f t="shared" ca="1" si="19"/>
        <v>3.7445233146725112</v>
      </c>
      <c r="AA55" s="223">
        <f t="shared" ca="1" si="19"/>
        <v>3.6699135837054215</v>
      </c>
      <c r="AB55" s="225">
        <f t="shared" ca="1" si="19"/>
        <v>4.3308968926370968</v>
      </c>
      <c r="AC55" s="225">
        <f t="shared" ca="1" si="19"/>
        <v>-1.2337434008826609</v>
      </c>
      <c r="AD55" s="241">
        <f t="shared" ca="1" si="19"/>
        <v>0.44786813185338836</v>
      </c>
    </row>
    <row r="56" spans="2:30" x14ac:dyDescent="0.35">
      <c r="B56" s="239" t="s">
        <v>336</v>
      </c>
      <c r="C56" s="98" t="s">
        <v>52</v>
      </c>
      <c r="D56" s="248">
        <v>0</v>
      </c>
      <c r="E56" s="224">
        <v>0</v>
      </c>
      <c r="F56" s="224">
        <v>0</v>
      </c>
      <c r="G56" s="196">
        <f ca="1">IF((G$3-'Emission Factors EF'!$C53)&gt;='Emission Factors EF'!$E$40,(OFFSET(G55,0,-3)*(1-(1-'Emission Factors EF'!$E$41)^3)+SUM(OFFSET(G55,0,(1-'Emission Factors EF'!$E$40),1,('Emission Factors EF'!$E$40-4)))*'Emission Factors EF'!$E$41),(OFFSET(G55,0,-3)*(1-(1-'Emission Factors EF'!$E$41)^3)+SUM($C55:$D55)*'Emission Factors EF'!$E$41))</f>
        <v>0</v>
      </c>
      <c r="H56" s="196">
        <f ca="1">IF(('Emissions GEI HFCs'!H$3-'Emission Factors EF'!$C53)&gt;='Emission Factors EF'!$E$40,(OFFSET(H55,0,-3)*(1-(1-'Emission Factors EF'!$E$41)^3)+SUM(OFFSET(H55,0,(1-'Emission Factors EF'!$E$40),1,('Emission Factors EF'!$E$40-4)))*'Emission Factors EF'!$E$41),(OFFSET(H55,0,-3)*(1-(1-'Emission Factors EF'!$E$41)^3)+SUM($C55:$D55)*'Emission Factors EF'!$E$41))</f>
        <v>0</v>
      </c>
      <c r="I56" s="196">
        <f ca="1">IF(('Emissions GEI HFCs'!I$3-'Emission Factors EF'!$C53)&gt;='Emission Factors EF'!$E$40,(OFFSET(I55,0,-3)*(1-(1-'Emission Factors EF'!$E$41)^3)+SUM(OFFSET(I55,0,(1-'Emission Factors EF'!$E$40),1,('Emission Factors EF'!$E$40-4)))*'Emission Factors EF'!$E$41),(OFFSET(I55,0,-3)*(1-(1-'Emission Factors EF'!$E$41)^3)+SUM($C55:$D55)*'Emission Factors EF'!$E$41))</f>
        <v>0</v>
      </c>
      <c r="J56" s="196">
        <f ca="1">IF(('Emissions GEI HFCs'!J$3-'Emission Factors EF'!$C53)&gt;='Emission Factors EF'!$E$40,(OFFSET(J55,0,-3)*(1-(1-'Emission Factors EF'!$E$41)^3)+SUM(OFFSET(J55,0,(1-'Emission Factors EF'!$E$40),1,('Emission Factors EF'!$E$40-4)))*'Emission Factors EF'!$E$41),(OFFSET(J55,0,-3)*(1-(1-'Emission Factors EF'!$E$41)^3)+SUM($C55:$D55)*'Emission Factors EF'!$E$41))</f>
        <v>0</v>
      </c>
      <c r="K56" s="196">
        <f ca="1">IF(('Emissions GEI HFCs'!K$3-'Emission Factors EF'!$C53)&gt;='Emission Factors EF'!$E$40,(OFFSET(K55,0,-3)*(1-(1-'Emission Factors EF'!$E$41)^3)+SUM(OFFSET(K55,0,(1-'Emission Factors EF'!$E$40),1,('Emission Factors EF'!$E$40-4)))*'Emission Factors EF'!$E$41),(OFFSET(K55,0,-3)*(1-(1-'Emission Factors EF'!$E$41)^3)+SUM($C55:$D55)*'Emission Factors EF'!$E$41))</f>
        <v>0</v>
      </c>
      <c r="L56" s="196">
        <f ca="1">IF(('Emissions GEI HFCs'!L$3-'Emission Factors EF'!$C53)&gt;='Emission Factors EF'!$E$40,(OFFSET(L55,0,-3)*(1-(1-'Emission Factors EF'!$E$41)^3)+SUM(OFFSET(L55,0,(1-'Emission Factors EF'!$E$40),1,('Emission Factors EF'!$E$40-4)))*'Emission Factors EF'!$E$41),(OFFSET(L55,0,-3)*(1-(1-'Emission Factors EF'!$E$41)^3)+SUM($C55:$D55)*'Emission Factors EF'!$E$41))</f>
        <v>0</v>
      </c>
      <c r="M56" s="196">
        <f ca="1">IF(('Emissions GEI HFCs'!M$3-'Emission Factors EF'!$C53)&gt;='Emission Factors EF'!$E$40,(OFFSET(M55,0,-3)*(1-(1-'Emission Factors EF'!$E$41)^3)+SUM(OFFSET(M55,0,(1-'Emission Factors EF'!$E$40),1,('Emission Factors EF'!$E$40-4)))*'Emission Factors EF'!$E$41),(OFFSET(M55,0,-3)*(1-(1-'Emission Factors EF'!$E$41)^3)+SUM($C55:$D55)*'Emission Factors EF'!$E$41))</f>
        <v>0</v>
      </c>
      <c r="N56" s="196">
        <f ca="1">IF(('Emissions GEI HFCs'!N$3-'Emission Factors EF'!$C53)&gt;='Emission Factors EF'!$E$40,(OFFSET(N55,0,-3)*(1-(1-'Emission Factors EF'!$E$41)^3)+SUM(OFFSET(N55,0,(1-'Emission Factors EF'!$E$40),1,('Emission Factors EF'!$E$40-4)))*'Emission Factors EF'!$E$41),(OFFSET(N55,0,-3)*(1-(1-'Emission Factors EF'!$E$41)^3)+SUM($C55:$D55)*'Emission Factors EF'!$E$41))</f>
        <v>0</v>
      </c>
      <c r="O56" s="196">
        <f ca="1">IF(('Emissions GEI HFCs'!O$3-'Emission Factors EF'!$C53)&gt;='Emission Factors EF'!$E$40,(OFFSET(O55,0,-3)*(1-(1-'Emission Factors EF'!$E$41)^3)+SUM(OFFSET(O55,0,(1-'Emission Factors EF'!$E$40),1,('Emission Factors EF'!$E$40-4)))*'Emission Factors EF'!$E$41),(OFFSET(O55,0,-3)*(1-(1-'Emission Factors EF'!$E$41)^3)+SUM($C55:$D55)*'Emission Factors EF'!$E$41))</f>
        <v>0</v>
      </c>
      <c r="P56" s="196">
        <f ca="1">IF(('Emissions GEI HFCs'!P$3-'Emission Factors EF'!$C53)&gt;='Emission Factors EF'!$E$40,(OFFSET(P55,0,-3)*(1-(1-'Emission Factors EF'!$E$41)^3)+SUM(OFFSET(P55,0,(1-'Emission Factors EF'!$E$40),1,('Emission Factors EF'!$E$40-4)))*'Emission Factors EF'!$E$41),(OFFSET(P55,0,-3)*(1-(1-'Emission Factors EF'!$E$41)^3)+SUM($C55:$D55)*'Emission Factors EF'!$E$41))</f>
        <v>0</v>
      </c>
      <c r="Q56" s="196">
        <f ca="1">IF(('Emissions GEI HFCs'!Q$3-'Emission Factors EF'!$C53)&gt;='Emission Factors EF'!$E$40,(OFFSET(Q55,0,-3)*(1-(1-'Emission Factors EF'!$E$41)^3)+SUM(OFFSET(Q55,0,(1-'Emission Factors EF'!$E$40),1,('Emission Factors EF'!$E$40-4)))*'Emission Factors EF'!$E$41),(OFFSET(Q55,0,-3)*(1-(1-'Emission Factors EF'!$E$41)^3)+SUM($C55:$D55)*'Emission Factors EF'!$E$41))</f>
        <v>0.86050125000000022</v>
      </c>
      <c r="R56" s="196">
        <f ca="1">IF(('Emissions GEI HFCs'!R$3-'Emission Factors EF'!$C53)&gt;='Emission Factors EF'!$E$40,(OFFSET(R55,0,-3)*(1-(1-'Emission Factors EF'!$E$41)^3)+SUM(OFFSET(R55,0,(1-'Emission Factors EF'!$E$40),1,('Emission Factors EF'!$E$40-4)))*'Emission Factors EF'!$E$41),(OFFSET(R55,0,-3)*(1-(1-'Emission Factors EF'!$E$41)^3)+SUM($C55:$D55)*'Emission Factors EF'!$E$41))</f>
        <v>0.86050125000000022</v>
      </c>
      <c r="S56" s="196">
        <f ca="1">IF(('Emissions GEI HFCs'!S$3-'Emission Factors EF'!$C53)&gt;='Emission Factors EF'!$E$40,(OFFSET(S55,0,-3)*(1-(1-'Emission Factors EF'!$E$41)^3)+SUM(OFFSET(S55,0,(1-'Emission Factors EF'!$E$40),1,('Emission Factors EF'!$E$40-4)))*'Emission Factors EF'!$E$41),(OFFSET(S55,0,-3)*(1-(1-'Emission Factors EF'!$E$41)^3)+SUM($C55:$D55)*'Emission Factors EF'!$E$41))</f>
        <v>0.89137125000000017</v>
      </c>
      <c r="T56" s="196">
        <f ca="1">IF(('Emissions GEI HFCs'!T$3-'Emission Factors EF'!$C53)&gt;='Emission Factors EF'!$E$40,(OFFSET(T55,0,-3)*(1-(1-'Emission Factors EF'!$E$41)^3)+SUM(OFFSET(T55,0,(1-'Emission Factors EF'!$E$40),1,('Emission Factors EF'!$E$40-4)))*'Emission Factors EF'!$E$41),(OFFSET(T55,0,-3)*(1-(1-'Emission Factors EF'!$E$41)^3)+SUM($C55:$D55)*'Emission Factors EF'!$E$41))</f>
        <v>0.59791283015625007</v>
      </c>
      <c r="U56" s="196">
        <f ca="1">IF(('Emissions GEI HFCs'!U$3-'Emission Factors EF'!$C53)&gt;='Emission Factors EF'!$E$40,(OFFSET(U55,0,-3)*(1-(1-'Emission Factors EF'!$E$41)^3)+SUM(OFFSET(U55,0,(1-'Emission Factors EF'!$E$40),1,('Emission Factors EF'!$E$40-4)))*'Emission Factors EF'!$E$41),(OFFSET(U55,0,-3)*(1-(1-'Emission Factors EF'!$E$41)^3)+SUM($C55:$D55)*'Emission Factors EF'!$E$41))</f>
        <v>0.61720658015625007</v>
      </c>
      <c r="V56" s="196">
        <f ca="1">IF(('Emissions GEI HFCs'!V$3-'Emission Factors EF'!$C53)&gt;='Emission Factors EF'!$E$40,(OFFSET(V55,0,-3)*(1-(1-'Emission Factors EF'!$E$41)^3)+SUM(OFFSET(V55,0,(1-'Emission Factors EF'!$E$40),1,('Emission Factors EF'!$E$40-4)))*'Emission Factors EF'!$E$41),(OFFSET(V55,0,-3)*(1-(1-'Emission Factors EF'!$E$41)^3)+SUM($C55:$D55)*'Emission Factors EF'!$E$41))</f>
        <v>0.63616461890625009</v>
      </c>
      <c r="W56" s="196">
        <f ca="1">IF(('Emissions GEI HFCs'!W$3-'Emission Factors EF'!$C53)&gt;='Emission Factors EF'!$E$40,(OFFSET(W55,0,-3)*(1-(1-'Emission Factors EF'!$E$41)^3)+SUM(OFFSET(W55,0,(1-'Emission Factors EF'!$E$40),1,('Emission Factors EF'!$E$40-4)))*'Emission Factors EF'!$E$41),(OFFSET(W55,0,-3)*(1-(1-'Emission Factors EF'!$E$41)^3)+SUM($C55:$D55)*'Emission Factors EF'!$E$41))</f>
        <v>0.76869663666345711</v>
      </c>
      <c r="X56" s="196">
        <f ca="1">IF(('Emissions GEI HFCs'!X$3-'Emission Factors EF'!$C53)&gt;='Emission Factors EF'!$E$40,(OFFSET(X55,0,-3)*(1-(1-'Emission Factors EF'!$E$41)^3)+SUM(OFFSET(X55,0,(1-'Emission Factors EF'!$E$40),1,('Emission Factors EF'!$E$40-4)))*'Emission Factors EF'!$E$41),(OFFSET(X55,0,-3)*(1-(1-'Emission Factors EF'!$E$41)^3)+SUM($C55:$D55)*'Emission Factors EF'!$E$41))</f>
        <v>1.4789791608822074</v>
      </c>
      <c r="Y56" s="196">
        <f ca="1">IF(('Emissions GEI HFCs'!Y$3-'Emission Factors EF'!$C53)&gt;='Emission Factors EF'!$E$40,(OFFSET(Y55,0,-3)*(1-(1-'Emission Factors EF'!$E$41)^3)+SUM(OFFSET(Y55,0,(1-'Emission Factors EF'!$E$40),1,('Emission Factors EF'!$E$40-4)))*'Emission Factors EF'!$E$41),(OFFSET(Y55,0,-3)*(1-(1-'Emission Factors EF'!$E$41)^3)+SUM($C55:$D55)*'Emission Factors EF'!$E$41))</f>
        <v>6.3298299776795517</v>
      </c>
      <c r="Z56" s="196">
        <f ca="1">IF(('Emissions GEI HFCs'!Z$3-'Emission Factors EF'!$C53)&gt;='Emission Factors EF'!$E$40,(OFFSET(Z55,0,-3)*(1-(1-'Emission Factors EF'!$E$41)^3)+SUM(OFFSET(Z55,0,(1-'Emission Factors EF'!$E$40),1,('Emission Factors EF'!$E$40-4)))*'Emission Factors EF'!$E$41),(OFFSET(Z55,0,-3)*(1-(1-'Emission Factors EF'!$E$41)^3)+SUM($C55:$D55)*'Emission Factors EF'!$E$41))</f>
        <v>1.995476685327489</v>
      </c>
      <c r="AA56" s="196">
        <f ca="1">IF(('Emissions GEI HFCs'!AA$3-'Emission Factors EF'!$C53)&gt;='Emission Factors EF'!$E$40,(OFFSET(AA55,0,-3)*(1-(1-'Emission Factors EF'!$E$41)^3)+SUM(OFFSET(AA55,0,(1-'Emission Factors EF'!$E$40),1,('Emission Factors EF'!$E$40-4)))*'Emission Factors EF'!$E$41),(OFFSET(AA55,0,-3)*(1-(1-'Emission Factors EF'!$E$41)^3)+SUM($C55:$D55)*'Emission Factors EF'!$E$41))</f>
        <v>1.3200864162945787</v>
      </c>
      <c r="AB56" s="196">
        <f ca="1">IF(('Emissions GEI HFCs'!AB$3-'Emission Factors EF'!$C53)&gt;='Emission Factors EF'!$E$40,(OFFSET(AB55,0,-3)*(1-(1-'Emission Factors EF'!$E$41)^3)+SUM(OFFSET(AB55,0,(1-'Emission Factors EF'!$E$40),1,('Emission Factors EF'!$E$40-4)))*'Emission Factors EF'!$E$41),(OFFSET(AB55,0,-3)*(1-(1-'Emission Factors EF'!$E$41)^3)+SUM($C55:$D55)*'Emission Factors EF'!$E$41))</f>
        <v>1.1191031073629034</v>
      </c>
      <c r="AC56" s="196">
        <f ca="1">IF(('Emissions GEI HFCs'!AC$3-'Emission Factors EF'!$C53)&gt;='Emission Factors EF'!$E$40,(OFFSET(AC55,0,-3)*(1-(1-'Emission Factors EF'!$E$41)^3)+SUM(OFFSET(AC55,0,(1-'Emission Factors EF'!$E$40),1,('Emission Factors EF'!$E$40-4)))*'Emission Factors EF'!$E$41),(OFFSET(AC55,0,-3)*(1-(1-'Emission Factors EF'!$E$41)^3)+SUM($C55:$D55)*'Emission Factors EF'!$E$41))</f>
        <v>7.9037434008826608</v>
      </c>
      <c r="AD56" s="238">
        <f ca="1">IF(('Emissions GEI HFCs'!AD$3-'Emission Factors EF'!$C53)&gt;='Emission Factors EF'!$E$40,(OFFSET(AD55,0,-3)*(1-(1-'Emission Factors EF'!$E$41)^3)+SUM(OFFSET(AD55,0,(1-'Emission Factors EF'!$E$40),1,('Emission Factors EF'!$E$40-4)))*'Emission Factors EF'!$E$41),(OFFSET(AD55,0,-3)*(1-(1-'Emission Factors EF'!$E$41)^3)+SUM($C55:$D55)*'Emission Factors EF'!$E$41))</f>
        <v>8.1021318681466123</v>
      </c>
    </row>
    <row r="57" spans="2:30" x14ac:dyDescent="0.35">
      <c r="B57" s="239" t="s">
        <v>327</v>
      </c>
      <c r="C57" s="98" t="s">
        <v>52</v>
      </c>
      <c r="D57" s="249">
        <v>0</v>
      </c>
      <c r="E57" s="196">
        <f ca="1">IF((E$3-'Emission Factors EF'!$C53)&gt;('Emission Factors EF'!$E$40-1),IF(OFFSET(E55,0,-'Emission Factors EF'!$E$40)*(1-'Emission Factors EF'!$E$41)&gt;D60*(1-'Emission Factors EF'!$E$41),D60*(1-'Emission Factors EF'!$E$41),OFFSET(E55,0,-'Emission Factors EF'!$E$40)*(1-'Emission Factors EF'!$E$41)),0)</f>
        <v>0</v>
      </c>
      <c r="F57" s="196">
        <f ca="1">IF((F$3-'Emission Factors EF'!$C53)&gt;('Emission Factors EF'!$E$40-1),IF(OFFSET(F55,0,-'Emission Factors EF'!$E$40)*(1-'Emission Factors EF'!$E$41)&gt;E60*(1-'Emission Factors EF'!$E$41),E60*(1-'Emission Factors EF'!$E$41),OFFSET(F55,0,-'Emission Factors EF'!$E$40)*(1-'Emission Factors EF'!$E$41)),0)</f>
        <v>0</v>
      </c>
      <c r="G57" s="196">
        <f ca="1">IF((G$3-'Emission Factors EF'!$C53)&gt;('Emission Factors EF'!$E$40-1),IF(OFFSET(G55,0,-'Emission Factors EF'!$E$40)*(1-'Emission Factors EF'!$E$41)&gt;F60*(1-'Emission Factors EF'!$E$41),F60*(1-'Emission Factors EF'!$E$41),OFFSET(G55,0,-'Emission Factors EF'!$E$40)*(1-'Emission Factors EF'!$E$41)),0)</f>
        <v>0</v>
      </c>
      <c r="H57" s="196">
        <f ca="1">IF((H$3-'Emission Factors EF'!$C53)&gt;('Emission Factors EF'!$E$40-1),IF(OFFSET(H55,0,-'Emission Factors EF'!$E$40)*(1-'Emission Factors EF'!$E$41)&gt;G60*(1-'Emission Factors EF'!$E$41),G60*(1-'Emission Factors EF'!$E$41),OFFSET(H55,0,-'Emission Factors EF'!$E$40)*(1-'Emission Factors EF'!$E$41)),0)</f>
        <v>0</v>
      </c>
      <c r="I57" s="196">
        <f ca="1">IF((I$3-'Emission Factors EF'!$C53)&gt;('Emission Factors EF'!$E$40-1),IF(OFFSET(I55,0,-'Emission Factors EF'!$E$40)*(1-'Emission Factors EF'!$E$41)&gt;H60*(1-'Emission Factors EF'!$E$41),H60*(1-'Emission Factors EF'!$E$41),OFFSET(I55,0,-'Emission Factors EF'!$E$40)*(1-'Emission Factors EF'!$E$41)),0)</f>
        <v>0</v>
      </c>
      <c r="J57" s="196">
        <f ca="1">IF((J$3-'Emission Factors EF'!$C53)&gt;('Emission Factors EF'!$E$40-1),IF(OFFSET(J55,0,-'Emission Factors EF'!$E$40)*(1-'Emission Factors EF'!$E$41)&gt;I60*(1-'Emission Factors EF'!$E$41),I60*(1-'Emission Factors EF'!$E$41),OFFSET(J55,0,-'Emission Factors EF'!$E$40)*(1-'Emission Factors EF'!$E$41)),0)</f>
        <v>0</v>
      </c>
      <c r="K57" s="196">
        <f ca="1">IF((K$3-'Emission Factors EF'!$C53)&gt;('Emission Factors EF'!$E$40-1),IF(OFFSET(K55,0,-'Emission Factors EF'!$E$40)*(1-'Emission Factors EF'!$E$41)&gt;J60*(1-'Emission Factors EF'!$E$41),J60*(1-'Emission Factors EF'!$E$41),OFFSET(K55,0,-'Emission Factors EF'!$E$40)*(1-'Emission Factors EF'!$E$41)),0)</f>
        <v>0</v>
      </c>
      <c r="L57" s="196">
        <f ca="1">IF((L$3-'Emission Factors EF'!$C53)&gt;('Emission Factors EF'!$E$40-1),IF(OFFSET(L55,0,-'Emission Factors EF'!$E$40)*(1-'Emission Factors EF'!$E$41)&gt;K60*(1-'Emission Factors EF'!$E$41),K60*(1-'Emission Factors EF'!$E$41),OFFSET(L55,0,-'Emission Factors EF'!$E$40)*(1-'Emission Factors EF'!$E$41)),0)</f>
        <v>0</v>
      </c>
      <c r="M57" s="196">
        <f ca="1">IF((M$3-'Emission Factors EF'!$C53)&gt;('Emission Factors EF'!$E$40-1),IF(OFFSET(M55,0,-'Emission Factors EF'!$E$40)*(1-'Emission Factors EF'!$E$41)&gt;L60*(1-'Emission Factors EF'!$E$41),L60*(1-'Emission Factors EF'!$E$41),OFFSET(M55,0,-'Emission Factors EF'!$E$40)*(1-'Emission Factors EF'!$E$41)),0)</f>
        <v>0</v>
      </c>
      <c r="N57" s="196">
        <f ca="1">IF((N$3-'Emission Factors EF'!$C53)&gt;('Emission Factors EF'!$E$40-1),IF(OFFSET(N55,0,-'Emission Factors EF'!$E$40)*(1-'Emission Factors EF'!$E$41)&gt;M60*(1-'Emission Factors EF'!$E$41),M60*(1-'Emission Factors EF'!$E$41),OFFSET(N55,0,-'Emission Factors EF'!$E$40)*(1-'Emission Factors EF'!$E$41)),0)</f>
        <v>0</v>
      </c>
      <c r="O57" s="196">
        <f ca="1">IF((O$3-'Emission Factors EF'!$C53)&gt;('Emission Factors EF'!$E$40-1),IF(OFFSET(O55,0,-'Emission Factors EF'!$E$40)*(1-'Emission Factors EF'!$E$41)&gt;N60*(1-'Emission Factors EF'!$E$41),N60*(1-'Emission Factors EF'!$E$41),OFFSET(O55,0,-'Emission Factors EF'!$E$40)*(1-'Emission Factors EF'!$E$41)),0)</f>
        <v>0</v>
      </c>
      <c r="P57" s="196">
        <f ca="1">IF((P$3-'Emission Factors EF'!$C53)&gt;('Emission Factors EF'!$E$40-1),IF(OFFSET(P55,0,-'Emission Factors EF'!$E$40)*(1-'Emission Factors EF'!$E$41)&gt;O60*(1-'Emission Factors EF'!$E$41),O60*(1-'Emission Factors EF'!$E$41),OFFSET(P55,0,-'Emission Factors EF'!$E$40)*(1-'Emission Factors EF'!$E$41)),0)</f>
        <v>0</v>
      </c>
      <c r="Q57" s="196">
        <f ca="1">IF((Q$3-'Emission Factors EF'!$C53)&gt;('Emission Factors EF'!$E$40-1),IF(OFFSET(Q55,0,-'Emission Factors EF'!$E$40)*(1-'Emission Factors EF'!$E$41)&gt;P60*(1-'Emission Factors EF'!$E$41),P60*(1-'Emission Factors EF'!$E$41),OFFSET(Q55,0,-'Emission Factors EF'!$E$40)*(1-'Emission Factors EF'!$E$41)),0)</f>
        <v>0</v>
      </c>
      <c r="R57" s="196">
        <f ca="1">IF((R$3-'Emission Factors EF'!$C53)&gt;('Emission Factors EF'!$E$40-1),IF(OFFSET(R55,0,-'Emission Factors EF'!$E$40)*(1-'Emission Factors EF'!$E$41)&gt;Q60*(1-'Emission Factors EF'!$E$41),Q60*(1-'Emission Factors EF'!$E$41),OFFSET(R55,0,-'Emission Factors EF'!$E$40)*(1-'Emission Factors EF'!$E$41)),0)</f>
        <v>0</v>
      </c>
      <c r="S57" s="196">
        <f ca="1">IF((S$3-'Emission Factors EF'!$C53)&gt;('Emission Factors EF'!$E$40-1),IF(OFFSET(S55,0,-'Emission Factors EF'!$E$40)*(1-'Emission Factors EF'!$E$41)&gt;R60*(1-'Emission Factors EF'!$E$41),R60*(1-'Emission Factors EF'!$E$41),OFFSET(S55,0,-'Emission Factors EF'!$E$40)*(1-'Emission Factors EF'!$E$41)),0)</f>
        <v>0</v>
      </c>
      <c r="T57" s="196">
        <f ca="1">IF((T$3-'Emission Factors EF'!$C53)&gt;('Emission Factors EF'!$E$40-1),IF(OFFSET(T55,0,-'Emission Factors EF'!$E$40)*(1-'Emission Factors EF'!$E$41)&gt;S60*(1-'Emission Factors EF'!$E$41),S60*(1-'Emission Factors EF'!$E$41),OFFSET(T55,0,-'Emission Factors EF'!$E$40)*(1-'Emission Factors EF'!$E$41)),0)</f>
        <v>0</v>
      </c>
      <c r="U57" s="196">
        <f ca="1">IF((U$3-'Emission Factors EF'!$C53)&gt;('Emission Factors EF'!$E$40-1),IF(OFFSET(U55,0,-'Emission Factors EF'!$E$40)*(1-'Emission Factors EF'!$E$41)&gt;T60*(1-'Emission Factors EF'!$E$41),T60*(1-'Emission Factors EF'!$E$41),OFFSET(U55,0,-'Emission Factors EF'!$E$40)*(1-'Emission Factors EF'!$E$41)),0)</f>
        <v>0</v>
      </c>
      <c r="V57" s="196">
        <f ca="1">IF((V$3-'Emission Factors EF'!$C53)&gt;('Emission Factors EF'!$E$40-1),IF(OFFSET(V55,0,-'Emission Factors EF'!$E$40)*(1-'Emission Factors EF'!$E$41)&gt;U60*(1-'Emission Factors EF'!$E$41),U60*(1-'Emission Factors EF'!$E$41),OFFSET(V55,0,-'Emission Factors EF'!$E$40)*(1-'Emission Factors EF'!$E$41)),0)</f>
        <v>0</v>
      </c>
      <c r="W57" s="196">
        <f ca="1">IF((W$3-'Emission Factors EF'!$C53)&gt;('Emission Factors EF'!$E$40-1),IF(OFFSET(W55,0,-'Emission Factors EF'!$E$40)*(1-'Emission Factors EF'!$E$41)&gt;V60*(1-'Emission Factors EF'!$E$41),V60*(1-'Emission Factors EF'!$E$41),OFFSET(W55,0,-'Emission Factors EF'!$E$40)*(1-'Emission Factors EF'!$E$41)),0)</f>
        <v>0</v>
      </c>
      <c r="X57" s="196">
        <f ca="1">IF((X$3-'Emission Factors EF'!$C53)&gt;('Emission Factors EF'!$E$40-1),IF(OFFSET(X55,0,-'Emission Factors EF'!$E$40)*(1-'Emission Factors EF'!$E$41)&gt;W60*(1-'Emission Factors EF'!$E$41),W60*(1-'Emission Factors EF'!$E$41),OFFSET(X55,0,-'Emission Factors EF'!$E$40)*(1-'Emission Factors EF'!$E$41)),0)</f>
        <v>0</v>
      </c>
      <c r="Y57" s="196">
        <f ca="1">IF((Y$3-'Emission Factors EF'!$C53)&gt;('Emission Factors EF'!$E$40-1),IF(OFFSET(Y55,0,-'Emission Factors EF'!$E$40)*(1-'Emission Factors EF'!$E$41)&gt;X60*(1-'Emission Factors EF'!$E$41),X60*(1-'Emission Factors EF'!$E$41),OFFSET(Y55,0,-'Emission Factors EF'!$E$40)*(1-'Emission Factors EF'!$E$41)),0)</f>
        <v>0</v>
      </c>
      <c r="Z57" s="196">
        <f ca="1">IF((Z$3-'Emission Factors EF'!$C53)&gt;('Emission Factors EF'!$E$40-1),IF(OFFSET(Z55,0,-'Emission Factors EF'!$E$40)*(1-'Emission Factors EF'!$E$41)&gt;Y60*(1-'Emission Factors EF'!$E$41),Y60*(1-'Emission Factors EF'!$E$41),OFFSET(Z55,0,-'Emission Factors EF'!$E$40)*(1-'Emission Factors EF'!$E$41)),0)</f>
        <v>0</v>
      </c>
      <c r="AA57" s="196">
        <f ca="1">IF((AA$3-'Emission Factors EF'!$C53)&gt;('Emission Factors EF'!$E$40-1),IF(OFFSET(AA55,0,-'Emission Factors EF'!$E$40)*(1-'Emission Factors EF'!$E$41)&gt;Z60*(1-'Emission Factors EF'!$E$41),Z60*(1-'Emission Factors EF'!$E$41),OFFSET(AA55,0,-'Emission Factors EF'!$E$40)*(1-'Emission Factors EF'!$E$41)),0)</f>
        <v>0</v>
      </c>
      <c r="AB57" s="196">
        <f ca="1">IF((AB$3-'Emission Factors EF'!$C53)&gt;('Emission Factors EF'!$E$40-1),IF(OFFSET(AB55,0,-'Emission Factors EF'!$E$40)*(1-'Emission Factors EF'!$E$41)&gt;AA60*(1-'Emission Factors EF'!$E$41),AA60*(1-'Emission Factors EF'!$E$41),OFFSET(AB55,0,-'Emission Factors EF'!$E$40)*(1-'Emission Factors EF'!$E$41)),0)</f>
        <v>0</v>
      </c>
      <c r="AC57" s="196">
        <f ca="1">IF((AC$3-'Emission Factors EF'!$C53)&gt;('Emission Factors EF'!$E$40-1),IF(OFFSET(AC55,0,-'Emission Factors EF'!$E$40)*(1-'Emission Factors EF'!$E$41)&gt;AB60*(1-'Emission Factors EF'!$E$41),AB60*(1-'Emission Factors EF'!$E$41),OFFSET(AC55,0,-'Emission Factors EF'!$E$40)*(1-'Emission Factors EF'!$E$41)),0)</f>
        <v>1.8955</v>
      </c>
      <c r="AD57" s="238">
        <f ca="1">IF((AD$3-'Emission Factors EF'!$C53)&gt;('Emission Factors EF'!$E$40-1),IF(OFFSET(AD55,0,-'Emission Factors EF'!$E$40)*(1-'Emission Factors EF'!$E$41)&gt;AC60*(1-'Emission Factors EF'!$E$41),AC60*(1-'Emission Factors EF'!$E$41),OFFSET(AD55,0,-'Emission Factors EF'!$E$40)*(1-'Emission Factors EF'!$E$41)),0)</f>
        <v>1.8955</v>
      </c>
    </row>
    <row r="58" spans="2:30" x14ac:dyDescent="0.35">
      <c r="B58" s="239" t="s">
        <v>328</v>
      </c>
      <c r="C58" s="98" t="s">
        <v>52</v>
      </c>
      <c r="D58" s="247">
        <f>D57*'Emission Factors EF'!$E$42</f>
        <v>0</v>
      </c>
      <c r="E58" s="196">
        <f ca="1">E57*'Emission Factors EF'!$E$42</f>
        <v>0</v>
      </c>
      <c r="F58" s="196">
        <f ca="1">F57*'Emission Factors EF'!$E$42</f>
        <v>0</v>
      </c>
      <c r="G58" s="196">
        <f ca="1">G57*'Emission Factors EF'!$E$42</f>
        <v>0</v>
      </c>
      <c r="H58" s="196">
        <f ca="1">H57*'Emission Factors EF'!$E$42</f>
        <v>0</v>
      </c>
      <c r="I58" s="196">
        <f ca="1">I57*'Emission Factors EF'!$E$42</f>
        <v>0</v>
      </c>
      <c r="J58" s="196">
        <f ca="1">J57*'Emission Factors EF'!$E$42</f>
        <v>0</v>
      </c>
      <c r="K58" s="196">
        <f ca="1">K57*'Emission Factors EF'!$E$42</f>
        <v>0</v>
      </c>
      <c r="L58" s="196">
        <f ca="1">L57*'Emission Factors EF'!$E$42</f>
        <v>0</v>
      </c>
      <c r="M58" s="196">
        <f ca="1">M57*'Emission Factors EF'!$E$42</f>
        <v>0</v>
      </c>
      <c r="N58" s="196">
        <f ca="1">N57*'Emission Factors EF'!$E$42</f>
        <v>0</v>
      </c>
      <c r="O58" s="196">
        <f ca="1">O57*'Emission Factors EF'!$E$42</f>
        <v>0</v>
      </c>
      <c r="P58" s="196">
        <f ca="1">P57*'Emission Factors EF'!$E$42</f>
        <v>0</v>
      </c>
      <c r="Q58" s="196">
        <f ca="1">Q57*'Emission Factors EF'!$E$42</f>
        <v>0</v>
      </c>
      <c r="R58" s="196">
        <f ca="1">R57*'Emission Factors EF'!$E$42</f>
        <v>0</v>
      </c>
      <c r="S58" s="196">
        <f ca="1">S57*'Emission Factors EF'!$E$42</f>
        <v>0</v>
      </c>
      <c r="T58" s="196">
        <f ca="1">T57*'Emission Factors EF'!$E$42</f>
        <v>0</v>
      </c>
      <c r="U58" s="196">
        <f ca="1">U57*'Emission Factors EF'!$E$42</f>
        <v>0</v>
      </c>
      <c r="V58" s="196">
        <f ca="1">V57*'Emission Factors EF'!$E$42</f>
        <v>0</v>
      </c>
      <c r="W58" s="196">
        <f ca="1">W57*'Emission Factors EF'!$E$42</f>
        <v>0</v>
      </c>
      <c r="X58" s="196">
        <f ca="1">X57*'Emission Factors EF'!$E$42</f>
        <v>0</v>
      </c>
      <c r="Y58" s="196">
        <f ca="1">Y57*'Emission Factors EF'!$E$42</f>
        <v>0</v>
      </c>
      <c r="Z58" s="196">
        <f ca="1">Z57*'Emission Factors EF'!$E$42</f>
        <v>0</v>
      </c>
      <c r="AA58" s="196">
        <f ca="1">AA57*'Emission Factors EF'!$E$42</f>
        <v>0</v>
      </c>
      <c r="AB58" s="196">
        <f ca="1">AB57*'Emission Factors EF'!$E$42</f>
        <v>0</v>
      </c>
      <c r="AC58" s="196">
        <f ca="1">AC57*'Emission Factors EF'!$E$42</f>
        <v>0.47387499999999999</v>
      </c>
      <c r="AD58" s="238">
        <f ca="1">AD57*'Emission Factors EF'!$E$42</f>
        <v>0.47387499999999999</v>
      </c>
    </row>
    <row r="59" spans="2:30" x14ac:dyDescent="0.35">
      <c r="B59" s="242" t="s">
        <v>329</v>
      </c>
      <c r="C59" s="98" t="s">
        <v>52</v>
      </c>
      <c r="D59" s="249">
        <f>D57-D58</f>
        <v>0</v>
      </c>
      <c r="E59" s="223">
        <f t="shared" ref="E59:AD59" ca="1" si="20">E57-E58</f>
        <v>0</v>
      </c>
      <c r="F59" s="223">
        <f t="shared" ca="1" si="20"/>
        <v>0</v>
      </c>
      <c r="G59" s="223">
        <f t="shared" ca="1" si="20"/>
        <v>0</v>
      </c>
      <c r="H59" s="223">
        <f t="shared" ca="1" si="20"/>
        <v>0</v>
      </c>
      <c r="I59" s="223">
        <f t="shared" ca="1" si="20"/>
        <v>0</v>
      </c>
      <c r="J59" s="223">
        <f t="shared" ca="1" si="20"/>
        <v>0</v>
      </c>
      <c r="K59" s="223">
        <f t="shared" ca="1" si="20"/>
        <v>0</v>
      </c>
      <c r="L59" s="223">
        <f t="shared" ca="1" si="20"/>
        <v>0</v>
      </c>
      <c r="M59" s="223">
        <f t="shared" ca="1" si="20"/>
        <v>0</v>
      </c>
      <c r="N59" s="223">
        <f t="shared" ca="1" si="20"/>
        <v>0</v>
      </c>
      <c r="O59" s="223">
        <f t="shared" ca="1" si="20"/>
        <v>0</v>
      </c>
      <c r="P59" s="223">
        <f t="shared" ca="1" si="20"/>
        <v>0</v>
      </c>
      <c r="Q59" s="223">
        <f t="shared" ca="1" si="20"/>
        <v>0</v>
      </c>
      <c r="R59" s="223">
        <f t="shared" ca="1" si="20"/>
        <v>0</v>
      </c>
      <c r="S59" s="223">
        <f t="shared" ca="1" si="20"/>
        <v>0</v>
      </c>
      <c r="T59" s="223">
        <f t="shared" ca="1" si="20"/>
        <v>0</v>
      </c>
      <c r="U59" s="223">
        <f t="shared" ca="1" si="20"/>
        <v>0</v>
      </c>
      <c r="V59" s="223">
        <f t="shared" ca="1" si="20"/>
        <v>0</v>
      </c>
      <c r="W59" s="223">
        <f t="shared" ca="1" si="20"/>
        <v>0</v>
      </c>
      <c r="X59" s="223">
        <f t="shared" ca="1" si="20"/>
        <v>0</v>
      </c>
      <c r="Y59" s="223">
        <f t="shared" ca="1" si="20"/>
        <v>0</v>
      </c>
      <c r="Z59" s="223">
        <f t="shared" ca="1" si="20"/>
        <v>0</v>
      </c>
      <c r="AA59" s="223">
        <f t="shared" ca="1" si="20"/>
        <v>0</v>
      </c>
      <c r="AB59" s="223">
        <f t="shared" ca="1" si="20"/>
        <v>0</v>
      </c>
      <c r="AC59" s="223">
        <f t="shared" ca="1" si="20"/>
        <v>1.4216249999999999</v>
      </c>
      <c r="AD59" s="240">
        <f t="shared" ca="1" si="20"/>
        <v>1.4216249999999999</v>
      </c>
    </row>
    <row r="60" spans="2:30" x14ac:dyDescent="0.35">
      <c r="B60" s="242" t="s">
        <v>330</v>
      </c>
      <c r="C60" s="98" t="s">
        <v>52</v>
      </c>
      <c r="D60" s="249">
        <f>D54-D57</f>
        <v>0</v>
      </c>
      <c r="E60" s="223">
        <f ca="1">SUM($D54:E54)-SUM($D57:E57)-(SUM($D61:D61)-SUM($D59:D59))</f>
        <v>0</v>
      </c>
      <c r="F60" s="223">
        <f ca="1">SUM($D54:F54)-SUM($D57:F57)-(SUM($D61:E61)-SUM($D59:E59))</f>
        <v>0</v>
      </c>
      <c r="G60" s="223">
        <f ca="1">SUM($D54:G54)-SUM($D57:G57)-(SUM($D61:F61)-SUM($D59:F59))</f>
        <v>0</v>
      </c>
      <c r="H60" s="223">
        <f ca="1">SUM($D54:H54)-SUM($D57:H57)-(SUM($D61:G61)-SUM($D59:G59))</f>
        <v>0</v>
      </c>
      <c r="I60" s="223">
        <f ca="1">SUM($D54:I54)-SUM($D57:I57)-(SUM($D61:H61)-SUM($D59:H59))</f>
        <v>0</v>
      </c>
      <c r="J60" s="223">
        <f ca="1">SUM($D54:J54)-SUM($D57:J57)-(SUM($D61:I61)-SUM($D59:I59))</f>
        <v>0</v>
      </c>
      <c r="K60" s="223">
        <f ca="1">SUM($D54:K54)-SUM($D57:K57)-(SUM($D61:J61)-SUM($D59:J59))</f>
        <v>0</v>
      </c>
      <c r="L60" s="223">
        <f ca="1">SUM($D54:L54)-SUM($D57:L57)-(SUM($D61:K61)-SUM($D59:K59))</f>
        <v>0</v>
      </c>
      <c r="M60" s="223">
        <f ca="1">SUM($D54:M54)-SUM($D57:M57)-(SUM($D61:L61)-SUM($D59:L59))</f>
        <v>0</v>
      </c>
      <c r="N60" s="223">
        <f ca="1">SUM($D54:N54)-SUM($D57:N57)-(SUM($D61:M61)-SUM($D59:M59))</f>
        <v>2.23</v>
      </c>
      <c r="O60" s="223">
        <f ca="1">SUM($D54:O54)-SUM($D57:O57)-(SUM($D61:N61)-SUM($D59:N59))</f>
        <v>4.1254999999999997</v>
      </c>
      <c r="P60" s="223">
        <f ca="1">SUM($D54:P54)-SUM($D57:P57)-(SUM($D61:O61)-SUM($D59:O59))</f>
        <v>5.816675</v>
      </c>
      <c r="Q60" s="223">
        <f ca="1">SUM($D54:Q54)-SUM($D57:Q57)-(SUM($D61:P61)-SUM($D59:P59))</f>
        <v>7.3541737499999993</v>
      </c>
      <c r="R60" s="223">
        <f ca="1">SUM($D54:R54)-SUM($D57:R57)-(SUM($D61:Q61)-SUM($D59:Q59))</f>
        <v>8.7110476875000007</v>
      </c>
      <c r="S60" s="223">
        <f ca="1">SUM($D54:S54)-SUM($D57:S57)-(SUM($D61:R61)-SUM($D59:R59))</f>
        <v>9.9443905343749996</v>
      </c>
      <c r="T60" s="223">
        <f ca="1">SUM($D54:T54)-SUM($D57:T57)-(SUM($D61:S61)-SUM($D59:S59))</f>
        <v>11.04273195421875</v>
      </c>
      <c r="U60" s="223">
        <f ca="1">SUM($D54:U54)-SUM($D57:U57)-(SUM($D61:T61)-SUM($D59:T59))</f>
        <v>13.836322161085937</v>
      </c>
      <c r="V60" s="223">
        <f ca="1">SUM($D54:V54)-SUM($D57:V57)-(SUM($D61:U61)-SUM($D59:U59))</f>
        <v>28.800873836923046</v>
      </c>
      <c r="W60" s="223">
        <f ca="1">SUM($D54:W54)-SUM($D57:W57)-(SUM($D61:V61)-SUM($D59:V59))</f>
        <v>30.420742761384588</v>
      </c>
      <c r="X60" s="223">
        <f ca="1">SUM($D54:X54)-SUM($D57:X57)-(SUM($D61:W61)-SUM($D59:W59))</f>
        <v>30.757631347176897</v>
      </c>
      <c r="Y60" s="223">
        <f ca="1">SUM($D54:Y54)-SUM($D57:Y57)-(SUM($D61:X61)-SUM($D59:X59))</f>
        <v>35.373986645100366</v>
      </c>
      <c r="Z60" s="223">
        <f ca="1">SUM($D54:Z54)-SUM($D57:Z57)-(SUM($D61:Y61)-SUM($D59:Y59))</f>
        <v>35.807888648335307</v>
      </c>
      <c r="AA60" s="223">
        <f ca="1">SUM($D54:AA54)-SUM($D57:AA57)-(SUM($D61:Z61)-SUM($D59:Z59))</f>
        <v>35.426705351085005</v>
      </c>
      <c r="AB60" s="223">
        <f ca="1">SUM($D54:AB54)-SUM($D57:AB57)-(SUM($D61:AA61)-SUM($D59:AA59))</f>
        <v>35.562699548422259</v>
      </c>
      <c r="AC60" s="223">
        <f ca="1">SUM($D54:AC54)-SUM($D57:AC57)-(SUM($D61:AB61)-SUM($D59:AB59))</f>
        <v>35.002794616158923</v>
      </c>
      <c r="AD60" s="240">
        <f ca="1">SUM($D54:AD54)-SUM($D57:AD57)-(SUM($D61:AC61)-SUM($D59:AC59))</f>
        <v>36.40687542373508</v>
      </c>
    </row>
    <row r="61" spans="2:30" s="226" customFormat="1" ht="15" thickBot="1" x14ac:dyDescent="0.4">
      <c r="B61" s="243" t="s">
        <v>331</v>
      </c>
      <c r="C61" s="252" t="s">
        <v>52</v>
      </c>
      <c r="D61" s="250">
        <f>D60*'Emission Factors EF'!$E$41+'Emissions GEI HFCs'!D59</f>
        <v>0</v>
      </c>
      <c r="E61" s="244">
        <f ca="1">E60*'Emission Factors EF'!$E$41+'Emissions GEI HFCs'!E59</f>
        <v>0</v>
      </c>
      <c r="F61" s="244">
        <f ca="1">F60*'Emission Factors EF'!$E$41+'Emissions GEI HFCs'!F59</f>
        <v>0</v>
      </c>
      <c r="G61" s="244">
        <f ca="1">G60*'Emission Factors EF'!$E$41+'Emissions GEI HFCs'!G59</f>
        <v>0</v>
      </c>
      <c r="H61" s="244">
        <f ca="1">H60*'Emission Factors EF'!$E$41+'Emissions GEI HFCs'!H59</f>
        <v>0</v>
      </c>
      <c r="I61" s="244">
        <f ca="1">I60*'Emission Factors EF'!$E$41+'Emissions GEI HFCs'!I59</f>
        <v>0</v>
      </c>
      <c r="J61" s="244">
        <f ca="1">J60*'Emission Factors EF'!$E$41+'Emissions GEI HFCs'!J59</f>
        <v>0</v>
      </c>
      <c r="K61" s="244">
        <f ca="1">K60*'Emission Factors EF'!$E$41+'Emissions GEI HFCs'!K59</f>
        <v>0</v>
      </c>
      <c r="L61" s="244">
        <f ca="1">L60*'Emission Factors EF'!$E$41+'Emissions GEI HFCs'!L59</f>
        <v>0</v>
      </c>
      <c r="M61" s="244">
        <f ca="1">M60*'Emission Factors EF'!$E$41+'Emissions GEI HFCs'!M59</f>
        <v>0</v>
      </c>
      <c r="N61" s="244">
        <f ca="1">N60*'Emission Factors EF'!$E$41+'Emissions GEI HFCs'!N59</f>
        <v>0.33449999999999996</v>
      </c>
      <c r="O61" s="244">
        <f ca="1">O60*'Emission Factors EF'!$E$41+'Emissions GEI HFCs'!O59</f>
        <v>0.61882499999999996</v>
      </c>
      <c r="P61" s="244">
        <f ca="1">P60*'Emission Factors EF'!$E$41+'Emissions GEI HFCs'!P59</f>
        <v>0.87250125000000001</v>
      </c>
      <c r="Q61" s="244">
        <f ca="1">Q60*'Emission Factors EF'!$E$41+'Emissions GEI HFCs'!Q59</f>
        <v>1.1031260624999999</v>
      </c>
      <c r="R61" s="244">
        <f ca="1">R60*'Emission Factors EF'!$E$41+'Emissions GEI HFCs'!R59</f>
        <v>1.306657153125</v>
      </c>
      <c r="S61" s="244">
        <f ca="1">S60*'Emission Factors EF'!$E$41+'Emissions GEI HFCs'!S59</f>
        <v>1.4916585801562499</v>
      </c>
      <c r="T61" s="244">
        <f ca="1">T60*'Emission Factors EF'!$E$41+'Emissions GEI HFCs'!T59</f>
        <v>1.6564097931328126</v>
      </c>
      <c r="U61" s="244">
        <f ca="1">U60*'Emission Factors EF'!$E$41+'Emissions GEI HFCs'!U59</f>
        <v>2.0754483241628905</v>
      </c>
      <c r="V61" s="244">
        <f ca="1">V60*'Emission Factors EF'!$E$41+'Emissions GEI HFCs'!V59</f>
        <v>4.3201310755384563</v>
      </c>
      <c r="W61" s="244">
        <f ca="1">W60*'Emission Factors EF'!$E$41+'Emissions GEI HFCs'!W59</f>
        <v>4.5631114142076878</v>
      </c>
      <c r="X61" s="244">
        <f ca="1">X60*'Emission Factors EF'!$E$41+'Emissions GEI HFCs'!X59</f>
        <v>4.6136447020765345</v>
      </c>
      <c r="Y61" s="244">
        <f ca="1">Y60*'Emission Factors EF'!$E$41+'Emissions GEI HFCs'!Y59</f>
        <v>5.3060979967650548</v>
      </c>
      <c r="Z61" s="244">
        <f ca="1">Z60*'Emission Factors EF'!$E$41+'Emissions GEI HFCs'!Z59</f>
        <v>5.3711832972502958</v>
      </c>
      <c r="AA61" s="244">
        <f ca="1">AA60*'Emission Factors EF'!$E$41+'Emissions GEI HFCs'!AA59</f>
        <v>5.3140058026627504</v>
      </c>
      <c r="AB61" s="244">
        <f ca="1">AB60*'Emission Factors EF'!$E$41+'Emissions GEI HFCs'!AB59</f>
        <v>5.3344049322633387</v>
      </c>
      <c r="AC61" s="244">
        <f ca="1">AC60*'Emission Factors EF'!$E$41+'Emissions GEI HFCs'!AC59</f>
        <v>6.6720441924238383</v>
      </c>
      <c r="AD61" s="245">
        <f ca="1">AD60*'Emission Factors EF'!$E$41+'Emissions GEI HFCs'!AD59</f>
        <v>6.8826563135602612</v>
      </c>
    </row>
  </sheetData>
  <mergeCells count="11">
    <mergeCell ref="B5:B10"/>
    <mergeCell ref="B47:B52"/>
    <mergeCell ref="B4:C4"/>
    <mergeCell ref="B53:C53"/>
    <mergeCell ref="D2:AD2"/>
    <mergeCell ref="B29:B34"/>
    <mergeCell ref="B23:B28"/>
    <mergeCell ref="B35:B40"/>
    <mergeCell ref="B41:B46"/>
    <mergeCell ref="B11:B16"/>
    <mergeCell ref="B17:B2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C4B5F-5590-4602-8565-01F058873BB7}">
  <sheetPr>
    <tabColor theme="4" tint="-0.249977111117893"/>
  </sheetPr>
  <dimension ref="B1:BS105"/>
  <sheetViews>
    <sheetView showGridLines="0" zoomScale="55" zoomScaleNormal="55" workbookViewId="0">
      <pane xSplit="3" ySplit="3" topLeftCell="D30" activePane="bottomRight" state="frozen"/>
      <selection activeCell="H265" sqref="H265"/>
      <selection pane="topRight" activeCell="H265" sqref="H265"/>
      <selection pane="bottomLeft" activeCell="H265" sqref="H265"/>
      <selection pane="bottomRight" activeCell="D58" sqref="D58"/>
    </sheetView>
  </sheetViews>
  <sheetFormatPr baseColWidth="10" defaultRowHeight="14.5" x14ac:dyDescent="0.35"/>
  <cols>
    <col min="1" max="1" width="3.7265625" customWidth="1"/>
    <col min="2" max="2" width="24.453125" customWidth="1"/>
    <col min="3" max="3" width="45.1796875" customWidth="1"/>
    <col min="4" max="4" width="13.1796875" bestFit="1" customWidth="1"/>
    <col min="5" max="5" width="13.7265625" bestFit="1" customWidth="1"/>
    <col min="6" max="7" width="14.453125" bestFit="1" customWidth="1"/>
    <col min="8" max="8" width="13.7265625" bestFit="1" customWidth="1"/>
    <col min="9" max="11" width="14.453125" bestFit="1" customWidth="1"/>
    <col min="12" max="12" width="14.1796875" bestFit="1" customWidth="1"/>
    <col min="13" max="13" width="14.7265625" bestFit="1" customWidth="1"/>
    <col min="14" max="14" width="13.81640625" bestFit="1" customWidth="1"/>
    <col min="15" max="16" width="14.7265625" bestFit="1" customWidth="1"/>
    <col min="17" max="17" width="14.1796875" bestFit="1" customWidth="1"/>
    <col min="18" max="18" width="14.453125" style="3" bestFit="1" customWidth="1"/>
    <col min="19" max="19" width="13.7265625" style="3" bestFit="1" customWidth="1"/>
    <col min="20" max="20" width="15" style="3" bestFit="1" customWidth="1"/>
    <col min="21" max="37" width="10" customWidth="1"/>
    <col min="38" max="38" width="8.453125" bestFit="1" customWidth="1"/>
    <col min="39" max="39" width="8" bestFit="1" customWidth="1"/>
    <col min="40" max="42" width="8.453125" bestFit="1" customWidth="1"/>
    <col min="43" max="54" width="10" customWidth="1"/>
    <col min="55" max="57" width="10.7265625" style="110" bestFit="1" customWidth="1"/>
    <col min="58" max="58" width="11.1796875" style="110" bestFit="1" customWidth="1"/>
    <col min="59" max="61" width="10.7265625" style="110" bestFit="1" customWidth="1"/>
    <col min="62" max="62" width="11.1796875" style="110" bestFit="1" customWidth="1"/>
    <col min="63" max="63" width="12" style="110" bestFit="1" customWidth="1"/>
    <col min="64" max="66" width="11.1796875" style="110" bestFit="1" customWidth="1"/>
    <col min="67" max="67" width="12" style="110" bestFit="1" customWidth="1"/>
    <col min="68" max="68" width="11.54296875" style="110" bestFit="1" customWidth="1"/>
    <col min="69" max="69" width="11.1796875" style="110" bestFit="1" customWidth="1"/>
    <col min="70" max="70" width="12" style="110" bestFit="1" customWidth="1"/>
    <col min="71" max="71" width="11.54296875" style="110" bestFit="1" customWidth="1"/>
  </cols>
  <sheetData>
    <row r="1" spans="2:71" ht="15" thickBot="1" x14ac:dyDescent="0.4"/>
    <row r="2" spans="2:71" ht="15" thickBot="1" x14ac:dyDescent="0.4">
      <c r="D2" s="677" t="s">
        <v>384</v>
      </c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  <c r="S2" s="678"/>
      <c r="T2" s="679"/>
      <c r="U2" s="652" t="s">
        <v>385</v>
      </c>
      <c r="V2" s="653"/>
      <c r="W2" s="653"/>
      <c r="X2" s="653"/>
      <c r="Y2" s="653"/>
      <c r="Z2" s="653"/>
      <c r="AA2" s="653"/>
      <c r="AB2" s="653"/>
      <c r="AC2" s="653"/>
      <c r="AD2" s="653"/>
      <c r="AE2" s="653"/>
      <c r="AF2" s="653"/>
      <c r="AG2" s="653"/>
      <c r="AH2" s="653"/>
      <c r="AI2" s="653"/>
      <c r="AJ2" s="653"/>
      <c r="AK2" s="654"/>
      <c r="AL2" s="680" t="s">
        <v>386</v>
      </c>
      <c r="AM2" s="653"/>
      <c r="AN2" s="653"/>
      <c r="AO2" s="653"/>
      <c r="AP2" s="653"/>
      <c r="AQ2" s="653"/>
      <c r="AR2" s="653"/>
      <c r="AS2" s="653"/>
      <c r="AT2" s="653"/>
      <c r="AU2" s="653"/>
      <c r="AV2" s="653"/>
      <c r="AW2" s="653"/>
      <c r="AX2" s="653"/>
      <c r="AY2" s="653"/>
      <c r="AZ2" s="653"/>
      <c r="BA2" s="653"/>
      <c r="BB2" s="653"/>
      <c r="BC2" s="673" t="s">
        <v>344</v>
      </c>
      <c r="BD2" s="673"/>
      <c r="BE2" s="673"/>
      <c r="BF2" s="673"/>
      <c r="BG2" s="673"/>
      <c r="BH2" s="673"/>
      <c r="BI2" s="673"/>
      <c r="BJ2" s="673"/>
      <c r="BK2" s="673"/>
      <c r="BL2" s="673"/>
      <c r="BM2" s="673"/>
      <c r="BN2" s="673"/>
      <c r="BO2" s="673"/>
      <c r="BP2" s="673"/>
      <c r="BQ2" s="673"/>
      <c r="BR2" s="673"/>
      <c r="BS2" s="674"/>
    </row>
    <row r="3" spans="2:71" s="52" customFormat="1" ht="15" thickBot="1" x14ac:dyDescent="0.4">
      <c r="B3" s="254" t="s">
        <v>11</v>
      </c>
      <c r="C3" s="363" t="s">
        <v>12</v>
      </c>
      <c r="D3" s="94">
        <v>2000</v>
      </c>
      <c r="E3" s="95">
        <v>2001</v>
      </c>
      <c r="F3" s="95">
        <v>2002</v>
      </c>
      <c r="G3" s="95">
        <v>2003</v>
      </c>
      <c r="H3" s="95">
        <v>2004</v>
      </c>
      <c r="I3" s="95">
        <v>2005</v>
      </c>
      <c r="J3" s="95">
        <v>2006</v>
      </c>
      <c r="K3" s="95">
        <v>2007</v>
      </c>
      <c r="L3" s="95">
        <v>2008</v>
      </c>
      <c r="M3" s="95">
        <v>2009</v>
      </c>
      <c r="N3" s="95">
        <v>2010</v>
      </c>
      <c r="O3" s="95">
        <v>2011</v>
      </c>
      <c r="P3" s="95">
        <v>2012</v>
      </c>
      <c r="Q3" s="95">
        <v>2013</v>
      </c>
      <c r="R3" s="95">
        <v>2014</v>
      </c>
      <c r="S3" s="95">
        <v>2015</v>
      </c>
      <c r="T3" s="96">
        <v>2016</v>
      </c>
      <c r="U3" s="127">
        <v>2000</v>
      </c>
      <c r="V3" s="128">
        <v>2001</v>
      </c>
      <c r="W3" s="128">
        <v>2002</v>
      </c>
      <c r="X3" s="128">
        <v>2003</v>
      </c>
      <c r="Y3" s="128">
        <v>2004</v>
      </c>
      <c r="Z3" s="128">
        <v>2005</v>
      </c>
      <c r="AA3" s="128">
        <v>2006</v>
      </c>
      <c r="AB3" s="128">
        <v>2007</v>
      </c>
      <c r="AC3" s="128">
        <v>2008</v>
      </c>
      <c r="AD3" s="128">
        <v>2009</v>
      </c>
      <c r="AE3" s="128">
        <v>2010</v>
      </c>
      <c r="AF3" s="128">
        <v>2011</v>
      </c>
      <c r="AG3" s="128">
        <v>2012</v>
      </c>
      <c r="AH3" s="128">
        <v>2013</v>
      </c>
      <c r="AI3" s="128">
        <v>2014</v>
      </c>
      <c r="AJ3" s="128">
        <v>2015</v>
      </c>
      <c r="AK3" s="129">
        <v>2016</v>
      </c>
      <c r="AL3" s="514">
        <v>2000</v>
      </c>
      <c r="AM3" s="95">
        <v>2001</v>
      </c>
      <c r="AN3" s="95">
        <v>2002</v>
      </c>
      <c r="AO3" s="95">
        <v>2003</v>
      </c>
      <c r="AP3" s="95">
        <v>2004</v>
      </c>
      <c r="AQ3" s="95">
        <v>2005</v>
      </c>
      <c r="AR3" s="95">
        <v>2006</v>
      </c>
      <c r="AS3" s="95">
        <v>2007</v>
      </c>
      <c r="AT3" s="95">
        <v>2008</v>
      </c>
      <c r="AU3" s="95">
        <v>2009</v>
      </c>
      <c r="AV3" s="95">
        <v>2010</v>
      </c>
      <c r="AW3" s="95">
        <v>2011</v>
      </c>
      <c r="AX3" s="95">
        <v>2012</v>
      </c>
      <c r="AY3" s="95">
        <v>2013</v>
      </c>
      <c r="AZ3" s="95">
        <v>2014</v>
      </c>
      <c r="BA3" s="95">
        <v>2015</v>
      </c>
      <c r="BB3" s="96">
        <v>2016</v>
      </c>
      <c r="BC3" s="127">
        <v>2000</v>
      </c>
      <c r="BD3" s="128">
        <v>2001</v>
      </c>
      <c r="BE3" s="128">
        <v>2002</v>
      </c>
      <c r="BF3" s="128">
        <v>2003</v>
      </c>
      <c r="BG3" s="128">
        <v>2004</v>
      </c>
      <c r="BH3" s="128">
        <v>2005</v>
      </c>
      <c r="BI3" s="128">
        <v>2006</v>
      </c>
      <c r="BJ3" s="128">
        <v>2007</v>
      </c>
      <c r="BK3" s="128">
        <v>2008</v>
      </c>
      <c r="BL3" s="128">
        <v>2009</v>
      </c>
      <c r="BM3" s="128">
        <v>2010</v>
      </c>
      <c r="BN3" s="128">
        <v>2011</v>
      </c>
      <c r="BO3" s="128">
        <v>2012</v>
      </c>
      <c r="BP3" s="128">
        <v>2013</v>
      </c>
      <c r="BQ3" s="128">
        <v>2014</v>
      </c>
      <c r="BR3" s="128">
        <v>2015</v>
      </c>
      <c r="BS3" s="129">
        <v>2016</v>
      </c>
    </row>
    <row r="4" spans="2:71" x14ac:dyDescent="0.35">
      <c r="B4" s="638" t="s">
        <v>0</v>
      </c>
      <c r="C4" s="361" t="s">
        <v>14</v>
      </c>
      <c r="D4" s="195">
        <f>IFERROR(('Activity Data Rep. Mauritius'!M3*'Activity Data Rep. Mauritius'!$E3*'Activity Data Rep. Mauritius'!$J3)/1000,"NA")</f>
        <v>40950.410605999998</v>
      </c>
      <c r="E4" s="92">
        <f>IFERROR(('Activity Data Rep. Mauritius'!N3*'Activity Data Rep. Mauritius'!$E3*'Activity Data Rep. Mauritius'!$J3)/1000,"NA")</f>
        <v>11770.777759999999</v>
      </c>
      <c r="F4" s="92">
        <f>IFERROR(('Activity Data Rep. Mauritius'!O3*'Activity Data Rep. Mauritius'!$E3*'Activity Data Rep. Mauritius'!$J3)/1000,"NA")</f>
        <v>17039.453018</v>
      </c>
      <c r="G4" s="92">
        <f>IFERROR(('Activity Data Rep. Mauritius'!P3*'Activity Data Rep. Mauritius'!$E3*'Activity Data Rep. Mauritius'!$J3)/1000,"NA")</f>
        <v>30879.508464000006</v>
      </c>
      <c r="H4" s="92">
        <f>IFERROR(('Activity Data Rep. Mauritius'!Q3*'Activity Data Rep. Mauritius'!$E3*'Activity Data Rep. Mauritius'!$J3)/1000,"NA")</f>
        <v>51825.857929999998</v>
      </c>
      <c r="I4" s="92">
        <f>IFERROR(('Activity Data Rep. Mauritius'!R3*'Activity Data Rep. Mauritius'!$E3*'Activity Data Rep. Mauritius'!$J3)/1000,"NA")</f>
        <v>55507.356506000004</v>
      </c>
      <c r="J4" s="92">
        <f>IFERROR(('Activity Data Rep. Mauritius'!S3*'Activity Data Rep. Mauritius'!$E3*'Activity Data Rep. Mauritius'!$J3)/1000,"NA")</f>
        <v>5785.2120480000003</v>
      </c>
      <c r="K4" s="92">
        <f>IFERROR(('Activity Data Rep. Mauritius'!T3*'Activity Data Rep. Mauritius'!$E3*'Activity Data Rep. Mauritius'!$J3)/1000,"NA")</f>
        <v>3339.1442526399996</v>
      </c>
      <c r="L4" s="92">
        <f>IFERROR(('Activity Data Rep. Mauritius'!U3*'Activity Data Rep. Mauritius'!$E3*'Activity Data Rep. Mauritius'!$J3)/1000,"NA")</f>
        <v>6559.4537383199995</v>
      </c>
      <c r="M4" s="92">
        <f>IFERROR(('Activity Data Rep. Mauritius'!V3*'Activity Data Rep. Mauritius'!$E3*'Activity Data Rep. Mauritius'!$J3)/1000,"NA")</f>
        <v>15414.368796665998</v>
      </c>
      <c r="N4" s="92">
        <f>IFERROR(('Activity Data Rep. Mauritius'!W3*'Activity Data Rep. Mauritius'!$E3*'Activity Data Rep. Mauritius'!$J3)/1000,"NA")</f>
        <v>18808.200208000002</v>
      </c>
      <c r="O4" s="92">
        <f>IFERROR(('Activity Data Rep. Mauritius'!X3*'Activity Data Rep. Mauritius'!$E3*'Activity Data Rep. Mauritius'!$J3)/1000,"NA")</f>
        <v>11454.594633999999</v>
      </c>
      <c r="P4" s="92">
        <f>IFERROR(('Activity Data Rep. Mauritius'!Y3*'Activity Data Rep. Mauritius'!$E3*'Activity Data Rep. Mauritius'!$J3)/1000,"NA")</f>
        <v>10759.617861999999</v>
      </c>
      <c r="Q4" s="92">
        <f>IFERROR(('Activity Data Rep. Mauritius'!Z3*'Activity Data Rep. Mauritius'!$E3*'Activity Data Rep. Mauritius'!$J3)/1000,"NA")</f>
        <v>2019.1892700000001</v>
      </c>
      <c r="R4" s="92">
        <f>IFERROR(('Activity Data Rep. Mauritius'!AA3*'Activity Data Rep. Mauritius'!$E3*'Activity Data Rep. Mauritius'!$J3)/1000,"NA")</f>
        <v>2131.8882060000001</v>
      </c>
      <c r="S4" s="92">
        <f>IFERROR(('Activity Data Rep. Mauritius'!AB3*'Activity Data Rep. Mauritius'!$E3*'Activity Data Rep. Mauritius'!$J3)/1000,"NA")</f>
        <v>2320.5963132799998</v>
      </c>
      <c r="T4" s="93">
        <f>IFERROR(('Activity Data Rep. Mauritius'!AC3*'Activity Data Rep. Mauritius'!$E3*'Activity Data Rep. Mauritius'!$J3)/1000,"NA")</f>
        <v>2281.4520900881057</v>
      </c>
      <c r="U4" s="130">
        <f>IFERROR(('Activity Data Rep. Mauritius'!M3*'Activity Data Rep. Mauritius'!$F3*'Activity Data Rep. Mauritius'!$J3)/1000,"NA")</f>
        <v>1.7086402199999997</v>
      </c>
      <c r="V4" s="131">
        <f>IFERROR(('Activity Data Rep. Mauritius'!N3*'Activity Data Rep. Mauritius'!$F3*'Activity Data Rep. Mauritius'!$J3)/1000,"NA")</f>
        <v>0.49113119999999999</v>
      </c>
      <c r="W4" s="131">
        <f>IFERROR(('Activity Data Rep. Mauritius'!O3*'Activity Data Rep. Mauritius'!$F3*'Activity Data Rep. Mauritius'!$J3)/1000,"NA")</f>
        <v>0.71096466000000003</v>
      </c>
      <c r="X4" s="131">
        <f>IFERROR(('Activity Data Rep. Mauritius'!P3*'Activity Data Rep. Mauritius'!$F3*'Activity Data Rep. Mauritius'!$J3)/1000,"NA")</f>
        <v>1.2884356800000001</v>
      </c>
      <c r="Y4" s="131">
        <f>IFERROR(('Activity Data Rep. Mauritius'!Q3*'Activity Data Rep. Mauritius'!$F3*'Activity Data Rep. Mauritius'!$J3)/1000,"NA")</f>
        <v>2.1624140999999999</v>
      </c>
      <c r="Z4" s="131">
        <f>IFERROR(('Activity Data Rep. Mauritius'!R3*'Activity Data Rep. Mauritius'!$F3*'Activity Data Rep. Mauritius'!$J3)/1000,"NA")</f>
        <v>2.3160232199999999</v>
      </c>
      <c r="AA4" s="131">
        <f>IFERROR(('Activity Data Rep. Mauritius'!S3*'Activity Data Rep. Mauritius'!$F3*'Activity Data Rep. Mauritius'!$J3)/1000,"NA")</f>
        <v>0.24138576</v>
      </c>
      <c r="AB4" s="131">
        <f>IFERROR(('Activity Data Rep. Mauritius'!T3*'Activity Data Rep. Mauritius'!$F3*'Activity Data Rep. Mauritius'!$J3)/1000,"NA")</f>
        <v>0.13932451679999999</v>
      </c>
      <c r="AC4" s="131">
        <f>IFERROR(('Activity Data Rep. Mauritius'!U3*'Activity Data Rep. Mauritius'!$F3*'Activity Data Rep. Mauritius'!$J3)/1000,"NA")</f>
        <v>0.27369069840000004</v>
      </c>
      <c r="AD4" s="131">
        <f>IFERROR(('Activity Data Rep. Mauritius'!V3*'Activity Data Rep. Mauritius'!$F3*'Activity Data Rep. Mauritius'!$J3)/1000,"NA")</f>
        <v>0.64315864241999987</v>
      </c>
      <c r="AE4" s="131">
        <f>IFERROR(('Activity Data Rep. Mauritius'!W3*'Activity Data Rep. Mauritius'!$F3*'Activity Data Rep. Mauritius'!$J3)/1000,"NA")</f>
        <v>0.78476495999999996</v>
      </c>
      <c r="AF4" s="131">
        <f>IFERROR(('Activity Data Rep. Mauritius'!X3*'Activity Data Rep. Mauritius'!$F3*'Activity Data Rep. Mauritius'!$J3)/1000,"NA")</f>
        <v>0.47793858</v>
      </c>
      <c r="AG4" s="131">
        <f>IFERROR(('Activity Data Rep. Mauritius'!Y3*'Activity Data Rep. Mauritius'!$F3*'Activity Data Rep. Mauritius'!$J3)/1000,"NA")</f>
        <v>0.44894094000000001</v>
      </c>
      <c r="AH4" s="131">
        <f>IFERROR(('Activity Data Rep. Mauritius'!Z3*'Activity Data Rep. Mauritius'!$F3*'Activity Data Rep. Mauritius'!$J3)/1000,"NA")</f>
        <v>8.4249900000000003E-2</v>
      </c>
      <c r="AI4" s="131">
        <f>IFERROR(('Activity Data Rep. Mauritius'!AA3*'Activity Data Rep. Mauritius'!$F3*'Activity Data Rep. Mauritius'!$J3)/1000,"NA")</f>
        <v>8.8952220000000012E-2</v>
      </c>
      <c r="AJ4" s="131">
        <f>IFERROR(('Activity Data Rep. Mauritius'!AB3*'Activity Data Rep. Mauritius'!$F3*'Activity Data Rep. Mauritius'!$J3)/1000,"NA")</f>
        <v>9.6825993600000007E-2</v>
      </c>
      <c r="AK4" s="132">
        <f>IFERROR(('Activity Data Rep. Mauritius'!AC3*'Activity Data Rep. Mauritius'!$F3*'Activity Data Rep. Mauritius'!$J3)/1000,"NA")</f>
        <v>9.5192715859030844E-2</v>
      </c>
      <c r="AL4" s="507">
        <f>IFERROR(('Activity Data Rep. Mauritius'!M3*'Activity Data Rep. Mauritius'!$G3*'Activity Data Rep. Mauritius'!$J3)/1000,"NA")</f>
        <v>0.34172804399999995</v>
      </c>
      <c r="AM4" s="131">
        <f>IFERROR(('Activity Data Rep. Mauritius'!N3*'Activity Data Rep. Mauritius'!$G3*'Activity Data Rep. Mauritius'!$J3)/1000,"NA")</f>
        <v>9.8226239999999992E-2</v>
      </c>
      <c r="AN4" s="131">
        <f>IFERROR(('Activity Data Rep. Mauritius'!O3*'Activity Data Rep. Mauritius'!$G3*'Activity Data Rep. Mauritius'!$J3)/1000,"NA")</f>
        <v>0.14219293199999999</v>
      </c>
      <c r="AO4" s="131">
        <f>IFERROR(('Activity Data Rep. Mauritius'!P3*'Activity Data Rep. Mauritius'!$G3*'Activity Data Rep. Mauritius'!$J3)/1000,"NA")</f>
        <v>0.25768713599999998</v>
      </c>
      <c r="AP4" s="131">
        <f>IFERROR(('Activity Data Rep. Mauritius'!Q3*'Activity Data Rep. Mauritius'!$G3*'Activity Data Rep. Mauritius'!$J3)/1000,"NA")</f>
        <v>0.43248281999999999</v>
      </c>
      <c r="AQ4" s="131">
        <f>IFERROR(('Activity Data Rep. Mauritius'!R3*'Activity Data Rep. Mauritius'!$G3*'Activity Data Rep. Mauritius'!$J3)/1000,"NA")</f>
        <v>0.46320464400000005</v>
      </c>
      <c r="AR4" s="131">
        <f>IFERROR(('Activity Data Rep. Mauritius'!S3*'Activity Data Rep. Mauritius'!$G3*'Activity Data Rep. Mauritius'!$J3)/1000,"NA")</f>
        <v>4.8277152000000004E-2</v>
      </c>
      <c r="AS4" s="131">
        <f>IFERROR(('Activity Data Rep. Mauritius'!T3*'Activity Data Rep. Mauritius'!$G3*'Activity Data Rep. Mauritius'!$J3)/1000,"NA")</f>
        <v>2.7864903359999998E-2</v>
      </c>
      <c r="AT4" s="131">
        <f>IFERROR(('Activity Data Rep. Mauritius'!U3*'Activity Data Rep. Mauritius'!$G3*'Activity Data Rep. Mauritius'!$J3)/1000,"NA")</f>
        <v>5.4738139680000006E-2</v>
      </c>
      <c r="AU4" s="131">
        <f>IFERROR(('Activity Data Rep. Mauritius'!V3*'Activity Data Rep. Mauritius'!$G3*'Activity Data Rep. Mauritius'!$J3)/1000,"NA")</f>
        <v>0.12863172848399998</v>
      </c>
      <c r="AV4" s="131">
        <f>IFERROR(('Activity Data Rep. Mauritius'!W3*'Activity Data Rep. Mauritius'!$G3*'Activity Data Rep. Mauritius'!$J3)/1000,"NA")</f>
        <v>0.15695299199999999</v>
      </c>
      <c r="AW4" s="131">
        <f>IFERROR(('Activity Data Rep. Mauritius'!X3*'Activity Data Rep. Mauritius'!$G3*'Activity Data Rep. Mauritius'!$J3)/1000,"NA")</f>
        <v>9.5587715999999989E-2</v>
      </c>
      <c r="AX4" s="131">
        <f>IFERROR(('Activity Data Rep. Mauritius'!Y3*'Activity Data Rep. Mauritius'!$G3*'Activity Data Rep. Mauritius'!$J3)/1000,"NA")</f>
        <v>8.9788187999999991E-2</v>
      </c>
      <c r="AY4" s="131">
        <f>IFERROR(('Activity Data Rep. Mauritius'!Z3*'Activity Data Rep. Mauritius'!$G3*'Activity Data Rep. Mauritius'!$J3)/1000,"NA")</f>
        <v>1.6849979999999997E-2</v>
      </c>
      <c r="AZ4" s="131">
        <f>IFERROR(('Activity Data Rep. Mauritius'!AA3*'Activity Data Rep. Mauritius'!$G3*'Activity Data Rep. Mauritius'!$J3)/1000,"NA")</f>
        <v>1.7790444000000002E-2</v>
      </c>
      <c r="BA4" s="131">
        <f>IFERROR(('Activity Data Rep. Mauritius'!AB3*'Activity Data Rep. Mauritius'!$G3*'Activity Data Rep. Mauritius'!$J3)/1000,"NA")</f>
        <v>1.9365198719999997E-2</v>
      </c>
      <c r="BB4" s="132">
        <f>IFERROR(('Activity Data Rep. Mauritius'!AC3*'Activity Data Rep. Mauritius'!$G3*'Activity Data Rep. Mauritius'!$J3)/1000,"NA")</f>
        <v>1.9038543171806168E-2</v>
      </c>
      <c r="BC4" s="130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2"/>
    </row>
    <row r="5" spans="2:71" x14ac:dyDescent="0.35">
      <c r="B5" s="639"/>
      <c r="C5" s="360" t="s">
        <v>62</v>
      </c>
      <c r="D5" s="195">
        <f>IFERROR(('Activity Data Rep. Mauritius'!M4*'Activity Data Rep. Mauritius'!$E4*'Activity Data Rep. Mauritius'!$J4)/1000,"NA")</f>
        <v>545975.56358999992</v>
      </c>
      <c r="E5" s="39">
        <f>IFERROR(('Activity Data Rep. Mauritius'!N4*'Activity Data Rep. Mauritius'!$E4*'Activity Data Rep. Mauritius'!$J4)/1000,"NA")</f>
        <v>576528.91792199994</v>
      </c>
      <c r="F5" s="39">
        <f>IFERROR(('Activity Data Rep. Mauritius'!O4*'Activity Data Rep. Mauritius'!$E4*'Activity Data Rep. Mauritius'!$J4)/1000,"NA")</f>
        <v>558732.56889600004</v>
      </c>
      <c r="G5" s="39">
        <f>IFERROR(('Activity Data Rep. Mauritius'!P4*'Activity Data Rep. Mauritius'!$E4*'Activity Data Rep. Mauritius'!$J4)/1000,"NA")</f>
        <v>636011.83805399993</v>
      </c>
      <c r="H5" s="39">
        <f>IFERROR(('Activity Data Rep. Mauritius'!Q4*'Activity Data Rep. Mauritius'!$E4*'Activity Data Rep. Mauritius'!$J4)/1000,"NA")</f>
        <v>684563.73730200005</v>
      </c>
      <c r="I5" s="39">
        <f>IFERROR(('Activity Data Rep. Mauritius'!R4*'Activity Data Rep. Mauritius'!$E4*'Activity Data Rep. Mauritius'!$J4)/1000,"NA")</f>
        <v>675188.06941799994</v>
      </c>
      <c r="J5" s="39">
        <f>IFERROR(('Activity Data Rep. Mauritius'!S4*'Activity Data Rep. Mauritius'!$E4*'Activity Data Rep. Mauritius'!$J4)/1000,"NA")</f>
        <v>704702.44794599991</v>
      </c>
      <c r="K5" s="39">
        <f>IFERROR(('Activity Data Rep. Mauritius'!T4*'Activity Data Rep. Mauritius'!$E4*'Activity Data Rep. Mauritius'!$J4)/1000,"NA")</f>
        <v>627803.33816825994</v>
      </c>
      <c r="L5" s="39">
        <f>IFERROR(('Activity Data Rep. Mauritius'!U4*'Activity Data Rep. Mauritius'!$E4*'Activity Data Rep. Mauritius'!$J4)/1000,"NA")</f>
        <v>521187.49843721994</v>
      </c>
      <c r="M5" s="39">
        <f>IFERROR(('Activity Data Rep. Mauritius'!V4*'Activity Data Rep. Mauritius'!$E4*'Activity Data Rep. Mauritius'!$J4)/1000,"NA")</f>
        <v>592913.7212642387</v>
      </c>
      <c r="N5" s="39">
        <f>IFERROR(('Activity Data Rep. Mauritius'!W4*'Activity Data Rep. Mauritius'!$E4*'Activity Data Rep. Mauritius'!$J4)/1000,"NA")</f>
        <v>612442.01869200007</v>
      </c>
      <c r="O5" s="39">
        <f>IFERROR(('Activity Data Rep. Mauritius'!X4*'Activity Data Rep. Mauritius'!$E4*'Activity Data Rep. Mauritius'!$J4)/1000,"NA")</f>
        <v>667299.31900199992</v>
      </c>
      <c r="P5" s="39">
        <f>IFERROR(('Activity Data Rep. Mauritius'!Y4*'Activity Data Rep. Mauritius'!$E4*'Activity Data Rep. Mauritius'!$J4)/1000,"NA")</f>
        <v>662679.92059200001</v>
      </c>
      <c r="Q5" s="39">
        <f>IFERROR(('Activity Data Rep. Mauritius'!Z4*'Activity Data Rep. Mauritius'!$E4*'Activity Data Rep. Mauritius'!$J4)/1000,"NA")</f>
        <v>672503.53013999993</v>
      </c>
      <c r="R5" s="39">
        <f>IFERROR(('Activity Data Rep. Mauritius'!AA4*'Activity Data Rep. Mauritius'!$E4*'Activity Data Rep. Mauritius'!$J4)/1000,"NA")</f>
        <v>688539.21956999996</v>
      </c>
      <c r="S5" s="39">
        <f>IFERROR(('Activity Data Rep. Mauritius'!AB4*'Activity Data Rep. Mauritius'!$E4*'Activity Data Rep. Mauritius'!$J4)/1000,"NA")</f>
        <v>714125.92738122004</v>
      </c>
      <c r="T5" s="86">
        <f>IFERROR(('Activity Data Rep. Mauritius'!AC4*'Activity Data Rep. Mauritius'!$E4*'Activity Data Rep. Mauritius'!$J4)/1000,"NA")</f>
        <v>697459.03480829007</v>
      </c>
      <c r="U5" s="85">
        <f>IFERROR(('Activity Data Rep. Mauritius'!M4*'Activity Data Rep. Mauritius'!$F4*'Activity Data Rep. Mauritius'!$J4)/1000,"NA")</f>
        <v>21.161843549999997</v>
      </c>
      <c r="V5" s="39">
        <f>IFERROR(('Activity Data Rep. Mauritius'!N4*'Activity Data Rep. Mauritius'!$F4*'Activity Data Rep. Mauritius'!$J4)/1000,"NA")</f>
        <v>22.346082089999996</v>
      </c>
      <c r="W5" s="39">
        <f>IFERROR(('Activity Data Rep. Mauritius'!O4*'Activity Data Rep. Mauritius'!$F4*'Activity Data Rep. Mauritius'!$J4)/1000,"NA")</f>
        <v>21.656301119999998</v>
      </c>
      <c r="X5" s="39">
        <f>IFERROR(('Activity Data Rep. Mauritius'!P4*'Activity Data Rep. Mauritius'!$F4*'Activity Data Rep. Mauritius'!$J4)/1000,"NA")</f>
        <v>24.651621629999998</v>
      </c>
      <c r="Y5" s="39">
        <f>IFERROR(('Activity Data Rep. Mauritius'!Q4*'Activity Data Rep. Mauritius'!$F4*'Activity Data Rep. Mauritius'!$J4)/1000,"NA")</f>
        <v>26.533478189999997</v>
      </c>
      <c r="Z5" s="39">
        <f>IFERROR(('Activity Data Rep. Mauritius'!R4*'Activity Data Rep. Mauritius'!$F4*'Activity Data Rep. Mauritius'!$J4)/1000,"NA")</f>
        <v>26.170080209999995</v>
      </c>
      <c r="AA5" s="39">
        <f>IFERROR(('Activity Data Rep. Mauritius'!S4*'Activity Data Rep. Mauritius'!$F4*'Activity Data Rep. Mauritius'!$J4)/1000,"NA")</f>
        <v>27.314048370000002</v>
      </c>
      <c r="AB5" s="39">
        <f>IFERROR(('Activity Data Rep. Mauritius'!T4*'Activity Data Rep. Mauritius'!$F4*'Activity Data Rep. Mauritius'!$J4)/1000,"NA")</f>
        <v>24.333462719700002</v>
      </c>
      <c r="AC5" s="39">
        <f>IFERROR(('Activity Data Rep. Mauritius'!U4*'Activity Data Rep. Mauritius'!$F4*'Activity Data Rep. Mauritius'!$J4)/1000,"NA")</f>
        <v>20.201065830899996</v>
      </c>
      <c r="AD5" s="39">
        <f>IFERROR(('Activity Data Rep. Mauritius'!V4*'Activity Data Rep. Mauritius'!$F4*'Activity Data Rep. Mauritius'!$J4)/1000,"NA")</f>
        <v>22.981151986986003</v>
      </c>
      <c r="AE5" s="39">
        <f>IFERROR(('Activity Data Rep. Mauritius'!W4*'Activity Data Rep. Mauritius'!$F4*'Activity Data Rep. Mauritius'!$J4)/1000,"NA")</f>
        <v>23.738062739999997</v>
      </c>
      <c r="AF5" s="39">
        <f>IFERROR(('Activity Data Rep. Mauritius'!X4*'Activity Data Rep. Mauritius'!$F4*'Activity Data Rep. Mauritius'!$J4)/1000,"NA")</f>
        <v>25.864314689999997</v>
      </c>
      <c r="AG5" s="39">
        <f>IFERROR(('Activity Data Rep. Mauritius'!Y4*'Activity Data Rep. Mauritius'!$F4*'Activity Data Rep. Mauritius'!$J4)/1000,"NA")</f>
        <v>25.685268239999999</v>
      </c>
      <c r="AH5" s="39">
        <f>IFERROR(('Activity Data Rep. Mauritius'!Z4*'Activity Data Rep. Mauritius'!$F4*'Activity Data Rep. Mauritius'!$J4)/1000,"NA")</f>
        <v>26.066028299999996</v>
      </c>
      <c r="AI5" s="39">
        <f>IFERROR(('Activity Data Rep. Mauritius'!AA4*'Activity Data Rep. Mauritius'!$F4*'Activity Data Rep. Mauritius'!$J4)/1000,"NA")</f>
        <v>26.687566649999997</v>
      </c>
      <c r="AJ5" s="39">
        <f>IFERROR(('Activity Data Rep. Mauritius'!AB4*'Activity Data Rep. Mauritius'!$F4*'Activity Data Rep. Mauritius'!$J4)/1000,"NA")</f>
        <v>27.679299510900002</v>
      </c>
      <c r="AK5" s="86">
        <f>IFERROR(('Activity Data Rep. Mauritius'!AC4*'Activity Data Rep. Mauritius'!$F4*'Activity Data Rep. Mauritius'!$J4)/1000,"NA")</f>
        <v>27.033295922801948</v>
      </c>
      <c r="AL5" s="500">
        <f>IFERROR(('Activity Data Rep. Mauritius'!M4*'Activity Data Rep. Mauritius'!$G4*'Activity Data Rep. Mauritius'!$J4)/1000,"NA")</f>
        <v>4.2323687099999985</v>
      </c>
      <c r="AM5" s="39">
        <f>IFERROR(('Activity Data Rep. Mauritius'!N4*'Activity Data Rep. Mauritius'!$G4*'Activity Data Rep. Mauritius'!$J4)/1000,"NA")</f>
        <v>4.4692164179999994</v>
      </c>
      <c r="AN5" s="39">
        <f>IFERROR(('Activity Data Rep. Mauritius'!O4*'Activity Data Rep. Mauritius'!$G4*'Activity Data Rep. Mauritius'!$J4)/1000,"NA")</f>
        <v>4.3312602240000002</v>
      </c>
      <c r="AO5" s="39">
        <f>IFERROR(('Activity Data Rep. Mauritius'!P4*'Activity Data Rep. Mauritius'!$G4*'Activity Data Rep. Mauritius'!$J4)/1000,"NA")</f>
        <v>4.930324326</v>
      </c>
      <c r="AP5" s="39">
        <f>IFERROR(('Activity Data Rep. Mauritius'!Q4*'Activity Data Rep. Mauritius'!$G4*'Activity Data Rep. Mauritius'!$J4)/1000,"NA")</f>
        <v>5.306695637999999</v>
      </c>
      <c r="AQ5" s="39">
        <f>IFERROR(('Activity Data Rep. Mauritius'!R4*'Activity Data Rep. Mauritius'!$G4*'Activity Data Rep. Mauritius'!$J4)/1000,"NA")</f>
        <v>5.2340160419999995</v>
      </c>
      <c r="AR5" s="39">
        <f>IFERROR(('Activity Data Rep. Mauritius'!S4*'Activity Data Rep. Mauritius'!$G4*'Activity Data Rep. Mauritius'!$J4)/1000,"NA")</f>
        <v>5.4628096739999989</v>
      </c>
      <c r="AS5" s="39">
        <f>IFERROR(('Activity Data Rep. Mauritius'!T4*'Activity Data Rep. Mauritius'!$G4*'Activity Data Rep. Mauritius'!$J4)/1000,"NA")</f>
        <v>4.8666925439399993</v>
      </c>
      <c r="AT5" s="39">
        <f>IFERROR(('Activity Data Rep. Mauritius'!U4*'Activity Data Rep. Mauritius'!$G4*'Activity Data Rep. Mauritius'!$J4)/1000,"NA")</f>
        <v>4.04021316618</v>
      </c>
      <c r="AU5" s="39">
        <f>IFERROR(('Activity Data Rep. Mauritius'!V4*'Activity Data Rep. Mauritius'!$G4*'Activity Data Rep. Mauritius'!$J4)/1000,"NA")</f>
        <v>4.5962303973971999</v>
      </c>
      <c r="AV5" s="39">
        <f>IFERROR(('Activity Data Rep. Mauritius'!W4*'Activity Data Rep. Mauritius'!$G4*'Activity Data Rep. Mauritius'!$J4)/1000,"NA")</f>
        <v>4.7476125480000002</v>
      </c>
      <c r="AW5" s="39">
        <f>IFERROR(('Activity Data Rep. Mauritius'!X4*'Activity Data Rep. Mauritius'!$G4*'Activity Data Rep. Mauritius'!$J4)/1000,"NA")</f>
        <v>5.1728629379999997</v>
      </c>
      <c r="AX5" s="39">
        <f>IFERROR(('Activity Data Rep. Mauritius'!Y4*'Activity Data Rep. Mauritius'!$G4*'Activity Data Rep. Mauritius'!$J4)/1000,"NA")</f>
        <v>5.1370536479999993</v>
      </c>
      <c r="AY5" s="39">
        <f>IFERROR(('Activity Data Rep. Mauritius'!Z4*'Activity Data Rep. Mauritius'!$G4*'Activity Data Rep. Mauritius'!$J4)/1000,"NA")</f>
        <v>5.2132056599999999</v>
      </c>
      <c r="AZ5" s="39">
        <f>IFERROR(('Activity Data Rep. Mauritius'!AA4*'Activity Data Rep. Mauritius'!$G4*'Activity Data Rep. Mauritius'!$J4)/1000,"NA")</f>
        <v>5.3375133299999993</v>
      </c>
      <c r="BA5" s="39">
        <f>IFERROR(('Activity Data Rep. Mauritius'!AB4*'Activity Data Rep. Mauritius'!$G4*'Activity Data Rep. Mauritius'!$J4)/1000,"NA")</f>
        <v>5.5358599021800003</v>
      </c>
      <c r="BB5" s="86">
        <f>IFERROR(('Activity Data Rep. Mauritius'!AC4*'Activity Data Rep. Mauritius'!$G4*'Activity Data Rep. Mauritius'!$J4)/1000,"NA")</f>
        <v>5.4066591845603886</v>
      </c>
      <c r="BC5" s="85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86"/>
    </row>
    <row r="6" spans="2:71" x14ac:dyDescent="0.35">
      <c r="B6" s="639"/>
      <c r="C6" s="360" t="s">
        <v>63</v>
      </c>
      <c r="D6" s="195">
        <f>IFERROR(('Activity Data Rep. Mauritius'!M5*'Activity Data Rep. Mauritius'!$E5*'Activity Data Rep. Mauritius'!$J5)/1000,"NA")</f>
        <v>10793.494919999999</v>
      </c>
      <c r="E6" s="39">
        <f>IFERROR(('Activity Data Rep. Mauritius'!N5*'Activity Data Rep. Mauritius'!$E5*'Activity Data Rep. Mauritius'!$J5)/1000,"NA")</f>
        <v>10068.367139999998</v>
      </c>
      <c r="F6" s="39">
        <f>IFERROR(('Activity Data Rep. Mauritius'!O5*'Activity Data Rep. Mauritius'!$E5*'Activity Data Rep. Mauritius'!$J5)/1000,"NA")</f>
        <v>11168.892929999998</v>
      </c>
      <c r="G6" s="39">
        <f>IFERROR(('Activity Data Rep. Mauritius'!P5*'Activity Data Rep. Mauritius'!$E5*'Activity Data Rep. Mauritius'!$J5)/1000,"NA")</f>
        <v>12497.22435</v>
      </c>
      <c r="H6" s="39">
        <f>IFERROR(('Activity Data Rep. Mauritius'!Q5*'Activity Data Rep. Mauritius'!$E5*'Activity Data Rep. Mauritius'!$J5)/1000,"NA")</f>
        <v>12731.447039999999</v>
      </c>
      <c r="I6" s="39">
        <f>IFERROR(('Activity Data Rep. Mauritius'!R5*'Activity Data Rep. Mauritius'!$E5*'Activity Data Rep. Mauritius'!$J5)/1000,"NA")</f>
        <v>6821.3347800000001</v>
      </c>
      <c r="J6" s="39">
        <f>IFERROR(('Activity Data Rep. Mauritius'!S5*'Activity Data Rep. Mauritius'!$E5*'Activity Data Rep. Mauritius'!$J5)/1000,"NA")</f>
        <v>8120.7894299999998</v>
      </c>
      <c r="K6" s="39">
        <f>IFERROR(('Activity Data Rep. Mauritius'!T5*'Activity Data Rep. Mauritius'!$E5*'Activity Data Rep. Mauritius'!$J5)/1000,"NA")</f>
        <v>8812.0030478999979</v>
      </c>
      <c r="L6" s="39">
        <f>IFERROR(('Activity Data Rep. Mauritius'!U5*'Activity Data Rep. Mauritius'!$E5*'Activity Data Rep. Mauritius'!$J5)/1000,"NA")</f>
        <v>6098.1321179999986</v>
      </c>
      <c r="M6" s="39">
        <f>IFERROR(('Activity Data Rep. Mauritius'!V5*'Activity Data Rep. Mauritius'!$E5*'Activity Data Rep. Mauritius'!$J5)/1000,"NA")</f>
        <v>8859.4687573079991</v>
      </c>
      <c r="N6" s="39">
        <f>IFERROR(('Activity Data Rep. Mauritius'!W5*'Activity Data Rep. Mauritius'!$E5*'Activity Data Rep. Mauritius'!$J5)/1000,"NA")</f>
        <v>6407.4344099999998</v>
      </c>
      <c r="O6" s="39">
        <f>IFERROR(('Activity Data Rep. Mauritius'!X5*'Activity Data Rep. Mauritius'!$E5*'Activity Data Rep. Mauritius'!$J5)/1000,"NA")</f>
        <v>4886.5911899999992</v>
      </c>
      <c r="P6" s="39">
        <f>IFERROR(('Activity Data Rep. Mauritius'!Y5*'Activity Data Rep. Mauritius'!$E5*'Activity Data Rep. Mauritius'!$J5)/1000,"NA")</f>
        <v>5958.2402099999999</v>
      </c>
      <c r="Q6" s="39">
        <f>IFERROR(('Activity Data Rep. Mauritius'!Z5*'Activity Data Rep. Mauritius'!$E5*'Activity Data Rep. Mauritius'!$J5)/1000,"NA")</f>
        <v>4071.6245699999995</v>
      </c>
      <c r="R6" s="39">
        <f>IFERROR(('Activity Data Rep. Mauritius'!AA5*'Activity Data Rep. Mauritius'!$E5*'Activity Data Rep. Mauritius'!$J5)/1000,"NA")</f>
        <v>3943.2833700000001</v>
      </c>
      <c r="S6" s="39">
        <f>IFERROR(('Activity Data Rep. Mauritius'!AB5*'Activity Data Rep. Mauritius'!$E5*'Activity Data Rep. Mauritius'!$J5)/1000,"NA")</f>
        <v>3477.7898375999998</v>
      </c>
      <c r="T6" s="86">
        <f>IFERROR(('Activity Data Rep. Mauritius'!AC5*'Activity Data Rep. Mauritius'!$E5*'Activity Data Rep. Mauritius'!$J5)/1000,"NA")</f>
        <v>3289.0939045774467</v>
      </c>
      <c r="U6" s="85">
        <f>IFERROR(('Activity Data Rep. Mauritius'!M5*'Activity Data Rep. Mauritius'!$F5*'Activity Data Rep. Mauritius'!$J5)/1000,"NA")</f>
        <v>0.43698359999999992</v>
      </c>
      <c r="V6" s="39">
        <f>IFERROR(('Activity Data Rep. Mauritius'!N5*'Activity Data Rep. Mauritius'!$F5*'Activity Data Rep. Mauritius'!$J5)/1000,"NA")</f>
        <v>0.40762619999999999</v>
      </c>
      <c r="W6" s="39">
        <f>IFERROR(('Activity Data Rep. Mauritius'!O5*'Activity Data Rep. Mauritius'!$F5*'Activity Data Rep. Mauritius'!$J5)/1000,"NA")</f>
        <v>0.45218189999999991</v>
      </c>
      <c r="X6" s="39">
        <f>IFERROR(('Activity Data Rep. Mauritius'!P5*'Activity Data Rep. Mauritius'!$F5*'Activity Data Rep. Mauritius'!$J5)/1000,"NA")</f>
        <v>0.50596049999999992</v>
      </c>
      <c r="Y6" s="39">
        <f>IFERROR(('Activity Data Rep. Mauritius'!Q5*'Activity Data Rep. Mauritius'!$F5*'Activity Data Rep. Mauritius'!$J5)/1000,"NA")</f>
        <v>0.51544319999999988</v>
      </c>
      <c r="Z6" s="39">
        <f>IFERROR(('Activity Data Rep. Mauritius'!R5*'Activity Data Rep. Mauritius'!$F5*'Activity Data Rep. Mauritius'!$J5)/1000,"NA")</f>
        <v>0.27616740000000001</v>
      </c>
      <c r="AA6" s="39">
        <f>IFERROR(('Activity Data Rep. Mauritius'!S5*'Activity Data Rep. Mauritius'!$F5*'Activity Data Rep. Mauritius'!$J5)/1000,"NA")</f>
        <v>0.32877689999999993</v>
      </c>
      <c r="AB6" s="39">
        <f>IFERROR(('Activity Data Rep. Mauritius'!T5*'Activity Data Rep. Mauritius'!$F5*'Activity Data Rep. Mauritius'!$J5)/1000,"NA")</f>
        <v>0.35676125699999994</v>
      </c>
      <c r="AC6" s="39">
        <f>IFERROR(('Activity Data Rep. Mauritius'!U5*'Activity Data Rep. Mauritius'!$F5*'Activity Data Rep. Mauritius'!$J5)/1000,"NA")</f>
        <v>0.24688793999999994</v>
      </c>
      <c r="AD6" s="39">
        <f>IFERROR(('Activity Data Rep. Mauritius'!V5*'Activity Data Rep. Mauritius'!$F5*'Activity Data Rep. Mauritius'!$J5)/1000,"NA")</f>
        <v>0.35868294563999997</v>
      </c>
      <c r="AE6" s="39">
        <f>IFERROR(('Activity Data Rep. Mauritius'!W5*'Activity Data Rep. Mauritius'!$F5*'Activity Data Rep. Mauritius'!$J5)/1000,"NA")</f>
        <v>0.25941029999999998</v>
      </c>
      <c r="AF6" s="39">
        <f>IFERROR(('Activity Data Rep. Mauritius'!X5*'Activity Data Rep. Mauritius'!$F5*'Activity Data Rep. Mauritius'!$J5)/1000,"NA")</f>
        <v>0.19783769999999998</v>
      </c>
      <c r="AG6" s="39">
        <f>IFERROR(('Activity Data Rep. Mauritius'!Y5*'Activity Data Rep. Mauritius'!$F5*'Activity Data Rep. Mauritius'!$J5)/1000,"NA")</f>
        <v>0.24122429999999997</v>
      </c>
      <c r="AH6" s="39">
        <f>IFERROR(('Activity Data Rep. Mauritius'!Z5*'Activity Data Rep. Mauritius'!$F5*'Activity Data Rep. Mauritius'!$J5)/1000,"NA")</f>
        <v>0.16484309999999996</v>
      </c>
      <c r="AI6" s="39">
        <f>IFERROR(('Activity Data Rep. Mauritius'!AA5*'Activity Data Rep. Mauritius'!$F5*'Activity Data Rep. Mauritius'!$J5)/1000,"NA")</f>
        <v>0.15964709999999999</v>
      </c>
      <c r="AJ6" s="39">
        <f>IFERROR(('Activity Data Rep. Mauritius'!AB5*'Activity Data Rep. Mauritius'!$F5*'Activity Data Rep. Mauritius'!$J5)/1000,"NA")</f>
        <v>0.14080120800000001</v>
      </c>
      <c r="AK6" s="86">
        <f>IFERROR(('Activity Data Rep. Mauritius'!AC5*'Activity Data Rep. Mauritius'!$F5*'Activity Data Rep. Mauritius'!$J5)/1000,"NA")</f>
        <v>0.13316169654159701</v>
      </c>
      <c r="AL6" s="500">
        <f>IFERROR(('Activity Data Rep. Mauritius'!M5*'Activity Data Rep. Mauritius'!$G5*'Activity Data Rep. Mauritius'!$J5)/1000,"NA")</f>
        <v>8.7396719999999983E-2</v>
      </c>
      <c r="AM6" s="39">
        <f>IFERROR(('Activity Data Rep. Mauritius'!N5*'Activity Data Rep. Mauritius'!$G5*'Activity Data Rep. Mauritius'!$J5)/1000,"NA")</f>
        <v>8.1525239999999985E-2</v>
      </c>
      <c r="AN6" s="39">
        <f>IFERROR(('Activity Data Rep. Mauritius'!O5*'Activity Data Rep. Mauritius'!$G5*'Activity Data Rep. Mauritius'!$J5)/1000,"NA")</f>
        <v>9.0436379999999997E-2</v>
      </c>
      <c r="AO6" s="39">
        <f>IFERROR(('Activity Data Rep. Mauritius'!P5*'Activity Data Rep. Mauritius'!$G5*'Activity Data Rep. Mauritius'!$J5)/1000,"NA")</f>
        <v>0.10119209999999998</v>
      </c>
      <c r="AP6" s="39">
        <f>IFERROR(('Activity Data Rep. Mauritius'!Q5*'Activity Data Rep. Mauritius'!$G5*'Activity Data Rep. Mauritius'!$J5)/1000,"NA")</f>
        <v>0.10308863999999998</v>
      </c>
      <c r="AQ6" s="39">
        <f>IFERROR(('Activity Data Rep. Mauritius'!R5*'Activity Data Rep. Mauritius'!$G5*'Activity Data Rep. Mauritius'!$J5)/1000,"NA")</f>
        <v>5.5233479999999995E-2</v>
      </c>
      <c r="AR6" s="39">
        <f>IFERROR(('Activity Data Rep. Mauritius'!S5*'Activity Data Rep. Mauritius'!$G5*'Activity Data Rep. Mauritius'!$J5)/1000,"NA")</f>
        <v>6.5755379999999988E-2</v>
      </c>
      <c r="AS6" s="39">
        <f>IFERROR(('Activity Data Rep. Mauritius'!T5*'Activity Data Rep. Mauritius'!$G5*'Activity Data Rep. Mauritius'!$J5)/1000,"NA")</f>
        <v>7.1352251399999983E-2</v>
      </c>
      <c r="AT6" s="39">
        <f>IFERROR(('Activity Data Rep. Mauritius'!U5*'Activity Data Rep. Mauritius'!$G5*'Activity Data Rep. Mauritius'!$J5)/1000,"NA")</f>
        <v>4.9377587999999986E-2</v>
      </c>
      <c r="AU6" s="39">
        <f>IFERROR(('Activity Data Rep. Mauritius'!V5*'Activity Data Rep. Mauritius'!$G5*'Activity Data Rep. Mauritius'!$J5)/1000,"NA")</f>
        <v>7.1736589127999989E-2</v>
      </c>
      <c r="AV6" s="39">
        <f>IFERROR(('Activity Data Rep. Mauritius'!W5*'Activity Data Rep. Mauritius'!$G5*'Activity Data Rep. Mauritius'!$J5)/1000,"NA")</f>
        <v>5.1882059999999994E-2</v>
      </c>
      <c r="AW6" s="39">
        <f>IFERROR(('Activity Data Rep. Mauritius'!X5*'Activity Data Rep. Mauritius'!$G5*'Activity Data Rep. Mauritius'!$J5)/1000,"NA")</f>
        <v>3.9567539999999991E-2</v>
      </c>
      <c r="AX6" s="39">
        <f>IFERROR(('Activity Data Rep. Mauritius'!Y5*'Activity Data Rep. Mauritius'!$G5*'Activity Data Rep. Mauritius'!$J5)/1000,"NA")</f>
        <v>4.8244859999999987E-2</v>
      </c>
      <c r="AY6" s="39">
        <f>IFERROR(('Activity Data Rep. Mauritius'!Z5*'Activity Data Rep. Mauritius'!$G5*'Activity Data Rep. Mauritius'!$J5)/1000,"NA")</f>
        <v>3.2968619999999997E-2</v>
      </c>
      <c r="AZ6" s="39">
        <f>IFERROR(('Activity Data Rep. Mauritius'!AA5*'Activity Data Rep. Mauritius'!$G5*'Activity Data Rep. Mauritius'!$J5)/1000,"NA")</f>
        <v>3.192942E-2</v>
      </c>
      <c r="BA6" s="39">
        <f>IFERROR(('Activity Data Rep. Mauritius'!AB5*'Activity Data Rep. Mauritius'!$G5*'Activity Data Rep. Mauritius'!$J5)/1000,"NA")</f>
        <v>2.8160241599999997E-2</v>
      </c>
      <c r="BB6" s="86">
        <f>IFERROR(('Activity Data Rep. Mauritius'!AC5*'Activity Data Rep. Mauritius'!$G5*'Activity Data Rep. Mauritius'!$J5)/1000,"NA")</f>
        <v>2.6632339308319406E-2</v>
      </c>
      <c r="BC6" s="85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86"/>
    </row>
    <row r="7" spans="2:71" x14ac:dyDescent="0.35">
      <c r="B7" s="639"/>
      <c r="C7" s="360" t="s">
        <v>19</v>
      </c>
      <c r="D7" s="195">
        <f>IFERROR(('Activity Data Rep. Mauritius'!M6*'Activity Data Rep. Mauritius'!$E6*'Conversion Factors CF'!H6)/1000,"NA")</f>
        <v>561536.94004000002</v>
      </c>
      <c r="E7" s="39">
        <f>IFERROR(('Activity Data Rep. Mauritius'!N6*'Activity Data Rep. Mauritius'!$E6*'Conversion Factors CF'!I6)/1000,"NA")</f>
        <v>670446.98547199985</v>
      </c>
      <c r="F7" s="39">
        <f>IFERROR(('Activity Data Rep. Mauritius'!O6*'Activity Data Rep. Mauritius'!$E6*'Conversion Factors CF'!J6)/1000,"NA")</f>
        <v>702477.09240800003</v>
      </c>
      <c r="G7" s="39">
        <f>IFERROR(('Activity Data Rep. Mauritius'!P6*'Activity Data Rep. Mauritius'!$E6*'Conversion Factors CF'!K6)/1000,"NA")</f>
        <v>701807.3138479999</v>
      </c>
      <c r="H7" s="39">
        <f>IFERROR(('Activity Data Rep. Mauritius'!Q6*'Activity Data Rep. Mauritius'!$E6*'Conversion Factors CF'!L6)/1000,"NA")</f>
        <v>646906.75231199991</v>
      </c>
      <c r="I7" s="39">
        <f>IFERROR(('Activity Data Rep. Mauritius'!R6*'Activity Data Rep. Mauritius'!$E6*'Conversion Factors CF'!M6)/1000,"NA")</f>
        <v>829602.90245000005</v>
      </c>
      <c r="J7" s="39">
        <f>IFERROR(('Activity Data Rep. Mauritius'!S6*'Activity Data Rep. Mauritius'!$E6*'Conversion Factors CF'!N6)/1000,"NA")</f>
        <v>1125180.6227200001</v>
      </c>
      <c r="K7" s="39">
        <f>IFERROR(('Activity Data Rep. Mauritius'!T6*'Activity Data Rep. Mauritius'!$E6*'Conversion Factors CF'!O6)/1000,"NA")</f>
        <v>1345231.433726928</v>
      </c>
      <c r="L7" s="39">
        <f>IFERROR(('Activity Data Rep. Mauritius'!U6*'Activity Data Rep. Mauritius'!$E6*'Conversion Factors CF'!P6)/1000,"NA")</f>
        <v>1477431.8069238123</v>
      </c>
      <c r="M7" s="39">
        <f>IFERROR(('Activity Data Rep. Mauritius'!V6*'Activity Data Rep. Mauritius'!$E6*'Conversion Factors CF'!Q6)/1000,"NA")</f>
        <v>1377663.337110468</v>
      </c>
      <c r="N7" s="39">
        <f>IFERROR(('Activity Data Rep. Mauritius'!W6*'Activity Data Rep. Mauritius'!$E6*'Conversion Factors CF'!R6)/1000,"NA")</f>
        <v>1557029.5779569296</v>
      </c>
      <c r="O7" s="39">
        <f>IFERROR(('Activity Data Rep. Mauritius'!X6*'Activity Data Rep. Mauritius'!$E6*'Conversion Factors CF'!S6)/1000,"NA")</f>
        <v>1496555.304648784</v>
      </c>
      <c r="P7" s="39">
        <f>IFERROR(('Activity Data Rep. Mauritius'!Y6*'Activity Data Rep. Mauritius'!$E6*'Conversion Factors CF'!T6)/1000,"NA")</f>
        <v>1561677.2920408342</v>
      </c>
      <c r="Q7" s="39">
        <f>IFERROR(('Activity Data Rep. Mauritius'!Z6*'Activity Data Rep. Mauritius'!$E6*'Conversion Factors CF'!U6)/1000,"NA")</f>
        <v>1635503.0193178342</v>
      </c>
      <c r="R7" s="39">
        <f>IFERROR(('Activity Data Rep. Mauritius'!AA6*'Activity Data Rep. Mauritius'!$E6*'Conversion Factors CF'!V6)/1000,"NA")</f>
        <v>1699469.3092771338</v>
      </c>
      <c r="S7" s="39">
        <f>IFERROR(('Activity Data Rep. Mauritius'!AB6*'Activity Data Rep. Mauritius'!$E6*'Conversion Factors CF'!W6)/1000,"NA")</f>
        <v>1619415.4153741177</v>
      </c>
      <c r="T7" s="86">
        <f>IFERROR(('Activity Data Rep. Mauritius'!AC6*'Activity Data Rep. Mauritius'!$E6*'Conversion Factors CF'!X6)/1000,"NA")</f>
        <v>1694338.6496792217</v>
      </c>
      <c r="U7" s="85">
        <f>IFERROR(('Activity Data Rep. Mauritius'!M6*'Activity Data Rep. Mauritius'!$F6*'Conversion Factors CF'!H6)/1000,"NA")</f>
        <v>5.8432564000000005</v>
      </c>
      <c r="V7" s="39">
        <f>IFERROR(('Activity Data Rep. Mauritius'!N6*'Activity Data Rep. Mauritius'!$F6*'Conversion Factors CF'!I6)/1000,"NA")</f>
        <v>6.9765555199999989</v>
      </c>
      <c r="W7" s="39">
        <f>IFERROR(('Activity Data Rep. Mauritius'!O6*'Activity Data Rep. Mauritius'!$F6*'Conversion Factors CF'!J6)/1000,"NA")</f>
        <v>7.3098552800000007</v>
      </c>
      <c r="X7" s="39">
        <f>IFERROR(('Activity Data Rep. Mauritius'!P6*'Activity Data Rep. Mauritius'!$F6*'Conversion Factors CF'!K6)/1000,"NA")</f>
        <v>7.3028856799999993</v>
      </c>
      <c r="Y7" s="39">
        <f>IFERROR(('Activity Data Rep. Mauritius'!Q6*'Activity Data Rep. Mauritius'!$F6*'Conversion Factors CF'!L6)/1000,"NA")</f>
        <v>6.7315999199999998</v>
      </c>
      <c r="Z7" s="39">
        <f>IFERROR(('Activity Data Rep. Mauritius'!R6*'Activity Data Rep. Mauritius'!$F6*'Conversion Factors CF'!M6)/1000,"NA")</f>
        <v>8.6327044999999991</v>
      </c>
      <c r="AA7" s="39">
        <f>IFERROR(('Activity Data Rep. Mauritius'!S6*'Activity Data Rep. Mauritius'!$F6*'Conversion Factors CF'!N6)/1000,"NA")</f>
        <v>11.7084352</v>
      </c>
      <c r="AB7" s="39">
        <f>IFERROR(('Activity Data Rep. Mauritius'!T6*'Activity Data Rep. Mauritius'!$F6*'Conversion Factors CF'!O6)/1000,"NA")</f>
        <v>13.998245928479999</v>
      </c>
      <c r="AC7" s="39">
        <f>IFERROR(('Activity Data Rep. Mauritius'!U6*'Activity Data Rep. Mauritius'!$F6*'Conversion Factors CF'!P6)/1000,"NA")</f>
        <v>15.373900176106265</v>
      </c>
      <c r="AD7" s="39">
        <f>IFERROR(('Activity Data Rep. Mauritius'!V6*'Activity Data Rep. Mauritius'!$F6*'Conversion Factors CF'!Q6)/1000,"NA")</f>
        <v>14.335726712908096</v>
      </c>
      <c r="AE7" s="39">
        <f>IFERROR(('Activity Data Rep. Mauritius'!W6*'Activity Data Rep. Mauritius'!$F6*'Conversion Factors CF'!R6)/1000,"NA")</f>
        <v>16.202180832017998</v>
      </c>
      <c r="AF7" s="39">
        <f>IFERROR(('Activity Data Rep. Mauritius'!X6*'Activity Data Rep. Mauritius'!$F6*'Conversion Factors CF'!S6)/1000,"NA")</f>
        <v>15.572895990101809</v>
      </c>
      <c r="AG7" s="39">
        <f>IFERROR(('Activity Data Rep. Mauritius'!Y6*'Activity Data Rep. Mauritius'!$F6*'Conversion Factors CF'!T6)/1000,"NA")</f>
        <v>16.250544141944165</v>
      </c>
      <c r="AH7" s="39">
        <f>IFERROR(('Activity Data Rep. Mauritius'!Z6*'Activity Data Rep. Mauritius'!$F6*'Conversion Factors CF'!U6)/1000,"NA")</f>
        <v>17.018761907573712</v>
      </c>
      <c r="AI7" s="39">
        <f>IFERROR(('Activity Data Rep. Mauritius'!AA6*'Activity Data Rep. Mauritius'!$F6*'Conversion Factors CF'!V6)/1000,"NA")</f>
        <v>17.684384071562267</v>
      </c>
      <c r="AJ7" s="39">
        <f>IFERROR(('Activity Data Rep. Mauritius'!AB6*'Activity Data Rep. Mauritius'!$F6*'Conversion Factors CF'!W6)/1000,"NA")</f>
        <v>16.851357079855543</v>
      </c>
      <c r="AK7" s="86">
        <f>IFERROR(('Activity Data Rep. Mauritius'!AC6*'Activity Data Rep. Mauritius'!$F6*'Conversion Factors CF'!X6)/1000,"NA")</f>
        <v>17.630995314039769</v>
      </c>
      <c r="AL7" s="500">
        <f>IFERROR(('Activity Data Rep. Mauritius'!M6*'Activity Data Rep. Mauritius'!$G6*'Conversion Factors CF'!H6)/1000,"NA")</f>
        <v>8.764884600000002</v>
      </c>
      <c r="AM7" s="39">
        <f>IFERROR(('Activity Data Rep. Mauritius'!N6*'Activity Data Rep. Mauritius'!$G6*'Conversion Factors CF'!I6)/1000,"NA")</f>
        <v>10.464833279999999</v>
      </c>
      <c r="AN7" s="39">
        <f>IFERROR(('Activity Data Rep. Mauritius'!O6*'Activity Data Rep. Mauritius'!$G6*'Conversion Factors CF'!J6)/1000,"NA")</f>
        <v>10.964782920000001</v>
      </c>
      <c r="AO7" s="39">
        <f>IFERROR(('Activity Data Rep. Mauritius'!P6*'Activity Data Rep. Mauritius'!$G6*'Conversion Factors CF'!K6)/1000,"NA")</f>
        <v>10.954328520000001</v>
      </c>
      <c r="AP7" s="39">
        <f>IFERROR(('Activity Data Rep. Mauritius'!Q6*'Activity Data Rep. Mauritius'!$G6*'Conversion Factors CF'!L6)/1000,"NA")</f>
        <v>10.097399880000001</v>
      </c>
      <c r="AQ7" s="39">
        <f>IFERROR(('Activity Data Rep. Mauritius'!R6*'Activity Data Rep. Mauritius'!$G6*'Conversion Factors CF'!M6)/1000,"NA")</f>
        <v>12.949056750000002</v>
      </c>
      <c r="AR7" s="39">
        <f>IFERROR(('Activity Data Rep. Mauritius'!S6*'Activity Data Rep. Mauritius'!$G6*'Conversion Factors CF'!N6)/1000,"NA")</f>
        <v>17.562652799999999</v>
      </c>
      <c r="AS7" s="39">
        <f>IFERROR(('Activity Data Rep. Mauritius'!T6*'Activity Data Rep. Mauritius'!$G6*'Conversion Factors CF'!O6)/1000,"NA")</f>
        <v>20.997368892719997</v>
      </c>
      <c r="AT7" s="39">
        <f>IFERROR(('Activity Data Rep. Mauritius'!U6*'Activity Data Rep. Mauritius'!$G6*'Conversion Factors CF'!P6)/1000,"NA")</f>
        <v>23.060850264159399</v>
      </c>
      <c r="AU7" s="39">
        <f>IFERROR(('Activity Data Rep. Mauritius'!V6*'Activity Data Rep. Mauritius'!$G6*'Conversion Factors CF'!Q6)/1000,"NA")</f>
        <v>21.503590069362144</v>
      </c>
      <c r="AV7" s="39">
        <f>IFERROR(('Activity Data Rep. Mauritius'!W6*'Activity Data Rep. Mauritius'!$G6*'Conversion Factors CF'!R6)/1000,"NA")</f>
        <v>24.303271248026999</v>
      </c>
      <c r="AW7" s="39">
        <f>IFERROR(('Activity Data Rep. Mauritius'!X6*'Activity Data Rep. Mauritius'!$G6*'Conversion Factors CF'!S6)/1000,"NA")</f>
        <v>23.359343985152716</v>
      </c>
      <c r="AX7" s="39">
        <f>IFERROR(('Activity Data Rep. Mauritius'!Y6*'Activity Data Rep. Mauritius'!$G6*'Conversion Factors CF'!T6)/1000,"NA")</f>
        <v>24.375816212916245</v>
      </c>
      <c r="AY7" s="39">
        <f>IFERROR(('Activity Data Rep. Mauritius'!Z6*'Activity Data Rep. Mauritius'!$G6*'Conversion Factors CF'!U6)/1000,"NA")</f>
        <v>25.528142861360571</v>
      </c>
      <c r="AZ7" s="39">
        <f>IFERROR(('Activity Data Rep. Mauritius'!AA6*'Activity Data Rep. Mauritius'!$G6*'Conversion Factors CF'!V6)/1000,"NA")</f>
        <v>26.526576107343402</v>
      </c>
      <c r="BA7" s="39">
        <f>IFERROR(('Activity Data Rep. Mauritius'!AB6*'Activity Data Rep. Mauritius'!$G6*'Conversion Factors CF'!W6)/1000,"NA")</f>
        <v>25.277035619783312</v>
      </c>
      <c r="BB7" s="86">
        <f>IFERROR(('Activity Data Rep. Mauritius'!AC6*'Activity Data Rep. Mauritius'!$G6*'Conversion Factors CF'!X6)/1000,"NA")</f>
        <v>26.446492971059655</v>
      </c>
      <c r="BC7" s="85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86"/>
    </row>
    <row r="8" spans="2:71" x14ac:dyDescent="0.35">
      <c r="B8" s="639"/>
      <c r="C8" s="360" t="s">
        <v>16</v>
      </c>
      <c r="D8" s="195">
        <f>IFERROR(('Activity Data Rep. Mauritius'!M7*'Activity Data Rep. Mauritius'!$E7*'Conversion Factors CF'!H7)/1000,"NA")</f>
        <v>726286.5</v>
      </c>
      <c r="E8" s="39">
        <f>IFERROR(('Activity Data Rep. Mauritius'!N7*'Activity Data Rep. Mauritius'!$E7*'Conversion Factors CF'!I7)/1000,"NA")</f>
        <v>811175</v>
      </c>
      <c r="F8" s="39">
        <f>IFERROR(('Activity Data Rep. Mauritius'!O7*'Activity Data Rep. Mauritius'!$E7*'Conversion Factors CF'!J7)/1000,"NA")</f>
        <v>852286.06400000001</v>
      </c>
      <c r="G8" s="39">
        <f>IFERROR(('Activity Data Rep. Mauritius'!P7*'Activity Data Rep. Mauritius'!$E7*'Conversion Factors CF'!K7)/1000,"NA")</f>
        <v>741130.15200000012</v>
      </c>
      <c r="H8" s="39">
        <f>IFERROR(('Activity Data Rep. Mauritius'!Q7*'Activity Data Rep. Mauritius'!$E7*'Conversion Factors CF'!L7)/1000,"NA")</f>
        <v>772625.86100000015</v>
      </c>
      <c r="I8" s="39">
        <f>IFERROR(('Activity Data Rep. Mauritius'!R7*'Activity Data Rep. Mauritius'!$E7*'Conversion Factors CF'!M7)/1000,"NA")</f>
        <v>745353.85199999996</v>
      </c>
      <c r="J8" s="39">
        <f>IFERROR(('Activity Data Rep. Mauritius'!S7*'Activity Data Rep. Mauritius'!$E7*'Conversion Factors CF'!N7)/1000,"NA")</f>
        <v>730801.59</v>
      </c>
      <c r="K8" s="39">
        <f>IFERROR(('Activity Data Rep. Mauritius'!T7*'Activity Data Rep. Mauritius'!$E7*'Conversion Factors CF'!O7)/1000,"NA")</f>
        <v>673791.12001656007</v>
      </c>
      <c r="L8" s="39">
        <f>IFERROR(('Activity Data Rep. Mauritius'!U7*'Activity Data Rep. Mauritius'!$E7*'Conversion Factors CF'!P7)/1000,"NA")</f>
        <v>934497.85353338323</v>
      </c>
      <c r="M8" s="39">
        <f>IFERROR(('Activity Data Rep. Mauritius'!V7*'Activity Data Rep. Mauritius'!$E7*'Conversion Factors CF'!Q7)/1000,"NA")</f>
        <v>821767.03449657408</v>
      </c>
      <c r="N8" s="39">
        <f>IFERROR(('Activity Data Rep. Mauritius'!W7*'Activity Data Rep. Mauritius'!$E7*'Conversion Factors CF'!R7)/1000,"NA")</f>
        <v>826941.80816950195</v>
      </c>
      <c r="O8" s="39">
        <f>IFERROR(('Activity Data Rep. Mauritius'!X7*'Activity Data Rep. Mauritius'!$E7*'Conversion Factors CF'!S7)/1000,"NA")</f>
        <v>781040.48810334317</v>
      </c>
      <c r="P8" s="39">
        <f>IFERROR(('Activity Data Rep. Mauritius'!Y7*'Activity Data Rep. Mauritius'!$E7*'Conversion Factors CF'!T7)/1000,"NA")</f>
        <v>758301.92486927041</v>
      </c>
      <c r="Q8" s="39">
        <f>IFERROR(('Activity Data Rep. Mauritius'!Z7*'Activity Data Rep. Mauritius'!$E7*'Conversion Factors CF'!U7)/1000,"NA")</f>
        <v>764357.2116961017</v>
      </c>
      <c r="R8" s="39">
        <f>IFERROR(('Activity Data Rep. Mauritius'!AA7*'Activity Data Rep. Mauritius'!$E7*'Conversion Factors CF'!V7)/1000,"NA")</f>
        <v>744524.10660189076</v>
      </c>
      <c r="S8" s="39">
        <f>IFERROR(('Activity Data Rep. Mauritius'!AB7*'Activity Data Rep. Mauritius'!$E7*'Conversion Factors CF'!W7)/1000,"NA")</f>
        <v>827478.49589556828</v>
      </c>
      <c r="T8" s="86">
        <f>IFERROR(('Activity Data Rep. Mauritius'!AC7*'Activity Data Rep. Mauritius'!$E7*'Conversion Factors CF'!X7)/1000,"NA")</f>
        <v>757740.82833048981</v>
      </c>
      <c r="U8" s="85">
        <f>IFERROR(('Activity Data Rep. Mauritius'!M7*'Activity Data Rep. Mauritius'!$F7*'Conversion Factors CF'!H7)/1000,"NA")</f>
        <v>217.88595000000001</v>
      </c>
      <c r="V8" s="39">
        <f>IFERROR(('Activity Data Rep. Mauritius'!N7*'Activity Data Rep. Mauritius'!$F7*'Conversion Factors CF'!I7)/1000,"NA")</f>
        <v>243.35249999999999</v>
      </c>
      <c r="W8" s="39">
        <f>IFERROR(('Activity Data Rep. Mauritius'!O7*'Activity Data Rep. Mauritius'!$F7*'Conversion Factors CF'!J7)/1000,"NA")</f>
        <v>255.68581919999997</v>
      </c>
      <c r="X8" s="39">
        <f>IFERROR(('Activity Data Rep. Mauritius'!P7*'Activity Data Rep. Mauritius'!$F7*'Conversion Factors CF'!K7)/1000,"NA")</f>
        <v>222.33904560000002</v>
      </c>
      <c r="Y8" s="39">
        <f>IFERROR(('Activity Data Rep. Mauritius'!Q7*'Activity Data Rep. Mauritius'!$F7*'Conversion Factors CF'!L7)/1000,"NA")</f>
        <v>231.78775830000001</v>
      </c>
      <c r="Z8" s="39">
        <f>IFERROR(('Activity Data Rep. Mauritius'!R7*'Activity Data Rep. Mauritius'!$F7*'Conversion Factors CF'!M7)/1000,"NA")</f>
        <v>223.60615559999997</v>
      </c>
      <c r="AA8" s="39">
        <f>IFERROR(('Activity Data Rep. Mauritius'!S7*'Activity Data Rep. Mauritius'!$F7*'Conversion Factors CF'!N7)/1000,"NA")</f>
        <v>219.240477</v>
      </c>
      <c r="AB8" s="39">
        <f>IFERROR(('Activity Data Rep. Mauritius'!T7*'Activity Data Rep. Mauritius'!$F7*'Conversion Factors CF'!O7)/1000,"NA")</f>
        <v>202.13733600496803</v>
      </c>
      <c r="AC8" s="39">
        <f>IFERROR(('Activity Data Rep. Mauritius'!U7*'Activity Data Rep. Mauritius'!$F7*'Conversion Factors CF'!P7)/1000,"NA")</f>
        <v>280.349356060015</v>
      </c>
      <c r="AD8" s="39">
        <f>IFERROR(('Activity Data Rep. Mauritius'!V7*'Activity Data Rep. Mauritius'!$F7*'Conversion Factors CF'!Q7)/1000,"NA")</f>
        <v>246.53011034897219</v>
      </c>
      <c r="AE8" s="39">
        <f>IFERROR(('Activity Data Rep. Mauritius'!W7*'Activity Data Rep. Mauritius'!$F7*'Conversion Factors CF'!R7)/1000,"NA")</f>
        <v>248.08254245085053</v>
      </c>
      <c r="AF8" s="39">
        <f>IFERROR(('Activity Data Rep. Mauritius'!X7*'Activity Data Rep. Mauritius'!$F7*'Conversion Factors CF'!S7)/1000,"NA")</f>
        <v>234.3121464310029</v>
      </c>
      <c r="AG8" s="39">
        <f>IFERROR(('Activity Data Rep. Mauritius'!Y7*'Activity Data Rep. Mauritius'!$F7*'Conversion Factors CF'!T7)/1000,"NA")</f>
        <v>227.49057746078114</v>
      </c>
      <c r="AH8" s="39">
        <f>IFERROR(('Activity Data Rep. Mauritius'!Z7*'Activity Data Rep. Mauritius'!$F7*'Conversion Factors CF'!U7)/1000,"NA")</f>
        <v>229.30716350883051</v>
      </c>
      <c r="AI8" s="39">
        <f>IFERROR(('Activity Data Rep. Mauritius'!AA7*'Activity Data Rep. Mauritius'!$F7*'Conversion Factors CF'!V7)/1000,"NA")</f>
        <v>223.35723198056721</v>
      </c>
      <c r="AJ8" s="39">
        <f>IFERROR(('Activity Data Rep. Mauritius'!AB7*'Activity Data Rep. Mauritius'!$F7*'Conversion Factors CF'!W7)/1000,"NA")</f>
        <v>248.24354876867048</v>
      </c>
      <c r="AK8" s="86">
        <f>IFERROR(('Activity Data Rep. Mauritius'!AC7*'Activity Data Rep. Mauritius'!$F7*'Conversion Factors CF'!X7)/1000,"NA")</f>
        <v>227.32224849914695</v>
      </c>
      <c r="AL8" s="500">
        <f>IFERROR(('Activity Data Rep. Mauritius'!M7*'Activity Data Rep. Mauritius'!$G7*'Conversion Factors CF'!H7)/1000,"NA")</f>
        <v>29.051460000000002</v>
      </c>
      <c r="AM8" s="39">
        <f>IFERROR(('Activity Data Rep. Mauritius'!N7*'Activity Data Rep. Mauritius'!$G7*'Conversion Factors CF'!I7)/1000,"NA")</f>
        <v>32.447000000000003</v>
      </c>
      <c r="AN8" s="39">
        <f>IFERROR(('Activity Data Rep. Mauritius'!O7*'Activity Data Rep. Mauritius'!$G7*'Conversion Factors CF'!J7)/1000,"NA")</f>
        <v>34.091442559999997</v>
      </c>
      <c r="AO8" s="39">
        <f>IFERROR(('Activity Data Rep. Mauritius'!P7*'Activity Data Rep. Mauritius'!$G7*'Conversion Factors CF'!K7)/1000,"NA")</f>
        <v>29.645206080000005</v>
      </c>
      <c r="AP8" s="39">
        <f>IFERROR(('Activity Data Rep. Mauritius'!Q7*'Activity Data Rep. Mauritius'!$G7*'Conversion Factors CF'!L7)/1000,"NA")</f>
        <v>30.905034440000001</v>
      </c>
      <c r="AQ8" s="39">
        <f>IFERROR(('Activity Data Rep. Mauritius'!R7*'Activity Data Rep. Mauritius'!$G7*'Conversion Factors CF'!M7)/1000,"NA")</f>
        <v>29.814154079999998</v>
      </c>
      <c r="AR8" s="39">
        <f>IFERROR(('Activity Data Rep. Mauritius'!S7*'Activity Data Rep. Mauritius'!$G7*'Conversion Factors CF'!N7)/1000,"NA")</f>
        <v>29.232063599999996</v>
      </c>
      <c r="AS8" s="39">
        <f>IFERROR(('Activity Data Rep. Mauritius'!T7*'Activity Data Rep. Mauritius'!$G7*'Conversion Factors CF'!O7)/1000,"NA")</f>
        <v>26.951644800662404</v>
      </c>
      <c r="AT8" s="39">
        <f>IFERROR(('Activity Data Rep. Mauritius'!U7*'Activity Data Rep. Mauritius'!$G7*'Conversion Factors CF'!P7)/1000,"NA")</f>
        <v>37.379914141335327</v>
      </c>
      <c r="AU8" s="39">
        <f>IFERROR(('Activity Data Rep. Mauritius'!V7*'Activity Data Rep. Mauritius'!$G7*'Conversion Factors CF'!Q7)/1000,"NA")</f>
        <v>32.870681379862958</v>
      </c>
      <c r="AV8" s="39">
        <f>IFERROR(('Activity Data Rep. Mauritius'!W7*'Activity Data Rep. Mauritius'!$G7*'Conversion Factors CF'!R7)/1000,"NA")</f>
        <v>33.077672326780075</v>
      </c>
      <c r="AW8" s="39">
        <f>IFERROR(('Activity Data Rep. Mauritius'!X7*'Activity Data Rep. Mauritius'!$G7*'Conversion Factors CF'!S7)/1000,"NA")</f>
        <v>31.241619524133721</v>
      </c>
      <c r="AX8" s="39">
        <f>IFERROR(('Activity Data Rep. Mauritius'!Y7*'Activity Data Rep. Mauritius'!$G7*'Conversion Factors CF'!T7)/1000,"NA")</f>
        <v>30.332076994770823</v>
      </c>
      <c r="AY8" s="39">
        <f>IFERROR(('Activity Data Rep. Mauritius'!Z7*'Activity Data Rep. Mauritius'!$G7*'Conversion Factors CF'!U7)/1000,"NA")</f>
        <v>30.574288467844067</v>
      </c>
      <c r="AZ8" s="39">
        <f>IFERROR(('Activity Data Rep. Mauritius'!AA7*'Activity Data Rep. Mauritius'!$G7*'Conversion Factors CF'!V7)/1000,"NA")</f>
        <v>29.780964264075628</v>
      </c>
      <c r="BA8" s="39">
        <f>IFERROR(('Activity Data Rep. Mauritius'!AB7*'Activity Data Rep. Mauritius'!$G7*'Conversion Factors CF'!W7)/1000,"NA")</f>
        <v>33.099139835822733</v>
      </c>
      <c r="BB8" s="86">
        <f>IFERROR(('Activity Data Rep. Mauritius'!AC7*'Activity Data Rep. Mauritius'!$G7*'Conversion Factors CF'!X7)/1000,"NA")</f>
        <v>30.309633133219592</v>
      </c>
      <c r="BC8" s="85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86"/>
    </row>
    <row r="9" spans="2:71" s="110" customFormat="1" x14ac:dyDescent="0.35">
      <c r="B9" s="643" t="s">
        <v>364</v>
      </c>
      <c r="C9" s="360" t="s">
        <v>63</v>
      </c>
      <c r="D9" s="85">
        <f>IFERROR(('Activity Data Rep. Mauritius'!M8*'Activity Data Rep. Mauritius'!$E8*'Activity Data Rep. Mauritius'!$J8)/1000,"NA")</f>
        <v>80.213250000000002</v>
      </c>
      <c r="E9" s="39">
        <f>IFERROR(('Activity Data Rep. Mauritius'!N8*'Activity Data Rep. Mauritius'!$E8*'Activity Data Rep. Mauritius'!$J8)/1000,"NA")</f>
        <v>80.213250000000002</v>
      </c>
      <c r="F9" s="39">
        <f>IFERROR(('Activity Data Rep. Mauritius'!O8*'Activity Data Rep. Mauritius'!$E8*'Activity Data Rep. Mauritius'!$J8)/1000,"NA")</f>
        <v>80.213250000000002</v>
      </c>
      <c r="G9" s="39">
        <f>IFERROR(('Activity Data Rep. Mauritius'!P8*'Activity Data Rep. Mauritius'!$E8*'Activity Data Rep. Mauritius'!$J8)/1000,"NA")</f>
        <v>80.213250000000002</v>
      </c>
      <c r="H9" s="39">
        <f>IFERROR(('Activity Data Rep. Mauritius'!Q8*'Activity Data Rep. Mauritius'!$E8*'Activity Data Rep. Mauritius'!$J8)/1000,"NA")</f>
        <v>80.213250000000002</v>
      </c>
      <c r="I9" s="39">
        <f>IFERROR(('Activity Data Rep. Mauritius'!R8*'Activity Data Rep. Mauritius'!$E8*'Activity Data Rep. Mauritius'!$J8)/1000,"NA")</f>
        <v>80.213250000000002</v>
      </c>
      <c r="J9" s="39">
        <f>IFERROR(('Activity Data Rep. Mauritius'!S8*'Activity Data Rep. Mauritius'!$E8*'Activity Data Rep. Mauritius'!$J8)/1000,"NA")</f>
        <v>80.213250000000002</v>
      </c>
      <c r="K9" s="39">
        <f>IFERROR(('Activity Data Rep. Mauritius'!T8*'Activity Data Rep. Mauritius'!$E8*'Activity Data Rep. Mauritius'!$J8)/1000,"NA")</f>
        <v>80.213250000000002</v>
      </c>
      <c r="L9" s="39">
        <f>IFERROR(('Activity Data Rep. Mauritius'!U8*'Activity Data Rep. Mauritius'!$E8*'Activity Data Rep. Mauritius'!$J8)/1000,"NA")</f>
        <v>80.213250000000002</v>
      </c>
      <c r="M9" s="39">
        <f>IFERROR(('Activity Data Rep. Mauritius'!V8*'Activity Data Rep. Mauritius'!$E8*'Activity Data Rep. Mauritius'!$J8)/1000,"NA")</f>
        <v>80.213250000000002</v>
      </c>
      <c r="N9" s="39">
        <f>IFERROR(('Activity Data Rep. Mauritius'!W8*'Activity Data Rep. Mauritius'!$E8*'Activity Data Rep. Mauritius'!$J8)/1000,"NA")</f>
        <v>80.213250000000002</v>
      </c>
      <c r="O9" s="39">
        <f>IFERROR(('Activity Data Rep. Mauritius'!X8*'Activity Data Rep. Mauritius'!$E8*'Activity Data Rep. Mauritius'!$J8)/1000,"NA")</f>
        <v>80.213250000000002</v>
      </c>
      <c r="P9" s="39">
        <f>IFERROR(('Activity Data Rep. Mauritius'!Y8*'Activity Data Rep. Mauritius'!$E8*'Activity Data Rep. Mauritius'!$J8)/1000,"NA")</f>
        <v>80.213250000000002</v>
      </c>
      <c r="Q9" s="39">
        <f>IFERROR(('Activity Data Rep. Mauritius'!Z8*'Activity Data Rep. Mauritius'!$E8*'Activity Data Rep. Mauritius'!$J8)/1000,"NA")</f>
        <v>80.213250000000002</v>
      </c>
      <c r="R9" s="39">
        <f>IFERROR(('Activity Data Rep. Mauritius'!AA8*'Activity Data Rep. Mauritius'!$E8*'Activity Data Rep. Mauritius'!$J8)/1000,"NA")</f>
        <v>83.421779999999984</v>
      </c>
      <c r="S9" s="39">
        <f>IFERROR(('Activity Data Rep. Mauritius'!AB8*'Activity Data Rep. Mauritius'!$E8*'Activity Data Rep. Mauritius'!$J8)/1000,"NA")</f>
        <v>83.421779999999984</v>
      </c>
      <c r="T9" s="86">
        <f>IFERROR(('Activity Data Rep. Mauritius'!AC8*'Activity Data Rep. Mauritius'!$E8*'Activity Data Rep. Mauritius'!$J8)/1000,"NA")</f>
        <v>83.421779999999984</v>
      </c>
      <c r="U9" s="85">
        <f>IFERROR(('Activity Data Rep. Mauritius'!M8*'Activity Data Rep. Mauritius'!$F8*'Activity Data Rep. Mauritius'!$J8)/1000,"NA")</f>
        <v>3.2475E-3</v>
      </c>
      <c r="V9" s="39">
        <f>IFERROR(('Activity Data Rep. Mauritius'!N8*'Activity Data Rep. Mauritius'!$F8*'Activity Data Rep. Mauritius'!$J8)/1000,"NA")</f>
        <v>3.2475E-3</v>
      </c>
      <c r="W9" s="39">
        <f>IFERROR(('Activity Data Rep. Mauritius'!O8*'Activity Data Rep. Mauritius'!$F8*'Activity Data Rep. Mauritius'!$J8)/1000,"NA")</f>
        <v>3.2475E-3</v>
      </c>
      <c r="X9" s="39">
        <f>IFERROR(('Activity Data Rep. Mauritius'!P8*'Activity Data Rep. Mauritius'!$F8*'Activity Data Rep. Mauritius'!$J8)/1000,"NA")</f>
        <v>3.2475E-3</v>
      </c>
      <c r="Y9" s="39">
        <f>IFERROR(('Activity Data Rep. Mauritius'!Q8*'Activity Data Rep. Mauritius'!$F8*'Activity Data Rep. Mauritius'!$J8)/1000,"NA")</f>
        <v>3.2475E-3</v>
      </c>
      <c r="Z9" s="39">
        <f>IFERROR(('Activity Data Rep. Mauritius'!R8*'Activity Data Rep. Mauritius'!$F8*'Activity Data Rep. Mauritius'!$J8)/1000,"NA")</f>
        <v>3.2475E-3</v>
      </c>
      <c r="AA9" s="39">
        <f>IFERROR(('Activity Data Rep. Mauritius'!S8*'Activity Data Rep. Mauritius'!$F8*'Activity Data Rep. Mauritius'!$J8)/1000,"NA")</f>
        <v>3.2475E-3</v>
      </c>
      <c r="AB9" s="39">
        <f>IFERROR(('Activity Data Rep. Mauritius'!T8*'Activity Data Rep. Mauritius'!$F8*'Activity Data Rep. Mauritius'!$J8)/1000,"NA")</f>
        <v>3.2475E-3</v>
      </c>
      <c r="AC9" s="39">
        <f>IFERROR(('Activity Data Rep. Mauritius'!U8*'Activity Data Rep. Mauritius'!$F8*'Activity Data Rep. Mauritius'!$J8)/1000,"NA")</f>
        <v>3.2475E-3</v>
      </c>
      <c r="AD9" s="39">
        <f>IFERROR(('Activity Data Rep. Mauritius'!V8*'Activity Data Rep. Mauritius'!$F8*'Activity Data Rep. Mauritius'!$J8)/1000,"NA")</f>
        <v>3.2475E-3</v>
      </c>
      <c r="AE9" s="39">
        <f>IFERROR(('Activity Data Rep. Mauritius'!W8*'Activity Data Rep. Mauritius'!$F8*'Activity Data Rep. Mauritius'!$J8)/1000,"NA")</f>
        <v>3.2475E-3</v>
      </c>
      <c r="AF9" s="39">
        <f>IFERROR(('Activity Data Rep. Mauritius'!X8*'Activity Data Rep. Mauritius'!$F8*'Activity Data Rep. Mauritius'!$J8)/1000,"NA")</f>
        <v>3.2475E-3</v>
      </c>
      <c r="AG9" s="39">
        <f>IFERROR(('Activity Data Rep. Mauritius'!Y8*'Activity Data Rep. Mauritius'!$F8*'Activity Data Rep. Mauritius'!$J8)/1000,"NA")</f>
        <v>3.2475E-3</v>
      </c>
      <c r="AH9" s="39">
        <f>IFERROR(('Activity Data Rep. Mauritius'!Z8*'Activity Data Rep. Mauritius'!$F8*'Activity Data Rep. Mauritius'!$J8)/1000,"NA")</f>
        <v>3.2475E-3</v>
      </c>
      <c r="AI9" s="39">
        <f>IFERROR(('Activity Data Rep. Mauritius'!AA8*'Activity Data Rep. Mauritius'!$F8*'Activity Data Rep. Mauritius'!$J8)/1000,"NA")</f>
        <v>3.3773999999999996E-3</v>
      </c>
      <c r="AJ9" s="39">
        <f>IFERROR(('Activity Data Rep. Mauritius'!AB8*'Activity Data Rep. Mauritius'!$F8*'Activity Data Rep. Mauritius'!$J8)/1000,"NA")</f>
        <v>3.3773999999999996E-3</v>
      </c>
      <c r="AK9" s="86">
        <f>IFERROR(('Activity Data Rep. Mauritius'!AC8*'Activity Data Rep. Mauritius'!$F8*'Activity Data Rep. Mauritius'!$J8)/1000,"NA")</f>
        <v>3.3773999999999996E-3</v>
      </c>
      <c r="AL9" s="500">
        <f>IFERROR(('Activity Data Rep. Mauritius'!M8*'Activity Data Rep. Mauritius'!$G8*'Activity Data Rep. Mauritius'!$J8)/1000,"NA")</f>
        <v>6.4950000000000001E-4</v>
      </c>
      <c r="AM9" s="39">
        <f>IFERROR(('Activity Data Rep. Mauritius'!N8*'Activity Data Rep. Mauritius'!$G8*'Activity Data Rep. Mauritius'!$J8)/1000,"NA")</f>
        <v>6.4950000000000001E-4</v>
      </c>
      <c r="AN9" s="39">
        <f>IFERROR(('Activity Data Rep. Mauritius'!O8*'Activity Data Rep. Mauritius'!$G8*'Activity Data Rep. Mauritius'!$J8)/1000,"NA")</f>
        <v>6.4950000000000001E-4</v>
      </c>
      <c r="AO9" s="39">
        <f>IFERROR(('Activity Data Rep. Mauritius'!P8*'Activity Data Rep. Mauritius'!$G8*'Activity Data Rep. Mauritius'!$J8)/1000,"NA")</f>
        <v>6.4950000000000001E-4</v>
      </c>
      <c r="AP9" s="39">
        <f>IFERROR(('Activity Data Rep. Mauritius'!Q8*'Activity Data Rep. Mauritius'!$G8*'Activity Data Rep. Mauritius'!$J8)/1000,"NA")</f>
        <v>6.4950000000000001E-4</v>
      </c>
      <c r="AQ9" s="39">
        <f>IFERROR(('Activity Data Rep. Mauritius'!R8*'Activity Data Rep. Mauritius'!$G8*'Activity Data Rep. Mauritius'!$J8)/1000,"NA")</f>
        <v>6.4950000000000001E-4</v>
      </c>
      <c r="AR9" s="39">
        <f>IFERROR(('Activity Data Rep. Mauritius'!S8*'Activity Data Rep. Mauritius'!$G8*'Activity Data Rep. Mauritius'!$J8)/1000,"NA")</f>
        <v>6.4950000000000001E-4</v>
      </c>
      <c r="AS9" s="39">
        <f>IFERROR(('Activity Data Rep. Mauritius'!T8*'Activity Data Rep. Mauritius'!$G8*'Activity Data Rep. Mauritius'!$J8)/1000,"NA")</f>
        <v>6.4950000000000001E-4</v>
      </c>
      <c r="AT9" s="39">
        <f>IFERROR(('Activity Data Rep. Mauritius'!U8*'Activity Data Rep. Mauritius'!$G8*'Activity Data Rep. Mauritius'!$J8)/1000,"NA")</f>
        <v>6.4950000000000001E-4</v>
      </c>
      <c r="AU9" s="39">
        <f>IFERROR(('Activity Data Rep. Mauritius'!V8*'Activity Data Rep. Mauritius'!$G8*'Activity Data Rep. Mauritius'!$J8)/1000,"NA")</f>
        <v>6.4950000000000001E-4</v>
      </c>
      <c r="AV9" s="39">
        <f>IFERROR(('Activity Data Rep. Mauritius'!W8*'Activity Data Rep. Mauritius'!$G8*'Activity Data Rep. Mauritius'!$J8)/1000,"NA")</f>
        <v>6.4950000000000001E-4</v>
      </c>
      <c r="AW9" s="39">
        <f>IFERROR(('Activity Data Rep. Mauritius'!X8*'Activity Data Rep. Mauritius'!$G8*'Activity Data Rep. Mauritius'!$J8)/1000,"NA")</f>
        <v>6.4950000000000001E-4</v>
      </c>
      <c r="AX9" s="39">
        <f>IFERROR(('Activity Data Rep. Mauritius'!Y8*'Activity Data Rep. Mauritius'!$G8*'Activity Data Rep. Mauritius'!$J8)/1000,"NA")</f>
        <v>6.4950000000000001E-4</v>
      </c>
      <c r="AY9" s="39">
        <f>IFERROR(('Activity Data Rep. Mauritius'!Z8*'Activity Data Rep. Mauritius'!$G8*'Activity Data Rep. Mauritius'!$J8)/1000,"NA")</f>
        <v>6.4950000000000001E-4</v>
      </c>
      <c r="AZ9" s="39">
        <f>IFERROR(('Activity Data Rep. Mauritius'!AA8*'Activity Data Rep. Mauritius'!$G8*'Activity Data Rep. Mauritius'!$J8)/1000,"NA")</f>
        <v>6.7548E-4</v>
      </c>
      <c r="BA9" s="39">
        <f>IFERROR(('Activity Data Rep. Mauritius'!AB8*'Activity Data Rep. Mauritius'!$G8*'Activity Data Rep. Mauritius'!$J8)/1000,"NA")</f>
        <v>6.7548E-4</v>
      </c>
      <c r="BB9" s="86">
        <f>IFERROR(('Activity Data Rep. Mauritius'!AC8*'Activity Data Rep. Mauritius'!$G8*'Activity Data Rep. Mauritius'!$J8)/1000,"NA")</f>
        <v>6.7548E-4</v>
      </c>
      <c r="BC9" s="85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86"/>
    </row>
    <row r="10" spans="2:71" s="110" customFormat="1" x14ac:dyDescent="0.35">
      <c r="B10" s="638"/>
      <c r="C10" s="432" t="s">
        <v>136</v>
      </c>
      <c r="D10" s="85">
        <f>IFERROR(('Activity Data Rep. Mauritius'!M9*'Activity Data Rep. Mauritius'!$E9*'Activity Data Rep. Mauritius'!$J9)/1000,"NA")</f>
        <v>1692.0287999999998</v>
      </c>
      <c r="E10" s="39">
        <f>IFERROR(('Activity Data Rep. Mauritius'!N9*'Activity Data Rep. Mauritius'!$E9*'Activity Data Rep. Mauritius'!$J9)/1000,"NA")</f>
        <v>1692.0287999999998</v>
      </c>
      <c r="F10" s="39">
        <f>IFERROR(('Activity Data Rep. Mauritius'!O9*'Activity Data Rep. Mauritius'!$E9*'Activity Data Rep. Mauritius'!$J9)/1000,"NA")</f>
        <v>1692.0287999999998</v>
      </c>
      <c r="G10" s="39">
        <f>IFERROR(('Activity Data Rep. Mauritius'!P9*'Activity Data Rep. Mauritius'!$E9*'Activity Data Rep. Mauritius'!$J9)/1000,"NA")</f>
        <v>1692.0287999999998</v>
      </c>
      <c r="H10" s="39">
        <f>IFERROR(('Activity Data Rep. Mauritius'!Q9*'Activity Data Rep. Mauritius'!$E9*'Activity Data Rep. Mauritius'!$J9)/1000,"NA")</f>
        <v>1692.0287999999998</v>
      </c>
      <c r="I10" s="39">
        <f>IFERROR(('Activity Data Rep. Mauritius'!R9*'Activity Data Rep. Mauritius'!$E9*'Activity Data Rep. Mauritius'!$J9)/1000,"NA")</f>
        <v>1692.0287999999998</v>
      </c>
      <c r="J10" s="39">
        <f>IFERROR(('Activity Data Rep. Mauritius'!S9*'Activity Data Rep. Mauritius'!$E9*'Activity Data Rep. Mauritius'!$J9)/1000,"NA")</f>
        <v>1692.0287999999998</v>
      </c>
      <c r="K10" s="39">
        <f>IFERROR(('Activity Data Rep. Mauritius'!T9*'Activity Data Rep. Mauritius'!$E9*'Activity Data Rep. Mauritius'!$J9)/1000,"NA")</f>
        <v>1692.0287999999998</v>
      </c>
      <c r="L10" s="39">
        <f>IFERROR(('Activity Data Rep. Mauritius'!U9*'Activity Data Rep. Mauritius'!$E9*'Activity Data Rep. Mauritius'!$J9)/1000,"NA")</f>
        <v>1692.0287999999998</v>
      </c>
      <c r="M10" s="39">
        <f>IFERROR(('Activity Data Rep. Mauritius'!V9*'Activity Data Rep. Mauritius'!$E9*'Activity Data Rep. Mauritius'!$J9)/1000,"NA")</f>
        <v>1692.0287999999998</v>
      </c>
      <c r="N10" s="39">
        <f>IFERROR(('Activity Data Rep. Mauritius'!W9*'Activity Data Rep. Mauritius'!$E9*'Activity Data Rep. Mauritius'!$J9)/1000,"NA")</f>
        <v>1692.0287999999998</v>
      </c>
      <c r="O10" s="39">
        <f>IFERROR(('Activity Data Rep. Mauritius'!X9*'Activity Data Rep. Mauritius'!$E9*'Activity Data Rep. Mauritius'!$J9)/1000,"NA")</f>
        <v>1692.0287999999998</v>
      </c>
      <c r="P10" s="39">
        <f>IFERROR(('Activity Data Rep. Mauritius'!Y9*'Activity Data Rep. Mauritius'!$E9*'Activity Data Rep. Mauritius'!$J9)/1000,"NA")</f>
        <v>1692.0287999999998</v>
      </c>
      <c r="Q10" s="39">
        <f>IFERROR(('Activity Data Rep. Mauritius'!Z9*'Activity Data Rep. Mauritius'!$E9*'Activity Data Rep. Mauritius'!$J9)/1000,"NA")</f>
        <v>1692.0287999999998</v>
      </c>
      <c r="R10" s="39">
        <f>IFERROR(('Activity Data Rep. Mauritius'!AA9*'Activity Data Rep. Mauritius'!$E9*'Activity Data Rep. Mauritius'!$J9)/1000,"NA")</f>
        <v>1692.0287999999998</v>
      </c>
      <c r="S10" s="39">
        <f>IFERROR(('Activity Data Rep. Mauritius'!AB9*'Activity Data Rep. Mauritius'!$E9*'Activity Data Rep. Mauritius'!$J9)/1000,"NA")</f>
        <v>1695.1334399999998</v>
      </c>
      <c r="T10" s="86">
        <f>IFERROR(('Activity Data Rep. Mauritius'!AC9*'Activity Data Rep. Mauritius'!$E9*'Activity Data Rep. Mauritius'!$J9)/1000,"NA")</f>
        <v>1695.1334399999998</v>
      </c>
      <c r="U10" s="85">
        <f>IFERROR(('Activity Data Rep. Mauritius'!M9*'Activity Data Rep. Mauritius'!$F9*'Activity Data Rep. Mauritius'!$J9)/1000,"NA")</f>
        <v>7.3248000000000008E-2</v>
      </c>
      <c r="V10" s="39">
        <f>IFERROR(('Activity Data Rep. Mauritius'!N9*'Activity Data Rep. Mauritius'!$F9*'Activity Data Rep. Mauritius'!$J9)/1000,"NA")</f>
        <v>7.3248000000000008E-2</v>
      </c>
      <c r="W10" s="39">
        <f>IFERROR(('Activity Data Rep. Mauritius'!O9*'Activity Data Rep. Mauritius'!$F9*'Activity Data Rep. Mauritius'!$J9)/1000,"NA")</f>
        <v>7.3248000000000008E-2</v>
      </c>
      <c r="X10" s="39">
        <f>IFERROR(('Activity Data Rep. Mauritius'!P9*'Activity Data Rep. Mauritius'!$F9*'Activity Data Rep. Mauritius'!$J9)/1000,"NA")</f>
        <v>7.3248000000000008E-2</v>
      </c>
      <c r="Y10" s="39">
        <f>IFERROR(('Activity Data Rep. Mauritius'!Q9*'Activity Data Rep. Mauritius'!$F9*'Activity Data Rep. Mauritius'!$J9)/1000,"NA")</f>
        <v>7.3248000000000008E-2</v>
      </c>
      <c r="Z10" s="39">
        <f>IFERROR(('Activity Data Rep. Mauritius'!R9*'Activity Data Rep. Mauritius'!$F9*'Activity Data Rep. Mauritius'!$J9)/1000,"NA")</f>
        <v>7.3248000000000008E-2</v>
      </c>
      <c r="AA10" s="39">
        <f>IFERROR(('Activity Data Rep. Mauritius'!S9*'Activity Data Rep. Mauritius'!$F9*'Activity Data Rep. Mauritius'!$J9)/1000,"NA")</f>
        <v>7.3248000000000008E-2</v>
      </c>
      <c r="AB10" s="39">
        <f>IFERROR(('Activity Data Rep. Mauritius'!T9*'Activity Data Rep. Mauritius'!$F9*'Activity Data Rep. Mauritius'!$J9)/1000,"NA")</f>
        <v>7.3248000000000008E-2</v>
      </c>
      <c r="AC10" s="39">
        <f>IFERROR(('Activity Data Rep. Mauritius'!U9*'Activity Data Rep. Mauritius'!$F9*'Activity Data Rep. Mauritius'!$J9)/1000,"NA")</f>
        <v>7.3248000000000008E-2</v>
      </c>
      <c r="AD10" s="39">
        <f>IFERROR(('Activity Data Rep. Mauritius'!V9*'Activity Data Rep. Mauritius'!$F9*'Activity Data Rep. Mauritius'!$J9)/1000,"NA")</f>
        <v>7.3248000000000008E-2</v>
      </c>
      <c r="AE10" s="39">
        <f>IFERROR(('Activity Data Rep. Mauritius'!W9*'Activity Data Rep. Mauritius'!$F9*'Activity Data Rep. Mauritius'!$J9)/1000,"NA")</f>
        <v>7.3248000000000008E-2</v>
      </c>
      <c r="AF10" s="39">
        <f>IFERROR(('Activity Data Rep. Mauritius'!X9*'Activity Data Rep. Mauritius'!$F9*'Activity Data Rep. Mauritius'!$J9)/1000,"NA")</f>
        <v>7.3248000000000008E-2</v>
      </c>
      <c r="AG10" s="39">
        <f>IFERROR(('Activity Data Rep. Mauritius'!Y9*'Activity Data Rep. Mauritius'!$F9*'Activity Data Rep. Mauritius'!$J9)/1000,"NA")</f>
        <v>7.3248000000000008E-2</v>
      </c>
      <c r="AH10" s="39">
        <f>IFERROR(('Activity Data Rep. Mauritius'!Z9*'Activity Data Rep. Mauritius'!$F9*'Activity Data Rep. Mauritius'!$J9)/1000,"NA")</f>
        <v>7.3248000000000008E-2</v>
      </c>
      <c r="AI10" s="39">
        <f>IFERROR(('Activity Data Rep. Mauritius'!AA9*'Activity Data Rep. Mauritius'!$F9*'Activity Data Rep. Mauritius'!$J9)/1000,"NA")</f>
        <v>7.3248000000000008E-2</v>
      </c>
      <c r="AJ10" s="39">
        <f>IFERROR(('Activity Data Rep. Mauritius'!AB9*'Activity Data Rep. Mauritius'!$F9*'Activity Data Rep. Mauritius'!$J9)/1000,"NA")</f>
        <v>7.33824E-2</v>
      </c>
      <c r="AK10" s="86">
        <f>IFERROR(('Activity Data Rep. Mauritius'!AC9*'Activity Data Rep. Mauritius'!$F9*'Activity Data Rep. Mauritius'!$J9)/1000,"NA")</f>
        <v>7.33824E-2</v>
      </c>
      <c r="AL10" s="500">
        <f>IFERROR(('Activity Data Rep. Mauritius'!M9*'Activity Data Rep. Mauritius'!$G9*'Activity Data Rep. Mauritius'!$J9)/1000,"NA")</f>
        <v>1.4649599999999999E-2</v>
      </c>
      <c r="AM10" s="39">
        <f>IFERROR(('Activity Data Rep. Mauritius'!N9*'Activity Data Rep. Mauritius'!$G9*'Activity Data Rep. Mauritius'!$J9)/1000,"NA")</f>
        <v>1.4649599999999999E-2</v>
      </c>
      <c r="AN10" s="39">
        <f>IFERROR(('Activity Data Rep. Mauritius'!O9*'Activity Data Rep. Mauritius'!$G9*'Activity Data Rep. Mauritius'!$J9)/1000,"NA")</f>
        <v>1.4649599999999999E-2</v>
      </c>
      <c r="AO10" s="39">
        <f>IFERROR(('Activity Data Rep. Mauritius'!P9*'Activity Data Rep. Mauritius'!$G9*'Activity Data Rep. Mauritius'!$J9)/1000,"NA")</f>
        <v>1.4649599999999999E-2</v>
      </c>
      <c r="AP10" s="39">
        <f>IFERROR(('Activity Data Rep. Mauritius'!Q9*'Activity Data Rep. Mauritius'!$G9*'Activity Data Rep. Mauritius'!$J9)/1000,"NA")</f>
        <v>1.4649599999999999E-2</v>
      </c>
      <c r="AQ10" s="39">
        <f>IFERROR(('Activity Data Rep. Mauritius'!R9*'Activity Data Rep. Mauritius'!$G9*'Activity Data Rep. Mauritius'!$J9)/1000,"NA")</f>
        <v>1.4649599999999999E-2</v>
      </c>
      <c r="AR10" s="39">
        <f>IFERROR(('Activity Data Rep. Mauritius'!S9*'Activity Data Rep. Mauritius'!$G9*'Activity Data Rep. Mauritius'!$J9)/1000,"NA")</f>
        <v>1.4649599999999999E-2</v>
      </c>
      <c r="AS10" s="39">
        <f>IFERROR(('Activity Data Rep. Mauritius'!T9*'Activity Data Rep. Mauritius'!$G9*'Activity Data Rep. Mauritius'!$J9)/1000,"NA")</f>
        <v>1.4649599999999999E-2</v>
      </c>
      <c r="AT10" s="39">
        <f>IFERROR(('Activity Data Rep. Mauritius'!U9*'Activity Data Rep. Mauritius'!$G9*'Activity Data Rep. Mauritius'!$J9)/1000,"NA")</f>
        <v>1.4649599999999999E-2</v>
      </c>
      <c r="AU10" s="39">
        <f>IFERROR(('Activity Data Rep. Mauritius'!V9*'Activity Data Rep. Mauritius'!$G9*'Activity Data Rep. Mauritius'!$J9)/1000,"NA")</f>
        <v>1.4649599999999999E-2</v>
      </c>
      <c r="AV10" s="39">
        <f>IFERROR(('Activity Data Rep. Mauritius'!W9*'Activity Data Rep. Mauritius'!$G9*'Activity Data Rep. Mauritius'!$J9)/1000,"NA")</f>
        <v>1.4649599999999999E-2</v>
      </c>
      <c r="AW10" s="39">
        <f>IFERROR(('Activity Data Rep. Mauritius'!X9*'Activity Data Rep. Mauritius'!$G9*'Activity Data Rep. Mauritius'!$J9)/1000,"NA")</f>
        <v>1.4649599999999999E-2</v>
      </c>
      <c r="AX10" s="39">
        <f>IFERROR(('Activity Data Rep. Mauritius'!Y9*'Activity Data Rep. Mauritius'!$G9*'Activity Data Rep. Mauritius'!$J9)/1000,"NA")</f>
        <v>1.4649599999999999E-2</v>
      </c>
      <c r="AY10" s="39">
        <f>IFERROR(('Activity Data Rep. Mauritius'!Z9*'Activity Data Rep. Mauritius'!$G9*'Activity Data Rep. Mauritius'!$J9)/1000,"NA")</f>
        <v>1.4649599999999999E-2</v>
      </c>
      <c r="AZ10" s="39">
        <f>IFERROR(('Activity Data Rep. Mauritius'!AA9*'Activity Data Rep. Mauritius'!$G9*'Activity Data Rep. Mauritius'!$J9)/1000,"NA")</f>
        <v>1.4649599999999999E-2</v>
      </c>
      <c r="BA10" s="39">
        <f>IFERROR(('Activity Data Rep. Mauritius'!AB9*'Activity Data Rep. Mauritius'!$G9*'Activity Data Rep. Mauritius'!$J9)/1000,"NA")</f>
        <v>1.467648E-2</v>
      </c>
      <c r="BB10" s="86">
        <f>IFERROR(('Activity Data Rep. Mauritius'!AC9*'Activity Data Rep. Mauritius'!$G9*'Activity Data Rep. Mauritius'!$J9)/1000,"NA")</f>
        <v>1.467648E-2</v>
      </c>
      <c r="BC10" s="85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86"/>
    </row>
    <row r="11" spans="2:71" s="110" customFormat="1" x14ac:dyDescent="0.35">
      <c r="B11" s="643" t="s">
        <v>365</v>
      </c>
      <c r="C11" s="360" t="s">
        <v>63</v>
      </c>
      <c r="D11" s="85">
        <f>IFERROR(('Activity Data Rep. Mauritius'!M10*'Activity Data Rep. Mauritius'!$E10*'Activity Data Rep. Mauritius'!$J10)/1000,"NA")</f>
        <v>8429.9904000000006</v>
      </c>
      <c r="E11" s="39">
        <f>IFERROR(('Activity Data Rep. Mauritius'!N10*'Activity Data Rep. Mauritius'!$E10*'Activity Data Rep. Mauritius'!$J10)/1000,"NA")</f>
        <v>7605.8372519999994</v>
      </c>
      <c r="F11" s="39">
        <f>IFERROR(('Activity Data Rep. Mauritius'!O10*'Activity Data Rep. Mauritius'!$E10*'Activity Data Rep. Mauritius'!$J10)/1000,"NA")</f>
        <v>7580.7093960000002</v>
      </c>
      <c r="G11" s="39">
        <f>IFERROR(('Activity Data Rep. Mauritius'!P10*'Activity Data Rep. Mauritius'!$E10*'Activity Data Rep. Mauritius'!$J10)/1000,"NA")</f>
        <v>8363.7258119999988</v>
      </c>
      <c r="H11" s="39">
        <f>IFERROR(('Activity Data Rep. Mauritius'!Q10*'Activity Data Rep. Mauritius'!$E10*'Activity Data Rep. Mauritius'!$J10)/1000,"NA")</f>
        <v>8789.0755680000002</v>
      </c>
      <c r="I11" s="39">
        <f>IFERROR(('Activity Data Rep. Mauritius'!R10*'Activity Data Rep. Mauritius'!$E10*'Activity Data Rep. Mauritius'!$J10)/1000,"NA")</f>
        <v>8334.1397880000004</v>
      </c>
      <c r="J11" s="39">
        <f>IFERROR(('Activity Data Rep. Mauritius'!S10*'Activity Data Rep. Mauritius'!$E10*'Activity Data Rep. Mauritius'!$J10)/1000,"NA")</f>
        <v>10084.983948000001</v>
      </c>
      <c r="K11" s="39">
        <f>IFERROR(('Activity Data Rep. Mauritius'!T10*'Activity Data Rep. Mauritius'!$E10*'Activity Data Rep. Mauritius'!$J10)/1000,"NA")</f>
        <v>9795.0003840000008</v>
      </c>
      <c r="L11" s="39">
        <f>IFERROR(('Activity Data Rep. Mauritius'!U10*'Activity Data Rep. Mauritius'!$E10*'Activity Data Rep. Mauritius'!$J10)/1000,"NA")</f>
        <v>9382.6198439999989</v>
      </c>
      <c r="M11" s="39">
        <f>IFERROR(('Activity Data Rep. Mauritius'!V10*'Activity Data Rep. Mauritius'!$E10*'Activity Data Rep. Mauritius'!$J10)/1000,"NA")</f>
        <v>9297.7120079999986</v>
      </c>
      <c r="N11" s="39">
        <f>IFERROR(('Activity Data Rep. Mauritius'!W10*'Activity Data Rep. Mauritius'!$E10*'Activity Data Rep. Mauritius'!$J10)/1000,"NA")</f>
        <v>9431.6596919999993</v>
      </c>
      <c r="O11" s="39">
        <f>IFERROR(('Activity Data Rep. Mauritius'!X10*'Activity Data Rep. Mauritius'!$E10*'Activity Data Rep. Mauritius'!$J10)/1000,"NA")</f>
        <v>8732.7405359999993</v>
      </c>
      <c r="P11" s="39">
        <f>IFERROR(('Activity Data Rep. Mauritius'!Y10*'Activity Data Rep. Mauritius'!$E10*'Activity Data Rep. Mauritius'!$J10)/1000,"NA")</f>
        <v>8371.2236400000002</v>
      </c>
      <c r="Q11" s="39">
        <f>IFERROR(('Activity Data Rep. Mauritius'!Z10*'Activity Data Rep. Mauritius'!$E10*'Activity Data Rep. Mauritius'!$J10)/1000,"NA")</f>
        <v>7182.3112919999994</v>
      </c>
      <c r="R11" s="39">
        <f>IFERROR(('Activity Data Rep. Mauritius'!AA10*'Activity Data Rep. Mauritius'!$E10*'Activity Data Rep. Mauritius'!$J10)/1000,"NA")</f>
        <v>7314.6378239999995</v>
      </c>
      <c r="S11" s="39">
        <f>IFERROR(('Activity Data Rep. Mauritius'!AB10*'Activity Data Rep. Mauritius'!$E10*'Activity Data Rep. Mauritius'!$J10)/1000,"NA")</f>
        <v>7415.1492479999997</v>
      </c>
      <c r="T11" s="86">
        <f>IFERROR(('Activity Data Rep. Mauritius'!AC10*'Activity Data Rep. Mauritius'!$E10*'Activity Data Rep. Mauritius'!$J10)/1000,"NA")</f>
        <v>7154.3464199999989</v>
      </c>
      <c r="U11" s="85">
        <f>IFERROR(('Activity Data Rep. Mauritius'!M10*'Activity Data Rep. Mauritius'!$F10*'Activity Data Rep. Mauritius'!$J10)/1000,"NA")</f>
        <v>0.3412951578947368</v>
      </c>
      <c r="V11" s="39">
        <f>IFERROR(('Activity Data Rep. Mauritius'!N10*'Activity Data Rep. Mauritius'!$F10*'Activity Data Rep. Mauritius'!$J10)/1000,"NA")</f>
        <v>0.30792863368421047</v>
      </c>
      <c r="W11" s="39">
        <f>IFERROR(('Activity Data Rep. Mauritius'!O10*'Activity Data Rep. Mauritius'!$F10*'Activity Data Rep. Mauritius'!$J10)/1000,"NA")</f>
        <v>0.30691131157894741</v>
      </c>
      <c r="X11" s="39">
        <f>IFERROR(('Activity Data Rep. Mauritius'!P10*'Activity Data Rep. Mauritius'!$F10*'Activity Data Rep. Mauritius'!$J10)/1000,"NA")</f>
        <v>0.33861238105263153</v>
      </c>
      <c r="Y11" s="39">
        <f>IFERROR(('Activity Data Rep. Mauritius'!Q10*'Activity Data Rep. Mauritius'!$F10*'Activity Data Rep. Mauritius'!$J10)/1000,"NA")</f>
        <v>0.35583301894736835</v>
      </c>
      <c r="Z11" s="39">
        <f>IFERROR(('Activity Data Rep. Mauritius'!R10*'Activity Data Rep. Mauritius'!$F10*'Activity Data Rep. Mauritius'!$J10)/1000,"NA")</f>
        <v>0.33741456631578948</v>
      </c>
      <c r="AA11" s="39">
        <f>IFERROR(('Activity Data Rep. Mauritius'!S10*'Activity Data Rep. Mauritius'!$F10*'Activity Data Rep. Mauritius'!$J10)/1000,"NA")</f>
        <v>0.40829894526315791</v>
      </c>
      <c r="AB11" s="39">
        <f>IFERROR(('Activity Data Rep. Mauritius'!T10*'Activity Data Rep. Mauritius'!$F10*'Activity Data Rep. Mauritius'!$J10)/1000,"NA")</f>
        <v>0.39655871999999998</v>
      </c>
      <c r="AC11" s="39">
        <f>IFERROR(('Activity Data Rep. Mauritius'!U10*'Activity Data Rep. Mauritius'!$F10*'Activity Data Rep. Mauritius'!$J10)/1000,"NA")</f>
        <v>0.3798631515789474</v>
      </c>
      <c r="AD11" s="39">
        <f>IFERROR(('Activity Data Rep. Mauritius'!V10*'Activity Data Rep. Mauritius'!$F10*'Activity Data Rep. Mauritius'!$J10)/1000,"NA")</f>
        <v>0.37642558736842102</v>
      </c>
      <c r="AE11" s="39">
        <f>IFERROR(('Activity Data Rep. Mauritius'!W10*'Activity Data Rep. Mauritius'!$F10*'Activity Data Rep. Mauritius'!$J10)/1000,"NA")</f>
        <v>0.38184857052631577</v>
      </c>
      <c r="AF11" s="39">
        <f>IFERROR(('Activity Data Rep. Mauritius'!X10*'Activity Data Rep. Mauritius'!$F10*'Activity Data Rep. Mauritius'!$J10)/1000,"NA")</f>
        <v>0.3535522484210526</v>
      </c>
      <c r="AG11" s="39">
        <f>IFERROR(('Activity Data Rep. Mauritius'!Y10*'Activity Data Rep. Mauritius'!$F10*'Activity Data Rep. Mauritius'!$J10)/1000,"NA")</f>
        <v>0.3389159368421053</v>
      </c>
      <c r="AH11" s="39">
        <f>IFERROR(('Activity Data Rep. Mauritius'!Z10*'Activity Data Rep. Mauritius'!$F10*'Activity Data Rep. Mauritius'!$J10)/1000,"NA")</f>
        <v>0.29078183368421046</v>
      </c>
      <c r="AI11" s="39">
        <f>IFERROR(('Activity Data Rep. Mauritius'!AA10*'Activity Data Rep. Mauritius'!$F10*'Activity Data Rep. Mauritius'!$J10)/1000,"NA")</f>
        <v>0.29613918315789478</v>
      </c>
      <c r="AJ11" s="39">
        <f>IFERROR(('Activity Data Rep. Mauritius'!AB10*'Activity Data Rep. Mauritius'!$F10*'Activity Data Rep. Mauritius'!$J10)/1000,"NA")</f>
        <v>0.30020847157894737</v>
      </c>
      <c r="AK11" s="86">
        <f>IFERROR(('Activity Data Rep. Mauritius'!AC10*'Activity Data Rep. Mauritius'!$F10*'Activity Data Rep. Mauritius'!$J10)/1000,"NA")</f>
        <v>0.28964965263157888</v>
      </c>
      <c r="AL11" s="500">
        <f>IFERROR(('Activity Data Rep. Mauritius'!M10*'Activity Data Rep. Mauritius'!$G10*'Activity Data Rep. Mauritius'!$J10)/1000,"NA")</f>
        <v>6.825903157894736E-2</v>
      </c>
      <c r="AM11" s="39">
        <f>IFERROR(('Activity Data Rep. Mauritius'!N10*'Activity Data Rep. Mauritius'!$G10*'Activity Data Rep. Mauritius'!$J10)/1000,"NA")</f>
        <v>6.1585726736842095E-2</v>
      </c>
      <c r="AN11" s="39">
        <f>IFERROR(('Activity Data Rep. Mauritius'!O10*'Activity Data Rep. Mauritius'!$G10*'Activity Data Rep. Mauritius'!$J10)/1000,"NA")</f>
        <v>6.1382262315789471E-2</v>
      </c>
      <c r="AO11" s="39">
        <f>IFERROR(('Activity Data Rep. Mauritius'!P10*'Activity Data Rep. Mauritius'!$G10*'Activity Data Rep. Mauritius'!$J10)/1000,"NA")</f>
        <v>6.7722476210526308E-2</v>
      </c>
      <c r="AP11" s="39">
        <f>IFERROR(('Activity Data Rep. Mauritius'!Q10*'Activity Data Rep. Mauritius'!$G10*'Activity Data Rep. Mauritius'!$J10)/1000,"NA")</f>
        <v>7.1166603789473676E-2</v>
      </c>
      <c r="AQ11" s="39">
        <f>IFERROR(('Activity Data Rep. Mauritius'!R10*'Activity Data Rep. Mauritius'!$G10*'Activity Data Rep. Mauritius'!$J10)/1000,"NA")</f>
        <v>6.7482913263157904E-2</v>
      </c>
      <c r="AR11" s="39">
        <f>IFERROR(('Activity Data Rep. Mauritius'!S10*'Activity Data Rep. Mauritius'!$G10*'Activity Data Rep. Mauritius'!$J10)/1000,"NA")</f>
        <v>8.1659789052631576E-2</v>
      </c>
      <c r="AS11" s="39">
        <f>IFERROR(('Activity Data Rep. Mauritius'!T10*'Activity Data Rep. Mauritius'!$G10*'Activity Data Rep. Mauritius'!$J10)/1000,"NA")</f>
        <v>7.9311744000000003E-2</v>
      </c>
      <c r="AT11" s="39">
        <f>IFERROR(('Activity Data Rep. Mauritius'!U10*'Activity Data Rep. Mauritius'!$G10*'Activity Data Rep. Mauritius'!$J10)/1000,"NA")</f>
        <v>7.5972630315789463E-2</v>
      </c>
      <c r="AU11" s="39">
        <f>IFERROR(('Activity Data Rep. Mauritius'!V10*'Activity Data Rep. Mauritius'!$G10*'Activity Data Rep. Mauritius'!$J10)/1000,"NA")</f>
        <v>7.5285117473684215E-2</v>
      </c>
      <c r="AV11" s="39">
        <f>IFERROR(('Activity Data Rep. Mauritius'!W10*'Activity Data Rep. Mauritius'!$G10*'Activity Data Rep. Mauritius'!$J10)/1000,"NA")</f>
        <v>7.6369714105263151E-2</v>
      </c>
      <c r="AW11" s="39">
        <f>IFERROR(('Activity Data Rep. Mauritius'!X10*'Activity Data Rep. Mauritius'!$G10*'Activity Data Rep. Mauritius'!$J10)/1000,"NA")</f>
        <v>7.0710449684210516E-2</v>
      </c>
      <c r="AX11" s="39">
        <f>IFERROR(('Activity Data Rep. Mauritius'!Y10*'Activity Data Rep. Mauritius'!$G10*'Activity Data Rep. Mauritius'!$J10)/1000,"NA")</f>
        <v>6.7783187368421052E-2</v>
      </c>
      <c r="AY11" s="39">
        <f>IFERROR(('Activity Data Rep. Mauritius'!Z10*'Activity Data Rep. Mauritius'!$G10*'Activity Data Rep. Mauritius'!$J10)/1000,"NA")</f>
        <v>5.8156366736842095E-2</v>
      </c>
      <c r="AZ11" s="39">
        <f>IFERROR(('Activity Data Rep. Mauritius'!AA10*'Activity Data Rep. Mauritius'!$G10*'Activity Data Rep. Mauritius'!$J10)/1000,"NA")</f>
        <v>5.9227836631578948E-2</v>
      </c>
      <c r="BA11" s="39">
        <f>IFERROR(('Activity Data Rep. Mauritius'!AB10*'Activity Data Rep. Mauritius'!$G10*'Activity Data Rep. Mauritius'!$J10)/1000,"NA")</f>
        <v>6.0041694315789464E-2</v>
      </c>
      <c r="BB11" s="86">
        <f>IFERROR(('Activity Data Rep. Mauritius'!AC10*'Activity Data Rep. Mauritius'!$G10*'Activity Data Rep. Mauritius'!$J10)/1000,"NA")</f>
        <v>5.792993052631578E-2</v>
      </c>
      <c r="BC11" s="85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86"/>
    </row>
    <row r="12" spans="2:71" s="110" customFormat="1" x14ac:dyDescent="0.35">
      <c r="B12" s="641"/>
      <c r="C12" s="360" t="s">
        <v>125</v>
      </c>
      <c r="D12" s="85">
        <f>IFERROR(('Activity Data Rep. Mauritius'!M11*'Activity Data Rep. Mauritius'!$E11*'Activity Data Rep. Mauritius'!$J11)/1000,"NA")</f>
        <v>423.47307961538456</v>
      </c>
      <c r="E12" s="39">
        <f>IFERROR(('Activity Data Rep. Mauritius'!N11*'Activity Data Rep. Mauritius'!$E11*'Activity Data Rep. Mauritius'!$J11)/1000,"NA")</f>
        <v>418.99613461538456</v>
      </c>
      <c r="F12" s="39">
        <f>IFERROR(('Activity Data Rep. Mauritius'!O11*'Activity Data Rep. Mauritius'!$E11*'Activity Data Rep. Mauritius'!$J11)/1000,"NA")</f>
        <v>402.00670230769231</v>
      </c>
      <c r="G12" s="39">
        <f>IFERROR(('Activity Data Rep. Mauritius'!P11*'Activity Data Rep. Mauritius'!$E11*'Activity Data Rep. Mauritius'!$J11)/1000,"NA")</f>
        <v>340.24781999999999</v>
      </c>
      <c r="H12" s="39">
        <f>IFERROR(('Activity Data Rep. Mauritius'!Q11*'Activity Data Rep. Mauritius'!$E11*'Activity Data Rep. Mauritius'!$J11)/1000,"NA")</f>
        <v>316.37077999999997</v>
      </c>
      <c r="I12" s="39">
        <f>IFERROR(('Activity Data Rep. Mauritius'!R11*'Activity Data Rep. Mauritius'!$E11*'Activity Data Rep. Mauritius'!$J11)/1000,"NA")</f>
        <v>448.15367384615382</v>
      </c>
      <c r="J12" s="39">
        <f>IFERROR(('Activity Data Rep. Mauritius'!S11*'Activity Data Rep. Mauritius'!$E11*'Activity Data Rep. Mauritius'!$J11)/1000,"NA")</f>
        <v>455.15607499999993</v>
      </c>
      <c r="K12" s="39">
        <f>IFERROR(('Activity Data Rep. Mauritius'!T11*'Activity Data Rep. Mauritius'!$E11*'Activity Data Rep. Mauritius'!$J11)/1000,"NA")</f>
        <v>466.97980153846157</v>
      </c>
      <c r="L12" s="39">
        <f>IFERROR(('Activity Data Rep. Mauritius'!U11*'Activity Data Rep. Mauritius'!$E11*'Activity Data Rep. Mauritius'!$J11)/1000,"NA")</f>
        <v>564.7838307692308</v>
      </c>
      <c r="M12" s="39">
        <f>IFERROR(('Activity Data Rep. Mauritius'!V11*'Activity Data Rep. Mauritius'!$E11*'Activity Data Rep. Mauritius'!$J11)/1000,"NA")</f>
        <v>574.77086192307695</v>
      </c>
      <c r="N12" s="39">
        <f>IFERROR(('Activity Data Rep. Mauritius'!W11*'Activity Data Rep. Mauritius'!$E11*'Activity Data Rep. Mauritius'!$J11)/1000,"NA")</f>
        <v>587.97210999999993</v>
      </c>
      <c r="O12" s="39">
        <f>IFERROR(('Activity Data Rep. Mauritius'!X11*'Activity Data Rep. Mauritius'!$E11*'Activity Data Rep. Mauritius'!$J11)/1000,"NA")</f>
        <v>601.28815153846153</v>
      </c>
      <c r="P12" s="39">
        <f>IFERROR(('Activity Data Rep. Mauritius'!Y11*'Activity Data Rep. Mauritius'!$E11*'Activity Data Rep. Mauritius'!$J11)/1000,"NA")</f>
        <v>627.11668038461528</v>
      </c>
      <c r="Q12" s="39">
        <f>IFERROR(('Activity Data Rep. Mauritius'!Z11*'Activity Data Rep. Mauritius'!$E11*'Activity Data Rep. Mauritius'!$J11)/1000,"NA")</f>
        <v>614.48939961538463</v>
      </c>
      <c r="R12" s="39">
        <f>IFERROR(('Activity Data Rep. Mauritius'!AA11*'Activity Data Rep. Mauritius'!$E11*'Activity Data Rep. Mauritius'!$J11)/1000,"NA")</f>
        <v>622.98411576923081</v>
      </c>
      <c r="S12" s="39">
        <f>IFERROR(('Activity Data Rep. Mauritius'!AB11*'Activity Data Rep. Mauritius'!$E11*'Activity Data Rep. Mauritius'!$J11)/1000,"NA")</f>
        <v>651.10851384615387</v>
      </c>
      <c r="T12" s="86">
        <f>IFERROR(('Activity Data Rep. Mauritius'!AC11*'Activity Data Rep. Mauritius'!$E11*'Activity Data Rep. Mauritius'!$J11)/1000,"NA")</f>
        <v>642.9581780769231</v>
      </c>
      <c r="U12" s="85">
        <f>IFERROR(('Activity Data Rep. Mauritius'!M11*'Activity Data Rep. Mauritius'!$F11*'Activity Data Rep. Mauritius'!$J11)/1000,"NA")</f>
        <v>6.7111423076923081E-3</v>
      </c>
      <c r="V12" s="39">
        <f>IFERROR(('Activity Data Rep. Mauritius'!N11*'Activity Data Rep. Mauritius'!$F11*'Activity Data Rep. Mauritius'!$J11)/1000,"NA")</f>
        <v>6.640192307692307E-3</v>
      </c>
      <c r="W12" s="39">
        <f>IFERROR(('Activity Data Rep. Mauritius'!O11*'Activity Data Rep. Mauritius'!$F11*'Activity Data Rep. Mauritius'!$J11)/1000,"NA")</f>
        <v>6.3709461538461534E-3</v>
      </c>
      <c r="X12" s="39">
        <f>IFERROR(('Activity Data Rep. Mauritius'!P11*'Activity Data Rep. Mauritius'!$F11*'Activity Data Rep. Mauritius'!$J11)/1000,"NA")</f>
        <v>5.3921999999999998E-3</v>
      </c>
      <c r="Y12" s="39">
        <f>IFERROR(('Activity Data Rep. Mauritius'!Q11*'Activity Data Rep. Mauritius'!$F11*'Activity Data Rep. Mauritius'!$J11)/1000,"NA")</f>
        <v>5.0137999999999997E-3</v>
      </c>
      <c r="Z12" s="39">
        <f>IFERROR(('Activity Data Rep. Mauritius'!R11*'Activity Data Rep. Mauritius'!$F11*'Activity Data Rep. Mauritius'!$J11)/1000,"NA")</f>
        <v>7.1022769230769233E-3</v>
      </c>
      <c r="AA12" s="39">
        <f>IFERROR(('Activity Data Rep. Mauritius'!S11*'Activity Data Rep. Mauritius'!$F11*'Activity Data Rep. Mauritius'!$J11)/1000,"NA")</f>
        <v>7.2132499999999992E-3</v>
      </c>
      <c r="AB12" s="39">
        <f>IFERROR(('Activity Data Rep. Mauritius'!T11*'Activity Data Rep. Mauritius'!$F11*'Activity Data Rep. Mauritius'!$J11)/1000,"NA")</f>
        <v>7.4006307692307703E-3</v>
      </c>
      <c r="AC12" s="39">
        <f>IFERROR(('Activity Data Rep. Mauritius'!U11*'Activity Data Rep. Mauritius'!$F11*'Activity Data Rep. Mauritius'!$J11)/1000,"NA")</f>
        <v>8.950615384615385E-3</v>
      </c>
      <c r="AD12" s="39">
        <f>IFERROR(('Activity Data Rep. Mauritius'!V11*'Activity Data Rep. Mauritius'!$F11*'Activity Data Rep. Mauritius'!$J11)/1000,"NA")</f>
        <v>9.108888461538461E-3</v>
      </c>
      <c r="AE12" s="39">
        <f>IFERROR(('Activity Data Rep. Mauritius'!W11*'Activity Data Rep. Mauritius'!$F11*'Activity Data Rep. Mauritius'!$J11)/1000,"NA")</f>
        <v>9.3180999999999993E-3</v>
      </c>
      <c r="AF12" s="39">
        <f>IFERROR(('Activity Data Rep. Mauritius'!X11*'Activity Data Rep. Mauritius'!$F11*'Activity Data Rep. Mauritius'!$J11)/1000,"NA")</f>
        <v>9.5291307692307679E-3</v>
      </c>
      <c r="AG12" s="39">
        <f>IFERROR(('Activity Data Rep. Mauritius'!Y11*'Activity Data Rep. Mauritius'!$F11*'Activity Data Rep. Mauritius'!$J11)/1000,"NA")</f>
        <v>9.9384576923076916E-3</v>
      </c>
      <c r="AH12" s="39">
        <f>IFERROR(('Activity Data Rep. Mauritius'!Z11*'Activity Data Rep. Mauritius'!$F11*'Activity Data Rep. Mauritius'!$J11)/1000,"NA")</f>
        <v>9.7383423076923062E-3</v>
      </c>
      <c r="AI12" s="39">
        <f>IFERROR(('Activity Data Rep. Mauritius'!AA11*'Activity Data Rep. Mauritius'!$F11*'Activity Data Rep. Mauritius'!$J11)/1000,"NA")</f>
        <v>9.8729653846153856E-3</v>
      </c>
      <c r="AJ12" s="39">
        <f>IFERROR(('Activity Data Rep. Mauritius'!AB11*'Activity Data Rep. Mauritius'!$F11*'Activity Data Rep. Mauritius'!$J11)/1000,"NA")</f>
        <v>1.0318676923076923E-2</v>
      </c>
      <c r="AK12" s="86">
        <f>IFERROR(('Activity Data Rep. Mauritius'!AC11*'Activity Data Rep. Mauritius'!$F11*'Activity Data Rep. Mauritius'!$J11)/1000,"NA")</f>
        <v>1.0189511538461538E-2</v>
      </c>
      <c r="AL12" s="500">
        <f>IFERROR(('Activity Data Rep. Mauritius'!M11*'Activity Data Rep. Mauritius'!$G11*'Activity Data Rep. Mauritius'!$J11)/1000,"NA")</f>
        <v>6.7111423076923076E-4</v>
      </c>
      <c r="AM12" s="39">
        <f>IFERROR(('Activity Data Rep. Mauritius'!N11*'Activity Data Rep. Mauritius'!$G11*'Activity Data Rep. Mauritius'!$J11)/1000,"NA")</f>
        <v>6.6401923076923072E-4</v>
      </c>
      <c r="AN12" s="39">
        <f>IFERROR(('Activity Data Rep. Mauritius'!O11*'Activity Data Rep. Mauritius'!$G11*'Activity Data Rep. Mauritius'!$J11)/1000,"NA")</f>
        <v>6.3709461538461539E-4</v>
      </c>
      <c r="AO12" s="39">
        <f>IFERROR(('Activity Data Rep. Mauritius'!P11*'Activity Data Rep. Mauritius'!$G11*'Activity Data Rep. Mauritius'!$J11)/1000,"NA")</f>
        <v>5.3922000000000009E-4</v>
      </c>
      <c r="AP12" s="39">
        <f>IFERROR(('Activity Data Rep. Mauritius'!Q11*'Activity Data Rep. Mauritius'!$G11*'Activity Data Rep. Mauritius'!$J11)/1000,"NA")</f>
        <v>5.0137999999999995E-4</v>
      </c>
      <c r="AQ12" s="39">
        <f>IFERROR(('Activity Data Rep. Mauritius'!R11*'Activity Data Rep. Mauritius'!$G11*'Activity Data Rep. Mauritius'!$J11)/1000,"NA")</f>
        <v>7.1022769230769231E-4</v>
      </c>
      <c r="AR12" s="39">
        <f>IFERROR(('Activity Data Rep. Mauritius'!S11*'Activity Data Rep. Mauritius'!$G11*'Activity Data Rep. Mauritius'!$J11)/1000,"NA")</f>
        <v>7.2132499999999998E-4</v>
      </c>
      <c r="AS12" s="39">
        <f>IFERROR(('Activity Data Rep. Mauritius'!T11*'Activity Data Rep. Mauritius'!$G11*'Activity Data Rep. Mauritius'!$J11)/1000,"NA")</f>
        <v>7.4006307692307696E-4</v>
      </c>
      <c r="AT12" s="39">
        <f>IFERROR(('Activity Data Rep. Mauritius'!U11*'Activity Data Rep. Mauritius'!$G11*'Activity Data Rep. Mauritius'!$J11)/1000,"NA")</f>
        <v>8.9506153846153865E-4</v>
      </c>
      <c r="AU12" s="39">
        <f>IFERROR(('Activity Data Rep. Mauritius'!V11*'Activity Data Rep. Mauritius'!$G11*'Activity Data Rep. Mauritius'!$J11)/1000,"NA")</f>
        <v>9.108888461538461E-4</v>
      </c>
      <c r="AV12" s="39">
        <f>IFERROR(('Activity Data Rep. Mauritius'!W11*'Activity Data Rep. Mauritius'!$G11*'Activity Data Rep. Mauritius'!$J11)/1000,"NA")</f>
        <v>9.3181000000000004E-4</v>
      </c>
      <c r="AW12" s="39">
        <f>IFERROR(('Activity Data Rep. Mauritius'!X11*'Activity Data Rep. Mauritius'!$G11*'Activity Data Rep. Mauritius'!$J11)/1000,"NA")</f>
        <v>9.5291307692307696E-4</v>
      </c>
      <c r="AX12" s="39">
        <f>IFERROR(('Activity Data Rep. Mauritius'!Y11*'Activity Data Rep. Mauritius'!$G11*'Activity Data Rep. Mauritius'!$J11)/1000,"NA")</f>
        <v>9.9384576923076929E-4</v>
      </c>
      <c r="AY12" s="39">
        <f>IFERROR(('Activity Data Rep. Mauritius'!Z11*'Activity Data Rep. Mauritius'!$G11*'Activity Data Rep. Mauritius'!$J11)/1000,"NA")</f>
        <v>9.7383423076923079E-4</v>
      </c>
      <c r="AZ12" s="39">
        <f>IFERROR(('Activity Data Rep. Mauritius'!AA11*'Activity Data Rep. Mauritius'!$G11*'Activity Data Rep. Mauritius'!$J11)/1000,"NA")</f>
        <v>9.8729653846153852E-4</v>
      </c>
      <c r="BA12" s="39">
        <f>IFERROR(('Activity Data Rep. Mauritius'!AB11*'Activity Data Rep. Mauritius'!$G11*'Activity Data Rep. Mauritius'!$J11)/1000,"NA")</f>
        <v>1.0318676923076924E-3</v>
      </c>
      <c r="BB12" s="86">
        <f>IFERROR(('Activity Data Rep. Mauritius'!AC11*'Activity Data Rep. Mauritius'!$G11*'Activity Data Rep. Mauritius'!$J11)/1000,"NA")</f>
        <v>1.0189511538461538E-3</v>
      </c>
      <c r="BC12" s="85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86"/>
    </row>
    <row r="13" spans="2:71" s="110" customFormat="1" x14ac:dyDescent="0.35">
      <c r="B13" s="641"/>
      <c r="C13" s="360" t="s">
        <v>18</v>
      </c>
      <c r="D13" s="85">
        <f>IFERROR(('Activity Data Rep. Mauritius'!M12*'Activity Data Rep. Mauritius'!$E12*'Activity Data Rep. Mauritius'!$J12)/1000,"NA")</f>
        <v>5025.7390660481915</v>
      </c>
      <c r="E13" s="39">
        <f>IFERROR(('Activity Data Rep. Mauritius'!N12*'Activity Data Rep. Mauritius'!$E12*'Activity Data Rep. Mauritius'!$J12)/1000,"NA")</f>
        <v>6305.6727802951791</v>
      </c>
      <c r="F13" s="39">
        <f>IFERROR(('Activity Data Rep. Mauritius'!O12*'Activity Data Rep. Mauritius'!$E12*'Activity Data Rep. Mauritius'!$J12)/1000,"NA")</f>
        <v>6389.8108188777087</v>
      </c>
      <c r="G13" s="39">
        <f>IFERROR(('Activity Data Rep. Mauritius'!P12*'Activity Data Rep. Mauritius'!$E12*'Activity Data Rep. Mauritius'!$J12)/1000,"NA")</f>
        <v>5752.8347369204812</v>
      </c>
      <c r="H13" s="39">
        <f>IFERROR(('Activity Data Rep. Mauritius'!Q12*'Activity Data Rep. Mauritius'!$E12*'Activity Data Rep. Mauritius'!$J12)/1000,"NA")</f>
        <v>5157.2252356134941</v>
      </c>
      <c r="I13" s="39">
        <f>IFERROR(('Activity Data Rep. Mauritius'!R12*'Activity Data Rep. Mauritius'!$E12*'Activity Data Rep. Mauritius'!$J12)/1000,"NA")</f>
        <v>4784.6027586860237</v>
      </c>
      <c r="J13" s="39">
        <f>IFERROR(('Activity Data Rep. Mauritius'!S12*'Activity Data Rep. Mauritius'!$E12*'Activity Data Rep. Mauritius'!$J12)/1000,"NA")</f>
        <v>6042.6026225783125</v>
      </c>
      <c r="K13" s="39">
        <f>IFERROR(('Activity Data Rep. Mauritius'!T12*'Activity Data Rep. Mauritius'!$E12*'Activity Data Rep. Mauritius'!$J12)/1000,"NA")</f>
        <v>6265.0713208857833</v>
      </c>
      <c r="L13" s="39">
        <f>IFERROR(('Activity Data Rep. Mauritius'!U12*'Activity Data Rep. Mauritius'!$E12*'Activity Data Rep. Mauritius'!$J12)/1000,"NA")</f>
        <v>5651.8769610824093</v>
      </c>
      <c r="M13" s="39">
        <f>IFERROR(('Activity Data Rep. Mauritius'!V12*'Activity Data Rep. Mauritius'!$E12*'Activity Data Rep. Mauritius'!$J12)/1000,"NA")</f>
        <v>4843.4906719691571</v>
      </c>
      <c r="N13" s="39">
        <f>IFERROR(('Activity Data Rep. Mauritius'!W12*'Activity Data Rep. Mauritius'!$E12*'Activity Data Rep. Mauritius'!$J12)/1000,"NA")</f>
        <v>4662.9108156144575</v>
      </c>
      <c r="O13" s="39">
        <f>IFERROR(('Activity Data Rep. Mauritius'!X12*'Activity Data Rep. Mauritius'!$E12*'Activity Data Rep. Mauritius'!$J12)/1000,"NA")</f>
        <v>4532.9357745542166</v>
      </c>
      <c r="P13" s="39">
        <f>IFERROR(('Activity Data Rep. Mauritius'!Y12*'Activity Data Rep. Mauritius'!$E12*'Activity Data Rep. Mauritius'!$J12)/1000,"NA")</f>
        <v>4379.6866560722883</v>
      </c>
      <c r="Q13" s="39">
        <f>IFERROR(('Activity Data Rep. Mauritius'!Z12*'Activity Data Rep. Mauritius'!$E12*'Activity Data Rep. Mauritius'!$J12)/1000,"NA")</f>
        <v>4405.4343069397582</v>
      </c>
      <c r="R13" s="39">
        <f>IFERROR(('Activity Data Rep. Mauritius'!AA12*'Activity Data Rep. Mauritius'!$E12*'Activity Data Rep. Mauritius'!$J12)/1000,"NA")</f>
        <v>4550.9253996144571</v>
      </c>
      <c r="S13" s="39">
        <f>IFERROR(('Activity Data Rep. Mauritius'!AB12*'Activity Data Rep. Mauritius'!$E12*'Activity Data Rep. Mauritius'!$J12)/1000,"NA")</f>
        <v>4182.9251319759032</v>
      </c>
      <c r="T13" s="86">
        <f>IFERROR(('Activity Data Rep. Mauritius'!AC12*'Activity Data Rep. Mauritius'!$E12*'Activity Data Rep. Mauritius'!$J12)/1000,"NA")</f>
        <v>4136.3769771325287</v>
      </c>
      <c r="U13" s="85">
        <f>IFERROR(('Activity Data Rep. Mauritius'!M12*'Activity Data Rep. Mauritius'!$F12*'Activity Data Rep. Mauritius'!$J12)/1000,"NA")</f>
        <v>0.19479608783132527</v>
      </c>
      <c r="V13" s="39">
        <f>IFERROR(('Activity Data Rep. Mauritius'!N12*'Activity Data Rep. Mauritius'!$F12*'Activity Data Rep. Mauritius'!$J12)/1000,"NA")</f>
        <v>0.24440592171686745</v>
      </c>
      <c r="W13" s="39">
        <f>IFERROR(('Activity Data Rep. Mauritius'!O12*'Activity Data Rep. Mauritius'!$F12*'Activity Data Rep. Mauritius'!$J12)/1000,"NA")</f>
        <v>0.24766708600301196</v>
      </c>
      <c r="X13" s="39">
        <f>IFERROR(('Activity Data Rep. Mauritius'!P12*'Activity Data Rep. Mauritius'!$F12*'Activity Data Rep. Mauritius'!$J12)/1000,"NA")</f>
        <v>0.22297809057831322</v>
      </c>
      <c r="Y13" s="39">
        <f>IFERROR(('Activity Data Rep. Mauritius'!Q12*'Activity Data Rep. Mauritius'!$F12*'Activity Data Rep. Mauritius'!$J12)/1000,"NA")</f>
        <v>0.19989245099277109</v>
      </c>
      <c r="Z13" s="39">
        <f>IFERROR(('Activity Data Rep. Mauritius'!R12*'Activity Data Rep. Mauritius'!$F12*'Activity Data Rep. Mauritius'!$J12)/1000,"NA")</f>
        <v>0.18544971932891566</v>
      </c>
      <c r="AA13" s="39">
        <f>IFERROR(('Activity Data Rep. Mauritius'!S12*'Activity Data Rep. Mauritius'!$F12*'Activity Data Rep. Mauritius'!$J12)/1000,"NA")</f>
        <v>0.23420940397590359</v>
      </c>
      <c r="AB13" s="39">
        <f>IFERROR(('Activity Data Rep. Mauritius'!T12*'Activity Data Rep. Mauritius'!$F12*'Activity Data Rep. Mauritius'!$J12)/1000,"NA")</f>
        <v>0.24283222173975905</v>
      </c>
      <c r="AC13" s="39">
        <f>IFERROR(('Activity Data Rep. Mauritius'!U12*'Activity Data Rep. Mauritius'!$F12*'Activity Data Rep. Mauritius'!$J12)/1000,"NA")</f>
        <v>0.21906499849156622</v>
      </c>
      <c r="AD13" s="39">
        <f>IFERROR(('Activity Data Rep. Mauritius'!V12*'Activity Data Rep. Mauritius'!$F12*'Activity Data Rep. Mauritius'!$J12)/1000,"NA")</f>
        <v>0.18773219658795182</v>
      </c>
      <c r="AE13" s="39">
        <f>IFERROR(('Activity Data Rep. Mauritius'!W12*'Activity Data Rep. Mauritius'!$F12*'Activity Data Rep. Mauritius'!$J12)/1000,"NA")</f>
        <v>0.18073297734939758</v>
      </c>
      <c r="AF13" s="39">
        <f>IFERROR(('Activity Data Rep. Mauritius'!X12*'Activity Data Rep. Mauritius'!$F12*'Activity Data Rep. Mauritius'!$J12)/1000,"NA")</f>
        <v>0.17569518506024093</v>
      </c>
      <c r="AG13" s="39">
        <f>IFERROR(('Activity Data Rep. Mauritius'!Y12*'Activity Data Rep. Mauritius'!$F12*'Activity Data Rep. Mauritius'!$J12)/1000,"NA")</f>
        <v>0.16975529674698794</v>
      </c>
      <c r="AH13" s="39">
        <f>IFERROR(('Activity Data Rep. Mauritius'!Z12*'Activity Data Rep. Mauritius'!$F12*'Activity Data Rep. Mauritius'!$J12)/1000,"NA")</f>
        <v>0.17075326771084334</v>
      </c>
      <c r="AI13" s="39">
        <f>IFERROR(('Activity Data Rep. Mauritius'!AA12*'Activity Data Rep. Mauritius'!$F12*'Activity Data Rep. Mauritius'!$J12)/1000,"NA")</f>
        <v>0.17639245734939757</v>
      </c>
      <c r="AJ13" s="39">
        <f>IFERROR(('Activity Data Rep. Mauritius'!AB12*'Activity Data Rep. Mauritius'!$F12*'Activity Data Rep. Mauritius'!$J12)/1000,"NA")</f>
        <v>0.16212888108433735</v>
      </c>
      <c r="AK13" s="86">
        <f>IFERROR(('Activity Data Rep. Mauritius'!AC12*'Activity Data Rep. Mauritius'!$F12*'Activity Data Rep. Mauritius'!$J12)/1000,"NA")</f>
        <v>0.16032468903614455</v>
      </c>
      <c r="AL13" s="500">
        <f>IFERROR(('Activity Data Rep. Mauritius'!M12*'Activity Data Rep. Mauritius'!$G12*'Activity Data Rep. Mauritius'!$J12)/1000,"NA")</f>
        <v>3.8959217566265053E-2</v>
      </c>
      <c r="AM13" s="39">
        <f>IFERROR(('Activity Data Rep. Mauritius'!N12*'Activity Data Rep. Mauritius'!$G12*'Activity Data Rep. Mauritius'!$J12)/1000,"NA")</f>
        <v>4.8881184343373484E-2</v>
      </c>
      <c r="AN13" s="39">
        <f>IFERROR(('Activity Data Rep. Mauritius'!O12*'Activity Data Rep. Mauritius'!$G12*'Activity Data Rep. Mauritius'!$J12)/1000,"NA")</f>
        <v>4.9533417200602399E-2</v>
      </c>
      <c r="AO13" s="39">
        <f>IFERROR(('Activity Data Rep. Mauritius'!P12*'Activity Data Rep. Mauritius'!$G12*'Activity Data Rep. Mauritius'!$J12)/1000,"NA")</f>
        <v>4.4595618115662643E-2</v>
      </c>
      <c r="AP13" s="39">
        <f>IFERROR(('Activity Data Rep. Mauritius'!Q12*'Activity Data Rep. Mauritius'!$G12*'Activity Data Rep. Mauritius'!$J12)/1000,"NA")</f>
        <v>3.9978490198554213E-2</v>
      </c>
      <c r="AQ13" s="39">
        <f>IFERROR(('Activity Data Rep. Mauritius'!R12*'Activity Data Rep. Mauritius'!$G12*'Activity Data Rep. Mauritius'!$J12)/1000,"NA")</f>
        <v>3.7089943865783126E-2</v>
      </c>
      <c r="AR13" s="39">
        <f>IFERROR(('Activity Data Rep. Mauritius'!S12*'Activity Data Rep. Mauritius'!$G12*'Activity Data Rep. Mauritius'!$J12)/1000,"NA")</f>
        <v>4.6841880795180722E-2</v>
      </c>
      <c r="AS13" s="39">
        <f>IFERROR(('Activity Data Rep. Mauritius'!T12*'Activity Data Rep. Mauritius'!$G12*'Activity Data Rep. Mauritius'!$J12)/1000,"NA")</f>
        <v>4.85664443479518E-2</v>
      </c>
      <c r="AT13" s="39">
        <f>IFERROR(('Activity Data Rep. Mauritius'!U12*'Activity Data Rep. Mauritius'!$G12*'Activity Data Rep. Mauritius'!$J12)/1000,"NA")</f>
        <v>4.3812999698313239E-2</v>
      </c>
      <c r="AU13" s="39">
        <f>IFERROR(('Activity Data Rep. Mauritius'!V12*'Activity Data Rep. Mauritius'!$G12*'Activity Data Rep. Mauritius'!$J12)/1000,"NA")</f>
        <v>3.7546439317590365E-2</v>
      </c>
      <c r="AV13" s="39">
        <f>IFERROR(('Activity Data Rep. Mauritius'!W12*'Activity Data Rep. Mauritius'!$G12*'Activity Data Rep. Mauritius'!$J12)/1000,"NA")</f>
        <v>3.6146595469879514E-2</v>
      </c>
      <c r="AW13" s="39">
        <f>IFERROR(('Activity Data Rep. Mauritius'!X12*'Activity Data Rep. Mauritius'!$G12*'Activity Data Rep. Mauritius'!$J12)/1000,"NA")</f>
        <v>3.5139037012048187E-2</v>
      </c>
      <c r="AX13" s="39">
        <f>IFERROR(('Activity Data Rep. Mauritius'!Y12*'Activity Data Rep. Mauritius'!$G12*'Activity Data Rep. Mauritius'!$J12)/1000,"NA")</f>
        <v>3.3951059349397586E-2</v>
      </c>
      <c r="AY13" s="39">
        <f>IFERROR(('Activity Data Rep. Mauritius'!Z12*'Activity Data Rep. Mauritius'!$G12*'Activity Data Rep. Mauritius'!$J12)/1000,"NA")</f>
        <v>3.4150653542168667E-2</v>
      </c>
      <c r="AZ13" s="39">
        <f>IFERROR(('Activity Data Rep. Mauritius'!AA12*'Activity Data Rep. Mauritius'!$G12*'Activity Data Rep. Mauritius'!$J12)/1000,"NA")</f>
        <v>3.5278491469879512E-2</v>
      </c>
      <c r="BA13" s="39">
        <f>IFERROR(('Activity Data Rep. Mauritius'!AB12*'Activity Data Rep. Mauritius'!$G12*'Activity Data Rep. Mauritius'!$J12)/1000,"NA")</f>
        <v>3.2425776216867472E-2</v>
      </c>
      <c r="BB13" s="86">
        <f>IFERROR(('Activity Data Rep. Mauritius'!AC12*'Activity Data Rep. Mauritius'!$G12*'Activity Data Rep. Mauritius'!$J12)/1000,"NA")</f>
        <v>3.206493780722891E-2</v>
      </c>
      <c r="BC13" s="85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86"/>
    </row>
    <row r="14" spans="2:71" s="110" customFormat="1" x14ac:dyDescent="0.35">
      <c r="B14" s="638"/>
      <c r="C14" s="406" t="s">
        <v>15</v>
      </c>
      <c r="D14" s="85">
        <f>IFERROR(('Activity Data Rep. Mauritius'!M13*'Activity Data Rep. Mauritius'!$E13*'Conversion Factors CF'!H6)/1000,"NA")</f>
        <v>8587.8320754285724</v>
      </c>
      <c r="E14" s="39">
        <f>IFERROR(('Activity Data Rep. Mauritius'!N13*'Activity Data Rep. Mauritius'!$E13*'Conversion Factors CF'!I6)/1000,"NA")</f>
        <v>9032.3597806514281</v>
      </c>
      <c r="F14" s="39">
        <f>IFERROR(('Activity Data Rep. Mauritius'!O13*'Activity Data Rep. Mauritius'!$E13*'Conversion Factors CF'!J6)/1000,"NA")</f>
        <v>9055.7259520000007</v>
      </c>
      <c r="G14" s="39">
        <f>IFERROR(('Activity Data Rep. Mauritius'!P13*'Activity Data Rep. Mauritius'!$E13*'Conversion Factors CF'!K6)/1000,"NA")</f>
        <v>10124.409571428569</v>
      </c>
      <c r="H14" s="39">
        <f>IFERROR(('Activity Data Rep. Mauritius'!Q13*'Activity Data Rep. Mauritius'!$E13*'Conversion Factors CF'!L6)/1000,"NA")</f>
        <v>8442.3273399999998</v>
      </c>
      <c r="I14" s="39">
        <f>IFERROR(('Activity Data Rep. Mauritius'!R13*'Activity Data Rep. Mauritius'!$E13*'Conversion Factors CF'!M6)/1000,"NA")</f>
        <v>8057.6428839999999</v>
      </c>
      <c r="J14" s="39">
        <f>IFERROR(('Activity Data Rep. Mauritius'!S13*'Activity Data Rep. Mauritius'!$E13*'Conversion Factors CF'!N6)/1000,"NA")</f>
        <v>7525.3136828571414</v>
      </c>
      <c r="K14" s="39">
        <f>IFERROR(('Activity Data Rep. Mauritius'!T13*'Activity Data Rep. Mauritius'!$E13*'Conversion Factors CF'!O6)/1000,"NA")</f>
        <v>6942.413846808</v>
      </c>
      <c r="L14" s="39">
        <f>IFERROR(('Activity Data Rep. Mauritius'!U13*'Activity Data Rep. Mauritius'!$E13*'Conversion Factors CF'!P6)/1000,"NA")</f>
        <v>14424.65720637997</v>
      </c>
      <c r="M14" s="39">
        <f>IFERROR(('Activity Data Rep. Mauritius'!V13*'Activity Data Rep. Mauritius'!$E13*'Conversion Factors CF'!Q6)/1000,"NA")</f>
        <v>7394.637879681376</v>
      </c>
      <c r="N14" s="39">
        <f>IFERROR(('Activity Data Rep. Mauritius'!W13*'Activity Data Rep. Mauritius'!$E13*'Conversion Factors CF'!R6)/1000,"NA")</f>
        <v>8573.5601839807496</v>
      </c>
      <c r="O14" s="39">
        <f>IFERROR(('Activity Data Rep. Mauritius'!X13*'Activity Data Rep. Mauritius'!$E13*'Conversion Factors CF'!S6)/1000,"NA")</f>
        <v>8381.3876979570523</v>
      </c>
      <c r="P14" s="39">
        <f>IFERROR(('Activity Data Rep. Mauritius'!Y13*'Activity Data Rep. Mauritius'!$E13*'Conversion Factors CF'!T6)/1000,"NA")</f>
        <v>8804.520003810243</v>
      </c>
      <c r="Q14" s="39">
        <f>IFERROR(('Activity Data Rep. Mauritius'!Z13*'Activity Data Rep. Mauritius'!$E13*'Conversion Factors CF'!U6)/1000,"NA")</f>
        <v>9406.8502460508535</v>
      </c>
      <c r="R14" s="39">
        <f>IFERROR(('Activity Data Rep. Mauritius'!AA13*'Activity Data Rep. Mauritius'!$E13*'Conversion Factors CF'!V6)/1000,"NA")</f>
        <v>10667.22797956363</v>
      </c>
      <c r="S14" s="39">
        <f>IFERROR(('Activity Data Rep. Mauritius'!AB13*'Activity Data Rep. Mauritius'!$E13*'Conversion Factors CF'!W6)/1000,"NA")</f>
        <v>12317.234700361689</v>
      </c>
      <c r="T14" s="86">
        <f>IFERROR(('Activity Data Rep. Mauritius'!AC13*'Activity Data Rep. Mauritius'!$E13*'Conversion Factors CF'!X6)/1000,"NA")</f>
        <v>11457.537635424211</v>
      </c>
      <c r="U14" s="85">
        <f>IFERROR(('Activity Data Rep. Mauritius'!M13*'Activity Data Rep. Mauritius'!$F13*'Conversion Factors CF'!H6)/1000,"NA")</f>
        <v>0.8936349714285714</v>
      </c>
      <c r="V14" s="39">
        <f>IFERROR(('Activity Data Rep. Mauritius'!N13*'Activity Data Rep. Mauritius'!$F13*'Conversion Factors CF'!I6)/1000,"NA")</f>
        <v>0.93989175657142854</v>
      </c>
      <c r="W14" s="39">
        <f>IFERROR(('Activity Data Rep. Mauritius'!O13*'Activity Data Rep. Mauritius'!$F13*'Conversion Factors CF'!J6)/1000,"NA")</f>
        <v>0.94232320000000003</v>
      </c>
      <c r="X14" s="39">
        <f>IFERROR(('Activity Data Rep. Mauritius'!P13*'Activity Data Rep. Mauritius'!$F13*'Conversion Factors CF'!K6)/1000,"NA")</f>
        <v>1.0535285714285711</v>
      </c>
      <c r="Y14" s="39">
        <f>IFERROR(('Activity Data Rep. Mauritius'!Q13*'Activity Data Rep. Mauritius'!$F13*'Conversion Factors CF'!L6)/1000,"NA")</f>
        <v>0.878494</v>
      </c>
      <c r="Z14" s="39">
        <f>IFERROR(('Activity Data Rep. Mauritius'!R13*'Activity Data Rep. Mauritius'!$F13*'Conversion Factors CF'!M6)/1000,"NA")</f>
        <v>0.8384644</v>
      </c>
      <c r="AA14" s="39">
        <f>IFERROR(('Activity Data Rep. Mauritius'!S13*'Activity Data Rep. Mauritius'!$F13*'Conversion Factors CF'!N6)/1000,"NA")</f>
        <v>0.78307114285714285</v>
      </c>
      <c r="AB14" s="39">
        <f>IFERROR(('Activity Data Rep. Mauritius'!T13*'Activity Data Rep. Mauritius'!$F13*'Conversion Factors CF'!O6)/1000,"NA")</f>
        <v>0.72241559280000001</v>
      </c>
      <c r="AC14" s="39">
        <f>IFERROR(('Activity Data Rep. Mauritius'!U13*'Activity Data Rep. Mauritius'!$F13*'Conversion Factors CF'!P6)/1000,"NA")</f>
        <v>1.5010049122143574</v>
      </c>
      <c r="AD14" s="39">
        <f>IFERROR(('Activity Data Rep. Mauritius'!V13*'Activity Data Rep. Mauritius'!$F13*'Conversion Factors CF'!Q6)/1000,"NA")</f>
        <v>0.76947324450378529</v>
      </c>
      <c r="AE14" s="39">
        <f>IFERROR(('Activity Data Rep. Mauritius'!W13*'Activity Data Rep. Mauritius'!$F13*'Conversion Factors CF'!R6)/1000,"NA")</f>
        <v>0.89214986305731003</v>
      </c>
      <c r="AF14" s="39">
        <f>IFERROR(('Activity Data Rep. Mauritius'!X13*'Activity Data Rep. Mauritius'!$F13*'Conversion Factors CF'!S6)/1000,"NA")</f>
        <v>0.87215272611415751</v>
      </c>
      <c r="AG14" s="39">
        <f>IFERROR(('Activity Data Rep. Mauritius'!Y13*'Activity Data Rep. Mauritius'!$F13*'Conversion Factors CF'!T6)/1000,"NA")</f>
        <v>0.91618314295632086</v>
      </c>
      <c r="AH14" s="39">
        <f>IFERROR(('Activity Data Rep. Mauritius'!Z13*'Activity Data Rep. Mauritius'!$F13*'Conversion Factors CF'!U6)/1000,"NA")</f>
        <v>0.97886058751829896</v>
      </c>
      <c r="AI14" s="39">
        <f>IFERROR(('Activity Data Rep. Mauritius'!AA13*'Activity Data Rep. Mauritius'!$F13*'Conversion Factors CF'!V6)/1000,"NA")</f>
        <v>1.1100133173323237</v>
      </c>
      <c r="AJ14" s="39">
        <f>IFERROR(('Activity Data Rep. Mauritius'!AB13*'Activity Data Rep. Mauritius'!$F13*'Conversion Factors CF'!W6)/1000,"NA")</f>
        <v>1.281710166530873</v>
      </c>
      <c r="AK14" s="86">
        <f>IFERROR(('Activity Data Rep. Mauritius'!AC13*'Activity Data Rep. Mauritius'!$F13*'Conversion Factors CF'!X6)/1000,"NA")</f>
        <v>1.1922515749660991</v>
      </c>
      <c r="AL14" s="500">
        <f>IFERROR(('Activity Data Rep. Mauritius'!M13*'Activity Data Rep. Mauritius'!$G13*'Conversion Factors CF'!H6)/1000,"NA")</f>
        <v>0.13404524571428569</v>
      </c>
      <c r="AM14" s="39">
        <f>IFERROR(('Activity Data Rep. Mauritius'!N13*'Activity Data Rep. Mauritius'!$G13*'Conversion Factors CF'!I6)/1000,"NA")</f>
        <v>0.14098376348571429</v>
      </c>
      <c r="AN14" s="39">
        <f>IFERROR(('Activity Data Rep. Mauritius'!O13*'Activity Data Rep. Mauritius'!$G13*'Conversion Factors CF'!J6)/1000,"NA")</f>
        <v>0.14134848000000003</v>
      </c>
      <c r="AO14" s="39">
        <f>IFERROR(('Activity Data Rep. Mauritius'!P13*'Activity Data Rep. Mauritius'!$G13*'Conversion Factors CF'!K6)/1000,"NA")</f>
        <v>0.15802928571428571</v>
      </c>
      <c r="AP14" s="39">
        <f>IFERROR(('Activity Data Rep. Mauritius'!Q13*'Activity Data Rep. Mauritius'!$G13*'Conversion Factors CF'!L6)/1000,"NA")</f>
        <v>0.13177410000000001</v>
      </c>
      <c r="AQ14" s="39">
        <f>IFERROR(('Activity Data Rep. Mauritius'!R13*'Activity Data Rep. Mauritius'!$G13*'Conversion Factors CF'!M6)/1000,"NA")</f>
        <v>0.12576965999999998</v>
      </c>
      <c r="AR14" s="39">
        <f>IFERROR(('Activity Data Rep. Mauritius'!S13*'Activity Data Rep. Mauritius'!$G13*'Conversion Factors CF'!N6)/1000,"NA")</f>
        <v>0.11746067142857142</v>
      </c>
      <c r="AS14" s="39">
        <f>IFERROR(('Activity Data Rep. Mauritius'!T13*'Activity Data Rep. Mauritius'!$G13*'Conversion Factors CF'!O6)/1000,"NA")</f>
        <v>0.10836233891999998</v>
      </c>
      <c r="AT14" s="39">
        <f>IFERROR(('Activity Data Rep. Mauritius'!U13*'Activity Data Rep. Mauritius'!$G13*'Conversion Factors CF'!P6)/1000,"NA")</f>
        <v>0.22515073683215356</v>
      </c>
      <c r="AU14" s="39">
        <f>IFERROR(('Activity Data Rep. Mauritius'!V13*'Activity Data Rep. Mauritius'!$G13*'Conversion Factors CF'!Q6)/1000,"NA")</f>
        <v>0.11542098667556779</v>
      </c>
      <c r="AV14" s="39">
        <f>IFERROR(('Activity Data Rep. Mauritius'!W13*'Activity Data Rep. Mauritius'!$G13*'Conversion Factors CF'!R6)/1000,"NA")</f>
        <v>0.13382247945859652</v>
      </c>
      <c r="AW14" s="39">
        <f>IFERROR(('Activity Data Rep. Mauritius'!X13*'Activity Data Rep. Mauritius'!$G13*'Conversion Factors CF'!S6)/1000,"NA")</f>
        <v>0.13082290891712361</v>
      </c>
      <c r="AX14" s="39">
        <f>IFERROR(('Activity Data Rep. Mauritius'!Y13*'Activity Data Rep. Mauritius'!$G13*'Conversion Factors CF'!T6)/1000,"NA")</f>
        <v>0.13742747144344816</v>
      </c>
      <c r="AY14" s="39">
        <f>IFERROR(('Activity Data Rep. Mauritius'!Z13*'Activity Data Rep. Mauritius'!$G13*'Conversion Factors CF'!U6)/1000,"NA")</f>
        <v>0.14682908812774487</v>
      </c>
      <c r="AZ14" s="39">
        <f>IFERROR(('Activity Data Rep. Mauritius'!AA13*'Activity Data Rep. Mauritius'!$G13*'Conversion Factors CF'!V6)/1000,"NA")</f>
        <v>0.16650199759984852</v>
      </c>
      <c r="BA14" s="39">
        <f>IFERROR(('Activity Data Rep. Mauritius'!AB13*'Activity Data Rep. Mauritius'!$G13*'Conversion Factors CF'!W6)/1000,"NA")</f>
        <v>0.19225652497963094</v>
      </c>
      <c r="BB14" s="86">
        <f>IFERROR(('Activity Data Rep. Mauritius'!AC13*'Activity Data Rep. Mauritius'!$G13*'Conversion Factors CF'!X6)/1000,"NA")</f>
        <v>0.17883773624491489</v>
      </c>
      <c r="BC14" s="85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86"/>
    </row>
    <row r="15" spans="2:71" s="110" customFormat="1" ht="29" x14ac:dyDescent="0.35">
      <c r="B15" s="368" t="s">
        <v>366</v>
      </c>
      <c r="C15" s="364" t="s">
        <v>18</v>
      </c>
      <c r="D15" s="85">
        <f>IFERROR(('Activity Data Rep. Mauritius'!M14*'Activity Data Rep. Mauritius'!$E14*'Activity Data Rep. Mauritius'!$J14)/1000,"NA")</f>
        <v>1675.2463553493974</v>
      </c>
      <c r="E15" s="39">
        <f>IFERROR(('Activity Data Rep. Mauritius'!N14*'Activity Data Rep. Mauritius'!$E14*'Activity Data Rep. Mauritius'!$J14)/1000,"NA")</f>
        <v>2101.8909267650602</v>
      </c>
      <c r="F15" s="39">
        <f>IFERROR(('Activity Data Rep. Mauritius'!O14*'Activity Data Rep. Mauritius'!$E14*'Activity Data Rep. Mauritius'!$J14)/1000,"NA")</f>
        <v>2129.9369396259035</v>
      </c>
      <c r="G15" s="39">
        <f>IFERROR(('Activity Data Rep. Mauritius'!P14*'Activity Data Rep. Mauritius'!$E14*'Activity Data Rep. Mauritius'!$J14)/1000,"NA")</f>
        <v>1917.6115789734938</v>
      </c>
      <c r="H15" s="39">
        <f>IFERROR(('Activity Data Rep. Mauritius'!Q14*'Activity Data Rep. Mauritius'!$E14*'Activity Data Rep. Mauritius'!$J14)/1000,"NA")</f>
        <v>1719.0750785378309</v>
      </c>
      <c r="I15" s="39">
        <f>IFERROR(('Activity Data Rep. Mauritius'!R14*'Activity Data Rep. Mauritius'!$E14*'Activity Data Rep. Mauritius'!$J14)/1000,"NA")</f>
        <v>1594.8675862286743</v>
      </c>
      <c r="J15" s="39">
        <f>IFERROR(('Activity Data Rep. Mauritius'!S14*'Activity Data Rep. Mauritius'!$E14*'Activity Data Rep. Mauritius'!$J14)/1000,"NA")</f>
        <v>2014.2008741927705</v>
      </c>
      <c r="K15" s="39">
        <f>IFERROR(('Activity Data Rep. Mauritius'!T14*'Activity Data Rep. Mauritius'!$E14*'Activity Data Rep. Mauritius'!$J14)/1000,"NA")</f>
        <v>2088.3571069619275</v>
      </c>
      <c r="L15" s="39">
        <f>IFERROR(('Activity Data Rep. Mauritius'!U14*'Activity Data Rep. Mauritius'!$E14*'Activity Data Rep. Mauritius'!$J14)/1000,"NA")</f>
        <v>1883.9589870274694</v>
      </c>
      <c r="M15" s="39">
        <f>IFERROR(('Activity Data Rep. Mauritius'!V14*'Activity Data Rep. Mauritius'!$E14*'Activity Data Rep. Mauritius'!$J14)/1000,"NA")</f>
        <v>1614.4968906563854</v>
      </c>
      <c r="N15" s="39">
        <f>IFERROR(('Activity Data Rep. Mauritius'!W14*'Activity Data Rep. Mauritius'!$E14*'Activity Data Rep. Mauritius'!$J14)/1000,"NA")</f>
        <v>1554.303605204819</v>
      </c>
      <c r="O15" s="39">
        <f>IFERROR(('Activity Data Rep. Mauritius'!X14*'Activity Data Rep. Mauritius'!$E14*'Activity Data Rep. Mauritius'!$J14)/1000,"NA")</f>
        <v>1510.9785915180721</v>
      </c>
      <c r="P15" s="39">
        <f>IFERROR(('Activity Data Rep. Mauritius'!Y14*'Activity Data Rep. Mauritius'!$E14*'Activity Data Rep. Mauritius'!$J14)/1000,"NA")</f>
        <v>1459.8955520240963</v>
      </c>
      <c r="Q15" s="39">
        <f>IFERROR(('Activity Data Rep. Mauritius'!Z14*'Activity Data Rep. Mauritius'!$E14*'Activity Data Rep. Mauritius'!$J14)/1000,"NA")</f>
        <v>1468.478102313253</v>
      </c>
      <c r="R15" s="39">
        <f>IFERROR(('Activity Data Rep. Mauritius'!AA14*'Activity Data Rep. Mauritius'!$E14*'Activity Data Rep. Mauritius'!$J14)/1000,"NA")</f>
        <v>1516.9751332048193</v>
      </c>
      <c r="S15" s="39">
        <f>IFERROR(('Activity Data Rep. Mauritius'!AB14*'Activity Data Rep. Mauritius'!$E14*'Activity Data Rep. Mauritius'!$J14)/1000,"NA")</f>
        <v>1394.3083773253011</v>
      </c>
      <c r="T15" s="86">
        <f>IFERROR(('Activity Data Rep. Mauritius'!AC14*'Activity Data Rep. Mauritius'!$E14*'Activity Data Rep. Mauritius'!$J14)/1000,"NA")</f>
        <v>1378.792325710843</v>
      </c>
      <c r="U15" s="85">
        <f>IFERROR(('Activity Data Rep. Mauritius'!M14*'Activity Data Rep. Mauritius'!$F14*'Activity Data Rep. Mauritius'!$J14)/1000,"NA")</f>
        <v>6.4932029277108422E-2</v>
      </c>
      <c r="V15" s="39">
        <f>IFERROR(('Activity Data Rep. Mauritius'!N14*'Activity Data Rep. Mauritius'!$F14*'Activity Data Rep. Mauritius'!$J14)/1000,"NA")</f>
        <v>8.1468640572289142E-2</v>
      </c>
      <c r="W15" s="39">
        <f>IFERROR(('Activity Data Rep. Mauritius'!O14*'Activity Data Rep. Mauritius'!$F14*'Activity Data Rep. Mauritius'!$J14)/1000,"NA")</f>
        <v>8.2555695334337362E-2</v>
      </c>
      <c r="X15" s="39">
        <f>IFERROR(('Activity Data Rep. Mauritius'!P14*'Activity Data Rep. Mauritius'!$F14*'Activity Data Rep. Mauritius'!$J14)/1000,"NA")</f>
        <v>7.4326030192771078E-2</v>
      </c>
      <c r="Y15" s="39">
        <f>IFERROR(('Activity Data Rep. Mauritius'!Q14*'Activity Data Rep. Mauritius'!$F14*'Activity Data Rep. Mauritius'!$J14)/1000,"NA")</f>
        <v>6.6630816997590339E-2</v>
      </c>
      <c r="Z15" s="39">
        <f>IFERROR(('Activity Data Rep. Mauritius'!R14*'Activity Data Rep. Mauritius'!$F14*'Activity Data Rep. Mauritius'!$J14)/1000,"NA")</f>
        <v>6.1816573109638541E-2</v>
      </c>
      <c r="AA15" s="39">
        <f>IFERROR(('Activity Data Rep. Mauritius'!S14*'Activity Data Rep. Mauritius'!$F14*'Activity Data Rep. Mauritius'!$J14)/1000,"NA")</f>
        <v>7.8069801325301183E-2</v>
      </c>
      <c r="AB15" s="39">
        <f>IFERROR(('Activity Data Rep. Mauritius'!T14*'Activity Data Rep. Mauritius'!$F14*'Activity Data Rep. Mauritius'!$J14)/1000,"NA")</f>
        <v>8.0944073913252992E-2</v>
      </c>
      <c r="AC15" s="39">
        <f>IFERROR(('Activity Data Rep. Mauritius'!U14*'Activity Data Rep. Mauritius'!$F14*'Activity Data Rep. Mauritius'!$J14)/1000,"NA")</f>
        <v>7.3021666163855414E-2</v>
      </c>
      <c r="AD15" s="39">
        <f>IFERROR(('Activity Data Rep. Mauritius'!V14*'Activity Data Rep. Mauritius'!$F14*'Activity Data Rep. Mauritius'!$J14)/1000,"NA")</f>
        <v>6.2577398862650596E-2</v>
      </c>
      <c r="AE15" s="39">
        <f>IFERROR(('Activity Data Rep. Mauritius'!W14*'Activity Data Rep. Mauritius'!$F14*'Activity Data Rep. Mauritius'!$J14)/1000,"NA")</f>
        <v>6.0244325783132525E-2</v>
      </c>
      <c r="AF15" s="39">
        <f>IFERROR(('Activity Data Rep. Mauritius'!X14*'Activity Data Rep. Mauritius'!$F14*'Activity Data Rep. Mauritius'!$J14)/1000,"NA")</f>
        <v>5.856506168674698E-2</v>
      </c>
      <c r="AG15" s="39">
        <f>IFERROR(('Activity Data Rep. Mauritius'!Y14*'Activity Data Rep. Mauritius'!$F14*'Activity Data Rep. Mauritius'!$J14)/1000,"NA")</f>
        <v>5.6585098915662643E-2</v>
      </c>
      <c r="AH15" s="39">
        <f>IFERROR(('Activity Data Rep. Mauritius'!Z14*'Activity Data Rep. Mauritius'!$F14*'Activity Data Rep. Mauritius'!$J14)/1000,"NA")</f>
        <v>5.6917755903614448E-2</v>
      </c>
      <c r="AI15" s="39">
        <f>IFERROR(('Activity Data Rep. Mauritius'!AA14*'Activity Data Rep. Mauritius'!$F14*'Activity Data Rep. Mauritius'!$J14)/1000,"NA")</f>
        <v>5.8797485783132521E-2</v>
      </c>
      <c r="AJ15" s="39">
        <f>IFERROR(('Activity Data Rep. Mauritius'!AB14*'Activity Data Rep. Mauritius'!$F14*'Activity Data Rep. Mauritius'!$J14)/1000,"NA")</f>
        <v>5.4042960361445777E-2</v>
      </c>
      <c r="AK15" s="86">
        <f>IFERROR(('Activity Data Rep. Mauritius'!AC14*'Activity Data Rep. Mauritius'!$F14*'Activity Data Rep. Mauritius'!$J14)/1000,"NA")</f>
        <v>5.3441563012048186E-2</v>
      </c>
      <c r="AL15" s="500">
        <f>IFERROR(('Activity Data Rep. Mauritius'!M14*'Activity Data Rep. Mauritius'!$G14*'Activity Data Rep. Mauritius'!$J14)/1000,"NA")</f>
        <v>1.2986405855421684E-2</v>
      </c>
      <c r="AM15" s="39">
        <f>IFERROR(('Activity Data Rep. Mauritius'!N14*'Activity Data Rep. Mauritius'!$G14*'Activity Data Rep. Mauritius'!$J14)/1000,"NA")</f>
        <v>1.6293728114457829E-2</v>
      </c>
      <c r="AN15" s="39">
        <f>IFERROR(('Activity Data Rep. Mauritius'!O14*'Activity Data Rep. Mauritius'!$G14*'Activity Data Rep. Mauritius'!$J14)/1000,"NA")</f>
        <v>1.6511139066867467E-2</v>
      </c>
      <c r="AO15" s="39">
        <f>IFERROR(('Activity Data Rep. Mauritius'!P14*'Activity Data Rep. Mauritius'!$G14*'Activity Data Rep. Mauritius'!$J14)/1000,"NA")</f>
        <v>1.4865206038554214E-2</v>
      </c>
      <c r="AP15" s="39">
        <f>IFERROR(('Activity Data Rep. Mauritius'!Q14*'Activity Data Rep. Mauritius'!$G14*'Activity Data Rep. Mauritius'!$J14)/1000,"NA")</f>
        <v>1.332616339951807E-2</v>
      </c>
      <c r="AQ15" s="39">
        <f>IFERROR(('Activity Data Rep. Mauritius'!R14*'Activity Data Rep. Mauritius'!$G14*'Activity Data Rep. Mauritius'!$J14)/1000,"NA")</f>
        <v>1.2363314621927707E-2</v>
      </c>
      <c r="AR15" s="39">
        <f>IFERROR(('Activity Data Rep. Mauritius'!S14*'Activity Data Rep. Mauritius'!$G14*'Activity Data Rep. Mauritius'!$J14)/1000,"NA")</f>
        <v>1.5613960265060237E-2</v>
      </c>
      <c r="AS15" s="39">
        <f>IFERROR(('Activity Data Rep. Mauritius'!T14*'Activity Data Rep. Mauritius'!$G14*'Activity Data Rep. Mauritius'!$J14)/1000,"NA")</f>
        <v>1.61888147826506E-2</v>
      </c>
      <c r="AT15" s="39">
        <f>IFERROR(('Activity Data Rep. Mauritius'!U14*'Activity Data Rep. Mauritius'!$G14*'Activity Data Rep. Mauritius'!$J14)/1000,"NA")</f>
        <v>1.4604333232771081E-2</v>
      </c>
      <c r="AU15" s="39">
        <f>IFERROR(('Activity Data Rep. Mauritius'!V14*'Activity Data Rep. Mauritius'!$G14*'Activity Data Rep. Mauritius'!$J14)/1000,"NA")</f>
        <v>1.2515479772530119E-2</v>
      </c>
      <c r="AV15" s="39">
        <f>IFERROR(('Activity Data Rep. Mauritius'!W14*'Activity Data Rep. Mauritius'!$G14*'Activity Data Rep. Mauritius'!$J14)/1000,"NA")</f>
        <v>1.2048865156626504E-2</v>
      </c>
      <c r="AW15" s="39">
        <f>IFERROR(('Activity Data Rep. Mauritius'!X14*'Activity Data Rep. Mauritius'!$G14*'Activity Data Rep. Mauritius'!$J14)/1000,"NA")</f>
        <v>1.1713012337349393E-2</v>
      </c>
      <c r="AX15" s="39">
        <f>IFERROR(('Activity Data Rep. Mauritius'!Y14*'Activity Data Rep. Mauritius'!$G14*'Activity Data Rep. Mauritius'!$J14)/1000,"NA")</f>
        <v>1.1317019783132529E-2</v>
      </c>
      <c r="AY15" s="39">
        <f>IFERROR(('Activity Data Rep. Mauritius'!Z14*'Activity Data Rep. Mauritius'!$G14*'Activity Data Rep. Mauritius'!$J14)/1000,"NA")</f>
        <v>1.138355118072289E-2</v>
      </c>
      <c r="AZ15" s="39">
        <f>IFERROR(('Activity Data Rep. Mauritius'!AA14*'Activity Data Rep. Mauritius'!$G14*'Activity Data Rep. Mauritius'!$J14)/1000,"NA")</f>
        <v>1.1759497156626504E-2</v>
      </c>
      <c r="BA15" s="39">
        <f>IFERROR(('Activity Data Rep. Mauritius'!AB14*'Activity Data Rep. Mauritius'!$G14*'Activity Data Rep. Mauritius'!$J14)/1000,"NA")</f>
        <v>1.0808592072289154E-2</v>
      </c>
      <c r="BB15" s="86">
        <f>IFERROR(('Activity Data Rep. Mauritius'!AC14*'Activity Data Rep. Mauritius'!$G14*'Activity Data Rep. Mauritius'!$J14)/1000,"NA")</f>
        <v>1.0688312602409636E-2</v>
      </c>
      <c r="BC15" s="85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86"/>
    </row>
    <row r="16" spans="2:71" s="110" customFormat="1" x14ac:dyDescent="0.35">
      <c r="B16" s="643" t="s">
        <v>367</v>
      </c>
      <c r="C16" s="360" t="s">
        <v>63</v>
      </c>
      <c r="D16" s="85">
        <f>IFERROR(('Activity Data Rep. Mauritius'!M15*'Activity Data Rep. Mauritius'!$E15*'Activity Data Rep. Mauritius'!$J15)/1000,"NA")</f>
        <v>28099.968000000004</v>
      </c>
      <c r="E16" s="39">
        <f>IFERROR(('Activity Data Rep. Mauritius'!N15*'Activity Data Rep. Mauritius'!$E15*'Activity Data Rep. Mauritius'!$J15)/1000,"NA")</f>
        <v>25352.790840000001</v>
      </c>
      <c r="F16" s="39">
        <f>IFERROR(('Activity Data Rep. Mauritius'!O15*'Activity Data Rep. Mauritius'!$E15*'Activity Data Rep. Mauritius'!$J15)/1000,"NA")</f>
        <v>25269.031320000002</v>
      </c>
      <c r="G16" s="39">
        <f>IFERROR(('Activity Data Rep. Mauritius'!P15*'Activity Data Rep. Mauritius'!$E15*'Activity Data Rep. Mauritius'!$J15)/1000,"NA")</f>
        <v>27879.086039999998</v>
      </c>
      <c r="H16" s="39">
        <f>IFERROR(('Activity Data Rep. Mauritius'!Q15*'Activity Data Rep. Mauritius'!$E15*'Activity Data Rep. Mauritius'!$J15)/1000,"NA")</f>
        <v>29296.918559999995</v>
      </c>
      <c r="I16" s="39">
        <f>IFERROR(('Activity Data Rep. Mauritius'!R15*'Activity Data Rep. Mauritius'!$E15*'Activity Data Rep. Mauritius'!$J15)/1000,"NA")</f>
        <v>27780.465960000001</v>
      </c>
      <c r="J16" s="39">
        <f>IFERROR(('Activity Data Rep. Mauritius'!S15*'Activity Data Rep. Mauritius'!$E15*'Activity Data Rep. Mauritius'!$J15)/1000,"NA")</f>
        <v>33616.613160000001</v>
      </c>
      <c r="K16" s="39">
        <f>IFERROR(('Activity Data Rep. Mauritius'!T15*'Activity Data Rep. Mauritius'!$E15*'Activity Data Rep. Mauritius'!$J15)/1000,"NA")</f>
        <v>32650.001279999997</v>
      </c>
      <c r="L16" s="39">
        <f>IFERROR(('Activity Data Rep. Mauritius'!U15*'Activity Data Rep. Mauritius'!$E15*'Activity Data Rep. Mauritius'!$J15)/1000,"NA")</f>
        <v>31275.399479999996</v>
      </c>
      <c r="M16" s="39">
        <f>IFERROR(('Activity Data Rep. Mauritius'!V15*'Activity Data Rep. Mauritius'!$E15*'Activity Data Rep. Mauritius'!$J15)/1000,"NA")</f>
        <v>30992.373359999994</v>
      </c>
      <c r="N16" s="39">
        <f>IFERROR(('Activity Data Rep. Mauritius'!W15*'Activity Data Rep. Mauritius'!$E15*'Activity Data Rep. Mauritius'!$J15)/1000,"NA")</f>
        <v>31438.865640000004</v>
      </c>
      <c r="O16" s="39">
        <f>IFERROR(('Activity Data Rep. Mauritius'!X15*'Activity Data Rep. Mauritius'!$E15*'Activity Data Rep. Mauritius'!$J15)/1000,"NA")</f>
        <v>29109.135119999999</v>
      </c>
      <c r="P16" s="39">
        <f>IFERROR(('Activity Data Rep. Mauritius'!Y15*'Activity Data Rep. Mauritius'!$E15*'Activity Data Rep. Mauritius'!$J15)/1000,"NA")</f>
        <v>27904.078799999996</v>
      </c>
      <c r="Q16" s="39">
        <f>IFERROR(('Activity Data Rep. Mauritius'!Z15*'Activity Data Rep. Mauritius'!$E15*'Activity Data Rep. Mauritius'!$J15)/1000,"NA")</f>
        <v>23941.037640000002</v>
      </c>
      <c r="R16" s="39">
        <f>IFERROR(('Activity Data Rep. Mauritius'!AA15*'Activity Data Rep. Mauritius'!$E15*'Activity Data Rep. Mauritius'!$J15)/1000,"NA")</f>
        <v>24382.126080000002</v>
      </c>
      <c r="S16" s="39">
        <f>IFERROR(('Activity Data Rep. Mauritius'!AB15*'Activity Data Rep. Mauritius'!$E15*'Activity Data Rep. Mauritius'!$J15)/1000,"NA")</f>
        <v>24717.16416</v>
      </c>
      <c r="T16" s="86">
        <f>IFERROR(('Activity Data Rep. Mauritius'!AC15*'Activity Data Rep. Mauritius'!$E15*'Activity Data Rep. Mauritius'!$J15)/1000,"NA")</f>
        <v>23847.821399999997</v>
      </c>
      <c r="U16" s="85">
        <f>IFERROR(('Activity Data Rep. Mauritius'!M15*'Activity Data Rep. Mauritius'!$F15*'Activity Data Rep. Mauritius'!$J15)/1000,"NA")</f>
        <v>1.1376505263157897</v>
      </c>
      <c r="V16" s="39">
        <f>IFERROR(('Activity Data Rep. Mauritius'!N15*'Activity Data Rep. Mauritius'!$F15*'Activity Data Rep. Mauritius'!$J15)/1000,"NA")</f>
        <v>1.0264287789473685</v>
      </c>
      <c r="W16" s="39">
        <f>IFERROR(('Activity Data Rep. Mauritius'!O15*'Activity Data Rep. Mauritius'!$F15*'Activity Data Rep. Mauritius'!$J15)/1000,"NA")</f>
        <v>1.0230377052631578</v>
      </c>
      <c r="X16" s="39">
        <f>IFERROR(('Activity Data Rep. Mauritius'!P15*'Activity Data Rep. Mauritius'!$F15*'Activity Data Rep. Mauritius'!$J15)/1000,"NA")</f>
        <v>1.1287079368421054</v>
      </c>
      <c r="Y16" s="39">
        <f>IFERROR(('Activity Data Rep. Mauritius'!Q15*'Activity Data Rep. Mauritius'!$F15*'Activity Data Rep. Mauritius'!$J15)/1000,"NA")</f>
        <v>1.1861100631578945</v>
      </c>
      <c r="Z16" s="39">
        <f>IFERROR(('Activity Data Rep. Mauritius'!R15*'Activity Data Rep. Mauritius'!$F15*'Activity Data Rep. Mauritius'!$J15)/1000,"NA")</f>
        <v>1.1247152210526317</v>
      </c>
      <c r="AA16" s="39">
        <f>IFERROR(('Activity Data Rep. Mauritius'!S15*'Activity Data Rep. Mauritius'!$F15*'Activity Data Rep. Mauritius'!$J15)/1000,"NA")</f>
        <v>1.3609964842105262</v>
      </c>
      <c r="AB16" s="39">
        <f>IFERROR(('Activity Data Rep. Mauritius'!T15*'Activity Data Rep. Mauritius'!$F15*'Activity Data Rep. Mauritius'!$J15)/1000,"NA")</f>
        <v>1.3218623999999997</v>
      </c>
      <c r="AC16" s="39">
        <f>IFERROR(('Activity Data Rep. Mauritius'!U15*'Activity Data Rep. Mauritius'!$F15*'Activity Data Rep. Mauritius'!$J15)/1000,"NA")</f>
        <v>1.2662105052631578</v>
      </c>
      <c r="AD16" s="39">
        <f>IFERROR(('Activity Data Rep. Mauritius'!V15*'Activity Data Rep. Mauritius'!$F15*'Activity Data Rep. Mauritius'!$J15)/1000,"NA")</f>
        <v>1.2547519578947368</v>
      </c>
      <c r="AE16" s="39">
        <f>IFERROR(('Activity Data Rep. Mauritius'!W15*'Activity Data Rep. Mauritius'!$F15*'Activity Data Rep. Mauritius'!$J15)/1000,"NA")</f>
        <v>1.2728285684210527</v>
      </c>
      <c r="AF16" s="39">
        <f>IFERROR(('Activity Data Rep. Mauritius'!X15*'Activity Data Rep. Mauritius'!$F15*'Activity Data Rep. Mauritius'!$J15)/1000,"NA")</f>
        <v>1.1785074947368421</v>
      </c>
      <c r="AG16" s="39">
        <f>IFERROR(('Activity Data Rep. Mauritius'!Y15*'Activity Data Rep. Mauritius'!$F15*'Activity Data Rep. Mauritius'!$J15)/1000,"NA")</f>
        <v>1.1297197894736841</v>
      </c>
      <c r="AH16" s="39">
        <f>IFERROR(('Activity Data Rep. Mauritius'!Z15*'Activity Data Rep. Mauritius'!$F15*'Activity Data Rep. Mauritius'!$J15)/1000,"NA")</f>
        <v>0.96927277894736852</v>
      </c>
      <c r="AI16" s="39">
        <f>IFERROR(('Activity Data Rep. Mauritius'!AA15*'Activity Data Rep. Mauritius'!$F15*'Activity Data Rep. Mauritius'!$J15)/1000,"NA")</f>
        <v>0.9871306105263159</v>
      </c>
      <c r="AJ16" s="39">
        <f>IFERROR(('Activity Data Rep. Mauritius'!AB15*'Activity Data Rep. Mauritius'!$F15*'Activity Data Rep. Mauritius'!$J15)/1000,"NA")</f>
        <v>1.000694905263158</v>
      </c>
      <c r="AK16" s="86">
        <f>IFERROR(('Activity Data Rep. Mauritius'!AC15*'Activity Data Rep. Mauritius'!$F15*'Activity Data Rep. Mauritius'!$J15)/1000,"NA")</f>
        <v>0.96549884210526316</v>
      </c>
      <c r="AL16" s="500">
        <f>IFERROR(('Activity Data Rep. Mauritius'!M15*'Activity Data Rep. Mauritius'!$G15*'Activity Data Rep. Mauritius'!$J15)/1000,"NA")</f>
        <v>0.22753010526315789</v>
      </c>
      <c r="AM16" s="39">
        <f>IFERROR(('Activity Data Rep. Mauritius'!N15*'Activity Data Rep. Mauritius'!$G15*'Activity Data Rep. Mauritius'!$J15)/1000,"NA")</f>
        <v>0.20528575578947372</v>
      </c>
      <c r="AN16" s="39">
        <f>IFERROR(('Activity Data Rep. Mauritius'!O15*'Activity Data Rep. Mauritius'!$G15*'Activity Data Rep. Mauritius'!$J15)/1000,"NA")</f>
        <v>0.20460754105263157</v>
      </c>
      <c r="AO16" s="39">
        <f>IFERROR(('Activity Data Rep. Mauritius'!P15*'Activity Data Rep. Mauritius'!$G15*'Activity Data Rep. Mauritius'!$J15)/1000,"NA")</f>
        <v>0.22574158736842101</v>
      </c>
      <c r="AP16" s="39">
        <f>IFERROR(('Activity Data Rep. Mauritius'!Q15*'Activity Data Rep. Mauritius'!$G15*'Activity Data Rep. Mauritius'!$J15)/1000,"NA")</f>
        <v>0.23722201263157891</v>
      </c>
      <c r="AQ16" s="39">
        <f>IFERROR(('Activity Data Rep. Mauritius'!R15*'Activity Data Rep. Mauritius'!$G15*'Activity Data Rep. Mauritius'!$J15)/1000,"NA")</f>
        <v>0.2249430442105263</v>
      </c>
      <c r="AR16" s="39">
        <f>IFERROR(('Activity Data Rep. Mauritius'!S15*'Activity Data Rep. Mauritius'!$G15*'Activity Data Rep. Mauritius'!$J15)/1000,"NA")</f>
        <v>0.27219929684210525</v>
      </c>
      <c r="AS16" s="39">
        <f>IFERROR(('Activity Data Rep. Mauritius'!T15*'Activity Data Rep. Mauritius'!$G15*'Activity Data Rep. Mauritius'!$J15)/1000,"NA")</f>
        <v>0.26437248000000002</v>
      </c>
      <c r="AT16" s="39">
        <f>IFERROR(('Activity Data Rep. Mauritius'!U15*'Activity Data Rep. Mauritius'!$G15*'Activity Data Rep. Mauritius'!$J15)/1000,"NA")</f>
        <v>0.25324210105263156</v>
      </c>
      <c r="AU16" s="39">
        <f>IFERROR(('Activity Data Rep. Mauritius'!V15*'Activity Data Rep. Mauritius'!$G15*'Activity Data Rep. Mauritius'!$J15)/1000,"NA")</f>
        <v>0.25095039157894733</v>
      </c>
      <c r="AV16" s="39">
        <f>IFERROR(('Activity Data Rep. Mauritius'!W15*'Activity Data Rep. Mauritius'!$G15*'Activity Data Rep. Mauritius'!$J15)/1000,"NA")</f>
        <v>0.25456571368421055</v>
      </c>
      <c r="AW16" s="39">
        <f>IFERROR(('Activity Data Rep. Mauritius'!X15*'Activity Data Rep. Mauritius'!$G15*'Activity Data Rep. Mauritius'!$J15)/1000,"NA")</f>
        <v>0.23570149894736842</v>
      </c>
      <c r="AX16" s="39">
        <f>IFERROR(('Activity Data Rep. Mauritius'!Y15*'Activity Data Rep. Mauritius'!$G15*'Activity Data Rep. Mauritius'!$J15)/1000,"NA")</f>
        <v>0.22594395789473681</v>
      </c>
      <c r="AY16" s="39">
        <f>IFERROR(('Activity Data Rep. Mauritius'!Z15*'Activity Data Rep. Mauritius'!$G15*'Activity Data Rep. Mauritius'!$J15)/1000,"NA")</f>
        <v>0.19385455578947369</v>
      </c>
      <c r="AZ16" s="39">
        <f>IFERROR(('Activity Data Rep. Mauritius'!AA15*'Activity Data Rep. Mauritius'!$G15*'Activity Data Rep. Mauritius'!$J15)/1000,"NA")</f>
        <v>0.19742612210526314</v>
      </c>
      <c r="BA16" s="39">
        <f>IFERROR(('Activity Data Rep. Mauritius'!AB15*'Activity Data Rep. Mauritius'!$G15*'Activity Data Rep. Mauritius'!$J15)/1000,"NA")</f>
        <v>0.20013898105263159</v>
      </c>
      <c r="BB16" s="86">
        <f>IFERROR(('Activity Data Rep. Mauritius'!AC15*'Activity Data Rep. Mauritius'!$G15*'Activity Data Rep. Mauritius'!$J15)/1000,"NA")</f>
        <v>0.19309976842105264</v>
      </c>
      <c r="BC16" s="85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86"/>
    </row>
    <row r="17" spans="2:71" s="110" customFormat="1" x14ac:dyDescent="0.35">
      <c r="B17" s="641"/>
      <c r="C17" s="406" t="s">
        <v>125</v>
      </c>
      <c r="D17" s="85">
        <f>IFERROR(('Activity Data Rep. Mauritius'!M16*'Activity Data Rep. Mauritius'!$E16*'Activity Data Rep. Mauritius'!$J16)/1000,"NA")</f>
        <v>635.20961942307679</v>
      </c>
      <c r="E17" s="39">
        <f>IFERROR(('Activity Data Rep. Mauritius'!N16*'Activity Data Rep. Mauritius'!$E16*'Activity Data Rep. Mauritius'!$J16)/1000,"NA")</f>
        <v>628.49420192307684</v>
      </c>
      <c r="F17" s="39">
        <f>IFERROR(('Activity Data Rep. Mauritius'!O16*'Activity Data Rep. Mauritius'!$E16*'Activity Data Rep. Mauritius'!$J16)/1000,"NA")</f>
        <v>603.0100534615384</v>
      </c>
      <c r="G17" s="39">
        <f>IFERROR(('Activity Data Rep. Mauritius'!P16*'Activity Data Rep. Mauritius'!$E16*'Activity Data Rep. Mauritius'!$J16)/1000,"NA")</f>
        <v>510.37172999999996</v>
      </c>
      <c r="H17" s="39">
        <f>IFERROR(('Activity Data Rep. Mauritius'!Q16*'Activity Data Rep. Mauritius'!$E16*'Activity Data Rep. Mauritius'!$J16)/1000,"NA")</f>
        <v>474.55616999999995</v>
      </c>
      <c r="I17" s="39">
        <f>IFERROR(('Activity Data Rep. Mauritius'!R16*'Activity Data Rep. Mauritius'!$E16*'Activity Data Rep. Mauritius'!$J16)/1000,"NA")</f>
        <v>672.23051076923082</v>
      </c>
      <c r="J17" s="39">
        <f>IFERROR(('Activity Data Rep. Mauritius'!S16*'Activity Data Rep. Mauritius'!$E16*'Activity Data Rep. Mauritius'!$J16)/1000,"NA")</f>
        <v>682.73411249999992</v>
      </c>
      <c r="K17" s="39">
        <f>IFERROR(('Activity Data Rep. Mauritius'!T16*'Activity Data Rep. Mauritius'!$E16*'Activity Data Rep. Mauritius'!$J16)/1000,"NA")</f>
        <v>700.46970230769227</v>
      </c>
      <c r="L17" s="39">
        <f>IFERROR(('Activity Data Rep. Mauritius'!U16*'Activity Data Rep. Mauritius'!$E16*'Activity Data Rep. Mauritius'!$J16)/1000,"NA")</f>
        <v>847.17574615384592</v>
      </c>
      <c r="M17" s="39">
        <f>IFERROR(('Activity Data Rep. Mauritius'!V16*'Activity Data Rep. Mauritius'!$E16*'Activity Data Rep. Mauritius'!$J16)/1000,"NA")</f>
        <v>862.15629288461537</v>
      </c>
      <c r="N17" s="39">
        <f>IFERROR(('Activity Data Rep. Mauritius'!W16*'Activity Data Rep. Mauritius'!$E16*'Activity Data Rep. Mauritius'!$J16)/1000,"NA")</f>
        <v>881.95816499999989</v>
      </c>
      <c r="O17" s="39">
        <f>IFERROR(('Activity Data Rep. Mauritius'!X16*'Activity Data Rep. Mauritius'!$E16*'Activity Data Rep. Mauritius'!$J16)/1000,"NA")</f>
        <v>901.93222730769241</v>
      </c>
      <c r="P17" s="39">
        <f>IFERROR(('Activity Data Rep. Mauritius'!Y16*'Activity Data Rep. Mauritius'!$E16*'Activity Data Rep. Mauritius'!$J16)/1000,"NA")</f>
        <v>940.67502057692309</v>
      </c>
      <c r="Q17" s="39">
        <f>IFERROR(('Activity Data Rep. Mauritius'!Z16*'Activity Data Rep. Mauritius'!$E16*'Activity Data Rep. Mauritius'!$J16)/1000,"NA")</f>
        <v>921.73409942307683</v>
      </c>
      <c r="R17" s="39">
        <f>IFERROR(('Activity Data Rep. Mauritius'!AA16*'Activity Data Rep. Mauritius'!$E16*'Activity Data Rep. Mauritius'!$J16)/1000,"NA")</f>
        <v>934.47617365384588</v>
      </c>
      <c r="S17" s="39">
        <f>IFERROR(('Activity Data Rep. Mauritius'!AB16*'Activity Data Rep. Mauritius'!$E16*'Activity Data Rep. Mauritius'!$J16)/1000,"NA")</f>
        <v>976.66277076923063</v>
      </c>
      <c r="T17" s="86">
        <f>IFERROR(('Activity Data Rep. Mauritius'!AC16*'Activity Data Rep. Mauritius'!$E16*'Activity Data Rep. Mauritius'!$J16)/1000,"NA")</f>
        <v>964.43726711538443</v>
      </c>
      <c r="U17" s="85">
        <f>IFERROR(('Activity Data Rep. Mauritius'!M16*'Activity Data Rep. Mauritius'!$F16*'Activity Data Rep. Mauritius'!$J16)/1000,"NA")</f>
        <v>1.0066713461538458E-2</v>
      </c>
      <c r="V17" s="39">
        <f>IFERROR(('Activity Data Rep. Mauritius'!N16*'Activity Data Rep. Mauritius'!$F16*'Activity Data Rep. Mauritius'!$J16)/1000,"NA")</f>
        <v>9.9602884615384614E-3</v>
      </c>
      <c r="W17" s="39">
        <f>IFERROR(('Activity Data Rep. Mauritius'!O16*'Activity Data Rep. Mauritius'!$F16*'Activity Data Rep. Mauritius'!$J16)/1000,"NA")</f>
        <v>9.5564192307692301E-3</v>
      </c>
      <c r="X17" s="39">
        <f>IFERROR(('Activity Data Rep. Mauritius'!P16*'Activity Data Rep. Mauritius'!$F16*'Activity Data Rep. Mauritius'!$J16)/1000,"NA")</f>
        <v>8.0882999999999997E-3</v>
      </c>
      <c r="Y17" s="39">
        <f>IFERROR(('Activity Data Rep. Mauritius'!Q16*'Activity Data Rep. Mauritius'!$F16*'Activity Data Rep. Mauritius'!$J16)/1000,"NA")</f>
        <v>7.5207E-3</v>
      </c>
      <c r="Z17" s="39">
        <f>IFERROR(('Activity Data Rep. Mauritius'!R16*'Activity Data Rep. Mauritius'!$F16*'Activity Data Rep. Mauritius'!$J16)/1000,"NA")</f>
        <v>1.0653415384615384E-2</v>
      </c>
      <c r="AA17" s="39">
        <f>IFERROR(('Activity Data Rep. Mauritius'!S16*'Activity Data Rep. Mauritius'!$F16*'Activity Data Rep. Mauritius'!$J16)/1000,"NA")</f>
        <v>1.0819874999999998E-2</v>
      </c>
      <c r="AB17" s="39">
        <f>IFERROR(('Activity Data Rep. Mauritius'!T16*'Activity Data Rep. Mauritius'!$F16*'Activity Data Rep. Mauritius'!$J16)/1000,"NA")</f>
        <v>1.1100946153846152E-2</v>
      </c>
      <c r="AC17" s="39">
        <f>IFERROR(('Activity Data Rep. Mauritius'!U16*'Activity Data Rep. Mauritius'!$F16*'Activity Data Rep. Mauritius'!$J16)/1000,"NA")</f>
        <v>1.3425923076923073E-2</v>
      </c>
      <c r="AD17" s="39">
        <f>IFERROR(('Activity Data Rep. Mauritius'!V16*'Activity Data Rep. Mauritius'!$F16*'Activity Data Rep. Mauritius'!$J16)/1000,"NA")</f>
        <v>1.3663332692307689E-2</v>
      </c>
      <c r="AE17" s="39">
        <f>IFERROR(('Activity Data Rep. Mauritius'!W16*'Activity Data Rep. Mauritius'!$F16*'Activity Data Rep. Mauritius'!$J16)/1000,"NA")</f>
        <v>1.3977149999999999E-2</v>
      </c>
      <c r="AF17" s="39">
        <f>IFERROR(('Activity Data Rep. Mauritius'!X16*'Activity Data Rep. Mauritius'!$F16*'Activity Data Rep. Mauritius'!$J16)/1000,"NA")</f>
        <v>1.4293696153846154E-2</v>
      </c>
      <c r="AG17" s="39">
        <f>IFERROR(('Activity Data Rep. Mauritius'!Y16*'Activity Data Rep. Mauritius'!$F16*'Activity Data Rep. Mauritius'!$J16)/1000,"NA")</f>
        <v>1.4907686538461537E-2</v>
      </c>
      <c r="AH17" s="39">
        <f>IFERROR(('Activity Data Rep. Mauritius'!Z16*'Activity Data Rep. Mauritius'!$F16*'Activity Data Rep. Mauritius'!$J16)/1000,"NA")</f>
        <v>1.4607513461538459E-2</v>
      </c>
      <c r="AI17" s="39">
        <f>IFERROR(('Activity Data Rep. Mauritius'!AA16*'Activity Data Rep. Mauritius'!$F16*'Activity Data Rep. Mauritius'!$J16)/1000,"NA")</f>
        <v>1.4809448076923073E-2</v>
      </c>
      <c r="AJ17" s="39">
        <f>IFERROR(('Activity Data Rep. Mauritius'!AB16*'Activity Data Rep. Mauritius'!$F16*'Activity Data Rep. Mauritius'!$J16)/1000,"NA")</f>
        <v>1.5478015384615382E-2</v>
      </c>
      <c r="AK17" s="86">
        <f>IFERROR(('Activity Data Rep. Mauritius'!AC16*'Activity Data Rep. Mauritius'!$F16*'Activity Data Rep. Mauritius'!$J16)/1000,"NA")</f>
        <v>1.5284267307692305E-2</v>
      </c>
      <c r="AL17" s="500">
        <f>IFERROR(('Activity Data Rep. Mauritius'!M16*'Activity Data Rep. Mauritius'!$G16*'Activity Data Rep. Mauritius'!$J16)/1000,"NA")</f>
        <v>1.006671346153846E-3</v>
      </c>
      <c r="AM17" s="39">
        <f>IFERROR(('Activity Data Rep. Mauritius'!N16*'Activity Data Rep. Mauritius'!$G16*'Activity Data Rep. Mauritius'!$J16)/1000,"NA")</f>
        <v>9.9602884615384614E-4</v>
      </c>
      <c r="AN17" s="39">
        <f>IFERROR(('Activity Data Rep. Mauritius'!O16*'Activity Data Rep. Mauritius'!$G16*'Activity Data Rep. Mauritius'!$J16)/1000,"NA")</f>
        <v>9.5564192307692308E-4</v>
      </c>
      <c r="AO17" s="39">
        <f>IFERROR(('Activity Data Rep. Mauritius'!P16*'Activity Data Rep. Mauritius'!$G16*'Activity Data Rep. Mauritius'!$J16)/1000,"NA")</f>
        <v>8.0882999999999997E-4</v>
      </c>
      <c r="AP17" s="39">
        <f>IFERROR(('Activity Data Rep. Mauritius'!Q16*'Activity Data Rep. Mauritius'!$G16*'Activity Data Rep. Mauritius'!$J16)/1000,"NA")</f>
        <v>7.5206999999999997E-4</v>
      </c>
      <c r="AQ17" s="39">
        <f>IFERROR(('Activity Data Rep. Mauritius'!R16*'Activity Data Rep. Mauritius'!$G16*'Activity Data Rep. Mauritius'!$J16)/1000,"NA")</f>
        <v>1.0653415384615384E-3</v>
      </c>
      <c r="AR17" s="39">
        <f>IFERROR(('Activity Data Rep. Mauritius'!S16*'Activity Data Rep. Mauritius'!$G16*'Activity Data Rep. Mauritius'!$J16)/1000,"NA")</f>
        <v>1.0819874999999999E-3</v>
      </c>
      <c r="AS17" s="39">
        <f>IFERROR(('Activity Data Rep. Mauritius'!T16*'Activity Data Rep. Mauritius'!$G16*'Activity Data Rep. Mauritius'!$J16)/1000,"NA")</f>
        <v>1.1100946153846155E-3</v>
      </c>
      <c r="AT17" s="39">
        <f>IFERROR(('Activity Data Rep. Mauritius'!U16*'Activity Data Rep. Mauritius'!$G16*'Activity Data Rep. Mauritius'!$J16)/1000,"NA")</f>
        <v>1.3425923076923077E-3</v>
      </c>
      <c r="AU17" s="39">
        <f>IFERROR(('Activity Data Rep. Mauritius'!V16*'Activity Data Rep. Mauritius'!$G16*'Activity Data Rep. Mauritius'!$J16)/1000,"NA")</f>
        <v>1.3663332692307689E-3</v>
      </c>
      <c r="AV17" s="39">
        <f>IFERROR(('Activity Data Rep. Mauritius'!W16*'Activity Data Rep. Mauritius'!$G16*'Activity Data Rep. Mauritius'!$J16)/1000,"NA")</f>
        <v>1.3977149999999999E-3</v>
      </c>
      <c r="AW17" s="39">
        <f>IFERROR(('Activity Data Rep. Mauritius'!X16*'Activity Data Rep. Mauritius'!$G16*'Activity Data Rep. Mauritius'!$J16)/1000,"NA")</f>
        <v>1.4293696153846154E-3</v>
      </c>
      <c r="AX17" s="39">
        <f>IFERROR(('Activity Data Rep. Mauritius'!Y16*'Activity Data Rep. Mauritius'!$G16*'Activity Data Rep. Mauritius'!$J16)/1000,"NA")</f>
        <v>1.4907686538461538E-3</v>
      </c>
      <c r="AY17" s="39">
        <f>IFERROR(('Activity Data Rep. Mauritius'!Z16*'Activity Data Rep. Mauritius'!$G16*'Activity Data Rep. Mauritius'!$J16)/1000,"NA")</f>
        <v>1.460751346153846E-3</v>
      </c>
      <c r="AZ17" s="39">
        <f>IFERROR(('Activity Data Rep. Mauritius'!AA16*'Activity Data Rep. Mauritius'!$G16*'Activity Data Rep. Mauritius'!$J16)/1000,"NA")</f>
        <v>1.4809448076923072E-3</v>
      </c>
      <c r="BA17" s="39">
        <f>IFERROR(('Activity Data Rep. Mauritius'!AB16*'Activity Data Rep. Mauritius'!$G16*'Activity Data Rep. Mauritius'!$J16)/1000,"NA")</f>
        <v>1.5478015384615385E-3</v>
      </c>
      <c r="BB17" s="86">
        <f>IFERROR(('Activity Data Rep. Mauritius'!AC16*'Activity Data Rep. Mauritius'!$G16*'Activity Data Rep. Mauritius'!$J16)/1000,"NA")</f>
        <v>1.5284267307692305E-3</v>
      </c>
      <c r="BC17" s="85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86"/>
    </row>
    <row r="18" spans="2:71" s="110" customFormat="1" x14ac:dyDescent="0.35">
      <c r="B18" s="641"/>
      <c r="C18" s="406" t="s">
        <v>18</v>
      </c>
      <c r="D18" s="85">
        <f>IFERROR(('Activity Data Rep. Mauritius'!M17*'Activity Data Rep. Mauritius'!$E17*'Activity Data Rep. Mauritius'!$J17)/1000,"NA")</f>
        <v>18427.709908843368</v>
      </c>
      <c r="E18" s="39">
        <f>IFERROR(('Activity Data Rep. Mauritius'!N17*'Activity Data Rep. Mauritius'!$E17*'Activity Data Rep. Mauritius'!$J17)/1000,"NA")</f>
        <v>23120.800194415664</v>
      </c>
      <c r="F18" s="39">
        <f>IFERROR(('Activity Data Rep. Mauritius'!O17*'Activity Data Rep. Mauritius'!$E17*'Activity Data Rep. Mauritius'!$J17)/1000,"NA")</f>
        <v>23429.306335884932</v>
      </c>
      <c r="G18" s="39">
        <f>IFERROR(('Activity Data Rep. Mauritius'!P17*'Activity Data Rep. Mauritius'!$E17*'Activity Data Rep. Mauritius'!$J17)/1000,"NA")</f>
        <v>21093.727368708431</v>
      </c>
      <c r="H18" s="39">
        <f>IFERROR(('Activity Data Rep. Mauritius'!Q17*'Activity Data Rep. Mauritius'!$E17*'Activity Data Rep. Mauritius'!$J17)/1000,"NA")</f>
        <v>18909.825863916139</v>
      </c>
      <c r="I18" s="39">
        <f>IFERROR(('Activity Data Rep. Mauritius'!R17*'Activity Data Rep. Mauritius'!$E17*'Activity Data Rep. Mauritius'!$J17)/1000,"NA")</f>
        <v>17543.543448515418</v>
      </c>
      <c r="J18" s="39">
        <f>IFERROR(('Activity Data Rep. Mauritius'!S17*'Activity Data Rep. Mauritius'!$E17*'Activity Data Rep. Mauritius'!$J17)/1000,"NA")</f>
        <v>22156.209616120475</v>
      </c>
      <c r="K18" s="39">
        <f>IFERROR(('Activity Data Rep. Mauritius'!T17*'Activity Data Rep. Mauritius'!$E17*'Activity Data Rep. Mauritius'!$J17)/1000,"NA")</f>
        <v>22971.928176581201</v>
      </c>
      <c r="L18" s="39">
        <f>IFERROR(('Activity Data Rep. Mauritius'!U17*'Activity Data Rep. Mauritius'!$E17*'Activity Data Rep. Mauritius'!$J17)/1000,"NA")</f>
        <v>20723.548857302165</v>
      </c>
      <c r="M18" s="39">
        <f>IFERROR(('Activity Data Rep. Mauritius'!V17*'Activity Data Rep. Mauritius'!$E17*'Activity Data Rep. Mauritius'!$J17)/1000,"NA")</f>
        <v>17759.46579722024</v>
      </c>
      <c r="N18" s="39">
        <f>IFERROR(('Activity Data Rep. Mauritius'!W17*'Activity Data Rep. Mauritius'!$E17*'Activity Data Rep. Mauritius'!$J17)/1000,"NA")</f>
        <v>17097.339657253007</v>
      </c>
      <c r="O18" s="39">
        <f>IFERROR(('Activity Data Rep. Mauritius'!X17*'Activity Data Rep. Mauritius'!$E17*'Activity Data Rep. Mauritius'!$J17)/1000,"NA")</f>
        <v>16620.764506698793</v>
      </c>
      <c r="P18" s="39">
        <f>IFERROR(('Activity Data Rep. Mauritius'!Y17*'Activity Data Rep. Mauritius'!$E17*'Activity Data Rep. Mauritius'!$J17)/1000,"NA")</f>
        <v>16058.851072265057</v>
      </c>
      <c r="Q18" s="39">
        <f>IFERROR(('Activity Data Rep. Mauritius'!Z17*'Activity Data Rep. Mauritius'!$E17*'Activity Data Rep. Mauritius'!$J17)/1000,"NA")</f>
        <v>16153.259125445782</v>
      </c>
      <c r="R18" s="39">
        <f>IFERROR(('Activity Data Rep. Mauritius'!AA17*'Activity Data Rep. Mauritius'!$E17*'Activity Data Rep. Mauritius'!$J17)/1000,"NA")</f>
        <v>16686.726465253007</v>
      </c>
      <c r="S18" s="39">
        <f>IFERROR(('Activity Data Rep. Mauritius'!AB17*'Activity Data Rep. Mauritius'!$E17*'Activity Data Rep. Mauritius'!$J17)/1000,"NA")</f>
        <v>15337.392150578311</v>
      </c>
      <c r="T18" s="86">
        <f>IFERROR(('Activity Data Rep. Mauritius'!AC17*'Activity Data Rep. Mauritius'!$E17*'Activity Data Rep. Mauritius'!$J17)/1000,"NA")</f>
        <v>15166.715582819274</v>
      </c>
      <c r="U18" s="85">
        <f>IFERROR(('Activity Data Rep. Mauritius'!M17*'Activity Data Rep. Mauritius'!$F17*'Activity Data Rep. Mauritius'!$J17)/1000,"NA")</f>
        <v>0.71425232204819267</v>
      </c>
      <c r="V18" s="39">
        <f>IFERROR(('Activity Data Rep. Mauritius'!N17*'Activity Data Rep. Mauritius'!$F17*'Activity Data Rep. Mauritius'!$J17)/1000,"NA")</f>
        <v>0.89615504629518061</v>
      </c>
      <c r="W18" s="39">
        <f>IFERROR(('Activity Data Rep. Mauritius'!O17*'Activity Data Rep. Mauritius'!$F17*'Activity Data Rep. Mauritius'!$J17)/1000,"NA")</f>
        <v>0.90811264867771069</v>
      </c>
      <c r="X18" s="39">
        <f>IFERROR(('Activity Data Rep. Mauritius'!P17*'Activity Data Rep. Mauritius'!$F17*'Activity Data Rep. Mauritius'!$J17)/1000,"NA")</f>
        <v>0.81758633212048182</v>
      </c>
      <c r="Y18" s="39">
        <f>IFERROR(('Activity Data Rep. Mauritius'!Q17*'Activity Data Rep. Mauritius'!$F17*'Activity Data Rep. Mauritius'!$J17)/1000,"NA")</f>
        <v>0.73293898697349391</v>
      </c>
      <c r="Z18" s="39">
        <f>IFERROR(('Activity Data Rep. Mauritius'!R17*'Activity Data Rep. Mauritius'!$F17*'Activity Data Rep. Mauritius'!$J17)/1000,"NA")</f>
        <v>0.67998230420602401</v>
      </c>
      <c r="AA18" s="39">
        <f>IFERROR(('Activity Data Rep. Mauritius'!S17*'Activity Data Rep. Mauritius'!$F17*'Activity Data Rep. Mauritius'!$J17)/1000,"NA")</f>
        <v>0.85876781457831308</v>
      </c>
      <c r="AB18" s="39">
        <f>IFERROR(('Activity Data Rep. Mauritius'!T17*'Activity Data Rep. Mauritius'!$F17*'Activity Data Rep. Mauritius'!$J17)/1000,"NA")</f>
        <v>0.89038481304578299</v>
      </c>
      <c r="AC18" s="39">
        <f>IFERROR(('Activity Data Rep. Mauritius'!U17*'Activity Data Rep. Mauritius'!$F17*'Activity Data Rep. Mauritius'!$J17)/1000,"NA")</f>
        <v>0.80323832780240956</v>
      </c>
      <c r="AD18" s="39">
        <f>IFERROR(('Activity Data Rep. Mauritius'!V17*'Activity Data Rep. Mauritius'!$F17*'Activity Data Rep. Mauritius'!$J17)/1000,"NA")</f>
        <v>0.6883513874891567</v>
      </c>
      <c r="AE18" s="39">
        <f>IFERROR(('Activity Data Rep. Mauritius'!W17*'Activity Data Rep. Mauritius'!$F17*'Activity Data Rep. Mauritius'!$J17)/1000,"NA")</f>
        <v>0.66268758361445768</v>
      </c>
      <c r="AF18" s="39">
        <f>IFERROR(('Activity Data Rep. Mauritius'!X17*'Activity Data Rep. Mauritius'!$F17*'Activity Data Rep. Mauritius'!$J17)/1000,"NA")</f>
        <v>0.64421567855421691</v>
      </c>
      <c r="AG18" s="39">
        <f>IFERROR(('Activity Data Rep. Mauritius'!Y17*'Activity Data Rep. Mauritius'!$F17*'Activity Data Rep. Mauritius'!$J17)/1000,"NA")</f>
        <v>0.62243608807228912</v>
      </c>
      <c r="AH18" s="39">
        <f>IFERROR(('Activity Data Rep. Mauritius'!Z17*'Activity Data Rep. Mauritius'!$F17*'Activity Data Rep. Mauritius'!$J17)/1000,"NA")</f>
        <v>0.62609531493975901</v>
      </c>
      <c r="AI18" s="39">
        <f>IFERROR(('Activity Data Rep. Mauritius'!AA17*'Activity Data Rep. Mauritius'!$F17*'Activity Data Rep. Mauritius'!$J17)/1000,"NA")</f>
        <v>0.64677234361445768</v>
      </c>
      <c r="AJ18" s="39">
        <f>IFERROR(('Activity Data Rep. Mauritius'!AB17*'Activity Data Rep. Mauritius'!$F17*'Activity Data Rep. Mauritius'!$J17)/1000,"NA")</f>
        <v>0.59447256397590353</v>
      </c>
      <c r="AK18" s="86">
        <f>IFERROR(('Activity Data Rep. Mauritius'!AC17*'Activity Data Rep. Mauritius'!$F17*'Activity Data Rep. Mauritius'!$J17)/1000,"NA")</f>
        <v>0.58785719313253004</v>
      </c>
      <c r="AL18" s="500">
        <f>IFERROR(('Activity Data Rep. Mauritius'!M17*'Activity Data Rep. Mauritius'!$G17*'Activity Data Rep. Mauritius'!$J17)/1000,"NA")</f>
        <v>0.1428504644096385</v>
      </c>
      <c r="AM18" s="39">
        <f>IFERROR(('Activity Data Rep. Mauritius'!N17*'Activity Data Rep. Mauritius'!$G17*'Activity Data Rep. Mauritius'!$J17)/1000,"NA")</f>
        <v>0.17923100925903612</v>
      </c>
      <c r="AN18" s="39">
        <f>IFERROR(('Activity Data Rep. Mauritius'!O17*'Activity Data Rep. Mauritius'!$G17*'Activity Data Rep. Mauritius'!$J17)/1000,"NA")</f>
        <v>0.1816225297355421</v>
      </c>
      <c r="AO18" s="39">
        <f>IFERROR(('Activity Data Rep. Mauritius'!P17*'Activity Data Rep. Mauritius'!$G17*'Activity Data Rep. Mauritius'!$J17)/1000,"NA")</f>
        <v>0.16351726642409639</v>
      </c>
      <c r="AP18" s="39">
        <f>IFERROR(('Activity Data Rep. Mauritius'!Q17*'Activity Data Rep. Mauritius'!$G17*'Activity Data Rep. Mauritius'!$J17)/1000,"NA")</f>
        <v>0.14658779739469877</v>
      </c>
      <c r="AQ18" s="39">
        <f>IFERROR(('Activity Data Rep. Mauritius'!R17*'Activity Data Rep. Mauritius'!$G17*'Activity Data Rep. Mauritius'!$J17)/1000,"NA")</f>
        <v>0.13599646084120479</v>
      </c>
      <c r="AR18" s="39">
        <f>IFERROR(('Activity Data Rep. Mauritius'!S17*'Activity Data Rep. Mauritius'!$G17*'Activity Data Rep. Mauritius'!$J17)/1000,"NA")</f>
        <v>0.1717535629156626</v>
      </c>
      <c r="AS18" s="39">
        <f>IFERROR(('Activity Data Rep. Mauritius'!T17*'Activity Data Rep. Mauritius'!$G17*'Activity Data Rep. Mauritius'!$J17)/1000,"NA")</f>
        <v>0.17807696260915656</v>
      </c>
      <c r="AT18" s="39">
        <f>IFERROR(('Activity Data Rep. Mauritius'!U17*'Activity Data Rep. Mauritius'!$G17*'Activity Data Rep. Mauritius'!$J17)/1000,"NA")</f>
        <v>0.16064766556048191</v>
      </c>
      <c r="AU18" s="39">
        <f>IFERROR(('Activity Data Rep. Mauritius'!V17*'Activity Data Rep. Mauritius'!$G17*'Activity Data Rep. Mauritius'!$J17)/1000,"NA")</f>
        <v>0.13767027749783131</v>
      </c>
      <c r="AV18" s="39">
        <f>IFERROR(('Activity Data Rep. Mauritius'!W17*'Activity Data Rep. Mauritius'!$G17*'Activity Data Rep. Mauritius'!$J17)/1000,"NA")</f>
        <v>0.13253751672289155</v>
      </c>
      <c r="AW18" s="39">
        <f>IFERROR(('Activity Data Rep. Mauritius'!X17*'Activity Data Rep. Mauritius'!$G17*'Activity Data Rep. Mauritius'!$J17)/1000,"NA")</f>
        <v>0.12884313571084338</v>
      </c>
      <c r="AX18" s="39">
        <f>IFERROR(('Activity Data Rep. Mauritius'!Y17*'Activity Data Rep. Mauritius'!$G17*'Activity Data Rep. Mauritius'!$J17)/1000,"NA")</f>
        <v>0.1244872176144578</v>
      </c>
      <c r="AY18" s="39">
        <f>IFERROR(('Activity Data Rep. Mauritius'!Z17*'Activity Data Rep. Mauritius'!$G17*'Activity Data Rep. Mauritius'!$J17)/1000,"NA")</f>
        <v>0.1252190629879518</v>
      </c>
      <c r="AZ18" s="39">
        <f>IFERROR(('Activity Data Rep. Mauritius'!AA17*'Activity Data Rep. Mauritius'!$G17*'Activity Data Rep. Mauritius'!$J17)/1000,"NA")</f>
        <v>0.12935446872289155</v>
      </c>
      <c r="BA18" s="39">
        <f>IFERROR(('Activity Data Rep. Mauritius'!AB17*'Activity Data Rep. Mauritius'!$G17*'Activity Data Rep. Mauritius'!$J17)/1000,"NA")</f>
        <v>0.11889451279518071</v>
      </c>
      <c r="BB18" s="86">
        <f>IFERROR(('Activity Data Rep. Mauritius'!AC17*'Activity Data Rep. Mauritius'!$G17*'Activity Data Rep. Mauritius'!$J17)/1000,"NA")</f>
        <v>0.11757143862650601</v>
      </c>
      <c r="BC18" s="85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86"/>
    </row>
    <row r="19" spans="2:71" s="110" customFormat="1" x14ac:dyDescent="0.35">
      <c r="B19" s="638"/>
      <c r="C19" s="406" t="s">
        <v>15</v>
      </c>
      <c r="D19" s="85">
        <f>IFERROR(('Activity Data Rep. Mauritius'!M18*'Activity Data Rep. Mauritius'!$E18*'Conversion Factors CF'!H6)/1000,"NA")</f>
        <v>8587.8320754285724</v>
      </c>
      <c r="E19" s="39">
        <f>IFERROR(('Activity Data Rep. Mauritius'!N18*'Activity Data Rep. Mauritius'!$E18*'Conversion Factors CF'!I6)/1000,"NA")</f>
        <v>9032.3597806514281</v>
      </c>
      <c r="F19" s="39">
        <f>IFERROR(('Activity Data Rep. Mauritius'!O18*'Activity Data Rep. Mauritius'!$E18*'Conversion Factors CF'!J6)/1000,"NA")</f>
        <v>9055.7259520000007</v>
      </c>
      <c r="G19" s="39">
        <f>IFERROR(('Activity Data Rep. Mauritius'!P18*'Activity Data Rep. Mauritius'!$E18*'Conversion Factors CF'!K6)/1000,"NA")</f>
        <v>10124.409571428569</v>
      </c>
      <c r="H19" s="39">
        <f>IFERROR(('Activity Data Rep. Mauritius'!Q18*'Activity Data Rep. Mauritius'!$E18*'Conversion Factors CF'!L6)/1000,"NA")</f>
        <v>8442.3273399999998</v>
      </c>
      <c r="I19" s="39">
        <f>IFERROR(('Activity Data Rep. Mauritius'!R18*'Activity Data Rep. Mauritius'!$E18*'Conversion Factors CF'!M6)/1000,"NA")</f>
        <v>8057.6428839999999</v>
      </c>
      <c r="J19" s="39">
        <f>IFERROR(('Activity Data Rep. Mauritius'!S18*'Activity Data Rep. Mauritius'!$E18*'Conversion Factors CF'!N6)/1000,"NA")</f>
        <v>7525.3136828571414</v>
      </c>
      <c r="K19" s="39">
        <f>IFERROR(('Activity Data Rep. Mauritius'!T18*'Activity Data Rep. Mauritius'!$E18*'Conversion Factors CF'!O6)/1000,"NA")</f>
        <v>6942.413846808</v>
      </c>
      <c r="L19" s="39">
        <f>IFERROR(('Activity Data Rep. Mauritius'!U18*'Activity Data Rep. Mauritius'!$E18*'Conversion Factors CF'!P6)/1000,"NA")</f>
        <v>14424.65720637997</v>
      </c>
      <c r="M19" s="39">
        <f>IFERROR(('Activity Data Rep. Mauritius'!V18*'Activity Data Rep. Mauritius'!$E18*'Conversion Factors CF'!Q6)/1000,"NA")</f>
        <v>7394.637879681376</v>
      </c>
      <c r="N19" s="39">
        <f>IFERROR(('Activity Data Rep. Mauritius'!W18*'Activity Data Rep. Mauritius'!$E18*'Conversion Factors CF'!R6)/1000,"NA")</f>
        <v>8573.5601839807496</v>
      </c>
      <c r="O19" s="39">
        <f>IFERROR(('Activity Data Rep. Mauritius'!X18*'Activity Data Rep. Mauritius'!$E18*'Conversion Factors CF'!S6)/1000,"NA")</f>
        <v>8381.3876979570523</v>
      </c>
      <c r="P19" s="39">
        <f>IFERROR(('Activity Data Rep. Mauritius'!Y18*'Activity Data Rep. Mauritius'!$E18*'Conversion Factors CF'!T6)/1000,"NA")</f>
        <v>8804.520003810243</v>
      </c>
      <c r="Q19" s="39">
        <f>IFERROR(('Activity Data Rep. Mauritius'!Z18*'Activity Data Rep. Mauritius'!$E18*'Conversion Factors CF'!U6)/1000,"NA")</f>
        <v>9406.8502460508535</v>
      </c>
      <c r="R19" s="39">
        <f>IFERROR(('Activity Data Rep. Mauritius'!AA18*'Activity Data Rep. Mauritius'!$E18*'Conversion Factors CF'!V6)/1000,"NA")</f>
        <v>10667.22797956363</v>
      </c>
      <c r="S19" s="39">
        <f>IFERROR(('Activity Data Rep. Mauritius'!AB18*'Activity Data Rep. Mauritius'!$E18*'Conversion Factors CF'!W6)/1000,"NA")</f>
        <v>12317.234700361689</v>
      </c>
      <c r="T19" s="86">
        <f>IFERROR(('Activity Data Rep. Mauritius'!AC18*'Activity Data Rep. Mauritius'!$E18*'Conversion Factors CF'!X6)/1000,"NA")</f>
        <v>11457.537635424211</v>
      </c>
      <c r="U19" s="85">
        <f>IFERROR(('Activity Data Rep. Mauritius'!M18*'Activity Data Rep. Mauritius'!$F18*'Conversion Factors CF'!H6)/1000,"NA")</f>
        <v>0.8936349714285714</v>
      </c>
      <c r="V19" s="39">
        <f>IFERROR(('Activity Data Rep. Mauritius'!N18*'Activity Data Rep. Mauritius'!$F18*'Conversion Factors CF'!I6)/1000,"NA")</f>
        <v>0.93989175657142854</v>
      </c>
      <c r="W19" s="39">
        <f>IFERROR(('Activity Data Rep. Mauritius'!O18*'Activity Data Rep. Mauritius'!$F18*'Conversion Factors CF'!J6)/1000,"NA")</f>
        <v>0.94232320000000003</v>
      </c>
      <c r="X19" s="39">
        <f>IFERROR(('Activity Data Rep. Mauritius'!P18*'Activity Data Rep. Mauritius'!$F18*'Conversion Factors CF'!K6)/1000,"NA")</f>
        <v>1.0535285714285711</v>
      </c>
      <c r="Y19" s="39">
        <f>IFERROR(('Activity Data Rep. Mauritius'!Q18*'Activity Data Rep. Mauritius'!$F18*'Conversion Factors CF'!L6)/1000,"NA")</f>
        <v>0.878494</v>
      </c>
      <c r="Z19" s="39">
        <f>IFERROR(('Activity Data Rep. Mauritius'!R18*'Activity Data Rep. Mauritius'!$F18*'Conversion Factors CF'!M6)/1000,"NA")</f>
        <v>0.8384644</v>
      </c>
      <c r="AA19" s="39">
        <f>IFERROR(('Activity Data Rep. Mauritius'!S18*'Activity Data Rep. Mauritius'!$F18*'Conversion Factors CF'!N6)/1000,"NA")</f>
        <v>0.78307114285714285</v>
      </c>
      <c r="AB19" s="39">
        <f>IFERROR(('Activity Data Rep. Mauritius'!T18*'Activity Data Rep. Mauritius'!$F18*'Conversion Factors CF'!O6)/1000,"NA")</f>
        <v>0.72241559280000001</v>
      </c>
      <c r="AC19" s="39">
        <f>IFERROR(('Activity Data Rep. Mauritius'!U18*'Activity Data Rep. Mauritius'!$F18*'Conversion Factors CF'!P6)/1000,"NA")</f>
        <v>1.5010049122143574</v>
      </c>
      <c r="AD19" s="39">
        <f>IFERROR(('Activity Data Rep. Mauritius'!V18*'Activity Data Rep. Mauritius'!$F18*'Conversion Factors CF'!Q6)/1000,"NA")</f>
        <v>0.76947324450378529</v>
      </c>
      <c r="AE19" s="39">
        <f>IFERROR(('Activity Data Rep. Mauritius'!W18*'Activity Data Rep. Mauritius'!$F18*'Conversion Factors CF'!R6)/1000,"NA")</f>
        <v>0.89214986305731003</v>
      </c>
      <c r="AF19" s="39">
        <f>IFERROR(('Activity Data Rep. Mauritius'!X18*'Activity Data Rep. Mauritius'!$F18*'Conversion Factors CF'!S6)/1000,"NA")</f>
        <v>0.87215272611415751</v>
      </c>
      <c r="AG19" s="39">
        <f>IFERROR(('Activity Data Rep. Mauritius'!Y18*'Activity Data Rep. Mauritius'!$F18*'Conversion Factors CF'!T6)/1000,"NA")</f>
        <v>0.91618314295632086</v>
      </c>
      <c r="AH19" s="39">
        <f>IFERROR(('Activity Data Rep. Mauritius'!Z18*'Activity Data Rep. Mauritius'!$F18*'Conversion Factors CF'!U6)/1000,"NA")</f>
        <v>0.97886058751829896</v>
      </c>
      <c r="AI19" s="39">
        <f>IFERROR(('Activity Data Rep. Mauritius'!AA18*'Activity Data Rep. Mauritius'!$F18*'Conversion Factors CF'!V6)/1000,"NA")</f>
        <v>1.1100133173323237</v>
      </c>
      <c r="AJ19" s="39">
        <f>IFERROR(('Activity Data Rep. Mauritius'!AB18*'Activity Data Rep. Mauritius'!$F18*'Conversion Factors CF'!W6)/1000,"NA")</f>
        <v>1.281710166530873</v>
      </c>
      <c r="AK19" s="86">
        <f>IFERROR(('Activity Data Rep. Mauritius'!AC18*'Activity Data Rep. Mauritius'!$F18*'Conversion Factors CF'!X6)/1000,"NA")</f>
        <v>1.1922515749660991</v>
      </c>
      <c r="AL19" s="500">
        <f>IFERROR(('Activity Data Rep. Mauritius'!M18*'Activity Data Rep. Mauritius'!$G18*'Conversion Factors CF'!H6)/1000,"NA")</f>
        <v>0.13404524571428569</v>
      </c>
      <c r="AM19" s="39">
        <f>IFERROR(('Activity Data Rep. Mauritius'!N18*'Activity Data Rep. Mauritius'!$G18*'Conversion Factors CF'!I6)/1000,"NA")</f>
        <v>0.14098376348571429</v>
      </c>
      <c r="AN19" s="39">
        <f>IFERROR(('Activity Data Rep. Mauritius'!O18*'Activity Data Rep. Mauritius'!$G18*'Conversion Factors CF'!J6)/1000,"NA")</f>
        <v>0.14134848000000003</v>
      </c>
      <c r="AO19" s="39">
        <f>IFERROR(('Activity Data Rep. Mauritius'!P18*'Activity Data Rep. Mauritius'!$G18*'Conversion Factors CF'!K6)/1000,"NA")</f>
        <v>0.15802928571428571</v>
      </c>
      <c r="AP19" s="39">
        <f>IFERROR(('Activity Data Rep. Mauritius'!Q18*'Activity Data Rep. Mauritius'!$G18*'Conversion Factors CF'!L6)/1000,"NA")</f>
        <v>0.13177410000000001</v>
      </c>
      <c r="AQ19" s="39">
        <f>IFERROR(('Activity Data Rep. Mauritius'!R18*'Activity Data Rep. Mauritius'!$G18*'Conversion Factors CF'!M6)/1000,"NA")</f>
        <v>0.12576965999999998</v>
      </c>
      <c r="AR19" s="39">
        <f>IFERROR(('Activity Data Rep. Mauritius'!S18*'Activity Data Rep. Mauritius'!$G18*'Conversion Factors CF'!N6)/1000,"NA")</f>
        <v>0.11746067142857142</v>
      </c>
      <c r="AS19" s="39">
        <f>IFERROR(('Activity Data Rep. Mauritius'!T18*'Activity Data Rep. Mauritius'!$G18*'Conversion Factors CF'!O6)/1000,"NA")</f>
        <v>0.10836233891999998</v>
      </c>
      <c r="AT19" s="39">
        <f>IFERROR(('Activity Data Rep. Mauritius'!U18*'Activity Data Rep. Mauritius'!$G18*'Conversion Factors CF'!P6)/1000,"NA")</f>
        <v>0.22515073683215356</v>
      </c>
      <c r="AU19" s="39">
        <f>IFERROR(('Activity Data Rep. Mauritius'!V18*'Activity Data Rep. Mauritius'!$G18*'Conversion Factors CF'!Q6)/1000,"NA")</f>
        <v>0.11542098667556779</v>
      </c>
      <c r="AV19" s="39">
        <f>IFERROR(('Activity Data Rep. Mauritius'!W18*'Activity Data Rep. Mauritius'!$G18*'Conversion Factors CF'!R6)/1000,"NA")</f>
        <v>0.13382247945859652</v>
      </c>
      <c r="AW19" s="39">
        <f>IFERROR(('Activity Data Rep. Mauritius'!X18*'Activity Data Rep. Mauritius'!$G18*'Conversion Factors CF'!S6)/1000,"NA")</f>
        <v>0.13082290891712361</v>
      </c>
      <c r="AX19" s="39">
        <f>IFERROR(('Activity Data Rep. Mauritius'!Y18*'Activity Data Rep. Mauritius'!$G18*'Conversion Factors CF'!T6)/1000,"NA")</f>
        <v>0.13742747144344816</v>
      </c>
      <c r="AY19" s="39">
        <f>IFERROR(('Activity Data Rep. Mauritius'!Z18*'Activity Data Rep. Mauritius'!$G18*'Conversion Factors CF'!U6)/1000,"NA")</f>
        <v>0.14682908812774487</v>
      </c>
      <c r="AZ19" s="39">
        <f>IFERROR(('Activity Data Rep. Mauritius'!AA18*'Activity Data Rep. Mauritius'!$G18*'Conversion Factors CF'!V6)/1000,"NA")</f>
        <v>0.16650199759984852</v>
      </c>
      <c r="BA19" s="39">
        <f>IFERROR(('Activity Data Rep. Mauritius'!AB18*'Activity Data Rep. Mauritius'!$G18*'Conversion Factors CF'!W6)/1000,"NA")</f>
        <v>0.19225652497963094</v>
      </c>
      <c r="BB19" s="86">
        <f>IFERROR(('Activity Data Rep. Mauritius'!AC18*'Activity Data Rep. Mauritius'!$G18*'Conversion Factors CF'!X6)/1000,"NA")</f>
        <v>0.17883773624491489</v>
      </c>
      <c r="BC19" s="85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86"/>
    </row>
    <row r="20" spans="2:71" s="110" customFormat="1" x14ac:dyDescent="0.35">
      <c r="B20" s="643" t="s">
        <v>368</v>
      </c>
      <c r="C20" s="360" t="s">
        <v>63</v>
      </c>
      <c r="D20" s="85">
        <f>IFERROR(('Activity Data Rep. Mauritius'!M19*'Activity Data Rep. Mauritius'!$E19*'Activity Data Rep. Mauritius'!$J19)/1000,"NA")</f>
        <v>63844.403953199995</v>
      </c>
      <c r="E20" s="39">
        <f>IFERROR(('Activity Data Rep. Mauritius'!N19*'Activity Data Rep. Mauritius'!$E19*'Activity Data Rep. Mauritius'!$J19)/1000,"NA")</f>
        <v>57594.850631916008</v>
      </c>
      <c r="F20" s="39">
        <f>IFERROR(('Activity Data Rep. Mauritius'!O19*'Activity Data Rep. Mauritius'!$E19*'Activity Data Rep. Mauritius'!$J19)/1000,"NA")</f>
        <v>57404.306099868001</v>
      </c>
      <c r="G20" s="39">
        <f>IFERROR(('Activity Data Rep. Mauritius'!P19*'Activity Data Rep. Mauritius'!$E19*'Activity Data Rep. Mauritius'!$J19)/1000,"NA")</f>
        <v>63341.919582396004</v>
      </c>
      <c r="H20" s="39">
        <f>IFERROR(('Activity Data Rep. Mauritius'!Q19*'Activity Data Rep. Mauritius'!$E19*'Activity Data Rep. Mauritius'!$J19)/1000,"NA")</f>
        <v>66567.346782143999</v>
      </c>
      <c r="I20" s="39">
        <f>IFERROR(('Activity Data Rep. Mauritius'!R19*'Activity Data Rep. Mauritius'!$E19*'Activity Data Rep. Mauritius'!$J19)/1000,"NA")</f>
        <v>63117.568762404</v>
      </c>
      <c r="J20" s="39">
        <f>IFERROR(('Activity Data Rep. Mauritius'!S19*'Activity Data Rep. Mauritius'!$E19*'Activity Data Rep. Mauritius'!$J19)/1000,"NA")</f>
        <v>76394.220027683987</v>
      </c>
      <c r="K20" s="39">
        <f>IFERROR(('Activity Data Rep. Mauritius'!T19*'Activity Data Rep. Mauritius'!$E19*'Activity Data Rep. Mauritius'!$J19)/1000,"NA")</f>
        <v>74195.274661871998</v>
      </c>
      <c r="L20" s="39">
        <f>IFERROR(('Activity Data Rep. Mauritius'!U19*'Activity Data Rep. Mauritius'!$E19*'Activity Data Rep. Mauritius'!$J19)/1000,"NA")</f>
        <v>71068.193027051981</v>
      </c>
      <c r="M20" s="39">
        <f>IFERROR(('Activity Data Rep. Mauritius'!V19*'Activity Data Rep. Mauritius'!$E19*'Activity Data Rep. Mauritius'!$J19)/1000,"NA")</f>
        <v>70424.336906664001</v>
      </c>
      <c r="N20" s="39">
        <f>IFERROR(('Activity Data Rep. Mauritius'!W19*'Activity Data Rep. Mauritius'!$E19*'Activity Data Rep. Mauritius'!$J19)/1000,"NA")</f>
        <v>71440.062194436003</v>
      </c>
      <c r="O20" s="39">
        <f>IFERROR(('Activity Data Rep. Mauritius'!X19*'Activity Data Rep. Mauritius'!$E19*'Activity Data Rep. Mauritius'!$J19)/1000,"NA")</f>
        <v>66140.158234488001</v>
      </c>
      <c r="P20" s="39">
        <f>IFERROR(('Activity Data Rep. Mauritius'!Y19*'Activity Data Rep. Mauritius'!$E19*'Activity Data Rep. Mauritius'!$J19)/1000,"NA")</f>
        <v>63398.775612119985</v>
      </c>
      <c r="Q20" s="39">
        <f>IFERROR(('Activity Data Rep. Mauritius'!Z19*'Activity Data Rep. Mauritius'!$E19*'Activity Data Rep. Mauritius'!$J19)/1000,"NA")</f>
        <v>54383.253277236006</v>
      </c>
      <c r="R20" s="39">
        <f>IFERROR(('Activity Data Rep. Mauritius'!AA19*'Activity Data Rep. Mauritius'!$E19*'Activity Data Rep. Mauritius'!$J19)/1000,"NA")</f>
        <v>55383.476839391995</v>
      </c>
      <c r="S20" s="39">
        <f>IFERROR(('Activity Data Rep. Mauritius'!AB19*'Activity Data Rep. Mauritius'!$E19*'Activity Data Rep. Mauritius'!$J19)/1000,"NA")</f>
        <v>56145.654967584</v>
      </c>
      <c r="T20" s="86">
        <f>IFERROR(('Activity Data Rep. Mauritius'!AC19*'Activity Data Rep. Mauritius'!$E19*'Activity Data Rep. Mauritius'!$J19)/1000,"NA")</f>
        <v>54167.987122860017</v>
      </c>
      <c r="U20" s="85">
        <f>IFERROR(('Activity Data Rep. Mauritius'!M19*'Activity Data Rep. Mauritius'!$F19*'Activity Data Rep. Mauritius'!$J19)/1000,"NA")</f>
        <v>2.5847936823157895</v>
      </c>
      <c r="V20" s="39">
        <f>IFERROR(('Activity Data Rep. Mauritius'!N19*'Activity Data Rep. Mauritius'!$F19*'Activity Data Rep. Mauritius'!$J19)/1000,"NA")</f>
        <v>2.3317753292273689</v>
      </c>
      <c r="W20" s="39">
        <f>IFERROR(('Activity Data Rep. Mauritius'!O19*'Activity Data Rep. Mauritius'!$F19*'Activity Data Rep. Mauritius'!$J19)/1000,"NA")</f>
        <v>2.3240609757031581</v>
      </c>
      <c r="X20" s="39">
        <f>IFERROR(('Activity Data Rep. Mauritius'!P19*'Activity Data Rep. Mauritius'!$F19*'Activity Data Rep. Mauritius'!$J19)/1000,"NA")</f>
        <v>2.5644501855221051</v>
      </c>
      <c r="Y20" s="39">
        <f>IFERROR(('Activity Data Rep. Mauritius'!Q19*'Activity Data Rep. Mauritius'!$F19*'Activity Data Rep. Mauritius'!$J19)/1000,"NA")</f>
        <v>2.6950342826778946</v>
      </c>
      <c r="Z20" s="39">
        <f>IFERROR(('Activity Data Rep. Mauritius'!R19*'Activity Data Rep. Mauritius'!$F19*'Activity Data Rep. Mauritius'!$J19)/1000,"NA")</f>
        <v>2.5553671563726317</v>
      </c>
      <c r="AA20" s="39">
        <f>IFERROR(('Activity Data Rep. Mauritius'!S19*'Activity Data Rep. Mauritius'!$F19*'Activity Data Rep. Mauritius'!$J19)/1000,"NA")</f>
        <v>3.0928834019305258</v>
      </c>
      <c r="AB20" s="39">
        <f>IFERROR(('Activity Data Rep. Mauritius'!T19*'Activity Data Rep. Mauritius'!$F19*'Activity Data Rep. Mauritius'!$J19)/1000,"NA")</f>
        <v>3.0038572737600004</v>
      </c>
      <c r="AC20" s="39">
        <f>IFERROR(('Activity Data Rep. Mauritius'!U19*'Activity Data Rep. Mauritius'!$F19*'Activity Data Rep. Mauritius'!$J19)/1000,"NA")</f>
        <v>2.8772547784231568</v>
      </c>
      <c r="AD20" s="39">
        <f>IFERROR(('Activity Data Rep. Mauritius'!V19*'Activity Data Rep. Mauritius'!$F19*'Activity Data Rep. Mauritius'!$J19)/1000,"NA")</f>
        <v>2.8511877290147374</v>
      </c>
      <c r="AE20" s="39">
        <f>IFERROR(('Activity Data Rep. Mauritius'!W19*'Activity Data Rep. Mauritius'!$F19*'Activity Data Rep. Mauritius'!$J19)/1000,"NA")</f>
        <v>2.8923102103010523</v>
      </c>
      <c r="AF20" s="39">
        <f>IFERROR(('Activity Data Rep. Mauritius'!X19*'Activity Data Rep. Mauritius'!$F19*'Activity Data Rep. Mauritius'!$J19)/1000,"NA")</f>
        <v>2.6777391997768416</v>
      </c>
      <c r="AG20" s="39">
        <f>IFERROR(('Activity Data Rep. Mauritius'!Y19*'Activity Data Rep. Mauritius'!$F19*'Activity Data Rep. Mauritius'!$J19)/1000,"NA")</f>
        <v>2.5667520490736839</v>
      </c>
      <c r="AH20" s="39">
        <f>IFERROR(('Activity Data Rep. Mauritius'!Z19*'Activity Data Rep. Mauritius'!$F19*'Activity Data Rep. Mauritius'!$J19)/1000,"NA")</f>
        <v>2.2017511448273686</v>
      </c>
      <c r="AI20" s="39">
        <f>IFERROR(('Activity Data Rep. Mauritius'!AA19*'Activity Data Rep. Mauritius'!$F19*'Activity Data Rep. Mauritius'!$J19)/1000,"NA")</f>
        <v>2.2422460258863155</v>
      </c>
      <c r="AJ20" s="39">
        <f>IFERROR(('Activity Data Rep. Mauritius'!AB19*'Activity Data Rep. Mauritius'!$F19*'Activity Data Rep. Mauritius'!$J19)/1000,"NA")</f>
        <v>2.2731034399831578</v>
      </c>
      <c r="AK20" s="86">
        <f>IFERROR(('Activity Data Rep. Mauritius'!AC19*'Activity Data Rep. Mauritius'!$F19*'Activity Data Rep. Mauritius'!$J19)/1000,"NA")</f>
        <v>2.1930359159052633</v>
      </c>
      <c r="AL20" s="500">
        <f>IFERROR(('Activity Data Rep. Mauritius'!M19*'Activity Data Rep. Mauritius'!$G19*'Activity Data Rep. Mauritius'!$J19)/1000,"NA")</f>
        <v>0.51695873646315782</v>
      </c>
      <c r="AM20" s="39">
        <f>IFERROR(('Activity Data Rep. Mauritius'!N19*'Activity Data Rep. Mauritius'!$G19*'Activity Data Rep. Mauritius'!$J19)/1000,"NA")</f>
        <v>0.46635506584547376</v>
      </c>
      <c r="AN20" s="39">
        <f>IFERROR(('Activity Data Rep. Mauritius'!O19*'Activity Data Rep. Mauritius'!$G19*'Activity Data Rep. Mauritius'!$J19)/1000,"NA")</f>
        <v>0.4648121951406316</v>
      </c>
      <c r="AO20" s="39">
        <f>IFERROR(('Activity Data Rep. Mauritius'!P19*'Activity Data Rep. Mauritius'!$G19*'Activity Data Rep. Mauritius'!$J19)/1000,"NA")</f>
        <v>0.51289003710442105</v>
      </c>
      <c r="AP20" s="39">
        <f>IFERROR(('Activity Data Rep. Mauritius'!Q19*'Activity Data Rep. Mauritius'!$G19*'Activity Data Rep. Mauritius'!$J19)/1000,"NA")</f>
        <v>0.53900685653557889</v>
      </c>
      <c r="AQ20" s="39">
        <f>IFERROR(('Activity Data Rep. Mauritius'!R19*'Activity Data Rep. Mauritius'!$G19*'Activity Data Rep. Mauritius'!$J19)/1000,"NA")</f>
        <v>0.51107343127452631</v>
      </c>
      <c r="AR20" s="39">
        <f>IFERROR(('Activity Data Rep. Mauritius'!S19*'Activity Data Rep. Mauritius'!$G19*'Activity Data Rep. Mauritius'!$J19)/1000,"NA")</f>
        <v>0.61857668038610514</v>
      </c>
      <c r="AS20" s="39">
        <f>IFERROR(('Activity Data Rep. Mauritius'!T19*'Activity Data Rep. Mauritius'!$G19*'Activity Data Rep. Mauritius'!$J19)/1000,"NA")</f>
        <v>0.60077145475200011</v>
      </c>
      <c r="AT20" s="39">
        <f>IFERROR(('Activity Data Rep. Mauritius'!U19*'Activity Data Rep. Mauritius'!$G19*'Activity Data Rep. Mauritius'!$J19)/1000,"NA")</f>
        <v>0.57545095568463145</v>
      </c>
      <c r="AU20" s="39">
        <f>IFERROR(('Activity Data Rep. Mauritius'!V19*'Activity Data Rep. Mauritius'!$G19*'Activity Data Rep. Mauritius'!$J19)/1000,"NA")</f>
        <v>0.57023754580294739</v>
      </c>
      <c r="AV20" s="39">
        <f>IFERROR(('Activity Data Rep. Mauritius'!W19*'Activity Data Rep. Mauritius'!$G19*'Activity Data Rep. Mauritius'!$J19)/1000,"NA")</f>
        <v>0.57846204206021046</v>
      </c>
      <c r="AW20" s="39">
        <f>IFERROR(('Activity Data Rep. Mauritius'!X19*'Activity Data Rep. Mauritius'!$G19*'Activity Data Rep. Mauritius'!$J19)/1000,"NA")</f>
        <v>0.53554783995536848</v>
      </c>
      <c r="AX20" s="39">
        <f>IFERROR(('Activity Data Rep. Mauritius'!Y19*'Activity Data Rep. Mauritius'!$G19*'Activity Data Rep. Mauritius'!$J19)/1000,"NA")</f>
        <v>0.51335040981473679</v>
      </c>
      <c r="AY20" s="39">
        <f>IFERROR(('Activity Data Rep. Mauritius'!Z19*'Activity Data Rep. Mauritius'!$G19*'Activity Data Rep. Mauritius'!$J19)/1000,"NA")</f>
        <v>0.44035022896547371</v>
      </c>
      <c r="AZ20" s="39">
        <f>IFERROR(('Activity Data Rep. Mauritius'!AA19*'Activity Data Rep. Mauritius'!$G19*'Activity Data Rep. Mauritius'!$J19)/1000,"NA")</f>
        <v>0.44844920517726305</v>
      </c>
      <c r="BA20" s="39">
        <f>IFERROR(('Activity Data Rep. Mauritius'!AB19*'Activity Data Rep. Mauritius'!$G19*'Activity Data Rep. Mauritius'!$J19)/1000,"NA")</f>
        <v>0.45462068799663152</v>
      </c>
      <c r="BB20" s="86">
        <f>IFERROR(('Activity Data Rep. Mauritius'!AC19*'Activity Data Rep. Mauritius'!$G19*'Activity Data Rep. Mauritius'!$J19)/1000,"NA")</f>
        <v>0.43860718318105268</v>
      </c>
      <c r="BC20" s="85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86"/>
    </row>
    <row r="21" spans="2:71" s="110" customFormat="1" x14ac:dyDescent="0.35">
      <c r="B21" s="641"/>
      <c r="C21" s="406" t="s">
        <v>125</v>
      </c>
      <c r="D21" s="85">
        <f>IFERROR(('Activity Data Rep. Mauritius'!M20*'Activity Data Rep. Mauritius'!$E20*'Activity Data Rep. Mauritius'!$J20)/1000,"NA")</f>
        <v>7410.7788932692292</v>
      </c>
      <c r="E21" s="39">
        <f>IFERROR(('Activity Data Rep. Mauritius'!N20*'Activity Data Rep. Mauritius'!$E20*'Activity Data Rep. Mauritius'!$J20)/1000,"NA")</f>
        <v>7332.4323557692296</v>
      </c>
      <c r="F21" s="39">
        <f>IFERROR(('Activity Data Rep. Mauritius'!O20*'Activity Data Rep. Mauritius'!$E20*'Activity Data Rep. Mauritius'!$J20)/1000,"NA")</f>
        <v>7035.1172903846136</v>
      </c>
      <c r="G21" s="39">
        <f>IFERROR(('Activity Data Rep. Mauritius'!P20*'Activity Data Rep. Mauritius'!$E20*'Activity Data Rep. Mauritius'!$J20)/1000,"NA")</f>
        <v>5954.3368499999988</v>
      </c>
      <c r="H21" s="39">
        <f>IFERROR(('Activity Data Rep. Mauritius'!Q20*'Activity Data Rep. Mauritius'!$E20*'Activity Data Rep. Mauritius'!$J20)/1000,"NA")</f>
        <v>5536.4886499999993</v>
      </c>
      <c r="I21" s="39">
        <f>IFERROR(('Activity Data Rep. Mauritius'!R20*'Activity Data Rep. Mauritius'!$E20*'Activity Data Rep. Mauritius'!$J20)/1000,"NA")</f>
        <v>7842.689292307693</v>
      </c>
      <c r="J21" s="39">
        <f>IFERROR(('Activity Data Rep. Mauritius'!S20*'Activity Data Rep. Mauritius'!$E20*'Activity Data Rep. Mauritius'!$J20)/1000,"NA")</f>
        <v>7965.2313124999982</v>
      </c>
      <c r="K21" s="39">
        <f>IFERROR(('Activity Data Rep. Mauritius'!T20*'Activity Data Rep. Mauritius'!$E20*'Activity Data Rep. Mauritius'!$J20)/1000,"NA")</f>
        <v>8172.1465269230766</v>
      </c>
      <c r="L21" s="39">
        <f>IFERROR(('Activity Data Rep. Mauritius'!U20*'Activity Data Rep. Mauritius'!$E20*'Activity Data Rep. Mauritius'!$J20)/1000,"NA")</f>
        <v>9883.7170384615383</v>
      </c>
      <c r="M21" s="39">
        <f>IFERROR(('Activity Data Rep. Mauritius'!V20*'Activity Data Rep. Mauritius'!$E20*'Activity Data Rep. Mauritius'!$J20)/1000,"NA")</f>
        <v>10058.490083653845</v>
      </c>
      <c r="N21" s="39">
        <f>IFERROR(('Activity Data Rep. Mauritius'!W20*'Activity Data Rep. Mauritius'!$E20*'Activity Data Rep. Mauritius'!$J20)/1000,"NA")</f>
        <v>10289.511924999999</v>
      </c>
      <c r="O21" s="39">
        <f>IFERROR(('Activity Data Rep. Mauritius'!X20*'Activity Data Rep. Mauritius'!$E20*'Activity Data Rep. Mauritius'!$J20)/1000,"NA")</f>
        <v>10522.542651923075</v>
      </c>
      <c r="P21" s="39">
        <f>IFERROR(('Activity Data Rep. Mauritius'!Y20*'Activity Data Rep. Mauritius'!$E20*'Activity Data Rep. Mauritius'!$J20)/1000,"NA")</f>
        <v>10974.541906730767</v>
      </c>
      <c r="Q21" s="39">
        <f>IFERROR(('Activity Data Rep. Mauritius'!Z20*'Activity Data Rep. Mauritius'!$E20*'Activity Data Rep. Mauritius'!$J20)/1000,"NA")</f>
        <v>10753.564493269228</v>
      </c>
      <c r="R21" s="39">
        <f>IFERROR(('Activity Data Rep. Mauritius'!AA20*'Activity Data Rep. Mauritius'!$E20*'Activity Data Rep. Mauritius'!$J20)/1000,"NA")</f>
        <v>10902.222025961537</v>
      </c>
      <c r="S21" s="39">
        <f>IFERROR(('Activity Data Rep. Mauritius'!AB20*'Activity Data Rep. Mauritius'!$E20*'Activity Data Rep. Mauritius'!$J20)/1000,"NA")</f>
        <v>11394.398992307692</v>
      </c>
      <c r="T21" s="86">
        <f>IFERROR(('Activity Data Rep. Mauritius'!AC20*'Activity Data Rep. Mauritius'!$E20*'Activity Data Rep. Mauritius'!$J20)/1000,"NA")</f>
        <v>11251.768116346153</v>
      </c>
      <c r="U21" s="85">
        <f>IFERROR(('Activity Data Rep. Mauritius'!M20*'Activity Data Rep. Mauritius'!$F20*'Activity Data Rep. Mauritius'!$J20)/1000,"NA")</f>
        <v>0.11744499038461538</v>
      </c>
      <c r="V21" s="39">
        <f>IFERROR(('Activity Data Rep. Mauritius'!N20*'Activity Data Rep. Mauritius'!$F20*'Activity Data Rep. Mauritius'!$J20)/1000,"NA")</f>
        <v>0.11620336538461538</v>
      </c>
      <c r="W21" s="39">
        <f>IFERROR(('Activity Data Rep. Mauritius'!O20*'Activity Data Rep. Mauritius'!$F20*'Activity Data Rep. Mauritius'!$J20)/1000,"NA")</f>
        <v>0.11149155769230766</v>
      </c>
      <c r="X21" s="39">
        <f>IFERROR(('Activity Data Rep. Mauritius'!P20*'Activity Data Rep. Mauritius'!$F20*'Activity Data Rep. Mauritius'!$J20)/1000,"NA")</f>
        <v>9.4363499999999975E-2</v>
      </c>
      <c r="Y21" s="39">
        <f>IFERROR(('Activity Data Rep. Mauritius'!Q20*'Activity Data Rep. Mauritius'!$F20*'Activity Data Rep. Mauritius'!$J20)/1000,"NA")</f>
        <v>8.7741499999999986E-2</v>
      </c>
      <c r="Z21" s="39">
        <f>IFERROR(('Activity Data Rep. Mauritius'!R20*'Activity Data Rep. Mauritius'!$F20*'Activity Data Rep. Mauritius'!$J20)/1000,"NA")</f>
        <v>0.12428984615384615</v>
      </c>
      <c r="AA21" s="39">
        <f>IFERROR(('Activity Data Rep. Mauritius'!S20*'Activity Data Rep. Mauritius'!$F20*'Activity Data Rep. Mauritius'!$J20)/1000,"NA")</f>
        <v>0.12623187499999997</v>
      </c>
      <c r="AB21" s="39">
        <f>IFERROR(('Activity Data Rep. Mauritius'!T20*'Activity Data Rep. Mauritius'!$F20*'Activity Data Rep. Mauritius'!$J20)/1000,"NA")</f>
        <v>0.12951103846153844</v>
      </c>
      <c r="AC21" s="39">
        <f>IFERROR(('Activity Data Rep. Mauritius'!U20*'Activity Data Rep. Mauritius'!$F20*'Activity Data Rep. Mauritius'!$J20)/1000,"NA")</f>
        <v>0.15663576923076919</v>
      </c>
      <c r="AD21" s="39">
        <f>IFERROR(('Activity Data Rep. Mauritius'!V20*'Activity Data Rep. Mauritius'!$F20*'Activity Data Rep. Mauritius'!$J20)/1000,"NA")</f>
        <v>0.15940554807692306</v>
      </c>
      <c r="AE21" s="39">
        <f>IFERROR(('Activity Data Rep. Mauritius'!W20*'Activity Data Rep. Mauritius'!$F20*'Activity Data Rep. Mauritius'!$J20)/1000,"NA")</f>
        <v>0.16306674999999995</v>
      </c>
      <c r="AF21" s="39">
        <f>IFERROR(('Activity Data Rep. Mauritius'!X20*'Activity Data Rep. Mauritius'!$F20*'Activity Data Rep. Mauritius'!$J20)/1000,"NA")</f>
        <v>0.16675978846153844</v>
      </c>
      <c r="AG21" s="39">
        <f>IFERROR(('Activity Data Rep. Mauritius'!Y20*'Activity Data Rep. Mauritius'!$F20*'Activity Data Rep. Mauritius'!$J20)/1000,"NA")</f>
        <v>0.17392300961538459</v>
      </c>
      <c r="AH21" s="39">
        <f>IFERROR(('Activity Data Rep. Mauritius'!Z20*'Activity Data Rep. Mauritius'!$F20*'Activity Data Rep. Mauritius'!$J20)/1000,"NA")</f>
        <v>0.17042099038461536</v>
      </c>
      <c r="AI21" s="39">
        <f>IFERROR(('Activity Data Rep. Mauritius'!AA20*'Activity Data Rep. Mauritius'!$F20*'Activity Data Rep. Mauritius'!$J20)/1000,"NA")</f>
        <v>0.17277689423076922</v>
      </c>
      <c r="AJ21" s="39">
        <f>IFERROR(('Activity Data Rep. Mauritius'!AB20*'Activity Data Rep. Mauritius'!$F20*'Activity Data Rep. Mauritius'!$J20)/1000,"NA")</f>
        <v>0.18057684615384614</v>
      </c>
      <c r="AK21" s="86">
        <f>IFERROR(('Activity Data Rep. Mauritius'!AC20*'Activity Data Rep. Mauritius'!$F20*'Activity Data Rep. Mauritius'!$J20)/1000,"NA")</f>
        <v>0.17831645192307691</v>
      </c>
      <c r="AL21" s="500">
        <f>IFERROR(('Activity Data Rep. Mauritius'!M20*'Activity Data Rep. Mauritius'!$G20*'Activity Data Rep. Mauritius'!$J20)/1000,"NA")</f>
        <v>1.1744499038461538E-2</v>
      </c>
      <c r="AM21" s="39">
        <f>IFERROR(('Activity Data Rep. Mauritius'!N20*'Activity Data Rep. Mauritius'!$G20*'Activity Data Rep. Mauritius'!$J20)/1000,"NA")</f>
        <v>1.1620336538461538E-2</v>
      </c>
      <c r="AN21" s="39">
        <f>IFERROR(('Activity Data Rep. Mauritius'!O20*'Activity Data Rep. Mauritius'!$G20*'Activity Data Rep. Mauritius'!$J20)/1000,"NA")</f>
        <v>1.1149155769230768E-2</v>
      </c>
      <c r="AO21" s="39">
        <f>IFERROR(('Activity Data Rep. Mauritius'!P20*'Activity Data Rep. Mauritius'!$G20*'Activity Data Rep. Mauritius'!$J20)/1000,"NA")</f>
        <v>9.4363499999999996E-3</v>
      </c>
      <c r="AP21" s="39">
        <f>IFERROR(('Activity Data Rep. Mauritius'!Q20*'Activity Data Rep. Mauritius'!$G20*'Activity Data Rep. Mauritius'!$J20)/1000,"NA")</f>
        <v>8.7741499999999979E-3</v>
      </c>
      <c r="AQ21" s="39">
        <f>IFERROR(('Activity Data Rep. Mauritius'!R20*'Activity Data Rep. Mauritius'!$G20*'Activity Data Rep. Mauritius'!$J20)/1000,"NA")</f>
        <v>1.2428984615384615E-2</v>
      </c>
      <c r="AR21" s="39">
        <f>IFERROR(('Activity Data Rep. Mauritius'!S20*'Activity Data Rep. Mauritius'!$G20*'Activity Data Rep. Mauritius'!$J20)/1000,"NA")</f>
        <v>1.2623187499999999E-2</v>
      </c>
      <c r="AS21" s="39">
        <f>IFERROR(('Activity Data Rep. Mauritius'!T20*'Activity Data Rep. Mauritius'!$G20*'Activity Data Rep. Mauritius'!$J20)/1000,"NA")</f>
        <v>1.2951103846153845E-2</v>
      </c>
      <c r="AT21" s="39">
        <f>IFERROR(('Activity Data Rep. Mauritius'!U20*'Activity Data Rep. Mauritius'!$G20*'Activity Data Rep. Mauritius'!$J20)/1000,"NA")</f>
        <v>1.5663576923076919E-2</v>
      </c>
      <c r="AU21" s="39">
        <f>IFERROR(('Activity Data Rep. Mauritius'!V20*'Activity Data Rep. Mauritius'!$G20*'Activity Data Rep. Mauritius'!$J20)/1000,"NA")</f>
        <v>1.5940554807692308E-2</v>
      </c>
      <c r="AV21" s="39">
        <f>IFERROR(('Activity Data Rep. Mauritius'!W20*'Activity Data Rep. Mauritius'!$G20*'Activity Data Rep. Mauritius'!$J20)/1000,"NA")</f>
        <v>1.6306674999999996E-2</v>
      </c>
      <c r="AW21" s="39">
        <f>IFERROR(('Activity Data Rep. Mauritius'!X20*'Activity Data Rep. Mauritius'!$G20*'Activity Data Rep. Mauritius'!$J20)/1000,"NA")</f>
        <v>1.6675978846153842E-2</v>
      </c>
      <c r="AX21" s="39">
        <f>IFERROR(('Activity Data Rep. Mauritius'!Y20*'Activity Data Rep. Mauritius'!$G20*'Activity Data Rep. Mauritius'!$J20)/1000,"NA")</f>
        <v>1.7392300961538459E-2</v>
      </c>
      <c r="AY21" s="39">
        <f>IFERROR(('Activity Data Rep. Mauritius'!Z20*'Activity Data Rep. Mauritius'!$G20*'Activity Data Rep. Mauritius'!$J20)/1000,"NA")</f>
        <v>1.7042099038461538E-2</v>
      </c>
      <c r="AZ21" s="39">
        <f>IFERROR(('Activity Data Rep. Mauritius'!AA20*'Activity Data Rep. Mauritius'!$G20*'Activity Data Rep. Mauritius'!$J20)/1000,"NA")</f>
        <v>1.7277689423076923E-2</v>
      </c>
      <c r="BA21" s="39">
        <f>IFERROR(('Activity Data Rep. Mauritius'!AB20*'Activity Data Rep. Mauritius'!$G20*'Activity Data Rep. Mauritius'!$J20)/1000,"NA")</f>
        <v>1.8057684615384612E-2</v>
      </c>
      <c r="BB21" s="86">
        <f>IFERROR(('Activity Data Rep. Mauritius'!AC20*'Activity Data Rep. Mauritius'!$G20*'Activity Data Rep. Mauritius'!$J20)/1000,"NA")</f>
        <v>1.7831645192307691E-2</v>
      </c>
      <c r="BC21" s="85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86"/>
    </row>
    <row r="22" spans="2:71" s="110" customFormat="1" x14ac:dyDescent="0.35">
      <c r="B22" s="641"/>
      <c r="C22" s="406" t="s">
        <v>18</v>
      </c>
      <c r="D22" s="85">
        <f>IFERROR(('Activity Data Rep. Mauritius'!M21*'Activity Data Rep. Mauritius'!$E21*'Activity Data Rep. Mauritius'!$J21)/1000,"NA")</f>
        <v>102190.02767631324</v>
      </c>
      <c r="E22" s="39">
        <f>IFERROR(('Activity Data Rep. Mauritius'!N21*'Activity Data Rep. Mauritius'!$E21*'Activity Data Rep. Mauritius'!$J21)/1000,"NA")</f>
        <v>128215.34653266866</v>
      </c>
      <c r="F22" s="39">
        <f>IFERROR(('Activity Data Rep. Mauritius'!O21*'Activity Data Rep. Mauritius'!$E21*'Activity Data Rep. Mauritius'!$J21)/1000,"NA")</f>
        <v>129926.1533171801</v>
      </c>
      <c r="G22" s="39">
        <f>IFERROR(('Activity Data Rep. Mauritius'!P21*'Activity Data Rep. Mauritius'!$E21*'Activity Data Rep. Mauritius'!$J21)/1000,"NA")</f>
        <v>116974.3063173831</v>
      </c>
      <c r="H22" s="39">
        <f>IFERROR(('Activity Data Rep. Mauritius'!Q21*'Activity Data Rep. Mauritius'!$E21*'Activity Data Rep. Mauritius'!$J21)/1000,"NA")</f>
        <v>104863.57979080771</v>
      </c>
      <c r="I22" s="39">
        <f>IFERROR(('Activity Data Rep. Mauritius'!R21*'Activity Data Rep. Mauritius'!$E21*'Activity Data Rep. Mauritius'!$J21)/1000,"NA")</f>
        <v>97286.922759949142</v>
      </c>
      <c r="J22" s="39">
        <f>IFERROR(('Activity Data Rep. Mauritius'!S21*'Activity Data Rep. Mauritius'!$E21*'Activity Data Rep. Mauritius'!$J21)/1000,"NA")</f>
        <v>122866.25332575903</v>
      </c>
      <c r="K22" s="39">
        <f>IFERROR(('Activity Data Rep. Mauritius'!T21*'Activity Data Rep. Mauritius'!$E21*'Activity Data Rep. Mauritius'!$J21)/1000,"NA")</f>
        <v>127389.78352467755</v>
      </c>
      <c r="L22" s="39">
        <f>IFERROR(('Activity Data Rep. Mauritius'!U21*'Activity Data Rep. Mauritius'!$E21*'Activity Data Rep. Mauritius'!$J21)/1000,"NA")</f>
        <v>114921.49820867565</v>
      </c>
      <c r="M22" s="39">
        <f>IFERROR(('Activity Data Rep. Mauritius'!V21*'Activity Data Rep. Mauritius'!$E21*'Activity Data Rep. Mauritius'!$J21)/1000,"NA")</f>
        <v>98484.310330039516</v>
      </c>
      <c r="N22" s="39">
        <f>IFERROR(('Activity Data Rep. Mauritius'!W21*'Activity Data Rep. Mauritius'!$E21*'Activity Data Rep. Mauritius'!$J21)/1000,"NA")</f>
        <v>94812.519917493948</v>
      </c>
      <c r="O22" s="39">
        <f>IFERROR(('Activity Data Rep. Mauritius'!X21*'Activity Data Rep. Mauritius'!$E21*'Activity Data Rep. Mauritius'!$J21)/1000,"NA")</f>
        <v>92169.694082602378</v>
      </c>
      <c r="P22" s="39">
        <f>IFERROR(('Activity Data Rep. Mauritius'!Y21*'Activity Data Rep. Mauritius'!$E21*'Activity Data Rep. Mauritius'!$J21)/1000,"NA")</f>
        <v>89053.628673469851</v>
      </c>
      <c r="Q22" s="39">
        <f>IFERROR(('Activity Data Rep. Mauritius'!Z21*'Activity Data Rep. Mauritius'!$E21*'Activity Data Rep. Mauritius'!$J21)/1000,"NA")</f>
        <v>89577.164241108418</v>
      </c>
      <c r="R22" s="39">
        <f>IFERROR(('Activity Data Rep. Mauritius'!AA21*'Activity Data Rep. Mauritius'!$E21*'Activity Data Rep. Mauritius'!$J21)/1000,"NA")</f>
        <v>92535.483125493964</v>
      </c>
      <c r="S22" s="39">
        <f>IFERROR(('Activity Data Rep. Mauritius'!AB21*'Activity Data Rep. Mauritius'!$E21*'Activity Data Rep. Mauritius'!$J21)/1000,"NA")</f>
        <v>85052.811016843363</v>
      </c>
      <c r="T22" s="86">
        <f>IFERROR(('Activity Data Rep. Mauritius'!AC21*'Activity Data Rep. Mauritius'!$E21*'Activity Data Rep. Mauritius'!$J21)/1000,"NA")</f>
        <v>84106.331868361434</v>
      </c>
      <c r="U22" s="85">
        <f>IFERROR(('Activity Data Rep. Mauritius'!M21*'Activity Data Rep. Mauritius'!$F21*'Activity Data Rep. Mauritius'!$J21)/1000,"NA")</f>
        <v>3.9608537859036135</v>
      </c>
      <c r="V22" s="39">
        <f>IFERROR(('Activity Data Rep. Mauritius'!N21*'Activity Data Rep. Mauritius'!$F21*'Activity Data Rep. Mauritius'!$J21)/1000,"NA")</f>
        <v>4.9695870749096365</v>
      </c>
      <c r="W22" s="39">
        <f>IFERROR(('Activity Data Rep. Mauritius'!O21*'Activity Data Rep. Mauritius'!$F21*'Activity Data Rep. Mauritius'!$J21)/1000,"NA")</f>
        <v>5.0358974153945777</v>
      </c>
      <c r="X22" s="39">
        <f>IFERROR(('Activity Data Rep. Mauritius'!P21*'Activity Data Rep. Mauritius'!$F21*'Activity Data Rep. Mauritius'!$J21)/1000,"NA")</f>
        <v>4.5338878417590349</v>
      </c>
      <c r="Y22" s="39">
        <f>IFERROR(('Activity Data Rep. Mauritius'!Q21*'Activity Data Rep. Mauritius'!$F21*'Activity Data Rep. Mauritius'!$J21)/1000,"NA")</f>
        <v>4.0644798368530122</v>
      </c>
      <c r="Z22" s="39">
        <f>IFERROR(('Activity Data Rep. Mauritius'!R21*'Activity Data Rep. Mauritius'!$F21*'Activity Data Rep. Mauritius'!$J21)/1000,"NA")</f>
        <v>3.7708109596879513</v>
      </c>
      <c r="AA22" s="39">
        <f>IFERROR(('Activity Data Rep. Mauritius'!S21*'Activity Data Rep. Mauritius'!$F21*'Activity Data Rep. Mauritius'!$J21)/1000,"NA")</f>
        <v>4.7622578808433733</v>
      </c>
      <c r="AB22" s="39">
        <f>IFERROR(('Activity Data Rep. Mauritius'!T21*'Activity Data Rep. Mauritius'!$F21*'Activity Data Rep. Mauritius'!$J21)/1000,"NA")</f>
        <v>4.9375885087084326</v>
      </c>
      <c r="AC22" s="39">
        <f>IFERROR(('Activity Data Rep. Mauritius'!U21*'Activity Data Rep. Mauritius'!$F21*'Activity Data Rep. Mauritius'!$J21)/1000,"NA")</f>
        <v>4.4543216359951794</v>
      </c>
      <c r="AD22" s="39">
        <f>IFERROR(('Activity Data Rep. Mauritius'!V21*'Activity Data Rep. Mauritius'!$F21*'Activity Data Rep. Mauritius'!$J21)/1000,"NA")</f>
        <v>3.8172213306216864</v>
      </c>
      <c r="AE22" s="39">
        <f>IFERROR(('Activity Data Rep. Mauritius'!W21*'Activity Data Rep. Mauritius'!$F21*'Activity Data Rep. Mauritius'!$J21)/1000,"NA")</f>
        <v>3.6749038727710834</v>
      </c>
      <c r="AF22" s="39">
        <f>IFERROR(('Activity Data Rep. Mauritius'!X21*'Activity Data Rep. Mauritius'!$F21*'Activity Data Rep. Mauritius'!$J21)/1000,"NA")</f>
        <v>3.5724687628915657</v>
      </c>
      <c r="AG22" s="39">
        <f>IFERROR(('Activity Data Rep. Mauritius'!Y21*'Activity Data Rep. Mauritius'!$F21*'Activity Data Rep. Mauritius'!$J21)/1000,"NA")</f>
        <v>3.4516910338554214</v>
      </c>
      <c r="AH22" s="39">
        <f>IFERROR(('Activity Data Rep. Mauritius'!Z21*'Activity Data Rep. Mauritius'!$F21*'Activity Data Rep. Mauritius'!$J21)/1000,"NA")</f>
        <v>3.4719831101204814</v>
      </c>
      <c r="AI22" s="39">
        <f>IFERROR(('Activity Data Rep. Mauritius'!AA21*'Activity Data Rep. Mauritius'!$F21*'Activity Data Rep. Mauritius'!$J21)/1000,"NA")</f>
        <v>3.5866466327710835</v>
      </c>
      <c r="AJ22" s="39">
        <f>IFERROR(('Activity Data Rep. Mauritius'!AB21*'Activity Data Rep. Mauritius'!$F21*'Activity Data Rep. Mauritius'!$J21)/1000,"NA")</f>
        <v>3.2966205820481926</v>
      </c>
      <c r="AK22" s="86">
        <f>IFERROR(('Activity Data Rep. Mauritius'!AC21*'Activity Data Rep. Mauritius'!$F21*'Activity Data Rep. Mauritius'!$J21)/1000,"NA")</f>
        <v>3.2599353437349397</v>
      </c>
      <c r="AL22" s="500">
        <f>IFERROR(('Activity Data Rep. Mauritius'!M21*'Activity Data Rep. Mauritius'!$G21*'Activity Data Rep. Mauritius'!$J21)/1000,"NA")</f>
        <v>0.79217075718072283</v>
      </c>
      <c r="AM22" s="39">
        <f>IFERROR(('Activity Data Rep. Mauritius'!N21*'Activity Data Rep. Mauritius'!$G21*'Activity Data Rep. Mauritius'!$J21)/1000,"NA")</f>
        <v>0.99391741498192743</v>
      </c>
      <c r="AN22" s="39">
        <f>IFERROR(('Activity Data Rep. Mauritius'!O21*'Activity Data Rep. Mauritius'!$G21*'Activity Data Rep. Mauritius'!$J21)/1000,"NA")</f>
        <v>1.0071794830789154</v>
      </c>
      <c r="AO22" s="39">
        <f>IFERROR(('Activity Data Rep. Mauritius'!P21*'Activity Data Rep. Mauritius'!$G21*'Activity Data Rep. Mauritius'!$J21)/1000,"NA")</f>
        <v>0.90677756835180723</v>
      </c>
      <c r="AP22" s="39">
        <f>IFERROR(('Activity Data Rep. Mauritius'!Q21*'Activity Data Rep. Mauritius'!$G21*'Activity Data Rep. Mauritius'!$J21)/1000,"NA")</f>
        <v>0.81289596737060243</v>
      </c>
      <c r="AQ22" s="39">
        <f>IFERROR(('Activity Data Rep. Mauritius'!R21*'Activity Data Rep. Mauritius'!$G21*'Activity Data Rep. Mauritius'!$J21)/1000,"NA")</f>
        <v>0.75416219193759015</v>
      </c>
      <c r="AR22" s="39">
        <f>IFERROR(('Activity Data Rep. Mauritius'!S21*'Activity Data Rep. Mauritius'!$G21*'Activity Data Rep. Mauritius'!$J21)/1000,"NA")</f>
        <v>0.9524515761686746</v>
      </c>
      <c r="AS22" s="39">
        <f>IFERROR(('Activity Data Rep. Mauritius'!T21*'Activity Data Rep. Mauritius'!$G21*'Activity Data Rep. Mauritius'!$J21)/1000,"NA")</f>
        <v>0.9875177017416864</v>
      </c>
      <c r="AT22" s="39">
        <f>IFERROR(('Activity Data Rep. Mauritius'!U21*'Activity Data Rep. Mauritius'!$G21*'Activity Data Rep. Mauritius'!$J21)/1000,"NA")</f>
        <v>0.89086432719903597</v>
      </c>
      <c r="AU22" s="39">
        <f>IFERROR(('Activity Data Rep. Mauritius'!V21*'Activity Data Rep. Mauritius'!$G21*'Activity Data Rep. Mauritius'!$J21)/1000,"NA")</f>
        <v>0.76344426612433725</v>
      </c>
      <c r="AV22" s="39">
        <f>IFERROR(('Activity Data Rep. Mauritius'!W21*'Activity Data Rep. Mauritius'!$G21*'Activity Data Rep. Mauritius'!$J21)/1000,"NA")</f>
        <v>0.73498077455421662</v>
      </c>
      <c r="AW22" s="39">
        <f>IFERROR(('Activity Data Rep. Mauritius'!X21*'Activity Data Rep. Mauritius'!$G21*'Activity Data Rep. Mauritius'!$J21)/1000,"NA")</f>
        <v>0.71449375257831294</v>
      </c>
      <c r="AX22" s="39">
        <f>IFERROR(('Activity Data Rep. Mauritius'!Y21*'Activity Data Rep. Mauritius'!$G21*'Activity Data Rep. Mauritius'!$J21)/1000,"NA")</f>
        <v>0.69033820677108415</v>
      </c>
      <c r="AY22" s="39">
        <f>IFERROR(('Activity Data Rep. Mauritius'!Z21*'Activity Data Rep. Mauritius'!$G21*'Activity Data Rep. Mauritius'!$J21)/1000,"NA")</f>
        <v>0.69439662202409624</v>
      </c>
      <c r="AZ22" s="39">
        <f>IFERROR(('Activity Data Rep. Mauritius'!AA21*'Activity Data Rep. Mauritius'!$G21*'Activity Data Rep. Mauritius'!$J21)/1000,"NA")</f>
        <v>0.71732932655421666</v>
      </c>
      <c r="BA22" s="39">
        <f>IFERROR(('Activity Data Rep. Mauritius'!AB21*'Activity Data Rep. Mauritius'!$G21*'Activity Data Rep. Mauritius'!$J21)/1000,"NA")</f>
        <v>0.65932411640963851</v>
      </c>
      <c r="BB22" s="86">
        <f>IFERROR(('Activity Data Rep. Mauritius'!AC21*'Activity Data Rep. Mauritius'!$G21*'Activity Data Rep. Mauritius'!$J21)/1000,"NA")</f>
        <v>0.65198706874698775</v>
      </c>
      <c r="BC22" s="85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86"/>
    </row>
    <row r="23" spans="2:71" s="110" customFormat="1" x14ac:dyDescent="0.35">
      <c r="B23" s="638"/>
      <c r="C23" s="406" t="s">
        <v>15</v>
      </c>
      <c r="D23" s="85">
        <f>IFERROR(('Activity Data Rep. Mauritius'!M22*'Activity Data Rep. Mauritius'!$E22*'Conversion Factors CF'!H6)/1000,"NA")</f>
        <v>25763.496226285712</v>
      </c>
      <c r="E23" s="39">
        <f>IFERROR(('Activity Data Rep. Mauritius'!N22*'Activity Data Rep. Mauritius'!$E22*'Conversion Factors CF'!I6)/1000,"NA")</f>
        <v>27097.079341954282</v>
      </c>
      <c r="F23" s="39">
        <f>IFERROR(('Activity Data Rep. Mauritius'!O22*'Activity Data Rep. Mauritius'!$E22*'Conversion Factors CF'!J6)/1000,"NA")</f>
        <v>27167.177855999998</v>
      </c>
      <c r="G23" s="39">
        <f>IFERROR(('Activity Data Rep. Mauritius'!P22*'Activity Data Rep. Mauritius'!$E22*'Conversion Factors CF'!K6)/1000,"NA")</f>
        <v>30373.228714285709</v>
      </c>
      <c r="H23" s="39">
        <f>IFERROR(('Activity Data Rep. Mauritius'!Q22*'Activity Data Rep. Mauritius'!$E22*'Conversion Factors CF'!L6)/1000,"NA")</f>
        <v>25326.982020000003</v>
      </c>
      <c r="I23" s="39">
        <f>IFERROR(('Activity Data Rep. Mauritius'!R22*'Activity Data Rep. Mauritius'!$E22*'Conversion Factors CF'!M6)/1000,"NA")</f>
        <v>24172.928651999999</v>
      </c>
      <c r="J23" s="39">
        <f>IFERROR(('Activity Data Rep. Mauritius'!S22*'Activity Data Rep. Mauritius'!$E22*'Conversion Factors CF'!N6)/1000,"NA")</f>
        <v>22575.941048571425</v>
      </c>
      <c r="K23" s="39">
        <f>IFERROR(('Activity Data Rep. Mauritius'!T22*'Activity Data Rep. Mauritius'!$E22*'Conversion Factors CF'!O6)/1000,"NA")</f>
        <v>20827.241540424002</v>
      </c>
      <c r="L23" s="39">
        <f>IFERROR(('Activity Data Rep. Mauritius'!U22*'Activity Data Rep. Mauritius'!$E22*'Conversion Factors CF'!P6)/1000,"NA")</f>
        <v>43273.97161913992</v>
      </c>
      <c r="M23" s="39">
        <f>IFERROR(('Activity Data Rep. Mauritius'!V22*'Activity Data Rep. Mauritius'!$E22*'Conversion Factors CF'!Q6)/1000,"NA")</f>
        <v>22183.913639044131</v>
      </c>
      <c r="N23" s="39">
        <f>IFERROR(('Activity Data Rep. Mauritius'!W22*'Activity Data Rep. Mauritius'!$E22*'Conversion Factors CF'!R6)/1000,"NA")</f>
        <v>25720.680551942249</v>
      </c>
      <c r="O23" s="39">
        <f>IFERROR(('Activity Data Rep. Mauritius'!X22*'Activity Data Rep. Mauritius'!$E22*'Conversion Factors CF'!S6)/1000,"NA")</f>
        <v>25144.163093871157</v>
      </c>
      <c r="P23" s="39">
        <f>IFERROR(('Activity Data Rep. Mauritius'!Y22*'Activity Data Rep. Mauritius'!$E22*'Conversion Factors CF'!T6)/1000,"NA")</f>
        <v>26413.560011430731</v>
      </c>
      <c r="Q23" s="39">
        <f>IFERROR(('Activity Data Rep. Mauritius'!Z22*'Activity Data Rep. Mauritius'!$E22*'Conversion Factors CF'!U6)/1000,"NA")</f>
        <v>28220.55073815256</v>
      </c>
      <c r="R23" s="39">
        <f>IFERROR(('Activity Data Rep. Mauritius'!AA22*'Activity Data Rep. Mauritius'!$E22*'Conversion Factors CF'!V6)/1000,"NA")</f>
        <v>32001.683938690887</v>
      </c>
      <c r="S23" s="39">
        <f>IFERROR(('Activity Data Rep. Mauritius'!AB22*'Activity Data Rep. Mauritius'!$E22*'Conversion Factors CF'!W6)/1000,"NA")</f>
        <v>36951.704101085066</v>
      </c>
      <c r="T23" s="86">
        <f>IFERROR(('Activity Data Rep. Mauritius'!AC22*'Activity Data Rep. Mauritius'!$E22*'Conversion Factors CF'!X6)/1000,"NA")</f>
        <v>34372.61290627264</v>
      </c>
      <c r="U23" s="85">
        <f>IFERROR(('Activity Data Rep. Mauritius'!M22*'Activity Data Rep. Mauritius'!$F22*'Conversion Factors CF'!H6)/1000,"NA")</f>
        <v>2.6809049142857142</v>
      </c>
      <c r="V23" s="39">
        <f>IFERROR(('Activity Data Rep. Mauritius'!N22*'Activity Data Rep. Mauritius'!$F22*'Conversion Factors CF'!I6)/1000,"NA")</f>
        <v>2.8196752697142857</v>
      </c>
      <c r="W23" s="39">
        <f>IFERROR(('Activity Data Rep. Mauritius'!O22*'Activity Data Rep. Mauritius'!$F22*'Conversion Factors CF'!J6)/1000,"NA")</f>
        <v>2.8269696</v>
      </c>
      <c r="X23" s="39">
        <f>IFERROR(('Activity Data Rep. Mauritius'!P22*'Activity Data Rep. Mauritius'!$F22*'Conversion Factors CF'!K6)/1000,"NA")</f>
        <v>3.1605857142857139</v>
      </c>
      <c r="Y23" s="39">
        <f>IFERROR(('Activity Data Rep. Mauritius'!Q22*'Activity Data Rep. Mauritius'!$F22*'Conversion Factors CF'!L6)/1000,"NA")</f>
        <v>2.6354820000000005</v>
      </c>
      <c r="Z23" s="39">
        <f>IFERROR(('Activity Data Rep. Mauritius'!R22*'Activity Data Rep. Mauritius'!$F22*'Conversion Factors CF'!M6)/1000,"NA")</f>
        <v>2.5153932000000001</v>
      </c>
      <c r="AA23" s="39">
        <f>IFERROR(('Activity Data Rep. Mauritius'!S22*'Activity Data Rep. Mauritius'!$F22*'Conversion Factors CF'!N6)/1000,"NA")</f>
        <v>2.3492134285714283</v>
      </c>
      <c r="AB23" s="39">
        <f>IFERROR(('Activity Data Rep. Mauritius'!T22*'Activity Data Rep. Mauritius'!$F22*'Conversion Factors CF'!O6)/1000,"NA")</f>
        <v>2.1672467783999996</v>
      </c>
      <c r="AC23" s="39">
        <f>IFERROR(('Activity Data Rep. Mauritius'!U22*'Activity Data Rep. Mauritius'!$F22*'Conversion Factors CF'!P6)/1000,"NA")</f>
        <v>4.5030147366430713</v>
      </c>
      <c r="AD23" s="39">
        <f>IFERROR(('Activity Data Rep. Mauritius'!V22*'Activity Data Rep. Mauritius'!$F22*'Conversion Factors CF'!Q6)/1000,"NA")</f>
        <v>2.3084197335113563</v>
      </c>
      <c r="AE23" s="39">
        <f>IFERROR(('Activity Data Rep. Mauritius'!W22*'Activity Data Rep. Mauritius'!$F22*'Conversion Factors CF'!R6)/1000,"NA")</f>
        <v>2.6764495891719298</v>
      </c>
      <c r="AF23" s="39">
        <f>IFERROR(('Activity Data Rep. Mauritius'!X22*'Activity Data Rep. Mauritius'!$F22*'Conversion Factors CF'!S6)/1000,"NA")</f>
        <v>2.6164581783424725</v>
      </c>
      <c r="AG23" s="39">
        <f>IFERROR(('Activity Data Rep. Mauritius'!Y22*'Activity Data Rep. Mauritius'!$F22*'Conversion Factors CF'!T6)/1000,"NA")</f>
        <v>2.7485494288689623</v>
      </c>
      <c r="AH23" s="39">
        <f>IFERROR(('Activity Data Rep. Mauritius'!Z22*'Activity Data Rep. Mauritius'!$F22*'Conversion Factors CF'!U6)/1000,"NA")</f>
        <v>2.9365817625548964</v>
      </c>
      <c r="AI23" s="39">
        <f>IFERROR(('Activity Data Rep. Mauritius'!AA22*'Activity Data Rep. Mauritius'!$F22*'Conversion Factors CF'!V6)/1000,"NA")</f>
        <v>3.3300399519969712</v>
      </c>
      <c r="AJ23" s="39">
        <f>IFERROR(('Activity Data Rep. Mauritius'!AB22*'Activity Data Rep. Mauritius'!$F22*'Conversion Factors CF'!W6)/1000,"NA")</f>
        <v>3.8451304995926194</v>
      </c>
      <c r="AK23" s="86">
        <f>IFERROR(('Activity Data Rep. Mauritius'!AC22*'Activity Data Rep. Mauritius'!$F22*'Conversion Factors CF'!X6)/1000,"NA")</f>
        <v>3.5767547248982972</v>
      </c>
      <c r="AL23" s="500">
        <f>IFERROR(('Activity Data Rep. Mauritius'!M22*'Activity Data Rep. Mauritius'!$G22*'Conversion Factors CF'!H6)/1000,"NA")</f>
        <v>0.40213573714285711</v>
      </c>
      <c r="AM23" s="39">
        <f>IFERROR(('Activity Data Rep. Mauritius'!N22*'Activity Data Rep. Mauritius'!$G22*'Conversion Factors CF'!I6)/1000,"NA")</f>
        <v>0.4229512904571428</v>
      </c>
      <c r="AN23" s="39">
        <f>IFERROR(('Activity Data Rep. Mauritius'!O22*'Activity Data Rep. Mauritius'!$G22*'Conversion Factors CF'!J6)/1000,"NA")</f>
        <v>0.42404544</v>
      </c>
      <c r="AO23" s="39">
        <f>IFERROR(('Activity Data Rep. Mauritius'!P22*'Activity Data Rep. Mauritius'!$G22*'Conversion Factors CF'!K6)/1000,"NA")</f>
        <v>0.47408785714285706</v>
      </c>
      <c r="AP23" s="39">
        <f>IFERROR(('Activity Data Rep. Mauritius'!Q22*'Activity Data Rep. Mauritius'!$G22*'Conversion Factors CF'!L6)/1000,"NA")</f>
        <v>0.39532230000000002</v>
      </c>
      <c r="AQ23" s="39">
        <f>IFERROR(('Activity Data Rep. Mauritius'!R22*'Activity Data Rep. Mauritius'!$G22*'Conversion Factors CF'!M6)/1000,"NA")</f>
        <v>0.37730897999999996</v>
      </c>
      <c r="AR23" s="39">
        <f>IFERROR(('Activity Data Rep. Mauritius'!S22*'Activity Data Rep. Mauritius'!$G22*'Conversion Factors CF'!N6)/1000,"NA")</f>
        <v>0.35238201428571425</v>
      </c>
      <c r="AS23" s="39">
        <f>IFERROR(('Activity Data Rep. Mauritius'!T22*'Activity Data Rep. Mauritius'!$G22*'Conversion Factors CF'!O6)/1000,"NA")</f>
        <v>0.32508701675999996</v>
      </c>
      <c r="AT23" s="39">
        <f>IFERROR(('Activity Data Rep. Mauritius'!U22*'Activity Data Rep. Mauritius'!$G22*'Conversion Factors CF'!P6)/1000,"NA")</f>
        <v>0.67545221049646065</v>
      </c>
      <c r="AU23" s="39">
        <f>IFERROR(('Activity Data Rep. Mauritius'!V22*'Activity Data Rep. Mauritius'!$G22*'Conversion Factors CF'!Q6)/1000,"NA")</f>
        <v>0.34626296002670343</v>
      </c>
      <c r="AV23" s="39">
        <f>IFERROR(('Activity Data Rep. Mauritius'!W22*'Activity Data Rep. Mauritius'!$G22*'Conversion Factors CF'!R6)/1000,"NA")</f>
        <v>0.40146743837578952</v>
      </c>
      <c r="AW23" s="39">
        <f>IFERROR(('Activity Data Rep. Mauritius'!X22*'Activity Data Rep. Mauritius'!$G22*'Conversion Factors CF'!S6)/1000,"NA")</f>
        <v>0.39246872675137084</v>
      </c>
      <c r="AX23" s="39">
        <f>IFERROR(('Activity Data Rep. Mauritius'!Y22*'Activity Data Rep. Mauritius'!$G22*'Conversion Factors CF'!T6)/1000,"NA")</f>
        <v>0.4122824143303444</v>
      </c>
      <c r="AY23" s="39">
        <f>IFERROR(('Activity Data Rep. Mauritius'!Z22*'Activity Data Rep. Mauritius'!$G22*'Conversion Factors CF'!U6)/1000,"NA")</f>
        <v>0.44048726438323449</v>
      </c>
      <c r="AZ23" s="39">
        <f>IFERROR(('Activity Data Rep. Mauritius'!AA22*'Activity Data Rep. Mauritius'!$G22*'Conversion Factors CF'!V6)/1000,"NA")</f>
        <v>0.49950599279954566</v>
      </c>
      <c r="BA23" s="39">
        <f>IFERROR(('Activity Data Rep. Mauritius'!AB22*'Activity Data Rep. Mauritius'!$G22*'Conversion Factors CF'!W6)/1000,"NA")</f>
        <v>0.57676957493889291</v>
      </c>
      <c r="BB23" s="86">
        <f>IFERROR(('Activity Data Rep. Mauritius'!AC22*'Activity Data Rep. Mauritius'!$G22*'Conversion Factors CF'!X6)/1000,"NA")</f>
        <v>0.53651320873474462</v>
      </c>
      <c r="BC23" s="85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86"/>
    </row>
    <row r="24" spans="2:71" s="110" customFormat="1" x14ac:dyDescent="0.35">
      <c r="B24" s="643" t="s">
        <v>369</v>
      </c>
      <c r="C24" s="27" t="s">
        <v>17</v>
      </c>
      <c r="D24" s="85">
        <f>IFERROR(('Activity Data Rep. Mauritius'!M23*'Activity Data Rep. Mauritius'!$E23*'Activity Data Rep. Mauritius'!$J23)/1000,"NA")</f>
        <v>17565.289996799998</v>
      </c>
      <c r="E24" s="39">
        <f>IFERROR(('Activity Data Rep. Mauritius'!N23*'Activity Data Rep. Mauritius'!$E23*'Activity Data Rep. Mauritius'!$J23)/1000,"NA")</f>
        <v>15848.029554083998</v>
      </c>
      <c r="F24" s="39">
        <f>IFERROR(('Activity Data Rep. Mauritius'!O23*'Activity Data Rep. Mauritius'!$E23*'Activity Data Rep. Mauritius'!$J23)/1000,"NA")</f>
        <v>15795.671478132001</v>
      </c>
      <c r="G24" s="39">
        <f>IFERROR(('Activity Data Rep. Mauritius'!P23*'Activity Data Rep. Mauritius'!$E23*'Activity Data Rep. Mauritius'!$J23)/1000,"NA")</f>
        <v>17427.216683603998</v>
      </c>
      <c r="H24" s="39">
        <f>IFERROR(('Activity Data Rep. Mauritius'!Q23*'Activity Data Rep. Mauritius'!$E23*'Activity Data Rep. Mauritius'!$J23)/1000,"NA")</f>
        <v>18313.503791855994</v>
      </c>
      <c r="I24" s="39">
        <f>IFERROR(('Activity Data Rep. Mauritius'!R23*'Activity Data Rep. Mauritius'!$E23*'Activity Data Rep. Mauritius'!$J23)/1000,"NA")</f>
        <v>17365.569271595999</v>
      </c>
      <c r="J24" s="39">
        <f>IFERROR(('Activity Data Rep. Mauritius'!S23*'Activity Data Rep. Mauritius'!$E23*'Activity Data Rep. Mauritius'!$J23)/1000,"NA")</f>
        <v>21013.744886315999</v>
      </c>
      <c r="K24" s="39">
        <f>IFERROR(('Activity Data Rep. Mauritius'!T23*'Activity Data Rep. Mauritius'!$E23*'Activity Data Rep. Mauritius'!$J23)/1000,"NA")</f>
        <v>20409.515800128003</v>
      </c>
      <c r="L24" s="39">
        <f>IFERROR(('Activity Data Rep. Mauritius'!U23*'Activity Data Rep. Mauritius'!$E23*'Activity Data Rep. Mauritius'!$J23)/1000,"NA")</f>
        <v>19550.252214948003</v>
      </c>
      <c r="M24" s="39">
        <f>IFERROR(('Activity Data Rep. Mauritius'!V23*'Activity Data Rep. Mauritius'!$E23*'Activity Data Rep. Mauritius'!$J23)/1000,"NA")</f>
        <v>19373.332587336001</v>
      </c>
      <c r="N24" s="39">
        <f>IFERROR(('Activity Data Rep. Mauritius'!W23*'Activity Data Rep. Mauritius'!$E23*'Activity Data Rep. Mauritius'!$J23)/1000,"NA")</f>
        <v>19652.434911564</v>
      </c>
      <c r="O24" s="39">
        <f>IFERROR(('Activity Data Rep. Mauritius'!X23*'Activity Data Rep. Mauritius'!$E23*'Activity Data Rep. Mauritius'!$J23)/1000,"NA")</f>
        <v>18196.120363511996</v>
      </c>
      <c r="P24" s="39">
        <f>IFERROR(('Activity Data Rep. Mauritius'!Y23*'Activity Data Rep. Mauritius'!$E23*'Activity Data Rep. Mauritius'!$J23)/1000,"NA")</f>
        <v>17442.839657879998</v>
      </c>
      <c r="Q24" s="39">
        <f>IFERROR(('Activity Data Rep. Mauritius'!Z23*'Activity Data Rep. Mauritius'!$E23*'Activity Data Rep. Mauritius'!$J23)/1000,"NA")</f>
        <v>14965.542628763998</v>
      </c>
      <c r="R24" s="39">
        <f>IFERROR(('Activity Data Rep. Mauritius'!AA23*'Activity Data Rep. Mauritius'!$E23*'Activity Data Rep. Mauritius'!$J23)/1000,"NA")</f>
        <v>15241.267012607997</v>
      </c>
      <c r="S24" s="39">
        <f>IFERROR(('Activity Data Rep. Mauritius'!AB23*'Activity Data Rep. Mauritius'!$E23*'Activity Data Rep. Mauritius'!$J23)/1000,"NA")</f>
        <v>15450.699316415999</v>
      </c>
      <c r="T24" s="86">
        <f>IFERROR(('Activity Data Rep. Mauritius'!AC23*'Activity Data Rep. Mauritius'!$E23*'Activity Data Rep. Mauritius'!$J23)/1000,"NA")</f>
        <v>14907.273157139998</v>
      </c>
      <c r="U24" s="85">
        <f>IFERROR(('Activity Data Rep. Mauritius'!M23*'Activity Data Rep. Mauritius'!$F23*'Activity Data Rep. Mauritius'!$J23)/1000,"NA")</f>
        <v>0.71114534400000007</v>
      </c>
      <c r="V24" s="39">
        <f>IFERROR(('Activity Data Rep. Mauritius'!N23*'Activity Data Rep. Mauritius'!$F23*'Activity Data Rep. Mauritius'!$J23)/1000,"NA")</f>
        <v>0.64162062971999989</v>
      </c>
      <c r="W24" s="39">
        <f>IFERROR(('Activity Data Rep. Mauritius'!O23*'Activity Data Rep. Mauritius'!$F23*'Activity Data Rep. Mauritius'!$J23)/1000,"NA")</f>
        <v>0.63950086955999996</v>
      </c>
      <c r="X24" s="39">
        <f>IFERROR(('Activity Data Rep. Mauritius'!P23*'Activity Data Rep. Mauritius'!$F23*'Activity Data Rep. Mauritius'!$J23)/1000,"NA")</f>
        <v>0.70555533131999981</v>
      </c>
      <c r="Y24" s="39">
        <f>IFERROR(('Activity Data Rep. Mauritius'!Q23*'Activity Data Rep. Mauritius'!$F23*'Activity Data Rep. Mauritius'!$J23)/1000,"NA")</f>
        <v>0.74143740047999984</v>
      </c>
      <c r="Z24" s="39">
        <f>IFERROR(('Activity Data Rep. Mauritius'!R23*'Activity Data Rep. Mauritius'!$F23*'Activity Data Rep. Mauritius'!$J23)/1000,"NA")</f>
        <v>0.70305948468000001</v>
      </c>
      <c r="AA24" s="39">
        <f>IFERROR(('Activity Data Rep. Mauritius'!S23*'Activity Data Rep. Mauritius'!$F23*'Activity Data Rep. Mauritius'!$J23)/1000,"NA")</f>
        <v>0.85075890227999995</v>
      </c>
      <c r="AB24" s="39">
        <f>IFERROR(('Activity Data Rep. Mauritius'!T23*'Activity Data Rep. Mauritius'!$F23*'Activity Data Rep. Mauritius'!$J23)/1000,"NA")</f>
        <v>0.82629618624000001</v>
      </c>
      <c r="AC24" s="39">
        <f>IFERROR(('Activity Data Rep. Mauritius'!U23*'Activity Data Rep. Mauritius'!$F23*'Activity Data Rep. Mauritius'!$J23)/1000,"NA")</f>
        <v>0.79150818684000013</v>
      </c>
      <c r="AD24" s="39">
        <f>IFERROR(('Activity Data Rep. Mauritius'!V23*'Activity Data Rep. Mauritius'!$F23*'Activity Data Rep. Mauritius'!$J23)/1000,"NA")</f>
        <v>0.78434544887999991</v>
      </c>
      <c r="AE24" s="39">
        <f>IFERROR(('Activity Data Rep. Mauritius'!W23*'Activity Data Rep. Mauritius'!$F23*'Activity Data Rep. Mauritius'!$J23)/1000,"NA")</f>
        <v>0.79564513811999993</v>
      </c>
      <c r="AF24" s="39">
        <f>IFERROR(('Activity Data Rep. Mauritius'!X23*'Activity Data Rep. Mauritius'!$F23*'Activity Data Rep. Mauritius'!$J23)/1000,"NA")</f>
        <v>0.73668503495999993</v>
      </c>
      <c r="AG24" s="39">
        <f>IFERROR(('Activity Data Rep. Mauritius'!Y23*'Activity Data Rep. Mauritius'!$F23*'Activity Data Rep. Mauritius'!$J23)/1000,"NA")</f>
        <v>0.70618784039999993</v>
      </c>
      <c r="AH24" s="39">
        <f>IFERROR(('Activity Data Rep. Mauritius'!Z23*'Activity Data Rep. Mauritius'!$F23*'Activity Data Rep. Mauritius'!$J23)/1000,"NA")</f>
        <v>0.60589241411999994</v>
      </c>
      <c r="AI24" s="39">
        <f>IFERROR(('Activity Data Rep. Mauritius'!AA23*'Activity Data Rep. Mauritius'!$F23*'Activity Data Rep. Mauritius'!$J23)/1000,"NA")</f>
        <v>0.61705534463999989</v>
      </c>
      <c r="AJ24" s="39">
        <f>IFERROR(('Activity Data Rep. Mauritius'!AB23*'Activity Data Rep. Mauritius'!$F23*'Activity Data Rep. Mauritius'!$J23)/1000,"NA")</f>
        <v>0.62553438528000005</v>
      </c>
      <c r="AK24" s="86">
        <f>IFERROR(('Activity Data Rep. Mauritius'!AC23*'Activity Data Rep. Mauritius'!$F23*'Activity Data Rep. Mauritius'!$J23)/1000,"NA")</f>
        <v>0.60353332619999989</v>
      </c>
      <c r="AL24" s="500">
        <f>IFERROR(('Activity Data Rep. Mauritius'!M23*'Activity Data Rep. Mauritius'!$G23*'Activity Data Rep. Mauritius'!$J23)/1000,"NA")</f>
        <v>0.1422290688</v>
      </c>
      <c r="AM24" s="39">
        <f>IFERROR(('Activity Data Rep. Mauritius'!N23*'Activity Data Rep. Mauritius'!$G23*'Activity Data Rep. Mauritius'!$J23)/1000,"NA")</f>
        <v>0.12832412594399997</v>
      </c>
      <c r="AN24" s="39">
        <f>IFERROR(('Activity Data Rep. Mauritius'!O23*'Activity Data Rep. Mauritius'!$G23*'Activity Data Rep. Mauritius'!$J23)/1000,"NA")</f>
        <v>0.12790017391200001</v>
      </c>
      <c r="AO24" s="39">
        <f>IFERROR(('Activity Data Rep. Mauritius'!P23*'Activity Data Rep. Mauritius'!$G23*'Activity Data Rep. Mauritius'!$J23)/1000,"NA")</f>
        <v>0.141111066264</v>
      </c>
      <c r="AP24" s="39">
        <f>IFERROR(('Activity Data Rep. Mauritius'!Q23*'Activity Data Rep. Mauritius'!$G23*'Activity Data Rep. Mauritius'!$J23)/1000,"NA")</f>
        <v>0.14828748009599993</v>
      </c>
      <c r="AQ24" s="39">
        <f>IFERROR(('Activity Data Rep. Mauritius'!R23*'Activity Data Rep. Mauritius'!$G23*'Activity Data Rep. Mauritius'!$J23)/1000,"NA")</f>
        <v>0.14061189693599999</v>
      </c>
      <c r="AR24" s="39">
        <f>IFERROR(('Activity Data Rep. Mauritius'!S23*'Activity Data Rep. Mauritius'!$G23*'Activity Data Rep. Mauritius'!$J23)/1000,"NA")</f>
        <v>0.17015178045599999</v>
      </c>
      <c r="AS24" s="39">
        <f>IFERROR(('Activity Data Rep. Mauritius'!T23*'Activity Data Rep. Mauritius'!$G23*'Activity Data Rep. Mauritius'!$J23)/1000,"NA")</f>
        <v>0.16525923724799998</v>
      </c>
      <c r="AT24" s="39">
        <f>IFERROR(('Activity Data Rep. Mauritius'!U23*'Activity Data Rep. Mauritius'!$G23*'Activity Data Rep. Mauritius'!$J23)/1000,"NA")</f>
        <v>0.15830163736800001</v>
      </c>
      <c r="AU24" s="39">
        <f>IFERROR(('Activity Data Rep. Mauritius'!V23*'Activity Data Rep. Mauritius'!$G23*'Activity Data Rep. Mauritius'!$J23)/1000,"NA")</f>
        <v>0.15686908977599998</v>
      </c>
      <c r="AV24" s="39">
        <f>IFERROR(('Activity Data Rep. Mauritius'!W23*'Activity Data Rep. Mauritius'!$G23*'Activity Data Rep. Mauritius'!$J23)/1000,"NA")</f>
        <v>0.15912902762399997</v>
      </c>
      <c r="AW24" s="39">
        <f>IFERROR(('Activity Data Rep. Mauritius'!X23*'Activity Data Rep. Mauritius'!$G23*'Activity Data Rep. Mauritius'!$J23)/1000,"NA")</f>
        <v>0.147337006992</v>
      </c>
      <c r="AX24" s="39">
        <f>IFERROR(('Activity Data Rep. Mauritius'!Y23*'Activity Data Rep. Mauritius'!$G23*'Activity Data Rep. Mauritius'!$J23)/1000,"NA")</f>
        <v>0.14123756807999996</v>
      </c>
      <c r="AY24" s="39">
        <f>IFERROR(('Activity Data Rep. Mauritius'!Z23*'Activity Data Rep. Mauritius'!$G23*'Activity Data Rep. Mauritius'!$J23)/1000,"NA")</f>
        <v>0.12117848282399998</v>
      </c>
      <c r="AZ24" s="39">
        <f>IFERROR(('Activity Data Rep. Mauritius'!AA23*'Activity Data Rep. Mauritius'!$G23*'Activity Data Rep. Mauritius'!$J23)/1000,"NA")</f>
        <v>0.12341106892799998</v>
      </c>
      <c r="BA24" s="39">
        <f>IFERROR(('Activity Data Rep. Mauritius'!AB23*'Activity Data Rep. Mauritius'!$G23*'Activity Data Rep. Mauritius'!$J23)/1000,"NA")</f>
        <v>0.12510687705599999</v>
      </c>
      <c r="BB24" s="86">
        <f>IFERROR(('Activity Data Rep. Mauritius'!AC23*'Activity Data Rep. Mauritius'!$G23*'Activity Data Rep. Mauritius'!$J23)/1000,"NA")</f>
        <v>0.12070666523999998</v>
      </c>
      <c r="BC24" s="85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86"/>
    </row>
    <row r="25" spans="2:71" s="110" customFormat="1" x14ac:dyDescent="0.35">
      <c r="B25" s="641"/>
      <c r="C25" s="40" t="s">
        <v>136</v>
      </c>
      <c r="D25" s="85">
        <f>IFERROR(('Activity Data Rep. Mauritius'!M24*'Activity Data Rep. Mauritius'!$E24*'Activity Data Rep. Mauritius'!$J24)/1000,"NA")</f>
        <v>1808.1423359999999</v>
      </c>
      <c r="E25" s="39">
        <f>IFERROR(('Activity Data Rep. Mauritius'!N24*'Activity Data Rep. Mauritius'!$E24*'Activity Data Rep. Mauritius'!$J24)/1000,"NA")</f>
        <v>1631.3703436799997</v>
      </c>
      <c r="F25" s="39">
        <f>IFERROR(('Activity Data Rep. Mauritius'!O24*'Activity Data Rep. Mauritius'!$E24*'Activity Data Rep. Mauritius'!$J24)/1000,"NA")</f>
        <v>1625.9806886400002</v>
      </c>
      <c r="G25" s="39">
        <f>IFERROR(('Activity Data Rep. Mauritius'!P24*'Activity Data Rep. Mauritius'!$E24*'Activity Data Rep. Mauritius'!$J24)/1000,"NA")</f>
        <v>1793.9292940800001</v>
      </c>
      <c r="H25" s="39">
        <f>IFERROR(('Activity Data Rep. Mauritius'!Q24*'Activity Data Rep. Mauritius'!$E24*'Activity Data Rep. Mauritius'!$J24)/1000,"NA")</f>
        <v>1885.1622451199999</v>
      </c>
      <c r="I25" s="39">
        <f>IFERROR(('Activity Data Rep. Mauritius'!R24*'Activity Data Rep. Mauritius'!$E24*'Activity Data Rep. Mauritius'!$J24)/1000,"NA")</f>
        <v>1787.5834099199994</v>
      </c>
      <c r="J25" s="39">
        <f>IFERROR(('Activity Data Rep. Mauritius'!S24*'Activity Data Rep. Mauritius'!$E24*'Activity Data Rep. Mauritius'!$J24)/1000,"NA")</f>
        <v>2163.1206643199994</v>
      </c>
      <c r="K25" s="39">
        <f>IFERROR(('Activity Data Rep. Mauritius'!T24*'Activity Data Rep. Mauritius'!$E24*'Activity Data Rep. Mauritius'!$J24)/1000,"NA")</f>
        <v>2100.9223065599995</v>
      </c>
      <c r="L25" s="39">
        <f>IFERROR(('Activity Data Rep. Mauritius'!U24*'Activity Data Rep. Mauritius'!$E24*'Activity Data Rep. Mauritius'!$J24)/1000,"NA")</f>
        <v>2012.4711129599998</v>
      </c>
      <c r="M25" s="39">
        <f>IFERROR(('Activity Data Rep. Mauritius'!V24*'Activity Data Rep. Mauritius'!$E24*'Activity Data Rep. Mauritius'!$J24)/1000,"NA")</f>
        <v>1994.2592947199996</v>
      </c>
      <c r="N25" s="39">
        <f>IFERROR(('Activity Data Rep. Mauritius'!W24*'Activity Data Rep. Mauritius'!$E24*'Activity Data Rep. Mauritius'!$J24)/1000,"NA")</f>
        <v>2022.9896332799999</v>
      </c>
      <c r="O25" s="39">
        <f>IFERROR(('Activity Data Rep. Mauritius'!X24*'Activity Data Rep. Mauritius'!$E24*'Activity Data Rep. Mauritius'!$J24)/1000,"NA")</f>
        <v>1873.0789862399999</v>
      </c>
      <c r="P25" s="39">
        <f>IFERROR(('Activity Data Rep. Mauritius'!Y24*'Activity Data Rep. Mauritius'!$E24*'Activity Data Rep. Mauritius'!$J24)/1000,"NA")</f>
        <v>1795.5374975999998</v>
      </c>
      <c r="Q25" s="39">
        <f>IFERROR(('Activity Data Rep. Mauritius'!Z24*'Activity Data Rep. Mauritius'!$E24*'Activity Data Rep. Mauritius'!$J24)/1000,"NA")</f>
        <v>1540.52857728</v>
      </c>
      <c r="R25" s="39">
        <f>IFERROR(('Activity Data Rep. Mauritius'!AA24*'Activity Data Rep. Mauritius'!$E24*'Activity Data Rep. Mauritius'!$J24)/1000,"NA")</f>
        <v>1568.9111961599997</v>
      </c>
      <c r="S25" s="39">
        <f>IFERROR(('Activity Data Rep. Mauritius'!AB24*'Activity Data Rep. Mauritius'!$E24*'Activity Data Rep. Mauritius'!$J24)/1000,"NA")</f>
        <v>1590.4698163199998</v>
      </c>
      <c r="T25" s="86">
        <f>IFERROR(('Activity Data Rep. Mauritius'!AC24*'Activity Data Rep. Mauritius'!$E24*'Activity Data Rep. Mauritius'!$J24)/1000,"NA")</f>
        <v>1534.5304127999998</v>
      </c>
      <c r="U25" s="85">
        <f>IFERROR(('Activity Data Rep. Mauritius'!M24*'Activity Data Rep. Mauritius'!$F24*'Activity Data Rep. Mauritius'!$J24)/1000,"NA")</f>
        <v>7.8274559999999993E-2</v>
      </c>
      <c r="V25" s="39">
        <f>IFERROR(('Activity Data Rep. Mauritius'!N24*'Activity Data Rep. Mauritius'!$F24*'Activity Data Rep. Mauritius'!$J24)/1000,"NA")</f>
        <v>7.0622092799999994E-2</v>
      </c>
      <c r="W25" s="39">
        <f>IFERROR(('Activity Data Rep. Mauritius'!O24*'Activity Data Rep. Mauritius'!$F24*'Activity Data Rep. Mauritius'!$J24)/1000,"NA")</f>
        <v>7.0388774400000007E-2</v>
      </c>
      <c r="X25" s="39">
        <f>IFERROR(('Activity Data Rep. Mauritius'!P24*'Activity Data Rep. Mauritius'!$F24*'Activity Data Rep. Mauritius'!$J24)/1000,"NA")</f>
        <v>7.7659276799999996E-2</v>
      </c>
      <c r="Y25" s="39">
        <f>IFERROR(('Activity Data Rep. Mauritius'!Q24*'Activity Data Rep. Mauritius'!$F24*'Activity Data Rep. Mauritius'!$J24)/1000,"NA")</f>
        <v>8.1608755199999994E-2</v>
      </c>
      <c r="Z25" s="39">
        <f>IFERROR(('Activity Data Rep. Mauritius'!R24*'Activity Data Rep. Mauritius'!$F24*'Activity Data Rep. Mauritius'!$J24)/1000,"NA")</f>
        <v>7.7384563199999992E-2</v>
      </c>
      <c r="AA25" s="39">
        <f>IFERROR(('Activity Data Rep. Mauritius'!S24*'Activity Data Rep. Mauritius'!$F24*'Activity Data Rep. Mauritius'!$J24)/1000,"NA")</f>
        <v>9.3641587199999973E-2</v>
      </c>
      <c r="AB25" s="39">
        <f>IFERROR(('Activity Data Rep. Mauritius'!T24*'Activity Data Rep. Mauritius'!$F24*'Activity Data Rep. Mauritius'!$J24)/1000,"NA")</f>
        <v>9.0949017599999987E-2</v>
      </c>
      <c r="AC25" s="39">
        <f>IFERROR(('Activity Data Rep. Mauritius'!U24*'Activity Data Rep. Mauritius'!$F24*'Activity Data Rep. Mauritius'!$J24)/1000,"NA")</f>
        <v>8.711996159999999E-2</v>
      </c>
      <c r="AD25" s="39">
        <f>IFERROR(('Activity Data Rep. Mauritius'!V24*'Activity Data Rep. Mauritius'!$F24*'Activity Data Rep. Mauritius'!$J24)/1000,"NA")</f>
        <v>8.6331571199999985E-2</v>
      </c>
      <c r="AE25" s="39">
        <f>IFERROR(('Activity Data Rep. Mauritius'!W24*'Activity Data Rep. Mauritius'!$F24*'Activity Data Rep. Mauritius'!$J24)/1000,"NA")</f>
        <v>8.7575308800000001E-2</v>
      </c>
      <c r="AF25" s="39">
        <f>IFERROR(('Activity Data Rep. Mauritius'!X24*'Activity Data Rep. Mauritius'!$F24*'Activity Data Rep. Mauritius'!$J24)/1000,"NA")</f>
        <v>8.1085670400000018E-2</v>
      </c>
      <c r="AG25" s="39">
        <f>IFERROR(('Activity Data Rep. Mauritius'!Y24*'Activity Data Rep. Mauritius'!$F24*'Activity Data Rep. Mauritius'!$J24)/1000,"NA")</f>
        <v>7.7728895999999992E-2</v>
      </c>
      <c r="AH25" s="39">
        <f>IFERROR(('Activity Data Rep. Mauritius'!Z24*'Activity Data Rep. Mauritius'!$F24*'Activity Data Rep. Mauritius'!$J24)/1000,"NA")</f>
        <v>6.6689548799999998E-2</v>
      </c>
      <c r="AI25" s="39">
        <f>IFERROR(('Activity Data Rep. Mauritius'!AA24*'Activity Data Rep. Mauritius'!$F24*'Activity Data Rep. Mauritius'!$J24)/1000,"NA")</f>
        <v>6.7918233599999975E-2</v>
      </c>
      <c r="AJ25" s="39">
        <f>IFERROR(('Activity Data Rep. Mauritius'!AB24*'Activity Data Rep. Mauritius'!$F24*'Activity Data Rep. Mauritius'!$J24)/1000,"NA")</f>
        <v>6.8851507199999995E-2</v>
      </c>
      <c r="AK25" s="86">
        <f>IFERROR(('Activity Data Rep. Mauritius'!AC24*'Activity Data Rep. Mauritius'!$F24*'Activity Data Rep. Mauritius'!$J24)/1000,"NA")</f>
        <v>6.6429887999999992E-2</v>
      </c>
      <c r="AL25" s="500">
        <f>IFERROR(('Activity Data Rep. Mauritius'!M24*'Activity Data Rep. Mauritius'!$G24*'Activity Data Rep. Mauritius'!$J24)/1000,"NA")</f>
        <v>1.5654912E-2</v>
      </c>
      <c r="AM25" s="39">
        <f>IFERROR(('Activity Data Rep. Mauritius'!N24*'Activity Data Rep. Mauritius'!$G24*'Activity Data Rep. Mauritius'!$J24)/1000,"NA")</f>
        <v>1.4124418559999999E-2</v>
      </c>
      <c r="AN25" s="39">
        <f>IFERROR(('Activity Data Rep. Mauritius'!O24*'Activity Data Rep. Mauritius'!$G24*'Activity Data Rep. Mauritius'!$J24)/1000,"NA")</f>
        <v>1.407775488E-2</v>
      </c>
      <c r="AO25" s="39">
        <f>IFERROR(('Activity Data Rep. Mauritius'!P24*'Activity Data Rep. Mauritius'!$G24*'Activity Data Rep. Mauritius'!$J24)/1000,"NA")</f>
        <v>1.5531855359999999E-2</v>
      </c>
      <c r="AP25" s="39">
        <f>IFERROR(('Activity Data Rep. Mauritius'!Q24*'Activity Data Rep. Mauritius'!$G24*'Activity Data Rep. Mauritius'!$J24)/1000,"NA")</f>
        <v>1.6321751039999995E-2</v>
      </c>
      <c r="AQ25" s="39">
        <f>IFERROR(('Activity Data Rep. Mauritius'!R24*'Activity Data Rep. Mauritius'!$G24*'Activity Data Rep. Mauritius'!$J24)/1000,"NA")</f>
        <v>1.5476912639999995E-2</v>
      </c>
      <c r="AR25" s="39">
        <f>IFERROR(('Activity Data Rep. Mauritius'!S24*'Activity Data Rep. Mauritius'!$G24*'Activity Data Rep. Mauritius'!$J24)/1000,"NA")</f>
        <v>1.8728317439999996E-2</v>
      </c>
      <c r="AS25" s="39">
        <f>IFERROR(('Activity Data Rep. Mauritius'!T24*'Activity Data Rep. Mauritius'!$G24*'Activity Data Rep. Mauritius'!$J24)/1000,"NA")</f>
        <v>1.8189803519999999E-2</v>
      </c>
      <c r="AT25" s="39">
        <f>IFERROR(('Activity Data Rep. Mauritius'!U24*'Activity Data Rep. Mauritius'!$G24*'Activity Data Rep. Mauritius'!$J24)/1000,"NA")</f>
        <v>1.7423992319999998E-2</v>
      </c>
      <c r="AU25" s="39">
        <f>IFERROR(('Activity Data Rep. Mauritius'!V24*'Activity Data Rep. Mauritius'!$G24*'Activity Data Rep. Mauritius'!$J24)/1000,"NA")</f>
        <v>1.7266314239999997E-2</v>
      </c>
      <c r="AV25" s="39">
        <f>IFERROR(('Activity Data Rep. Mauritius'!W24*'Activity Data Rep. Mauritius'!$G24*'Activity Data Rep. Mauritius'!$J24)/1000,"NA")</f>
        <v>1.7515061759999999E-2</v>
      </c>
      <c r="AW25" s="39">
        <f>IFERROR(('Activity Data Rep. Mauritius'!X24*'Activity Data Rep. Mauritius'!$G24*'Activity Data Rep. Mauritius'!$J24)/1000,"NA")</f>
        <v>1.6217134080000001E-2</v>
      </c>
      <c r="AX25" s="39">
        <f>IFERROR(('Activity Data Rep. Mauritius'!Y24*'Activity Data Rep. Mauritius'!$G24*'Activity Data Rep. Mauritius'!$J24)/1000,"NA")</f>
        <v>1.5545779199999998E-2</v>
      </c>
      <c r="AY25" s="39">
        <f>IFERROR(('Activity Data Rep. Mauritius'!Z24*'Activity Data Rep. Mauritius'!$G24*'Activity Data Rep. Mauritius'!$J24)/1000,"NA")</f>
        <v>1.3337909759999997E-2</v>
      </c>
      <c r="AZ25" s="39">
        <f>IFERROR(('Activity Data Rep. Mauritius'!AA24*'Activity Data Rep. Mauritius'!$G24*'Activity Data Rep. Mauritius'!$J24)/1000,"NA")</f>
        <v>1.3583646719999995E-2</v>
      </c>
      <c r="BA25" s="39">
        <f>IFERROR(('Activity Data Rep. Mauritius'!AB24*'Activity Data Rep. Mauritius'!$G24*'Activity Data Rep. Mauritius'!$J24)/1000,"NA")</f>
        <v>1.3770301439999997E-2</v>
      </c>
      <c r="BB25" s="86">
        <f>IFERROR(('Activity Data Rep. Mauritius'!AC24*'Activity Data Rep. Mauritius'!$G24*'Activity Data Rep. Mauritius'!$J24)/1000,"NA")</f>
        <v>1.3285977599999998E-2</v>
      </c>
      <c r="BC25" s="85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86"/>
    </row>
    <row r="26" spans="2:71" s="110" customFormat="1" x14ac:dyDescent="0.35">
      <c r="B26" s="641"/>
      <c r="C26" s="40" t="s">
        <v>125</v>
      </c>
      <c r="D26" s="85">
        <f>IFERROR(('Activity Data Rep. Mauritius'!M25*'Activity Data Rep. Mauritius'!$E25*'Activity Data Rep. Mauritius'!$J25)/1000,"NA")</f>
        <v>215.80188137199997</v>
      </c>
      <c r="E26" s="39">
        <f>IFERROR(('Activity Data Rep. Mauritius'!N25*'Activity Data Rep. Mauritius'!$E25*'Activity Data Rep. Mauritius'!$J25)/1000,"NA")</f>
        <v>213.52043019999996</v>
      </c>
      <c r="F26" s="39">
        <f>IFERROR(('Activity Data Rep. Mauritius'!O25*'Activity Data Rep. Mauritius'!$E25*'Activity Data Rep. Mauritius'!$J25)/1000,"NA")</f>
        <v>204.86261549599996</v>
      </c>
      <c r="G26" s="39">
        <f>IFERROR(('Activity Data Rep. Mauritius'!P25*'Activity Data Rep. Mauritius'!$E25*'Activity Data Rep. Mauritius'!$J25)/1000,"NA")</f>
        <v>173.39028907199994</v>
      </c>
      <c r="H26" s="39">
        <f>IFERROR(('Activity Data Rep. Mauritius'!Q25*'Activity Data Rep. Mauritius'!$E25*'Activity Data Rep. Mauritius'!$J25)/1000,"NA")</f>
        <v>161.222549488</v>
      </c>
      <c r="I26" s="39">
        <f>IFERROR(('Activity Data Rep. Mauritius'!R25*'Activity Data Rep. Mauritius'!$E25*'Activity Data Rep. Mauritius'!$J25)/1000,"NA")</f>
        <v>228.37911219199998</v>
      </c>
      <c r="J26" s="39">
        <f>IFERROR(('Activity Data Rep. Mauritius'!S25*'Activity Data Rep. Mauritius'!$E25*'Activity Data Rep. Mauritius'!$J25)/1000,"NA")</f>
        <v>231.94753582000001</v>
      </c>
      <c r="K26" s="39">
        <f>IFERROR(('Activity Data Rep. Mauritius'!T25*'Activity Data Rep. Mauritius'!$E25*'Activity Data Rep. Mauritius'!$J25)/1000,"NA")</f>
        <v>237.9729068639999</v>
      </c>
      <c r="L26" s="39">
        <f>IFERROR(('Activity Data Rep. Mauritius'!U25*'Activity Data Rep. Mauritius'!$E25*'Activity Data Rep. Mauritius'!$J25)/1000,"NA")</f>
        <v>287.81384015999993</v>
      </c>
      <c r="M26" s="39">
        <f>IFERROR(('Activity Data Rep. Mauritius'!V25*'Activity Data Rep. Mauritius'!$E25*'Activity Data Rep. Mauritius'!$J25)/1000,"NA")</f>
        <v>292.9032312359999</v>
      </c>
      <c r="N26" s="39">
        <f>IFERROR(('Activity Data Rep. Mauritius'!W25*'Activity Data Rep. Mauritius'!$E25*'Activity Data Rep. Mauritius'!$J25)/1000,"NA")</f>
        <v>299.63058725599996</v>
      </c>
      <c r="O26" s="39">
        <f>IFERROR(('Activity Data Rep. Mauritius'!X25*'Activity Data Rep. Mauritius'!$E25*'Activity Data Rep. Mauritius'!$J25)/1000,"NA")</f>
        <v>306.41644202399999</v>
      </c>
      <c r="P26" s="39">
        <f>IFERROR(('Activity Data Rep. Mauritius'!Y25*'Activity Data Rep. Mauritius'!$E25*'Activity Data Rep. Mauritius'!$J25)/1000,"NA")</f>
        <v>319.57866032399994</v>
      </c>
      <c r="Q26" s="39">
        <f>IFERROR(('Activity Data Rep. Mauritius'!Z25*'Activity Data Rep. Mauritius'!$E25*'Activity Data Rep. Mauritius'!$J25)/1000,"NA")</f>
        <v>313.14379804399994</v>
      </c>
      <c r="R26" s="39">
        <f>IFERROR(('Activity Data Rep. Mauritius'!AA25*'Activity Data Rep. Mauritius'!$E25*'Activity Data Rep. Mauritius'!$J25)/1000,"NA")</f>
        <v>317.47270539599992</v>
      </c>
      <c r="S26" s="39">
        <f>IFERROR(('Activity Data Rep. Mauritius'!AB25*'Activity Data Rep. Mauritius'!$E25*'Activity Data Rep. Mauritius'!$J25)/1000,"NA")</f>
        <v>331.80489865599992</v>
      </c>
      <c r="T26" s="86">
        <f>IFERROR(('Activity Data Rep. Mauritius'!AC25*'Activity Data Rep. Mauritius'!$E25*'Activity Data Rep. Mauritius'!$J25)/1000,"NA")</f>
        <v>327.65148754799992</v>
      </c>
      <c r="U26" s="85">
        <f>IFERROR(('Activity Data Rep. Mauritius'!M25*'Activity Data Rep. Mauritius'!$F25*'Activity Data Rep. Mauritius'!$J25)/1000,"NA")</f>
        <v>3.4199981199999996E-3</v>
      </c>
      <c r="V26" s="39">
        <f>IFERROR(('Activity Data Rep. Mauritius'!N25*'Activity Data Rep. Mauritius'!$F25*'Activity Data Rep. Mauritius'!$J25)/1000,"NA")</f>
        <v>3.3838420000000002E-3</v>
      </c>
      <c r="W26" s="39">
        <f>IFERROR(('Activity Data Rep. Mauritius'!O25*'Activity Data Rep. Mauritius'!$F25*'Activity Data Rep. Mauritius'!$J25)/1000,"NA")</f>
        <v>3.2466341599999989E-3</v>
      </c>
      <c r="X26" s="39">
        <f>IFERROR(('Activity Data Rep. Mauritius'!P25*'Activity Data Rep. Mauritius'!$F25*'Activity Data Rep. Mauritius'!$J25)/1000,"NA")</f>
        <v>2.7478651199999995E-3</v>
      </c>
      <c r="Y26" s="39">
        <f>IFERROR(('Activity Data Rep. Mauritius'!Q25*'Activity Data Rep. Mauritius'!$F25*'Activity Data Rep. Mauritius'!$J25)/1000,"NA")</f>
        <v>2.5550324799999994E-3</v>
      </c>
      <c r="Z26" s="39">
        <f>IFERROR(('Activity Data Rep. Mauritius'!R25*'Activity Data Rep. Mauritius'!$F25*'Activity Data Rep. Mauritius'!$J25)/1000,"NA")</f>
        <v>3.6193203199999992E-3</v>
      </c>
      <c r="AA26" s="39">
        <f>IFERROR(('Activity Data Rep. Mauritius'!S25*'Activity Data Rep. Mauritius'!$F25*'Activity Data Rep. Mauritius'!$J25)/1000,"NA")</f>
        <v>3.6758722000000002E-3</v>
      </c>
      <c r="AB26" s="39">
        <f>IFERROR(('Activity Data Rep. Mauritius'!T25*'Activity Data Rep. Mauritius'!$F25*'Activity Data Rep. Mauritius'!$J25)/1000,"NA")</f>
        <v>3.7713614399999987E-3</v>
      </c>
      <c r="AC26" s="39">
        <f>IFERROR(('Activity Data Rep. Mauritius'!U25*'Activity Data Rep. Mauritius'!$F25*'Activity Data Rep. Mauritius'!$J25)/1000,"NA")</f>
        <v>4.5612335999999998E-3</v>
      </c>
      <c r="AD26" s="39">
        <f>IFERROR(('Activity Data Rep. Mauritius'!V25*'Activity Data Rep. Mauritius'!$F25*'Activity Data Rep. Mauritius'!$J25)/1000,"NA")</f>
        <v>4.6418895599999992E-3</v>
      </c>
      <c r="AE26" s="39">
        <f>IFERROR(('Activity Data Rep. Mauritius'!W25*'Activity Data Rep. Mauritius'!$F25*'Activity Data Rep. Mauritius'!$J25)/1000,"NA")</f>
        <v>4.748503759999999E-3</v>
      </c>
      <c r="AF26" s="39">
        <f>IFERROR(('Activity Data Rep. Mauritius'!X25*'Activity Data Rep. Mauritius'!$F25*'Activity Data Rep. Mauritius'!$J25)/1000,"NA")</f>
        <v>4.8560450399999996E-3</v>
      </c>
      <c r="AG26" s="39">
        <f>IFERROR(('Activity Data Rep. Mauritius'!Y25*'Activity Data Rep. Mauritius'!$F25*'Activity Data Rep. Mauritius'!$J25)/1000,"NA")</f>
        <v>5.0646380399999996E-3</v>
      </c>
      <c r="AH26" s="39">
        <f>IFERROR(('Activity Data Rep. Mauritius'!Z25*'Activity Data Rep. Mauritius'!$F25*'Activity Data Rep. Mauritius'!$J25)/1000,"NA")</f>
        <v>4.9626592399999985E-3</v>
      </c>
      <c r="AI26" s="39">
        <f>IFERROR(('Activity Data Rep. Mauritius'!AA25*'Activity Data Rep. Mauritius'!$F25*'Activity Data Rep. Mauritius'!$J25)/1000,"NA")</f>
        <v>5.0312631599999987E-3</v>
      </c>
      <c r="AJ26" s="39">
        <f>IFERROR(('Activity Data Rep. Mauritius'!AB25*'Activity Data Rep. Mauritius'!$F25*'Activity Data Rep. Mauritius'!$J25)/1000,"NA")</f>
        <v>5.2583977599999993E-3</v>
      </c>
      <c r="AK26" s="86">
        <f>IFERROR(('Activity Data Rep. Mauritius'!AC25*'Activity Data Rep. Mauritius'!$F25*'Activity Data Rep. Mauritius'!$J25)/1000,"NA")</f>
        <v>5.1925750799999993E-3</v>
      </c>
      <c r="AL26" s="500">
        <f>IFERROR(('Activity Data Rep. Mauritius'!M25*'Activity Data Rep. Mauritius'!$G25*'Activity Data Rep. Mauritius'!$J25)/1000,"NA")</f>
        <v>3.4199981199999996E-4</v>
      </c>
      <c r="AM26" s="39">
        <f>IFERROR(('Activity Data Rep. Mauritius'!N25*'Activity Data Rep. Mauritius'!$G25*'Activity Data Rep. Mauritius'!$J25)/1000,"NA")</f>
        <v>3.3838420000000002E-4</v>
      </c>
      <c r="AN26" s="39">
        <f>IFERROR(('Activity Data Rep. Mauritius'!O25*'Activity Data Rep. Mauritius'!$G25*'Activity Data Rep. Mauritius'!$J25)/1000,"NA")</f>
        <v>3.246634159999999E-4</v>
      </c>
      <c r="AO26" s="39">
        <f>IFERROR(('Activity Data Rep. Mauritius'!P25*'Activity Data Rep. Mauritius'!$G25*'Activity Data Rep. Mauritius'!$J25)/1000,"NA")</f>
        <v>2.7478651199999991E-4</v>
      </c>
      <c r="AP26" s="39">
        <f>IFERROR(('Activity Data Rep. Mauritius'!Q25*'Activity Data Rep. Mauritius'!$G25*'Activity Data Rep. Mauritius'!$J25)/1000,"NA")</f>
        <v>2.5550324799999995E-4</v>
      </c>
      <c r="AQ26" s="39">
        <f>IFERROR(('Activity Data Rep. Mauritius'!R25*'Activity Data Rep. Mauritius'!$G25*'Activity Data Rep. Mauritius'!$J25)/1000,"NA")</f>
        <v>3.6193203199999996E-4</v>
      </c>
      <c r="AR26" s="39">
        <f>IFERROR(('Activity Data Rep. Mauritius'!S25*'Activity Data Rep. Mauritius'!$G25*'Activity Data Rep. Mauritius'!$J25)/1000,"NA")</f>
        <v>3.6758722000000005E-4</v>
      </c>
      <c r="AS26" s="39">
        <f>IFERROR(('Activity Data Rep. Mauritius'!T25*'Activity Data Rep. Mauritius'!$G25*'Activity Data Rep. Mauritius'!$J25)/1000,"NA")</f>
        <v>3.7713614399999983E-4</v>
      </c>
      <c r="AT26" s="39">
        <f>IFERROR(('Activity Data Rep. Mauritius'!U25*'Activity Data Rep. Mauritius'!$G25*'Activity Data Rep. Mauritius'!$J25)/1000,"NA")</f>
        <v>4.5612335999999993E-4</v>
      </c>
      <c r="AU26" s="39">
        <f>IFERROR(('Activity Data Rep. Mauritius'!V25*'Activity Data Rep. Mauritius'!$G25*'Activity Data Rep. Mauritius'!$J25)/1000,"NA")</f>
        <v>4.641889559999999E-4</v>
      </c>
      <c r="AV26" s="39">
        <f>IFERROR(('Activity Data Rep. Mauritius'!W25*'Activity Data Rep. Mauritius'!$G25*'Activity Data Rep. Mauritius'!$J25)/1000,"NA")</f>
        <v>4.7485037599999993E-4</v>
      </c>
      <c r="AW26" s="39">
        <f>IFERROR(('Activity Data Rep. Mauritius'!X25*'Activity Data Rep. Mauritius'!$G25*'Activity Data Rep. Mauritius'!$J25)/1000,"NA")</f>
        <v>4.8560450400000004E-4</v>
      </c>
      <c r="AX26" s="39">
        <f>IFERROR(('Activity Data Rep. Mauritius'!Y25*'Activity Data Rep. Mauritius'!$G25*'Activity Data Rep. Mauritius'!$J25)/1000,"NA")</f>
        <v>5.0646380400000001E-4</v>
      </c>
      <c r="AY26" s="39">
        <f>IFERROR(('Activity Data Rep. Mauritius'!Z25*'Activity Data Rep. Mauritius'!$G25*'Activity Data Rep. Mauritius'!$J25)/1000,"NA")</f>
        <v>4.9626592399999996E-4</v>
      </c>
      <c r="AZ26" s="39">
        <f>IFERROR(('Activity Data Rep. Mauritius'!AA25*'Activity Data Rep. Mauritius'!$G25*'Activity Data Rep. Mauritius'!$J25)/1000,"NA")</f>
        <v>5.0312631599999994E-4</v>
      </c>
      <c r="BA26" s="39">
        <f>IFERROR(('Activity Data Rep. Mauritius'!AB25*'Activity Data Rep. Mauritius'!$G25*'Activity Data Rep. Mauritius'!$J25)/1000,"NA")</f>
        <v>5.2583977599999999E-4</v>
      </c>
      <c r="BB26" s="86">
        <f>IFERROR(('Activity Data Rep. Mauritius'!AC25*'Activity Data Rep. Mauritius'!$G25*'Activity Data Rep. Mauritius'!$J25)/1000,"NA")</f>
        <v>5.1925750799999989E-4</v>
      </c>
      <c r="BC26" s="85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86"/>
    </row>
    <row r="27" spans="2:71" s="110" customFormat="1" x14ac:dyDescent="0.35">
      <c r="B27" s="638"/>
      <c r="C27" s="40" t="s">
        <v>18</v>
      </c>
      <c r="D27" s="85">
        <f>IFERROR(('Activity Data Rep. Mauritius'!M26*'Activity Data Rep. Mauritius'!$E26*'Activity Data Rep. Mauritius'!$J26)/1000,"NA")</f>
        <v>16351.744625294397</v>
      </c>
      <c r="E27" s="39">
        <f>IFERROR(('Activity Data Rep. Mauritius'!N26*'Activity Data Rep. Mauritius'!$E26*'Conversion Factors CF'!I6)/1000,"NA")</f>
        <v>13027.415157187197</v>
      </c>
      <c r="F27" s="39">
        <f>IFERROR(('Activity Data Rep. Mauritius'!O26*'Activity Data Rep. Mauritius'!$E26*'Conversion Factors CF'!J6)/1000,"NA")</f>
        <v>13180.551343071838</v>
      </c>
      <c r="G27" s="39">
        <f>IFERROR(('Activity Data Rep. Mauritius'!P26*'Activity Data Rep. Mauritius'!$E26*'Conversion Factors CF'!K6)/1000,"NA")</f>
        <v>11843.345843098559</v>
      </c>
      <c r="H27" s="39">
        <f>IFERROR(('Activity Data Rep. Mauritius'!Q26*'Activity Data Rep. Mauritius'!$E26*'Conversion Factors CF'!L6)/1000,"NA")</f>
        <v>10600.465896869186</v>
      </c>
      <c r="I27" s="39">
        <f>IFERROR(('Activity Data Rep. Mauritius'!R26*'Activity Data Rep. Mauritius'!$E26*'Conversion Factors CF'!M6)/1000,"NA")</f>
        <v>9815.1886238777279</v>
      </c>
      <c r="J27" s="39">
        <f>IFERROR(('Activity Data Rep. Mauritius'!S26*'Activity Data Rep. Mauritius'!$E26*'Conversion Factors CF'!N6)/1000,"NA")</f>
        <v>12376.296613296003</v>
      </c>
      <c r="K27" s="39">
        <f>IFERROR(('Activity Data Rep. Mauritius'!T26*'Activity Data Rep. Mauritius'!$E26*'Conversion Factors CF'!O6)/1000,"NA")</f>
        <v>12847.237793039953</v>
      </c>
      <c r="L27" s="39">
        <f>IFERROR(('Activity Data Rep. Mauritius'!U26*'Activity Data Rep. Mauritius'!$E26*'Conversion Factors CF'!P6)/1000,"NA")</f>
        <v>11536.515693487967</v>
      </c>
      <c r="M27" s="39">
        <f>IFERROR(('Activity Data Rep. Mauritius'!V26*'Activity Data Rep. Mauritius'!$E26*'Conversion Factors CF'!Q6)/1000,"NA")</f>
        <v>9790.5203120747847</v>
      </c>
      <c r="N27" s="39">
        <f>IFERROR(('Activity Data Rep. Mauritius'!W26*'Activity Data Rep. Mauritius'!$E26*'Conversion Factors CF'!R6)/1000,"NA")</f>
        <v>9511.1420965820034</v>
      </c>
      <c r="O27" s="39">
        <f>IFERROR(('Activity Data Rep. Mauritius'!X26*'Activity Data Rep. Mauritius'!$E26*'Conversion Factors CF'!S6)/1000,"NA")</f>
        <v>9257.6537950218553</v>
      </c>
      <c r="P27" s="39">
        <f>IFERROR(('Activity Data Rep. Mauritius'!Y26*'Activity Data Rep. Mauritius'!$E26*'Conversion Factors CF'!T6)/1000,"NA")</f>
        <v>8875.7969103397591</v>
      </c>
      <c r="Q27" s="39">
        <f>IFERROR(('Activity Data Rep. Mauritius'!Z26*'Activity Data Rep. Mauritius'!$E26*'Conversion Factors CF'!U6)/1000,"NA")</f>
        <v>8884.040666618368</v>
      </c>
      <c r="R27" s="39">
        <f>IFERROR(('Activity Data Rep. Mauritius'!AA26*'Activity Data Rep. Mauritius'!$E26*'Conversion Factors CF'!V6)/1000,"NA")</f>
        <v>9160.5611311906687</v>
      </c>
      <c r="S27" s="39">
        <f>IFERROR(('Activity Data Rep. Mauritius'!AB26*'Activity Data Rep. Mauritius'!$E26*'Conversion Factors CF'!W6)/1000,"NA")</f>
        <v>8338.4268586228754</v>
      </c>
      <c r="T27" s="86">
        <f>IFERROR(('Activity Data Rep. Mauritius'!AC26*'Activity Data Rep. Mauritius'!$E26*'Conversion Factors CF'!X6)/1000,"NA")</f>
        <v>8419.4884265573892</v>
      </c>
      <c r="U27" s="85">
        <f>IFERROR(('Activity Data Rep. Mauritius'!M26*'Activity Data Rep. Mauritius'!$F26*'Conversion Factors CF'!H6)/1000,"NA")</f>
        <v>0.40323397010399997</v>
      </c>
      <c r="V27" s="39">
        <f>IFERROR(('Activity Data Rep. Mauritius'!N26*'Activity Data Rep. Mauritius'!$F26*'Conversion Factors CF'!I6)/1000,"NA")</f>
        <v>0.50493857198399994</v>
      </c>
      <c r="W27" s="39">
        <f>IFERROR(('Activity Data Rep. Mauritius'!O26*'Activity Data Rep. Mauritius'!$F26*'Conversion Factors CF'!J6)/1000,"NA")</f>
        <v>0.51087408306479998</v>
      </c>
      <c r="X27" s="39">
        <f>IFERROR(('Activity Data Rep. Mauritius'!P26*'Activity Data Rep. Mauritius'!$F26*'Conversion Factors CF'!K6)/1000,"NA")</f>
        <v>0.45904441252319994</v>
      </c>
      <c r="Y27" s="39">
        <f>IFERROR(('Activity Data Rep. Mauritius'!Q26*'Activity Data Rep. Mauritius'!$F26*'Conversion Factors CF'!L6)/1000,"NA")</f>
        <v>0.41087077119648008</v>
      </c>
      <c r="Z27" s="39">
        <f>IFERROR(('Activity Data Rep. Mauritius'!R26*'Activity Data Rep. Mauritius'!$F26*'Conversion Factors CF'!M6)/1000,"NA")</f>
        <v>0.38043366759216002</v>
      </c>
      <c r="AA27" s="39">
        <f>IFERROR(('Activity Data Rep. Mauritius'!S26*'Activity Data Rep. Mauritius'!$F26*'Conversion Factors CF'!N6)/1000,"NA")</f>
        <v>0.47970141912000008</v>
      </c>
      <c r="AB27" s="39">
        <f>IFERROR(('Activity Data Rep. Mauritius'!T26*'Activity Data Rep. Mauritius'!$F26*'Conversion Factors CF'!O6)/1000,"NA")</f>
        <v>0.49795495321860278</v>
      </c>
      <c r="AC27" s="39">
        <f>IFERROR(('Activity Data Rep. Mauritius'!U26*'Activity Data Rep. Mauritius'!$F26*'Conversion Factors CF'!P6)/1000,"NA")</f>
        <v>0.44715177106542503</v>
      </c>
      <c r="AD27" s="39">
        <f>IFERROR(('Activity Data Rep. Mauritius'!V26*'Activity Data Rep. Mauritius'!$F26*'Conversion Factors CF'!Q6)/1000,"NA")</f>
        <v>0.37947753147576679</v>
      </c>
      <c r="AE27" s="39">
        <f>IFERROR(('Activity Data Rep. Mauritius'!W26*'Activity Data Rep. Mauritius'!$F26*'Conversion Factors CF'!R6)/1000,"NA")</f>
        <v>0.36864891847217068</v>
      </c>
      <c r="AF27" s="39">
        <f>IFERROR(('Activity Data Rep. Mauritius'!X26*'Activity Data Rep. Mauritius'!$F26*'Conversion Factors CF'!S6)/1000,"NA")</f>
        <v>0.35882379050472307</v>
      </c>
      <c r="AG27" s="39">
        <f>IFERROR(('Activity Data Rep. Mauritius'!Y26*'Activity Data Rep. Mauritius'!$F26*'Conversion Factors CF'!T6)/1000,"NA")</f>
        <v>0.34402313605968055</v>
      </c>
      <c r="AH27" s="39">
        <f>IFERROR(('Activity Data Rep. Mauritius'!Z26*'Activity Data Rep. Mauritius'!$F26*'Conversion Factors CF'!U6)/1000,"NA")</f>
        <v>0.34434266149683601</v>
      </c>
      <c r="AI27" s="39">
        <f>IFERROR(('Activity Data Rep. Mauritius'!AA26*'Activity Data Rep. Mauritius'!$F26*'Conversion Factors CF'!V6)/1000,"NA")</f>
        <v>0.35506050896087865</v>
      </c>
      <c r="AJ27" s="39">
        <f>IFERROR(('Activity Data Rep. Mauritius'!AB26*'Activity Data Rep. Mauritius'!$F26*'Conversion Factors CF'!W6)/1000,"NA")</f>
        <v>0.32319483948150685</v>
      </c>
      <c r="AK27" s="86">
        <f>IFERROR(('Activity Data Rep. Mauritius'!AC26*'Activity Data Rep. Mauritius'!$F26*'Conversion Factors CF'!X6)/1000,"NA")</f>
        <v>0.32633676071927864</v>
      </c>
      <c r="AL27" s="500">
        <f>IFERROR(('Activity Data Rep. Mauritius'!M26*'Activity Data Rep. Mauritius'!$G26*'Conversion Factors CF'!H6)/1000,"NA")</f>
        <v>8.0646794020799981E-2</v>
      </c>
      <c r="AM27" s="39">
        <f>IFERROR(('Activity Data Rep. Mauritius'!N26*'Activity Data Rep. Mauritius'!$G26*'Conversion Factors CF'!I6)/1000,"NA")</f>
        <v>0.10098771439679999</v>
      </c>
      <c r="AN27" s="39">
        <f>IFERROR(('Activity Data Rep. Mauritius'!O26*'Activity Data Rep. Mauritius'!$G26*'Conversion Factors CF'!J6)/1000,"NA")</f>
        <v>0.10217481661295999</v>
      </c>
      <c r="AO27" s="39">
        <f>IFERROR(('Activity Data Rep. Mauritius'!P26*'Activity Data Rep. Mauritius'!$G26*'Conversion Factors CF'!K6)/1000,"NA")</f>
        <v>9.1808882504639977E-2</v>
      </c>
      <c r="AP27" s="39">
        <f>IFERROR(('Activity Data Rep. Mauritius'!Q26*'Activity Data Rep. Mauritius'!$G26*'Conversion Factors CF'!L6)/1000,"NA")</f>
        <v>8.2174154239296013E-2</v>
      </c>
      <c r="AQ27" s="39">
        <f>IFERROR(('Activity Data Rep. Mauritius'!R26*'Activity Data Rep. Mauritius'!$G26*'Conversion Factors CF'!M6)/1000,"NA")</f>
        <v>7.6086733518431995E-2</v>
      </c>
      <c r="AR27" s="39">
        <f>IFERROR(('Activity Data Rep. Mauritius'!S26*'Activity Data Rep. Mauritius'!$G26*'Conversion Factors CF'!N6)/1000,"NA")</f>
        <v>9.5940283824000008E-2</v>
      </c>
      <c r="AS27" s="39">
        <f>IFERROR(('Activity Data Rep. Mauritius'!T26*'Activity Data Rep. Mauritius'!$G26*'Conversion Factors CF'!O6)/1000,"NA")</f>
        <v>9.9590990643720553E-2</v>
      </c>
      <c r="AT27" s="39">
        <f>IFERROR(('Activity Data Rep. Mauritius'!U26*'Activity Data Rep. Mauritius'!$G26*'Conversion Factors CF'!P6)/1000,"NA")</f>
        <v>8.9430354213084998E-2</v>
      </c>
      <c r="AU27" s="39">
        <f>IFERROR(('Activity Data Rep. Mauritius'!V26*'Activity Data Rep. Mauritius'!$G26*'Conversion Factors CF'!Q6)/1000,"NA")</f>
        <v>7.5895506295153362E-2</v>
      </c>
      <c r="AV27" s="39">
        <f>IFERROR(('Activity Data Rep. Mauritius'!W26*'Activity Data Rep. Mauritius'!$G26*'Conversion Factors CF'!R6)/1000,"NA")</f>
        <v>7.3729783694434142E-2</v>
      </c>
      <c r="AW27" s="39">
        <f>IFERROR(('Activity Data Rep. Mauritius'!X26*'Activity Data Rep. Mauritius'!$G26*'Conversion Factors CF'!S6)/1000,"NA")</f>
        <v>7.1764758100944598E-2</v>
      </c>
      <c r="AX27" s="39">
        <f>IFERROR(('Activity Data Rep. Mauritius'!Y26*'Activity Data Rep. Mauritius'!$G26*'Conversion Factors CF'!T6)/1000,"NA")</f>
        <v>6.8804627211936115E-2</v>
      </c>
      <c r="AY27" s="39">
        <f>IFERROR(('Activity Data Rep. Mauritius'!Z26*'Activity Data Rep. Mauritius'!$G26*'Conversion Factors CF'!U6)/1000,"NA")</f>
        <v>6.8868532299367194E-2</v>
      </c>
      <c r="AZ27" s="39">
        <f>IFERROR(('Activity Data Rep. Mauritius'!AA26*'Activity Data Rep. Mauritius'!$G26*'Conversion Factors CF'!V6)/1000,"NA")</f>
        <v>7.1012101792175736E-2</v>
      </c>
      <c r="BA27" s="39">
        <f>IFERROR(('Activity Data Rep. Mauritius'!AB26*'Activity Data Rep. Mauritius'!$G26*'Conversion Factors CF'!W6)/1000,"NA")</f>
        <v>6.4638967896301372E-2</v>
      </c>
      <c r="BB27" s="86">
        <f>IFERROR(('Activity Data Rep. Mauritius'!AC26*'Activity Data Rep. Mauritius'!$G26*'Conversion Factors CF'!X6)/1000,"NA")</f>
        <v>6.5267352143855734E-2</v>
      </c>
      <c r="BC27" s="85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86"/>
    </row>
    <row r="28" spans="2:71" s="110" customFormat="1" x14ac:dyDescent="0.35">
      <c r="B28" s="643" t="s">
        <v>370</v>
      </c>
      <c r="C28" s="360" t="s">
        <v>63</v>
      </c>
      <c r="D28" s="85">
        <f>IFERROR(('Activity Data Rep. Mauritius'!M27*'Activity Data Rep. Mauritius'!$E27*'Activity Data Rep. Mauritius'!$J27)/1000,"NA")</f>
        <v>15454.982399999999</v>
      </c>
      <c r="E28" s="39">
        <f>IFERROR(('Activity Data Rep. Mauritius'!N27*'Activity Data Rep. Mauritius'!$E27*'Activity Data Rep. Mauritius'!$J27)/1000,"NA")</f>
        <v>13944.034962</v>
      </c>
      <c r="F28" s="39">
        <f>IFERROR(('Activity Data Rep. Mauritius'!O27*'Activity Data Rep. Mauritius'!$E27*'Activity Data Rep. Mauritius'!$J27)/1000,"NA")</f>
        <v>13897.967226000001</v>
      </c>
      <c r="G28" s="39">
        <f>IFERROR(('Activity Data Rep. Mauritius'!P27*'Activity Data Rep. Mauritius'!$E27*'Activity Data Rep. Mauritius'!$J27)/1000,"NA")</f>
        <v>15333.497322000001</v>
      </c>
      <c r="H28" s="39">
        <f>IFERROR(('Activity Data Rep. Mauritius'!Q27*'Activity Data Rep. Mauritius'!$E27*'Activity Data Rep. Mauritius'!$J27)/1000,"NA")</f>
        <v>16113.305207999998</v>
      </c>
      <c r="I28" s="39">
        <f>IFERROR(('Activity Data Rep. Mauritius'!R27*'Activity Data Rep. Mauritius'!$E27*'Activity Data Rep. Mauritius'!$J27)/1000,"NA")</f>
        <v>15279.256278000001</v>
      </c>
      <c r="J28" s="39">
        <f>IFERROR(('Activity Data Rep. Mauritius'!S27*'Activity Data Rep. Mauritius'!$E27*'Activity Data Rep. Mauritius'!$J27)/1000,"NA")</f>
        <v>18489.137238000003</v>
      </c>
      <c r="K28" s="39">
        <f>IFERROR(('Activity Data Rep. Mauritius'!T27*'Activity Data Rep. Mauritius'!$E27*'Activity Data Rep. Mauritius'!$J27)/1000,"NA")</f>
        <v>17957.500703999998</v>
      </c>
      <c r="L28" s="39">
        <f>IFERROR(('Activity Data Rep. Mauritius'!U27*'Activity Data Rep. Mauritius'!$E27*'Activity Data Rep. Mauritius'!$J27)/1000,"NA")</f>
        <v>17201.469713999999</v>
      </c>
      <c r="M28" s="39">
        <f>IFERROR(('Activity Data Rep. Mauritius'!V27*'Activity Data Rep. Mauritius'!$E27*'Activity Data Rep. Mauritius'!$J27)/1000,"NA")</f>
        <v>17045.805347999998</v>
      </c>
      <c r="N28" s="39">
        <f>IFERROR(('Activity Data Rep. Mauritius'!W27*'Activity Data Rep. Mauritius'!$E27*'Activity Data Rep. Mauritius'!$J27)/1000,"NA")</f>
        <v>17291.376101999998</v>
      </c>
      <c r="O28" s="39">
        <f>IFERROR(('Activity Data Rep. Mauritius'!X27*'Activity Data Rep. Mauritius'!$E27*'Activity Data Rep. Mauritius'!$J27)/1000,"NA")</f>
        <v>16010.024315999997</v>
      </c>
      <c r="P28" s="39">
        <f>IFERROR(('Activity Data Rep. Mauritius'!Y27*'Activity Data Rep. Mauritius'!$E27*'Activity Data Rep. Mauritius'!$J27)/1000,"NA")</f>
        <v>15347.243339999995</v>
      </c>
      <c r="Q28" s="39">
        <f>IFERROR(('Activity Data Rep. Mauritius'!Z27*'Activity Data Rep. Mauritius'!$E27*'Activity Data Rep. Mauritius'!$J27)/1000,"NA")</f>
        <v>13167.570701999999</v>
      </c>
      <c r="R28" s="39">
        <f>IFERROR(('Activity Data Rep. Mauritius'!AA27*'Activity Data Rep. Mauritius'!$E27*'Activity Data Rep. Mauritius'!$J27)/1000,"NA")</f>
        <v>13410.169343999998</v>
      </c>
      <c r="S28" s="39">
        <f>IFERROR(('Activity Data Rep. Mauritius'!AB27*'Activity Data Rep. Mauritius'!$E27*'Activity Data Rep. Mauritius'!$J27)/1000,"NA")</f>
        <v>13594.440287999998</v>
      </c>
      <c r="T28" s="86">
        <f>IFERROR(('Activity Data Rep. Mauritius'!AC27*'Activity Data Rep. Mauritius'!$E27*'Activity Data Rep. Mauritius'!$J27)/1000,"NA")</f>
        <v>13116.301769999998</v>
      </c>
      <c r="U28" s="85">
        <f>IFERROR(('Activity Data Rep. Mauritius'!M27*'Activity Data Rep. Mauritius'!$F27*'Activity Data Rep. Mauritius'!$J27)/1000,"NA")</f>
        <v>0.62570778947368411</v>
      </c>
      <c r="V28" s="39">
        <f>IFERROR(('Activity Data Rep. Mauritius'!N27*'Activity Data Rep. Mauritius'!$F27*'Activity Data Rep. Mauritius'!$J27)/1000,"NA")</f>
        <v>0.56453582842105265</v>
      </c>
      <c r="W28" s="39">
        <f>IFERROR(('Activity Data Rep. Mauritius'!O27*'Activity Data Rep. Mauritius'!$F27*'Activity Data Rep. Mauritius'!$J27)/1000,"NA")</f>
        <v>0.56267073789473687</v>
      </c>
      <c r="X28" s="39">
        <f>IFERROR(('Activity Data Rep. Mauritius'!P27*'Activity Data Rep. Mauritius'!$F27*'Activity Data Rep. Mauritius'!$J27)/1000,"NA")</f>
        <v>0.62078936526315787</v>
      </c>
      <c r="Y28" s="39">
        <f>IFERROR(('Activity Data Rep. Mauritius'!Q27*'Activity Data Rep. Mauritius'!$F27*'Activity Data Rep. Mauritius'!$J27)/1000,"NA")</f>
        <v>0.65236053473684197</v>
      </c>
      <c r="Z28" s="39">
        <f>IFERROR(('Activity Data Rep. Mauritius'!R27*'Activity Data Rep. Mauritius'!$F27*'Activity Data Rep. Mauritius'!$J27)/1000,"NA")</f>
        <v>0.61859337157894734</v>
      </c>
      <c r="AA28" s="39">
        <f>IFERROR(('Activity Data Rep. Mauritius'!S27*'Activity Data Rep. Mauritius'!$F27*'Activity Data Rep. Mauritius'!$J27)/1000,"NA")</f>
        <v>0.74854806631578952</v>
      </c>
      <c r="AB28" s="39">
        <f>IFERROR(('Activity Data Rep. Mauritius'!T27*'Activity Data Rep. Mauritius'!$F27*'Activity Data Rep. Mauritius'!$J27)/1000,"NA")</f>
        <v>0.72702431999999984</v>
      </c>
      <c r="AC28" s="39">
        <f>IFERROR(('Activity Data Rep. Mauritius'!U27*'Activity Data Rep. Mauritius'!$F27*'Activity Data Rep. Mauritius'!$J27)/1000,"NA")</f>
        <v>0.69641577789473685</v>
      </c>
      <c r="AD28" s="39">
        <f>IFERROR(('Activity Data Rep. Mauritius'!V27*'Activity Data Rep. Mauritius'!$F27*'Activity Data Rep. Mauritius'!$J27)/1000,"NA")</f>
        <v>0.69011357684210517</v>
      </c>
      <c r="AE28" s="39">
        <f>IFERROR(('Activity Data Rep. Mauritius'!W27*'Activity Data Rep. Mauritius'!$F27*'Activity Data Rep. Mauritius'!$J27)/1000,"NA")</f>
        <v>0.70005571263157873</v>
      </c>
      <c r="AF28" s="39">
        <f>IFERROR(('Activity Data Rep. Mauritius'!X27*'Activity Data Rep. Mauritius'!$F27*'Activity Data Rep. Mauritius'!$J27)/1000,"NA")</f>
        <v>0.64817912210526307</v>
      </c>
      <c r="AG28" s="39">
        <f>IFERROR(('Activity Data Rep. Mauritius'!Y27*'Activity Data Rep. Mauritius'!$F27*'Activity Data Rep. Mauritius'!$J27)/1000,"NA")</f>
        <v>0.62134588421052617</v>
      </c>
      <c r="AH28" s="39">
        <f>IFERROR(('Activity Data Rep. Mauritius'!Z27*'Activity Data Rep. Mauritius'!$F27*'Activity Data Rep. Mauritius'!$J27)/1000,"NA")</f>
        <v>0.53310002842105264</v>
      </c>
      <c r="AI28" s="39">
        <f>IFERROR(('Activity Data Rep. Mauritius'!AA27*'Activity Data Rep. Mauritius'!$F27*'Activity Data Rep. Mauritius'!$J27)/1000,"NA")</f>
        <v>0.54292183578947373</v>
      </c>
      <c r="AJ28" s="39">
        <f>IFERROR(('Activity Data Rep. Mauritius'!AB27*'Activity Data Rep. Mauritius'!$F27*'Activity Data Rep. Mauritius'!$J27)/1000,"NA")</f>
        <v>0.55038219789473686</v>
      </c>
      <c r="AK28" s="86">
        <f>IFERROR(('Activity Data Rep. Mauritius'!AC27*'Activity Data Rep. Mauritius'!$F27*'Activity Data Rep. Mauritius'!$J27)/1000,"NA")</f>
        <v>0.53102436315789481</v>
      </c>
      <c r="AL28" s="500">
        <f>IFERROR(('Activity Data Rep. Mauritius'!M27*'Activity Data Rep. Mauritius'!$G27*'Activity Data Rep. Mauritius'!$J27)/1000,"NA")</f>
        <v>0.12514155789473683</v>
      </c>
      <c r="AM28" s="39">
        <f>IFERROR(('Activity Data Rep. Mauritius'!N27*'Activity Data Rep. Mauritius'!$G27*'Activity Data Rep. Mauritius'!$J27)/1000,"NA")</f>
        <v>0.11290716568421053</v>
      </c>
      <c r="AN28" s="39">
        <f>IFERROR(('Activity Data Rep. Mauritius'!O27*'Activity Data Rep. Mauritius'!$G27*'Activity Data Rep. Mauritius'!$J27)/1000,"NA")</f>
        <v>0.11253414757894736</v>
      </c>
      <c r="AO28" s="39">
        <f>IFERROR(('Activity Data Rep. Mauritius'!P27*'Activity Data Rep. Mauritius'!$G27*'Activity Data Rep. Mauritius'!$J27)/1000,"NA")</f>
        <v>0.12415787305263157</v>
      </c>
      <c r="AP28" s="39">
        <f>IFERROR(('Activity Data Rep. Mauritius'!Q27*'Activity Data Rep. Mauritius'!$G27*'Activity Data Rep. Mauritius'!$J27)/1000,"NA")</f>
        <v>0.13047210694736841</v>
      </c>
      <c r="AQ28" s="39">
        <f>IFERROR(('Activity Data Rep. Mauritius'!R27*'Activity Data Rep. Mauritius'!$G27*'Activity Data Rep. Mauritius'!$J27)/1000,"NA")</f>
        <v>0.12371867431578945</v>
      </c>
      <c r="AR28" s="39">
        <f>IFERROR(('Activity Data Rep. Mauritius'!S27*'Activity Data Rep. Mauritius'!$G27*'Activity Data Rep. Mauritius'!$J27)/1000,"NA")</f>
        <v>0.14970961326315788</v>
      </c>
      <c r="AS28" s="39">
        <f>IFERROR(('Activity Data Rep. Mauritius'!T27*'Activity Data Rep. Mauritius'!$G27*'Activity Data Rep. Mauritius'!$J27)/1000,"NA")</f>
        <v>0.14540486399999997</v>
      </c>
      <c r="AT28" s="39">
        <f>IFERROR(('Activity Data Rep. Mauritius'!U27*'Activity Data Rep. Mauritius'!$G27*'Activity Data Rep. Mauritius'!$J27)/1000,"NA")</f>
        <v>0.13928315557894738</v>
      </c>
      <c r="AU28" s="39">
        <f>IFERROR(('Activity Data Rep. Mauritius'!V27*'Activity Data Rep. Mauritius'!$G27*'Activity Data Rep. Mauritius'!$J27)/1000,"NA")</f>
        <v>0.13802271536842101</v>
      </c>
      <c r="AV28" s="39">
        <f>IFERROR(('Activity Data Rep. Mauritius'!W27*'Activity Data Rep. Mauritius'!$G27*'Activity Data Rep. Mauritius'!$J27)/1000,"NA")</f>
        <v>0.14001114252631575</v>
      </c>
      <c r="AW28" s="39">
        <f>IFERROR(('Activity Data Rep. Mauritius'!X27*'Activity Data Rep. Mauritius'!$G27*'Activity Data Rep. Mauritius'!$J27)/1000,"NA")</f>
        <v>0.12963582442105259</v>
      </c>
      <c r="AX28" s="39">
        <f>IFERROR(('Activity Data Rep. Mauritius'!Y27*'Activity Data Rep. Mauritius'!$G27*'Activity Data Rep. Mauritius'!$J27)/1000,"NA")</f>
        <v>0.12426917684210524</v>
      </c>
      <c r="AY28" s="39">
        <f>IFERROR(('Activity Data Rep. Mauritius'!Z27*'Activity Data Rep. Mauritius'!$G27*'Activity Data Rep. Mauritius'!$J27)/1000,"NA")</f>
        <v>0.10662000568421053</v>
      </c>
      <c r="AZ28" s="39">
        <f>IFERROR(('Activity Data Rep. Mauritius'!AA27*'Activity Data Rep. Mauritius'!$G27*'Activity Data Rep. Mauritius'!$J27)/1000,"NA")</f>
        <v>0.10858436715789473</v>
      </c>
      <c r="BA28" s="39">
        <f>IFERROR(('Activity Data Rep. Mauritius'!AB27*'Activity Data Rep. Mauritius'!$G27*'Activity Data Rep. Mauritius'!$J27)/1000,"NA")</f>
        <v>0.11007643957894735</v>
      </c>
      <c r="BB28" s="86">
        <f>IFERROR(('Activity Data Rep. Mauritius'!AC27*'Activity Data Rep. Mauritius'!$G27*'Activity Data Rep. Mauritius'!$J27)/1000,"NA")</f>
        <v>0.10620487263157892</v>
      </c>
      <c r="BC28" s="85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86"/>
    </row>
    <row r="29" spans="2:71" s="110" customFormat="1" x14ac:dyDescent="0.35">
      <c r="B29" s="641"/>
      <c r="C29" s="406" t="s">
        <v>18</v>
      </c>
      <c r="D29" s="85">
        <f>IFERROR(('Activity Data Rep. Mauritius'!M28*'Activity Data Rep. Mauritius'!$E28*'Activity Data Rep. Mauritius'!$J28)/1000,"NA")</f>
        <v>11726.724487445783</v>
      </c>
      <c r="E29" s="39">
        <f>IFERROR(('Activity Data Rep. Mauritius'!N28*'Activity Data Rep. Mauritius'!$E28*'Activity Data Rep. Mauritius'!$J28)/1000,"NA")</f>
        <v>14713.236487355422</v>
      </c>
      <c r="F29" s="39">
        <f>IFERROR(('Activity Data Rep. Mauritius'!O28*'Activity Data Rep. Mauritius'!$E28*'Activity Data Rep. Mauritius'!$J28)/1000,"NA")</f>
        <v>14909.558577381322</v>
      </c>
      <c r="G29" s="39">
        <f>IFERROR(('Activity Data Rep. Mauritius'!P28*'Activity Data Rep. Mauritius'!$E28*'Activity Data Rep. Mauritius'!$J28)/1000,"NA")</f>
        <v>13423.28105281446</v>
      </c>
      <c r="H29" s="39">
        <f>IFERROR(('Activity Data Rep. Mauritius'!Q28*'Activity Data Rep. Mauritius'!$E28*'Activity Data Rep. Mauritius'!$J28)/1000,"NA")</f>
        <v>12033.52554976482</v>
      </c>
      <c r="I29" s="39">
        <f>IFERROR(('Activity Data Rep. Mauritius'!R28*'Activity Data Rep. Mauritius'!$E28*'Activity Data Rep. Mauritius'!$J28)/1000,"NA")</f>
        <v>11164.073103600722</v>
      </c>
      <c r="J29" s="39">
        <f>IFERROR(('Activity Data Rep. Mauritius'!S28*'Activity Data Rep. Mauritius'!$E28*'Activity Data Rep. Mauritius'!$J28)/1000,"NA")</f>
        <v>14099.406119349396</v>
      </c>
      <c r="K29" s="39">
        <f>IFERROR(('Activity Data Rep. Mauritius'!T28*'Activity Data Rep. Mauritius'!$E28*'Activity Data Rep. Mauritius'!$J28)/1000,"NA")</f>
        <v>14618.499748733489</v>
      </c>
      <c r="L29" s="39">
        <f>IFERROR(('Activity Data Rep. Mauritius'!U28*'Activity Data Rep. Mauritius'!$E28*'Activity Data Rep. Mauritius'!$J28)/1000,"NA")</f>
        <v>13187.712909192285</v>
      </c>
      <c r="M29" s="39">
        <f>IFERROR(('Activity Data Rep. Mauritius'!V28*'Activity Data Rep. Mauritius'!$E28*'Activity Data Rep. Mauritius'!$J28)/1000,"NA")</f>
        <v>11301.478234594699</v>
      </c>
      <c r="N29" s="39">
        <f>IFERROR(('Activity Data Rep. Mauritius'!W28*'Activity Data Rep. Mauritius'!$E28*'Activity Data Rep. Mauritius'!$J28)/1000,"NA")</f>
        <v>10880.125236433732</v>
      </c>
      <c r="O29" s="39">
        <f>IFERROR(('Activity Data Rep. Mauritius'!X28*'Activity Data Rep. Mauritius'!$E28*'Activity Data Rep. Mauritius'!$J28)/1000,"NA")</f>
        <v>10576.850140626502</v>
      </c>
      <c r="P29" s="39">
        <f>IFERROR(('Activity Data Rep. Mauritius'!Y28*'Activity Data Rep. Mauritius'!$E28*'Activity Data Rep. Mauritius'!$J28)/1000,"NA")</f>
        <v>10219.268864168675</v>
      </c>
      <c r="Q29" s="39">
        <f>IFERROR(('Activity Data Rep. Mauritius'!Z28*'Activity Data Rep. Mauritius'!$E28*'Activity Data Rep. Mauritius'!$J28)/1000,"NA")</f>
        <v>10279.346716192771</v>
      </c>
      <c r="R29" s="39">
        <f>IFERROR(('Activity Data Rep. Mauritius'!AA28*'Activity Data Rep. Mauritius'!$E28*'Activity Data Rep. Mauritius'!$J28)/1000,"NA")</f>
        <v>10618.825932433736</v>
      </c>
      <c r="S29" s="39">
        <f>IFERROR(('Activity Data Rep. Mauritius'!AB28*'Activity Data Rep. Mauritius'!$E28*'Activity Data Rep. Mauritius'!$J28)/1000,"NA")</f>
        <v>9760.1586412771085</v>
      </c>
      <c r="T29" s="86">
        <f>IFERROR(('Activity Data Rep. Mauritius'!AC28*'Activity Data Rep. Mauritius'!$E28*'Activity Data Rep. Mauritius'!$J28)/1000,"NA")</f>
        <v>9651.5462799759043</v>
      </c>
      <c r="U29" s="85">
        <f>IFERROR(('Activity Data Rep. Mauritius'!M28*'Activity Data Rep. Mauritius'!$F28*'Activity Data Rep. Mauritius'!$J28)/1000,"NA")</f>
        <v>0.45452420493975904</v>
      </c>
      <c r="V29" s="39">
        <f>IFERROR(('Activity Data Rep. Mauritius'!N28*'Activity Data Rep. Mauritius'!$F28*'Activity Data Rep. Mauritius'!$J28)/1000,"NA")</f>
        <v>0.57028048400602405</v>
      </c>
      <c r="W29" s="39">
        <f>IFERROR(('Activity Data Rep. Mauritius'!O28*'Activity Data Rep. Mauritius'!$F28*'Activity Data Rep. Mauritius'!$J28)/1000,"NA")</f>
        <v>0.5778898673403613</v>
      </c>
      <c r="X29" s="39">
        <f>IFERROR(('Activity Data Rep. Mauritius'!P28*'Activity Data Rep. Mauritius'!$F28*'Activity Data Rep. Mauritius'!$J28)/1000,"NA")</f>
        <v>0.52028221134939767</v>
      </c>
      <c r="Y29" s="39">
        <f>IFERROR(('Activity Data Rep. Mauritius'!Q28*'Activity Data Rep. Mauritius'!$F28*'Activity Data Rep. Mauritius'!$J28)/1000,"NA")</f>
        <v>0.4664157189831325</v>
      </c>
      <c r="Z29" s="39">
        <f>IFERROR(('Activity Data Rep. Mauritius'!R28*'Activity Data Rep. Mauritius'!$F28*'Activity Data Rep. Mauritius'!$J28)/1000,"NA")</f>
        <v>0.43271601176746982</v>
      </c>
      <c r="AA29" s="39">
        <f>IFERROR(('Activity Data Rep. Mauritius'!S28*'Activity Data Rep. Mauritius'!$F28*'Activity Data Rep. Mauritius'!$J28)/1000,"NA")</f>
        <v>0.54648860927710841</v>
      </c>
      <c r="AB29" s="39">
        <f>IFERROR(('Activity Data Rep. Mauritius'!T28*'Activity Data Rep. Mauritius'!$F28*'Activity Data Rep. Mauritius'!$J28)/1000,"NA")</f>
        <v>0.56660851739277096</v>
      </c>
      <c r="AC29" s="39">
        <f>IFERROR(('Activity Data Rep. Mauritius'!U28*'Activity Data Rep. Mauritius'!$F28*'Activity Data Rep. Mauritius'!$J28)/1000,"NA")</f>
        <v>0.51115166314698779</v>
      </c>
      <c r="AD29" s="39">
        <f>IFERROR(('Activity Data Rep. Mauritius'!V28*'Activity Data Rep. Mauritius'!$F28*'Activity Data Rep. Mauritius'!$J28)/1000,"NA")</f>
        <v>0.43804179203855415</v>
      </c>
      <c r="AE29" s="39">
        <f>IFERROR(('Activity Data Rep. Mauritius'!W28*'Activity Data Rep. Mauritius'!$F28*'Activity Data Rep. Mauritius'!$J28)/1000,"NA")</f>
        <v>0.42171028048192771</v>
      </c>
      <c r="AF29" s="39">
        <f>IFERROR(('Activity Data Rep. Mauritius'!X28*'Activity Data Rep. Mauritius'!$F28*'Activity Data Rep. Mauritius'!$J28)/1000,"NA")</f>
        <v>0.40995543180722882</v>
      </c>
      <c r="AG29" s="39">
        <f>IFERROR(('Activity Data Rep. Mauritius'!Y28*'Activity Data Rep. Mauritius'!$F28*'Activity Data Rep. Mauritius'!$J28)/1000,"NA")</f>
        <v>0.39609569240963854</v>
      </c>
      <c r="AH29" s="39">
        <f>IFERROR(('Activity Data Rep. Mauritius'!Z28*'Activity Data Rep. Mauritius'!$F28*'Activity Data Rep. Mauritius'!$J28)/1000,"NA")</f>
        <v>0.39842429132530116</v>
      </c>
      <c r="AI29" s="39">
        <f>IFERROR(('Activity Data Rep. Mauritius'!AA28*'Activity Data Rep. Mauritius'!$F28*'Activity Data Rep. Mauritius'!$J28)/1000,"NA")</f>
        <v>0.41158240048192768</v>
      </c>
      <c r="AJ29" s="39">
        <f>IFERROR(('Activity Data Rep. Mauritius'!AB28*'Activity Data Rep. Mauritius'!$F28*'Activity Data Rep. Mauritius'!$J28)/1000,"NA")</f>
        <v>0.37830072253012043</v>
      </c>
      <c r="AK29" s="86">
        <f>IFERROR(('Activity Data Rep. Mauritius'!AC28*'Activity Data Rep. Mauritius'!$F28*'Activity Data Rep. Mauritius'!$J28)/1000,"NA")</f>
        <v>0.37409094108433727</v>
      </c>
      <c r="AL29" s="500">
        <f>IFERROR(('Activity Data Rep. Mauritius'!M28*'Activity Data Rep. Mauritius'!$G28*'Activity Data Rep. Mauritius'!$J28)/1000,"NA")</f>
        <v>9.0904840987951804E-2</v>
      </c>
      <c r="AM29" s="39">
        <f>IFERROR(('Activity Data Rep. Mauritius'!N28*'Activity Data Rep. Mauritius'!$G28*'Activity Data Rep. Mauritius'!$J28)/1000,"NA")</f>
        <v>0.11405609680120482</v>
      </c>
      <c r="AN29" s="39">
        <f>IFERROR(('Activity Data Rep. Mauritius'!O28*'Activity Data Rep. Mauritius'!$G28*'Activity Data Rep. Mauritius'!$J28)/1000,"NA")</f>
        <v>0.11557797346807226</v>
      </c>
      <c r="AO29" s="39">
        <f>IFERROR(('Activity Data Rep. Mauritius'!P28*'Activity Data Rep. Mauritius'!$G28*'Activity Data Rep. Mauritius'!$J28)/1000,"NA")</f>
        <v>0.10405644226987951</v>
      </c>
      <c r="AP29" s="39">
        <f>IFERROR(('Activity Data Rep. Mauritius'!Q28*'Activity Data Rep. Mauritius'!$G28*'Activity Data Rep. Mauritius'!$J28)/1000,"NA")</f>
        <v>9.3283143796626486E-2</v>
      </c>
      <c r="AQ29" s="39">
        <f>IFERROR(('Activity Data Rep. Mauritius'!R28*'Activity Data Rep. Mauritius'!$G28*'Activity Data Rep. Mauritius'!$J28)/1000,"NA")</f>
        <v>8.654320235349397E-2</v>
      </c>
      <c r="AR29" s="39">
        <f>IFERROR(('Activity Data Rep. Mauritius'!S28*'Activity Data Rep. Mauritius'!$G28*'Activity Data Rep. Mauritius'!$J28)/1000,"NA")</f>
        <v>0.10929772185542165</v>
      </c>
      <c r="AS29" s="39">
        <f>IFERROR(('Activity Data Rep. Mauritius'!T28*'Activity Data Rep. Mauritius'!$G28*'Activity Data Rep. Mauritius'!$J28)/1000,"NA")</f>
        <v>0.11332170347855418</v>
      </c>
      <c r="AT29" s="39">
        <f>IFERROR(('Activity Data Rep. Mauritius'!U28*'Activity Data Rep. Mauritius'!$G28*'Activity Data Rep. Mauritius'!$J28)/1000,"NA")</f>
        <v>0.10223033262939756</v>
      </c>
      <c r="AU29" s="39">
        <f>IFERROR(('Activity Data Rep. Mauritius'!V28*'Activity Data Rep. Mauritius'!$G28*'Activity Data Rep. Mauritius'!$J28)/1000,"NA")</f>
        <v>8.7608358407710821E-2</v>
      </c>
      <c r="AV29" s="39">
        <f>IFERROR(('Activity Data Rep. Mauritius'!W28*'Activity Data Rep. Mauritius'!$G28*'Activity Data Rep. Mauritius'!$J28)/1000,"NA")</f>
        <v>8.4342056096385537E-2</v>
      </c>
      <c r="AW29" s="39">
        <f>IFERROR(('Activity Data Rep. Mauritius'!X28*'Activity Data Rep. Mauritius'!$G28*'Activity Data Rep. Mauritius'!$J28)/1000,"NA")</f>
        <v>8.1991086361445767E-2</v>
      </c>
      <c r="AX29" s="39">
        <f>IFERROR(('Activity Data Rep. Mauritius'!Y28*'Activity Data Rep. Mauritius'!$G28*'Activity Data Rep. Mauritius'!$J28)/1000,"NA")</f>
        <v>7.9219138481927701E-2</v>
      </c>
      <c r="AY29" s="39">
        <f>IFERROR(('Activity Data Rep. Mauritius'!Z28*'Activity Data Rep. Mauritius'!$G28*'Activity Data Rep. Mauritius'!$J28)/1000,"NA")</f>
        <v>7.9684858265060235E-2</v>
      </c>
      <c r="AZ29" s="39">
        <f>IFERROR(('Activity Data Rep. Mauritius'!AA28*'Activity Data Rep. Mauritius'!$G28*'Activity Data Rep. Mauritius'!$J28)/1000,"NA")</f>
        <v>8.2316480096385522E-2</v>
      </c>
      <c r="BA29" s="39">
        <f>IFERROR(('Activity Data Rep. Mauritius'!AB28*'Activity Data Rep. Mauritius'!$G28*'Activity Data Rep. Mauritius'!$J28)/1000,"NA")</f>
        <v>7.5660144506024082E-2</v>
      </c>
      <c r="BB29" s="86">
        <f>IFERROR(('Activity Data Rep. Mauritius'!AC28*'Activity Data Rep. Mauritius'!$G28*'Activity Data Rep. Mauritius'!$J28)/1000,"NA")</f>
        <v>7.4818188216867448E-2</v>
      </c>
      <c r="BC29" s="85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86"/>
    </row>
    <row r="30" spans="2:71" s="110" customFormat="1" x14ac:dyDescent="0.35">
      <c r="B30" s="641"/>
      <c r="C30" s="406" t="s">
        <v>125</v>
      </c>
      <c r="D30" s="85">
        <f>IFERROR(('Activity Data Rep. Mauritius'!M29*'Activity Data Rep. Mauritius'!$E29*'Activity Data Rep. Mauritius'!$J29)/1000,"NA")</f>
        <v>2540.8384776923072</v>
      </c>
      <c r="E30" s="39">
        <f>IFERROR(('Activity Data Rep. Mauritius'!N29*'Activity Data Rep. Mauritius'!$E29*'Activity Data Rep. Mauritius'!$J29)/1000,"NA")</f>
        <v>2513.9768076923074</v>
      </c>
      <c r="F30" s="39">
        <f>IFERROR(('Activity Data Rep. Mauritius'!O29*'Activity Data Rep. Mauritius'!$E29*'Activity Data Rep. Mauritius'!$J29)/1000,"NA")</f>
        <v>2412.0402138461536</v>
      </c>
      <c r="G30" s="39">
        <f>IFERROR(('Activity Data Rep. Mauritius'!P29*'Activity Data Rep. Mauritius'!$E29*'Activity Data Rep. Mauritius'!$J29)/1000,"NA")</f>
        <v>2041.4869199999998</v>
      </c>
      <c r="H30" s="39">
        <f>IFERROR(('Activity Data Rep. Mauritius'!Q29*'Activity Data Rep. Mauritius'!$E29*'Activity Data Rep. Mauritius'!$J29)/1000,"NA")</f>
        <v>1898.2246799999998</v>
      </c>
      <c r="I30" s="39">
        <f>IFERROR(('Activity Data Rep. Mauritius'!R29*'Activity Data Rep. Mauritius'!$E29*'Activity Data Rep. Mauritius'!$J29)/1000,"NA")</f>
        <v>2688.9220430769233</v>
      </c>
      <c r="J30" s="39">
        <f>IFERROR(('Activity Data Rep. Mauritius'!S29*'Activity Data Rep. Mauritius'!$E29*'Activity Data Rep. Mauritius'!$J29)/1000,"NA")</f>
        <v>2730.9364499999997</v>
      </c>
      <c r="K30" s="39">
        <f>IFERROR(('Activity Data Rep. Mauritius'!T29*'Activity Data Rep. Mauritius'!$E29*'Activity Data Rep. Mauritius'!$J29)/1000,"NA")</f>
        <v>2801.8788092307691</v>
      </c>
      <c r="L30" s="39">
        <f>IFERROR(('Activity Data Rep. Mauritius'!U29*'Activity Data Rep. Mauritius'!$E29*'Activity Data Rep. Mauritius'!$J29)/1000,"NA")</f>
        <v>3388.7029846153837</v>
      </c>
      <c r="M30" s="39">
        <f>IFERROR(('Activity Data Rep. Mauritius'!V29*'Activity Data Rep. Mauritius'!$E29*'Activity Data Rep. Mauritius'!$J29)/1000,"NA")</f>
        <v>3448.6251715384615</v>
      </c>
      <c r="N30" s="39">
        <f>IFERROR(('Activity Data Rep. Mauritius'!W29*'Activity Data Rep. Mauritius'!$E29*'Activity Data Rep. Mauritius'!$J29)/1000,"NA")</f>
        <v>3527.8326599999996</v>
      </c>
      <c r="O30" s="39">
        <f>IFERROR(('Activity Data Rep. Mauritius'!X29*'Activity Data Rep. Mauritius'!$E29*'Activity Data Rep. Mauritius'!$J29)/1000,"NA")</f>
        <v>3607.7289092307697</v>
      </c>
      <c r="P30" s="39">
        <f>IFERROR(('Activity Data Rep. Mauritius'!Y29*'Activity Data Rep. Mauritius'!$E29*'Activity Data Rep. Mauritius'!$J29)/1000,"NA")</f>
        <v>3762.7000823076924</v>
      </c>
      <c r="Q30" s="39">
        <f>IFERROR(('Activity Data Rep. Mauritius'!Z29*'Activity Data Rep. Mauritius'!$E29*'Activity Data Rep. Mauritius'!$J29)/1000,"NA")</f>
        <v>3686.9363976923073</v>
      </c>
      <c r="R30" s="39">
        <f>IFERROR(('Activity Data Rep. Mauritius'!AA29*'Activity Data Rep. Mauritius'!$E29*'Activity Data Rep. Mauritius'!$J29)/1000,"NA")</f>
        <v>3737.9046946153835</v>
      </c>
      <c r="S30" s="39">
        <f>IFERROR(('Activity Data Rep. Mauritius'!AB29*'Activity Data Rep. Mauritius'!$E29*'Activity Data Rep. Mauritius'!$J29)/1000,"NA")</f>
        <v>3906.6510830769225</v>
      </c>
      <c r="T30" s="86">
        <f>IFERROR(('Activity Data Rep. Mauritius'!AC29*'Activity Data Rep. Mauritius'!$E29*'Activity Data Rep. Mauritius'!$J29)/1000,"NA")</f>
        <v>3857.7490684615377</v>
      </c>
      <c r="U30" s="85">
        <f>IFERROR(('Activity Data Rep. Mauritius'!M29*'Activity Data Rep. Mauritius'!$F29*'Activity Data Rep. Mauritius'!$J29)/1000,"NA")</f>
        <v>4.0266853846153833E-2</v>
      </c>
      <c r="V30" s="39">
        <f>IFERROR(('Activity Data Rep. Mauritius'!N29*'Activity Data Rep. Mauritius'!$F29*'Activity Data Rep. Mauritius'!$J29)/1000,"NA")</f>
        <v>3.9841153846153846E-2</v>
      </c>
      <c r="W30" s="39">
        <f>IFERROR(('Activity Data Rep. Mauritius'!O29*'Activity Data Rep. Mauritius'!$F29*'Activity Data Rep. Mauritius'!$J29)/1000,"NA")</f>
        <v>3.8225676923076921E-2</v>
      </c>
      <c r="X30" s="39">
        <f>IFERROR(('Activity Data Rep. Mauritius'!P29*'Activity Data Rep. Mauritius'!$F29*'Activity Data Rep. Mauritius'!$J29)/1000,"NA")</f>
        <v>3.2353199999999999E-2</v>
      </c>
      <c r="Y30" s="39">
        <f>IFERROR(('Activity Data Rep. Mauritius'!Q29*'Activity Data Rep. Mauritius'!$F29*'Activity Data Rep. Mauritius'!$J29)/1000,"NA")</f>
        <v>3.00828E-2</v>
      </c>
      <c r="Z30" s="39">
        <f>IFERROR(('Activity Data Rep. Mauritius'!R29*'Activity Data Rep. Mauritius'!$F29*'Activity Data Rep. Mauritius'!$J29)/1000,"NA")</f>
        <v>4.2613661538461536E-2</v>
      </c>
      <c r="AA30" s="39">
        <f>IFERROR(('Activity Data Rep. Mauritius'!S29*'Activity Data Rep. Mauritius'!$F29*'Activity Data Rep. Mauritius'!$J29)/1000,"NA")</f>
        <v>4.3279499999999992E-2</v>
      </c>
      <c r="AB30" s="39">
        <f>IFERROR(('Activity Data Rep. Mauritius'!T29*'Activity Data Rep. Mauritius'!$F29*'Activity Data Rep. Mauritius'!$J29)/1000,"NA")</f>
        <v>4.4403784615384606E-2</v>
      </c>
      <c r="AC30" s="39">
        <f>IFERROR(('Activity Data Rep. Mauritius'!U29*'Activity Data Rep. Mauritius'!$F29*'Activity Data Rep. Mauritius'!$J29)/1000,"NA")</f>
        <v>5.3703692307692293E-2</v>
      </c>
      <c r="AD30" s="39">
        <f>IFERROR(('Activity Data Rep. Mauritius'!V29*'Activity Data Rep. Mauritius'!$F29*'Activity Data Rep. Mauritius'!$J29)/1000,"NA")</f>
        <v>5.4653330769230755E-2</v>
      </c>
      <c r="AE30" s="39">
        <f>IFERROR(('Activity Data Rep. Mauritius'!W29*'Activity Data Rep. Mauritius'!$F29*'Activity Data Rep. Mauritius'!$J29)/1000,"NA")</f>
        <v>5.5908599999999996E-2</v>
      </c>
      <c r="AF30" s="39">
        <f>IFERROR(('Activity Data Rep. Mauritius'!X29*'Activity Data Rep. Mauritius'!$F29*'Activity Data Rep. Mauritius'!$J29)/1000,"NA")</f>
        <v>5.7174784615384618E-2</v>
      </c>
      <c r="AG30" s="39">
        <f>IFERROR(('Activity Data Rep. Mauritius'!Y29*'Activity Data Rep. Mauritius'!$F29*'Activity Data Rep. Mauritius'!$J29)/1000,"NA")</f>
        <v>5.9630746153846149E-2</v>
      </c>
      <c r="AH30" s="39">
        <f>IFERROR(('Activity Data Rep. Mauritius'!Z29*'Activity Data Rep. Mauritius'!$F29*'Activity Data Rep. Mauritius'!$J29)/1000,"NA")</f>
        <v>5.8430053846153837E-2</v>
      </c>
      <c r="AI30" s="39">
        <f>IFERROR(('Activity Data Rep. Mauritius'!AA29*'Activity Data Rep. Mauritius'!$F29*'Activity Data Rep. Mauritius'!$J29)/1000,"NA")</f>
        <v>5.9237792307692293E-2</v>
      </c>
      <c r="AJ30" s="39">
        <f>IFERROR(('Activity Data Rep. Mauritius'!AB29*'Activity Data Rep. Mauritius'!$F29*'Activity Data Rep. Mauritius'!$J29)/1000,"NA")</f>
        <v>6.191206153846153E-2</v>
      </c>
      <c r="AK30" s="86">
        <f>IFERROR(('Activity Data Rep. Mauritius'!AC29*'Activity Data Rep. Mauritius'!$F29*'Activity Data Rep. Mauritius'!$J29)/1000,"NA")</f>
        <v>6.1137069230769218E-2</v>
      </c>
      <c r="AL30" s="500">
        <f>IFERROR(('Activity Data Rep. Mauritius'!M29*'Activity Data Rep. Mauritius'!$G29*'Activity Data Rep. Mauritius'!$J29)/1000,"NA")</f>
        <v>4.0266853846153841E-3</v>
      </c>
      <c r="AM30" s="39">
        <f>IFERROR(('Activity Data Rep. Mauritius'!N29*'Activity Data Rep. Mauritius'!$G29*'Activity Data Rep. Mauritius'!$J29)/1000,"NA")</f>
        <v>3.9841153846153846E-3</v>
      </c>
      <c r="AN30" s="39">
        <f>IFERROR(('Activity Data Rep. Mauritius'!O29*'Activity Data Rep. Mauritius'!$G29*'Activity Data Rep. Mauritius'!$J29)/1000,"NA")</f>
        <v>3.8225676923076923E-3</v>
      </c>
      <c r="AO30" s="39">
        <f>IFERROR(('Activity Data Rep. Mauritius'!P29*'Activity Data Rep. Mauritius'!$G29*'Activity Data Rep. Mauritius'!$J29)/1000,"NA")</f>
        <v>3.2353199999999999E-3</v>
      </c>
      <c r="AP30" s="39">
        <f>IFERROR(('Activity Data Rep. Mauritius'!Q29*'Activity Data Rep. Mauritius'!$G29*'Activity Data Rep. Mauritius'!$J29)/1000,"NA")</f>
        <v>3.0082799999999999E-3</v>
      </c>
      <c r="AQ30" s="39">
        <f>IFERROR(('Activity Data Rep. Mauritius'!R29*'Activity Data Rep. Mauritius'!$G29*'Activity Data Rep. Mauritius'!$J29)/1000,"NA")</f>
        <v>4.2613661538461536E-3</v>
      </c>
      <c r="AR30" s="39">
        <f>IFERROR(('Activity Data Rep. Mauritius'!S29*'Activity Data Rep. Mauritius'!$G29*'Activity Data Rep. Mauritius'!$J29)/1000,"NA")</f>
        <v>4.3279499999999997E-3</v>
      </c>
      <c r="AS30" s="39">
        <f>IFERROR(('Activity Data Rep. Mauritius'!T29*'Activity Data Rep. Mauritius'!$G29*'Activity Data Rep. Mauritius'!$J29)/1000,"NA")</f>
        <v>4.440378461538462E-3</v>
      </c>
      <c r="AT30" s="39">
        <f>IFERROR(('Activity Data Rep. Mauritius'!U29*'Activity Data Rep. Mauritius'!$G29*'Activity Data Rep. Mauritius'!$J29)/1000,"NA")</f>
        <v>5.3703692307692308E-3</v>
      </c>
      <c r="AU30" s="39">
        <f>IFERROR(('Activity Data Rep. Mauritius'!V29*'Activity Data Rep. Mauritius'!$G29*'Activity Data Rep. Mauritius'!$J29)/1000,"NA")</f>
        <v>5.4653330769230757E-3</v>
      </c>
      <c r="AV30" s="39">
        <f>IFERROR(('Activity Data Rep. Mauritius'!W29*'Activity Data Rep. Mauritius'!$G29*'Activity Data Rep. Mauritius'!$J29)/1000,"NA")</f>
        <v>5.5908599999999996E-3</v>
      </c>
      <c r="AW30" s="39">
        <f>IFERROR(('Activity Data Rep. Mauritius'!X29*'Activity Data Rep. Mauritius'!$G29*'Activity Data Rep. Mauritius'!$J29)/1000,"NA")</f>
        <v>5.7174784615384618E-3</v>
      </c>
      <c r="AX30" s="39">
        <f>IFERROR(('Activity Data Rep. Mauritius'!Y29*'Activity Data Rep. Mauritius'!$G29*'Activity Data Rep. Mauritius'!$J29)/1000,"NA")</f>
        <v>5.9630746153846153E-3</v>
      </c>
      <c r="AY30" s="39">
        <f>IFERROR(('Activity Data Rep. Mauritius'!Z29*'Activity Data Rep. Mauritius'!$G29*'Activity Data Rep. Mauritius'!$J29)/1000,"NA")</f>
        <v>5.8430053846153839E-3</v>
      </c>
      <c r="AZ30" s="39">
        <f>IFERROR(('Activity Data Rep. Mauritius'!AA29*'Activity Data Rep. Mauritius'!$G29*'Activity Data Rep. Mauritius'!$J29)/1000,"NA")</f>
        <v>5.9237792307692289E-3</v>
      </c>
      <c r="BA30" s="39">
        <f>IFERROR(('Activity Data Rep. Mauritius'!AB29*'Activity Data Rep. Mauritius'!$G29*'Activity Data Rep. Mauritius'!$J29)/1000,"NA")</f>
        <v>6.191206153846154E-3</v>
      </c>
      <c r="BB30" s="86">
        <f>IFERROR(('Activity Data Rep. Mauritius'!AC29*'Activity Data Rep. Mauritius'!$G29*'Activity Data Rep. Mauritius'!$J29)/1000,"NA")</f>
        <v>6.1137069230769222E-3</v>
      </c>
      <c r="BC30" s="85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86"/>
    </row>
    <row r="31" spans="2:71" s="110" customFormat="1" x14ac:dyDescent="0.35">
      <c r="B31" s="641"/>
      <c r="C31" s="406" t="s">
        <v>15</v>
      </c>
      <c r="D31" s="85">
        <f>IFERROR(('Activity Data Rep. Mauritius'!M30*'Activity Data Rep. Mauritius'!$E30*'Conversion Factors CF'!H6)/1000,"NA")</f>
        <v>17175.664150857145</v>
      </c>
      <c r="E31" s="39">
        <f>IFERROR(('Activity Data Rep. Mauritius'!N30*'Activity Data Rep. Mauritius'!$E30*'Conversion Factors CF'!I6)/1000,"NA")</f>
        <v>18064.719561302856</v>
      </c>
      <c r="F31" s="39">
        <f>IFERROR(('Activity Data Rep. Mauritius'!O30*'Activity Data Rep. Mauritius'!$E30*'Conversion Factors CF'!J6)/1000,"NA")</f>
        <v>18111.451904000001</v>
      </c>
      <c r="G31" s="39">
        <f>IFERROR(('Activity Data Rep. Mauritius'!P30*'Activity Data Rep. Mauritius'!$E30*'Conversion Factors CF'!K6)/1000,"NA")</f>
        <v>20248.819142857137</v>
      </c>
      <c r="H31" s="39">
        <f>IFERROR(('Activity Data Rep. Mauritius'!Q30*'Activity Data Rep. Mauritius'!$E30*'Conversion Factors CF'!L6)/1000,"NA")</f>
        <v>16884.65468</v>
      </c>
      <c r="I31" s="39">
        <f>IFERROR(('Activity Data Rep. Mauritius'!R30*'Activity Data Rep. Mauritius'!$E30*'Conversion Factors CF'!M6)/1000,"NA")</f>
        <v>16115.285768</v>
      </c>
      <c r="J31" s="39">
        <f>IFERROR(('Activity Data Rep. Mauritius'!S30*'Activity Data Rep. Mauritius'!$E30*'Conversion Factors CF'!N6)/1000,"NA")</f>
        <v>15050.627365714283</v>
      </c>
      <c r="K31" s="39">
        <f>IFERROR(('Activity Data Rep. Mauritius'!T30*'Activity Data Rep. Mauritius'!$E30*'Conversion Factors CF'!O6)/1000,"NA")</f>
        <v>13884.827693616</v>
      </c>
      <c r="L31" s="39">
        <f>IFERROR(('Activity Data Rep. Mauritius'!U30*'Activity Data Rep. Mauritius'!$E30*'Conversion Factors CF'!P6)/1000,"NA")</f>
        <v>28849.314412759941</v>
      </c>
      <c r="M31" s="39">
        <f>IFERROR(('Activity Data Rep. Mauritius'!V30*'Activity Data Rep. Mauritius'!$E30*'Conversion Factors CF'!Q6)/1000,"NA")</f>
        <v>14789.275759362752</v>
      </c>
      <c r="N31" s="39">
        <f>IFERROR(('Activity Data Rep. Mauritius'!W30*'Activity Data Rep. Mauritius'!$E30*'Conversion Factors CF'!R6)/1000,"NA")</f>
        <v>17147.120367961499</v>
      </c>
      <c r="O31" s="39">
        <f>IFERROR(('Activity Data Rep. Mauritius'!X30*'Activity Data Rep. Mauritius'!$E30*'Conversion Factors CF'!S6)/1000,"NA")</f>
        <v>16762.775395914105</v>
      </c>
      <c r="P31" s="39">
        <f>IFERROR(('Activity Data Rep. Mauritius'!Y30*'Activity Data Rep. Mauritius'!$E30*'Conversion Factors CF'!T6)/1000,"NA")</f>
        <v>17609.040007620486</v>
      </c>
      <c r="Q31" s="39">
        <f>IFERROR(('Activity Data Rep. Mauritius'!Z30*'Activity Data Rep. Mauritius'!$E30*'Conversion Factors CF'!U6)/1000,"NA")</f>
        <v>18813.700492101707</v>
      </c>
      <c r="R31" s="39">
        <f>IFERROR(('Activity Data Rep. Mauritius'!AA30*'Activity Data Rep. Mauritius'!$E30*'Conversion Factors CF'!V6)/1000,"NA")</f>
        <v>21334.455959127259</v>
      </c>
      <c r="S31" s="39">
        <f>IFERROR(('Activity Data Rep. Mauritius'!AB30*'Activity Data Rep. Mauritius'!$E30*'Conversion Factors CF'!W6)/1000,"NA")</f>
        <v>24634.469400723377</v>
      </c>
      <c r="T31" s="86">
        <f>IFERROR(('Activity Data Rep. Mauritius'!AC30*'Activity Data Rep. Mauritius'!$E30*'Conversion Factors CF'!X6)/1000,"NA")</f>
        <v>22915.075270848421</v>
      </c>
      <c r="U31" s="85">
        <f>IFERROR(('Activity Data Rep. Mauritius'!M30*'Activity Data Rep. Mauritius'!$F30*'Conversion Factors CF'!H6)/1000,"NA")</f>
        <v>1.7872699428571428</v>
      </c>
      <c r="V31" s="39">
        <f>IFERROR(('Activity Data Rep. Mauritius'!N30*'Activity Data Rep. Mauritius'!$F30*'Conversion Factors CF'!I6)/1000,"NA")</f>
        <v>1.8797835131428571</v>
      </c>
      <c r="W31" s="39">
        <f>IFERROR(('Activity Data Rep. Mauritius'!O30*'Activity Data Rep. Mauritius'!$F30*'Conversion Factors CF'!J6)/1000,"NA")</f>
        <v>1.8846464000000001</v>
      </c>
      <c r="X31" s="39">
        <f>IFERROR(('Activity Data Rep. Mauritius'!P30*'Activity Data Rep. Mauritius'!$F30*'Conversion Factors CF'!K6)/1000,"NA")</f>
        <v>2.1070571428571423</v>
      </c>
      <c r="Y31" s="39">
        <f>IFERROR(('Activity Data Rep. Mauritius'!Q30*'Activity Data Rep. Mauritius'!$F30*'Conversion Factors CF'!L6)/1000,"NA")</f>
        <v>1.756988</v>
      </c>
      <c r="Z31" s="39">
        <f>IFERROR(('Activity Data Rep. Mauritius'!R30*'Activity Data Rep. Mauritius'!$F30*'Conversion Factors CF'!M6)/1000,"NA")</f>
        <v>1.6769288</v>
      </c>
      <c r="AA31" s="39">
        <f>IFERROR(('Activity Data Rep. Mauritius'!S30*'Activity Data Rep. Mauritius'!$F30*'Conversion Factors CF'!N6)/1000,"NA")</f>
        <v>1.5661422857142857</v>
      </c>
      <c r="AB31" s="39">
        <f>IFERROR(('Activity Data Rep. Mauritius'!T30*'Activity Data Rep. Mauritius'!$F30*'Conversion Factors CF'!O6)/1000,"NA")</f>
        <v>1.4448311856</v>
      </c>
      <c r="AC31" s="39">
        <f>IFERROR(('Activity Data Rep. Mauritius'!U30*'Activity Data Rep. Mauritius'!$F30*'Conversion Factors CF'!P6)/1000,"NA")</f>
        <v>3.0020098244287148</v>
      </c>
      <c r="AD31" s="39">
        <f>IFERROR(('Activity Data Rep. Mauritius'!V30*'Activity Data Rep. Mauritius'!$F30*'Conversion Factors CF'!Q6)/1000,"NA")</f>
        <v>1.5389464890075706</v>
      </c>
      <c r="AE31" s="39">
        <f>IFERROR(('Activity Data Rep. Mauritius'!W30*'Activity Data Rep. Mauritius'!$F30*'Conversion Factors CF'!R6)/1000,"NA")</f>
        <v>1.7842997261146201</v>
      </c>
      <c r="AF31" s="39">
        <f>IFERROR(('Activity Data Rep. Mauritius'!X30*'Activity Data Rep. Mauritius'!$F30*'Conversion Factors CF'!S6)/1000,"NA")</f>
        <v>1.744305452228315</v>
      </c>
      <c r="AG31" s="39">
        <f>IFERROR(('Activity Data Rep. Mauritius'!Y30*'Activity Data Rep. Mauritius'!$F30*'Conversion Factors CF'!T6)/1000,"NA")</f>
        <v>1.8323662859126417</v>
      </c>
      <c r="AH31" s="39">
        <f>IFERROR(('Activity Data Rep. Mauritius'!Z30*'Activity Data Rep. Mauritius'!$F30*'Conversion Factors CF'!U6)/1000,"NA")</f>
        <v>1.9577211750365979</v>
      </c>
      <c r="AI31" s="39">
        <f>IFERROR(('Activity Data Rep. Mauritius'!AA30*'Activity Data Rep. Mauritius'!$F30*'Conversion Factors CF'!V6)/1000,"NA")</f>
        <v>2.2200266346646473</v>
      </c>
      <c r="AJ31" s="39">
        <f>IFERROR(('Activity Data Rep. Mauritius'!AB30*'Activity Data Rep. Mauritius'!$F30*'Conversion Factors CF'!W6)/1000,"NA")</f>
        <v>2.563420333061746</v>
      </c>
      <c r="AK31" s="86">
        <f>IFERROR(('Activity Data Rep. Mauritius'!AC30*'Activity Data Rep. Mauritius'!$F30*'Conversion Factors CF'!X6)/1000,"NA")</f>
        <v>2.3845031499321983</v>
      </c>
      <c r="AL31" s="500">
        <f>IFERROR(('Activity Data Rep. Mauritius'!M30*'Activity Data Rep. Mauritius'!$G30*'Conversion Factors CF'!H6)/1000,"NA")</f>
        <v>0.26809049142857139</v>
      </c>
      <c r="AM31" s="39">
        <f>IFERROR(('Activity Data Rep. Mauritius'!N30*'Activity Data Rep. Mauritius'!$G30*'Conversion Factors CF'!I6)/1000,"NA")</f>
        <v>0.28196752697142857</v>
      </c>
      <c r="AN31" s="39">
        <f>IFERROR(('Activity Data Rep. Mauritius'!O30*'Activity Data Rep. Mauritius'!$G30*'Conversion Factors CF'!J6)/1000,"NA")</f>
        <v>0.28269696000000005</v>
      </c>
      <c r="AO31" s="39">
        <f>IFERROR(('Activity Data Rep. Mauritius'!P30*'Activity Data Rep. Mauritius'!$G30*'Conversion Factors CF'!K6)/1000,"NA")</f>
        <v>0.31605857142857141</v>
      </c>
      <c r="AP31" s="39">
        <f>IFERROR(('Activity Data Rep. Mauritius'!Q30*'Activity Data Rep. Mauritius'!$G30*'Conversion Factors CF'!L6)/1000,"NA")</f>
        <v>0.26354820000000001</v>
      </c>
      <c r="AQ31" s="39">
        <f>IFERROR(('Activity Data Rep. Mauritius'!R30*'Activity Data Rep. Mauritius'!$G30*'Conversion Factors CF'!M6)/1000,"NA")</f>
        <v>0.25153931999999996</v>
      </c>
      <c r="AR31" s="39">
        <f>IFERROR(('Activity Data Rep. Mauritius'!S30*'Activity Data Rep. Mauritius'!$G30*'Conversion Factors CF'!N6)/1000,"NA")</f>
        <v>0.23492134285714283</v>
      </c>
      <c r="AS31" s="39">
        <f>IFERROR(('Activity Data Rep. Mauritius'!T30*'Activity Data Rep. Mauritius'!$G30*'Conversion Factors CF'!O6)/1000,"NA")</f>
        <v>0.21672467783999996</v>
      </c>
      <c r="AT31" s="39">
        <f>IFERROR(('Activity Data Rep. Mauritius'!U30*'Activity Data Rep. Mauritius'!$G30*'Conversion Factors CF'!P6)/1000,"NA")</f>
        <v>0.45030147366430712</v>
      </c>
      <c r="AU31" s="39">
        <f>IFERROR(('Activity Data Rep. Mauritius'!V30*'Activity Data Rep. Mauritius'!$G30*'Conversion Factors CF'!Q6)/1000,"NA")</f>
        <v>0.23084197335113557</v>
      </c>
      <c r="AV31" s="39">
        <f>IFERROR(('Activity Data Rep. Mauritius'!W30*'Activity Data Rep. Mauritius'!$G30*'Conversion Factors CF'!R6)/1000,"NA")</f>
        <v>0.26764495891719303</v>
      </c>
      <c r="AW31" s="39">
        <f>IFERROR(('Activity Data Rep. Mauritius'!X30*'Activity Data Rep. Mauritius'!$G30*'Conversion Factors CF'!S6)/1000,"NA")</f>
        <v>0.26164581783424723</v>
      </c>
      <c r="AX31" s="39">
        <f>IFERROR(('Activity Data Rep. Mauritius'!Y30*'Activity Data Rep. Mauritius'!$G30*'Conversion Factors CF'!T6)/1000,"NA")</f>
        <v>0.27485494288689633</v>
      </c>
      <c r="AY31" s="39">
        <f>IFERROR(('Activity Data Rep. Mauritius'!Z30*'Activity Data Rep. Mauritius'!$G30*'Conversion Factors CF'!U6)/1000,"NA")</f>
        <v>0.29365817625548973</v>
      </c>
      <c r="AZ31" s="39">
        <f>IFERROR(('Activity Data Rep. Mauritius'!AA30*'Activity Data Rep. Mauritius'!$G30*'Conversion Factors CF'!V6)/1000,"NA")</f>
        <v>0.33300399519969703</v>
      </c>
      <c r="BA31" s="39">
        <f>IFERROR(('Activity Data Rep. Mauritius'!AB30*'Activity Data Rep. Mauritius'!$G30*'Conversion Factors CF'!W6)/1000,"NA")</f>
        <v>0.38451304995926189</v>
      </c>
      <c r="BB31" s="86">
        <f>IFERROR(('Activity Data Rep. Mauritius'!AC30*'Activity Data Rep. Mauritius'!$G30*'Conversion Factors CF'!X6)/1000,"NA")</f>
        <v>0.35767547248982978</v>
      </c>
      <c r="BC31" s="85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86"/>
    </row>
    <row r="32" spans="2:71" s="110" customFormat="1" x14ac:dyDescent="0.35">
      <c r="B32" s="641"/>
      <c r="C32" s="360" t="s">
        <v>126</v>
      </c>
      <c r="D32" s="85">
        <f>IFERROR(('Activity Data Rep. Mauritius'!M31*'Activity Data Rep. Mauritius'!$E31*'Activity Data Rep. Mauritius'!$J31)/1000,"NA")</f>
        <v>2620.8000000000002</v>
      </c>
      <c r="E32" s="39">
        <f>IFERROR(('Activity Data Rep. Mauritius'!N31*'Activity Data Rep. Mauritius'!$E31*'Activity Data Rep. Mauritius'!$J31)/1000,"NA")</f>
        <v>2620.8000000000002</v>
      </c>
      <c r="F32" s="39">
        <f>IFERROR(('Activity Data Rep. Mauritius'!O31*'Activity Data Rep. Mauritius'!$E31*'Activity Data Rep. Mauritius'!$J31)/1000,"NA")</f>
        <v>2533.44</v>
      </c>
      <c r="G32" s="39">
        <f>IFERROR(('Activity Data Rep. Mauritius'!P31*'Activity Data Rep. Mauritius'!$E31*'Activity Data Rep. Mauritius'!$J31)/1000,"NA")</f>
        <v>2498.4960000000001</v>
      </c>
      <c r="H32" s="39">
        <f>IFERROR(('Activity Data Rep. Mauritius'!Q31*'Activity Data Rep. Mauritius'!$E31*'Activity Data Rep. Mauritius'!$J31)/1000,"NA")</f>
        <v>2472.288</v>
      </c>
      <c r="I32" s="39">
        <f>IFERROR(('Activity Data Rep. Mauritius'!R31*'Activity Data Rep. Mauritius'!$E31*'Activity Data Rep. Mauritius'!$J31)/1000,"NA")</f>
        <v>2446.08</v>
      </c>
      <c r="J32" s="39">
        <f>IFERROR(('Activity Data Rep. Mauritius'!S31*'Activity Data Rep. Mauritius'!$E31*'Activity Data Rep. Mauritius'!$J31)/1000,"NA")</f>
        <v>2489.7600000000002</v>
      </c>
      <c r="K32" s="39">
        <f>IFERROR(('Activity Data Rep. Mauritius'!T31*'Activity Data Rep. Mauritius'!$E31*'Activity Data Rep. Mauritius'!$J31)/1000,"NA")</f>
        <v>2489.7600000000002</v>
      </c>
      <c r="L32" s="39">
        <f>IFERROR(('Activity Data Rep. Mauritius'!U31*'Activity Data Rep. Mauritius'!$E31*'Activity Data Rep. Mauritius'!$J31)/1000,"NA")</f>
        <v>2489.7600000000002</v>
      </c>
      <c r="M32" s="39">
        <f>IFERROR(('Activity Data Rep. Mauritius'!V31*'Activity Data Rep. Mauritius'!$E31*'Activity Data Rep. Mauritius'!$J31)/1000,"NA")</f>
        <v>2491.5071999999996</v>
      </c>
      <c r="N32" s="39">
        <f>IFERROR(('Activity Data Rep. Mauritius'!W31*'Activity Data Rep. Mauritius'!$E31*'Activity Data Rep. Mauritius'!$J31)/1000,"NA")</f>
        <v>2491.5071999999996</v>
      </c>
      <c r="O32" s="39">
        <f>IFERROR(('Activity Data Rep. Mauritius'!X31*'Activity Data Rep. Mauritius'!$E31*'Activity Data Rep. Mauritius'!$J31)/1000,"NA")</f>
        <v>2489.7600000000002</v>
      </c>
      <c r="P32" s="39">
        <f>IFERROR(('Activity Data Rep. Mauritius'!Y31*'Activity Data Rep. Mauritius'!$E31*'Activity Data Rep. Mauritius'!$J31)/1000,"NA")</f>
        <v>2463.5520000000001</v>
      </c>
      <c r="Q32" s="39">
        <f>IFERROR(('Activity Data Rep. Mauritius'!Z31*'Activity Data Rep. Mauritius'!$E31*'Activity Data Rep. Mauritius'!$J31)/1000,"NA")</f>
        <v>2419.8719999999998</v>
      </c>
      <c r="R32" s="39">
        <f>IFERROR(('Activity Data Rep. Mauritius'!AA31*'Activity Data Rep. Mauritius'!$E31*'Activity Data Rep. Mauritius'!$J31)/1000,"NA")</f>
        <v>2346.4895999999999</v>
      </c>
      <c r="S32" s="39">
        <f>IFERROR(('Activity Data Rep. Mauritius'!AB31*'Activity Data Rep. Mauritius'!$E31*'Activity Data Rep. Mauritius'!$J31)/1000,"NA")</f>
        <v>2271.36</v>
      </c>
      <c r="T32" s="86">
        <f>IFERROR(('Activity Data Rep. Mauritius'!AC31*'Activity Data Rep. Mauritius'!$E31*'Activity Data Rep. Mauritius'!$J31)/1000,"NA")</f>
        <v>2203.2191999999995</v>
      </c>
      <c r="U32" s="85">
        <f>IFERROR(('Activity Data Rep. Mauritius'!M31*'Activity Data Rep. Mauritius'!$F31*'Activity Data Rep. Mauritius'!$J31)/1000,"NA")</f>
        <v>0.70199999999999996</v>
      </c>
      <c r="V32" s="39">
        <f>IFERROR(('Activity Data Rep. Mauritius'!N31*'Activity Data Rep. Mauritius'!$F31*'Activity Data Rep. Mauritius'!$J31)/1000,"NA")</f>
        <v>0.70199999999999996</v>
      </c>
      <c r="W32" s="39">
        <f>IFERROR(('Activity Data Rep. Mauritius'!O31*'Activity Data Rep. Mauritius'!$F31*'Activity Data Rep. Mauritius'!$J31)/1000,"NA")</f>
        <v>0.67859999999999998</v>
      </c>
      <c r="X32" s="39">
        <f>IFERROR(('Activity Data Rep. Mauritius'!P31*'Activity Data Rep. Mauritius'!$F31*'Activity Data Rep. Mauritius'!$J31)/1000,"NA")</f>
        <v>0.66924000000000006</v>
      </c>
      <c r="Y32" s="39">
        <f>IFERROR(('Activity Data Rep. Mauritius'!Q31*'Activity Data Rep. Mauritius'!$F31*'Activity Data Rep. Mauritius'!$J31)/1000,"NA")</f>
        <v>0.66222000000000003</v>
      </c>
      <c r="Z32" s="39">
        <f>IFERROR(('Activity Data Rep. Mauritius'!R31*'Activity Data Rep. Mauritius'!$F31*'Activity Data Rep. Mauritius'!$J31)/1000,"NA")</f>
        <v>0.65519999999999989</v>
      </c>
      <c r="AA32" s="39">
        <f>IFERROR(('Activity Data Rep. Mauritius'!S31*'Activity Data Rep. Mauritius'!$F31*'Activity Data Rep. Mauritius'!$J31)/1000,"NA")</f>
        <v>0.66689999999999994</v>
      </c>
      <c r="AB32" s="39">
        <f>IFERROR(('Activity Data Rep. Mauritius'!T31*'Activity Data Rep. Mauritius'!$F31*'Activity Data Rep. Mauritius'!$J31)/1000,"NA")</f>
        <v>0.66689999999999994</v>
      </c>
      <c r="AC32" s="39">
        <f>IFERROR(('Activity Data Rep. Mauritius'!U31*'Activity Data Rep. Mauritius'!$F31*'Activity Data Rep. Mauritius'!$J31)/1000,"NA")</f>
        <v>0.66689999999999994</v>
      </c>
      <c r="AD32" s="39">
        <f>IFERROR(('Activity Data Rep. Mauritius'!V31*'Activity Data Rep. Mauritius'!$F31*'Activity Data Rep. Mauritius'!$J31)/1000,"NA")</f>
        <v>0.66736800000000007</v>
      </c>
      <c r="AE32" s="39">
        <f>IFERROR(('Activity Data Rep. Mauritius'!W31*'Activity Data Rep. Mauritius'!$F31*'Activity Data Rep. Mauritius'!$J31)/1000,"NA")</f>
        <v>0.66736800000000007</v>
      </c>
      <c r="AF32" s="39">
        <f>IFERROR(('Activity Data Rep. Mauritius'!X31*'Activity Data Rep. Mauritius'!$F31*'Activity Data Rep. Mauritius'!$J31)/1000,"NA")</f>
        <v>0.66689999999999994</v>
      </c>
      <c r="AG32" s="39">
        <f>IFERROR(('Activity Data Rep. Mauritius'!Y31*'Activity Data Rep. Mauritius'!$F31*'Activity Data Rep. Mauritius'!$J31)/1000,"NA")</f>
        <v>0.65988000000000002</v>
      </c>
      <c r="AH32" s="39">
        <f>IFERROR(('Activity Data Rep. Mauritius'!Z31*'Activity Data Rep. Mauritius'!$F31*'Activity Data Rep. Mauritius'!$J31)/1000,"NA")</f>
        <v>0.64817999999999998</v>
      </c>
      <c r="AI32" s="39">
        <f>IFERROR(('Activity Data Rep. Mauritius'!AA31*'Activity Data Rep. Mauritius'!$F31*'Activity Data Rep. Mauritius'!$J31)/1000,"NA")</f>
        <v>0.62852399999999997</v>
      </c>
      <c r="AJ32" s="39">
        <f>IFERROR(('Activity Data Rep. Mauritius'!AB31*'Activity Data Rep. Mauritius'!$F31*'Activity Data Rep. Mauritius'!$J31)/1000,"NA")</f>
        <v>0.60839999999999994</v>
      </c>
      <c r="AK32" s="86">
        <f>IFERROR(('Activity Data Rep. Mauritius'!AC31*'Activity Data Rep. Mauritius'!$F31*'Activity Data Rep. Mauritius'!$J31)/1000,"NA")</f>
        <v>0.59014799999999989</v>
      </c>
      <c r="AL32" s="500">
        <f>IFERROR(('Activity Data Rep. Mauritius'!M31*'Activity Data Rep. Mauritius'!$G31*'Activity Data Rep. Mauritius'!$J31)/1000,"NA")</f>
        <v>9.3599999999999989E-2</v>
      </c>
      <c r="AM32" s="39">
        <f>IFERROR(('Activity Data Rep. Mauritius'!N31*'Activity Data Rep. Mauritius'!$G31*'Activity Data Rep. Mauritius'!$J31)/1000,"NA")</f>
        <v>9.3599999999999989E-2</v>
      </c>
      <c r="AN32" s="39">
        <f>IFERROR(('Activity Data Rep. Mauritius'!O31*'Activity Data Rep. Mauritius'!$G31*'Activity Data Rep. Mauritius'!$J31)/1000,"NA")</f>
        <v>9.0479999999999991E-2</v>
      </c>
      <c r="AO32" s="39">
        <f>IFERROR(('Activity Data Rep. Mauritius'!P31*'Activity Data Rep. Mauritius'!$G31*'Activity Data Rep. Mauritius'!$J31)/1000,"NA")</f>
        <v>8.9232000000000006E-2</v>
      </c>
      <c r="AP32" s="39">
        <f>IFERROR(('Activity Data Rep. Mauritius'!Q31*'Activity Data Rep. Mauritius'!$G31*'Activity Data Rep. Mauritius'!$J31)/1000,"NA")</f>
        <v>8.8296000000000013E-2</v>
      </c>
      <c r="AQ32" s="39">
        <f>IFERROR(('Activity Data Rep. Mauritius'!R31*'Activity Data Rep. Mauritius'!$G31*'Activity Data Rep. Mauritius'!$J31)/1000,"NA")</f>
        <v>8.7359999999999993E-2</v>
      </c>
      <c r="AR32" s="39">
        <f>IFERROR(('Activity Data Rep. Mauritius'!S31*'Activity Data Rep. Mauritius'!$G31*'Activity Data Rep. Mauritius'!$J31)/1000,"NA")</f>
        <v>8.8919999999999999E-2</v>
      </c>
      <c r="AS32" s="39">
        <f>IFERROR(('Activity Data Rep. Mauritius'!T31*'Activity Data Rep. Mauritius'!$G31*'Activity Data Rep. Mauritius'!$J31)/1000,"NA")</f>
        <v>8.8919999999999999E-2</v>
      </c>
      <c r="AT32" s="39">
        <f>IFERROR(('Activity Data Rep. Mauritius'!U31*'Activity Data Rep. Mauritius'!$G31*'Activity Data Rep. Mauritius'!$J31)/1000,"NA")</f>
        <v>8.8919999999999999E-2</v>
      </c>
      <c r="AU32" s="39">
        <f>IFERROR(('Activity Data Rep. Mauritius'!V31*'Activity Data Rep. Mauritius'!$G31*'Activity Data Rep. Mauritius'!$J31)/1000,"NA")</f>
        <v>8.8982400000000003E-2</v>
      </c>
      <c r="AV32" s="39">
        <f>IFERROR(('Activity Data Rep. Mauritius'!W31*'Activity Data Rep. Mauritius'!$G31*'Activity Data Rep. Mauritius'!$J31)/1000,"NA")</f>
        <v>8.8982400000000003E-2</v>
      </c>
      <c r="AW32" s="39">
        <f>IFERROR(('Activity Data Rep. Mauritius'!X31*'Activity Data Rep. Mauritius'!$G31*'Activity Data Rep. Mauritius'!$J31)/1000,"NA")</f>
        <v>8.8919999999999999E-2</v>
      </c>
      <c r="AX32" s="39">
        <f>IFERROR(('Activity Data Rep. Mauritius'!Y31*'Activity Data Rep. Mauritius'!$G31*'Activity Data Rep. Mauritius'!$J31)/1000,"NA")</f>
        <v>8.7983999999999993E-2</v>
      </c>
      <c r="AY32" s="39">
        <f>IFERROR(('Activity Data Rep. Mauritius'!Z31*'Activity Data Rep. Mauritius'!$G31*'Activity Data Rep. Mauritius'!$J31)/1000,"NA")</f>
        <v>8.6423999999999987E-2</v>
      </c>
      <c r="AZ32" s="39">
        <f>IFERROR(('Activity Data Rep. Mauritius'!AA31*'Activity Data Rep. Mauritius'!$G31*'Activity Data Rep. Mauritius'!$J31)/1000,"NA")</f>
        <v>8.3803199999999994E-2</v>
      </c>
      <c r="BA32" s="39">
        <f>IFERROR(('Activity Data Rep. Mauritius'!AB31*'Activity Data Rep. Mauritius'!$G31*'Activity Data Rep. Mauritius'!$J31)/1000,"NA")</f>
        <v>8.1119999999999998E-2</v>
      </c>
      <c r="BB32" s="86">
        <f>IFERROR(('Activity Data Rep. Mauritius'!AC31*'Activity Data Rep. Mauritius'!$G31*'Activity Data Rep. Mauritius'!$J31)/1000,"NA")</f>
        <v>7.868639999999999E-2</v>
      </c>
      <c r="BC32" s="85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86"/>
    </row>
    <row r="33" spans="2:71" s="110" customFormat="1" x14ac:dyDescent="0.35">
      <c r="B33" s="641"/>
      <c r="C33" s="5" t="s">
        <v>16</v>
      </c>
      <c r="D33" s="85">
        <f>IFERROR(('Activity Data Rep. Mauritius'!M32*'Activity Data Rep. Mauritius'!$E32*'Conversion Factors CF'!H7)/1000,"NA")</f>
        <v>378109.79999999993</v>
      </c>
      <c r="E33" s="39">
        <f>IFERROR(('Activity Data Rep. Mauritius'!N32*'Activity Data Rep. Mauritius'!$E32*'Conversion Factors CF'!I7)/1000,"NA")</f>
        <v>375590</v>
      </c>
      <c r="F33" s="39">
        <f>IFERROR(('Activity Data Rep. Mauritius'!O32*'Activity Data Rep. Mauritius'!$E32*'Conversion Factors CF'!J7)/1000,"NA")</f>
        <v>313889.89799999999</v>
      </c>
      <c r="G33" s="39">
        <f>IFERROR(('Activity Data Rep. Mauritius'!P32*'Activity Data Rep. Mauritius'!$E32*'Conversion Factors CF'!K7)/1000,"NA")</f>
        <v>361254.16800000001</v>
      </c>
      <c r="H33" s="39">
        <f>IFERROR(('Activity Data Rep. Mauritius'!Q32*'Activity Data Rep. Mauritius'!$E32*'Conversion Factors CF'!L7)/1000,"NA")</f>
        <v>366493.95299999998</v>
      </c>
      <c r="I33" s="39">
        <f>IFERROR(('Activity Data Rep. Mauritius'!R32*'Activity Data Rep. Mauritius'!$E32*'Conversion Factors CF'!M7)/1000,"NA")</f>
        <v>336195.788</v>
      </c>
      <c r="J33" s="39">
        <f>IFERROR(('Activity Data Rep. Mauritius'!S32*'Activity Data Rep. Mauritius'!$E32*'Conversion Factors CF'!N7)/1000,"NA")</f>
        <v>326811.91499999998</v>
      </c>
      <c r="K33" s="39">
        <f>IFERROR(('Activity Data Rep. Mauritius'!T32*'Activity Data Rep. Mauritius'!$E32*'Conversion Factors CF'!O7)/1000,"NA")</f>
        <v>259497.59688216003</v>
      </c>
      <c r="L33" s="39">
        <f>IFERROR(('Activity Data Rep. Mauritius'!U32*'Activity Data Rep. Mauritius'!$E32*'Conversion Factors CF'!P7)/1000,"NA")</f>
        <v>171878.08836698247</v>
      </c>
      <c r="M33" s="39">
        <f>IFERROR(('Activity Data Rep. Mauritius'!V32*'Activity Data Rep. Mauritius'!$E32*'Conversion Factors CF'!Q7)/1000,"NA")</f>
        <v>164093.90639510864</v>
      </c>
      <c r="N33" s="39">
        <f>IFERROR(('Activity Data Rep. Mauritius'!W32*'Activity Data Rep. Mauritius'!$E32*'Conversion Factors CF'!R7)/1000,"NA")</f>
        <v>192879.58315003771</v>
      </c>
      <c r="O33" s="39">
        <f>IFERROR(('Activity Data Rep. Mauritius'!X32*'Activity Data Rep. Mauritius'!$E32*'Conversion Factors CF'!S7)/1000,"NA")</f>
        <v>170502.23294769577</v>
      </c>
      <c r="P33" s="39">
        <f>IFERROR(('Activity Data Rep. Mauritius'!Y32*'Activity Data Rep. Mauritius'!$E32*'Conversion Factors CF'!T7)/1000,"NA")</f>
        <v>149947.74578062206</v>
      </c>
      <c r="Q33" s="39">
        <f>IFERROR(('Activity Data Rep. Mauritius'!Z32*'Activity Data Rep. Mauritius'!$E32*'Conversion Factors CF'!U7)/1000,"NA")</f>
        <v>148048.40714315354</v>
      </c>
      <c r="R33" s="39">
        <f>IFERROR(('Activity Data Rep. Mauritius'!AA32*'Activity Data Rep. Mauritius'!$E32*'Conversion Factors CF'!V7)/1000,"NA")</f>
        <v>128575.53475552516</v>
      </c>
      <c r="S33" s="39">
        <f>IFERROR(('Activity Data Rep. Mauritius'!AB32*'Activity Data Rep. Mauritius'!$E32*'Conversion Factors CF'!W7)/1000,"NA")</f>
        <v>131861.39074287246</v>
      </c>
      <c r="T33" s="86">
        <f>IFERROR(('Activity Data Rep. Mauritius'!AC32*'Activity Data Rep. Mauritius'!$E32*'Conversion Factors CF'!X7)/1000,"NA")</f>
        <v>106281.41169517623</v>
      </c>
      <c r="U33" s="85">
        <f>IFERROR(('Activity Data Rep. Mauritius'!M32*'Activity Data Rep. Mauritius'!$F32*'Conversion Factors CF'!H7)/1000,"NA")</f>
        <v>113.43293999999999</v>
      </c>
      <c r="V33" s="39">
        <f>IFERROR(('Activity Data Rep. Mauritius'!N32*'Activity Data Rep. Mauritius'!$F32*'Conversion Factors CF'!I7)/1000,"NA")</f>
        <v>112.67700000000001</v>
      </c>
      <c r="W33" s="39">
        <f>IFERROR(('Activity Data Rep. Mauritius'!O32*'Activity Data Rep. Mauritius'!$F32*'Conversion Factors CF'!J7)/1000,"NA")</f>
        <v>94.166969399999999</v>
      </c>
      <c r="X33" s="39">
        <f>IFERROR(('Activity Data Rep. Mauritius'!P32*'Activity Data Rep. Mauritius'!$F32*'Conversion Factors CF'!K7)/1000,"NA")</f>
        <v>108.37625039999999</v>
      </c>
      <c r="Y33" s="39">
        <f>IFERROR(('Activity Data Rep. Mauritius'!Q32*'Activity Data Rep. Mauritius'!$F32*'Conversion Factors CF'!L7)/1000,"NA")</f>
        <v>109.94818590000001</v>
      </c>
      <c r="Z33" s="39">
        <f>IFERROR(('Activity Data Rep. Mauritius'!R32*'Activity Data Rep. Mauritius'!$F32*'Conversion Factors CF'!M7)/1000,"NA")</f>
        <v>100.85873639999998</v>
      </c>
      <c r="AA33" s="39">
        <f>IFERROR(('Activity Data Rep. Mauritius'!S32*'Activity Data Rep. Mauritius'!$F32*'Conversion Factors CF'!N7)/1000,"NA")</f>
        <v>98.043574499999991</v>
      </c>
      <c r="AB33" s="39">
        <f>IFERROR(('Activity Data Rep. Mauritius'!T32*'Activity Data Rep. Mauritius'!$F32*'Conversion Factors CF'!O7)/1000,"NA")</f>
        <v>77.849279064648016</v>
      </c>
      <c r="AC33" s="39">
        <f>IFERROR(('Activity Data Rep. Mauritius'!U32*'Activity Data Rep. Mauritius'!$F32*'Conversion Factors CF'!P7)/1000,"NA")</f>
        <v>51.563426510094736</v>
      </c>
      <c r="AD33" s="39">
        <f>IFERROR(('Activity Data Rep. Mauritius'!V32*'Activity Data Rep. Mauritius'!$F32*'Conversion Factors CF'!Q7)/1000,"NA")</f>
        <v>49.228171918532595</v>
      </c>
      <c r="AE33" s="39">
        <f>IFERROR(('Activity Data Rep. Mauritius'!W32*'Activity Data Rep. Mauritius'!$F32*'Conversion Factors CF'!R7)/1000,"NA")</f>
        <v>57.863874945011318</v>
      </c>
      <c r="AF33" s="39">
        <f>IFERROR(('Activity Data Rep. Mauritius'!X32*'Activity Data Rep. Mauritius'!$F32*'Conversion Factors CF'!S7)/1000,"NA")</f>
        <v>51.150669884308734</v>
      </c>
      <c r="AG33" s="39">
        <f>IFERROR(('Activity Data Rep. Mauritius'!Y32*'Activity Data Rep. Mauritius'!$F32*'Conversion Factors CF'!T7)/1000,"NA")</f>
        <v>44.984323734186617</v>
      </c>
      <c r="AH33" s="39">
        <f>IFERROR(('Activity Data Rep. Mauritius'!Z32*'Activity Data Rep. Mauritius'!$F32*'Conversion Factors CF'!U7)/1000,"NA")</f>
        <v>44.414522142946062</v>
      </c>
      <c r="AI33" s="39">
        <f>IFERROR(('Activity Data Rep. Mauritius'!AA32*'Activity Data Rep. Mauritius'!$F32*'Conversion Factors CF'!V7)/1000,"NA")</f>
        <v>38.572660426657549</v>
      </c>
      <c r="AJ33" s="39">
        <f>IFERROR(('Activity Data Rep. Mauritius'!AB32*'Activity Data Rep. Mauritius'!$F32*'Conversion Factors CF'!W7)/1000,"NA")</f>
        <v>39.558417222861742</v>
      </c>
      <c r="AK33" s="86">
        <f>IFERROR(('Activity Data Rep. Mauritius'!AC32*'Activity Data Rep. Mauritius'!$F32*'Conversion Factors CF'!X7)/1000,"NA")</f>
        <v>31.884423508552867</v>
      </c>
      <c r="AL33" s="500">
        <f>IFERROR(('Activity Data Rep. Mauritius'!M32*'Activity Data Rep. Mauritius'!$G32*'Conversion Factors CF'!H7)/1000,"NA")</f>
        <v>15.124392</v>
      </c>
      <c r="AM33" s="39">
        <f>IFERROR(('Activity Data Rep. Mauritius'!N32*'Activity Data Rep. Mauritius'!$G32*'Conversion Factors CF'!I7)/1000,"NA")</f>
        <v>15.023599999999998</v>
      </c>
      <c r="AN33" s="39">
        <f>IFERROR(('Activity Data Rep. Mauritius'!O32*'Activity Data Rep. Mauritius'!$G32*'Conversion Factors CF'!J7)/1000,"NA")</f>
        <v>12.55559592</v>
      </c>
      <c r="AO33" s="39">
        <f>IFERROR(('Activity Data Rep. Mauritius'!P32*'Activity Data Rep. Mauritius'!$G32*'Conversion Factors CF'!K7)/1000,"NA")</f>
        <v>14.450166719999999</v>
      </c>
      <c r="AP33" s="39">
        <f>IFERROR(('Activity Data Rep. Mauritius'!Q32*'Activity Data Rep. Mauritius'!$G32*'Conversion Factors CF'!L7)/1000,"NA")</f>
        <v>14.659758120000001</v>
      </c>
      <c r="AQ33" s="39">
        <f>IFERROR(('Activity Data Rep. Mauritius'!R32*'Activity Data Rep. Mauritius'!$G32*'Conversion Factors CF'!M7)/1000,"NA")</f>
        <v>13.447831519999998</v>
      </c>
      <c r="AR33" s="39">
        <f>IFERROR(('Activity Data Rep. Mauritius'!S32*'Activity Data Rep. Mauritius'!$G32*'Conversion Factors CF'!N7)/1000,"NA")</f>
        <v>13.0724766</v>
      </c>
      <c r="AS33" s="39">
        <f>IFERROR(('Activity Data Rep. Mauritius'!T32*'Activity Data Rep. Mauritius'!$G32*'Conversion Factors CF'!O7)/1000,"NA")</f>
        <v>10.379903875286402</v>
      </c>
      <c r="AT33" s="39">
        <f>IFERROR(('Activity Data Rep. Mauritius'!U32*'Activity Data Rep. Mauritius'!$G32*'Conversion Factors CF'!P7)/1000,"NA")</f>
        <v>6.8751235346792985</v>
      </c>
      <c r="AU33" s="39">
        <f>IFERROR(('Activity Data Rep. Mauritius'!V32*'Activity Data Rep. Mauritius'!$G32*'Conversion Factors CF'!Q7)/1000,"NA")</f>
        <v>6.5637562558043454</v>
      </c>
      <c r="AV33" s="39">
        <f>IFERROR(('Activity Data Rep. Mauritius'!W32*'Activity Data Rep. Mauritius'!$G32*'Conversion Factors CF'!R7)/1000,"NA")</f>
        <v>7.715183326001509</v>
      </c>
      <c r="AW33" s="39">
        <f>IFERROR(('Activity Data Rep. Mauritius'!X32*'Activity Data Rep. Mauritius'!$G32*'Conversion Factors CF'!S7)/1000,"NA")</f>
        <v>6.820089317907831</v>
      </c>
      <c r="AX33" s="39">
        <f>IFERROR(('Activity Data Rep. Mauritius'!Y32*'Activity Data Rep. Mauritius'!$G32*'Conversion Factors CF'!T7)/1000,"NA")</f>
        <v>5.9979098312248826</v>
      </c>
      <c r="AY33" s="39">
        <f>IFERROR(('Activity Data Rep. Mauritius'!Z32*'Activity Data Rep. Mauritius'!$G32*'Conversion Factors CF'!U7)/1000,"NA")</f>
        <v>5.9219362857261419</v>
      </c>
      <c r="AZ33" s="39">
        <f>IFERROR(('Activity Data Rep. Mauritius'!AA32*'Activity Data Rep. Mauritius'!$G32*'Conversion Factors CF'!V7)/1000,"NA")</f>
        <v>5.1430213902210067</v>
      </c>
      <c r="BA33" s="39">
        <f>IFERROR(('Activity Data Rep. Mauritius'!AB32*'Activity Data Rep. Mauritius'!$G32*'Conversion Factors CF'!W7)/1000,"NA")</f>
        <v>5.2744556297148995</v>
      </c>
      <c r="BB33" s="86">
        <f>IFERROR(('Activity Data Rep. Mauritius'!AC32*'Activity Data Rep. Mauritius'!$G32*'Conversion Factors CF'!X7)/1000,"NA")</f>
        <v>4.2512564678070488</v>
      </c>
      <c r="BC33" s="85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86"/>
    </row>
    <row r="34" spans="2:71" x14ac:dyDescent="0.35">
      <c r="B34" s="639" t="s">
        <v>124</v>
      </c>
      <c r="C34" s="360" t="s">
        <v>63</v>
      </c>
      <c r="D34" s="85">
        <f>D9+D11+D16+D20+D24+D28</f>
        <v>133474.848</v>
      </c>
      <c r="E34" s="39">
        <f t="shared" ref="E34:BP34" si="0">E9+E11+E16+E20+E24+E28</f>
        <v>120425.75649000001</v>
      </c>
      <c r="F34" s="39">
        <f t="shared" si="0"/>
        <v>120027.89877</v>
      </c>
      <c r="G34" s="39">
        <f t="shared" si="0"/>
        <v>132425.65869000001</v>
      </c>
      <c r="H34" s="39">
        <f t="shared" si="0"/>
        <v>139160.36315999998</v>
      </c>
      <c r="I34" s="39">
        <f t="shared" si="0"/>
        <v>131957.21331000002</v>
      </c>
      <c r="J34" s="39">
        <f t="shared" si="0"/>
        <v>159678.91250999999</v>
      </c>
      <c r="K34" s="39">
        <f t="shared" si="0"/>
        <v>155087.50607999999</v>
      </c>
      <c r="L34" s="39">
        <f t="shared" si="0"/>
        <v>148558.14752999999</v>
      </c>
      <c r="M34" s="39">
        <f t="shared" si="0"/>
        <v>147213.77346</v>
      </c>
      <c r="N34" s="39">
        <f t="shared" si="0"/>
        <v>149334.61179000002</v>
      </c>
      <c r="O34" s="39">
        <f t="shared" si="0"/>
        <v>138268.39181999999</v>
      </c>
      <c r="P34" s="39">
        <f t="shared" si="0"/>
        <v>132544.3743</v>
      </c>
      <c r="Q34" s="39">
        <f t="shared" si="0"/>
        <v>113719.92879000001</v>
      </c>
      <c r="R34" s="39">
        <f t="shared" si="0"/>
        <v>115815.09887999998</v>
      </c>
      <c r="S34" s="39">
        <f t="shared" si="0"/>
        <v>117406.52975999999</v>
      </c>
      <c r="T34" s="86">
        <f t="shared" si="0"/>
        <v>113277.15165000001</v>
      </c>
      <c r="U34" s="85">
        <f t="shared" si="0"/>
        <v>5.4038399999999998</v>
      </c>
      <c r="V34" s="39">
        <f t="shared" si="0"/>
        <v>4.8755367000000005</v>
      </c>
      <c r="W34" s="39">
        <f t="shared" si="0"/>
        <v>4.8594291000000007</v>
      </c>
      <c r="X34" s="39">
        <f t="shared" si="0"/>
        <v>5.3613626999999999</v>
      </c>
      <c r="Y34" s="39">
        <f t="shared" si="0"/>
        <v>5.6340227999999994</v>
      </c>
      <c r="Z34" s="39">
        <f t="shared" si="0"/>
        <v>5.3423973</v>
      </c>
      <c r="AA34" s="39">
        <f t="shared" si="0"/>
        <v>6.4647332999999998</v>
      </c>
      <c r="AB34" s="39">
        <f t="shared" si="0"/>
        <v>6.2788464000000008</v>
      </c>
      <c r="AC34" s="39">
        <f t="shared" si="0"/>
        <v>6.0144998999999988</v>
      </c>
      <c r="AD34" s="39">
        <f t="shared" si="0"/>
        <v>5.9600717999999997</v>
      </c>
      <c r="AE34" s="39">
        <f t="shared" si="0"/>
        <v>6.0459356999999994</v>
      </c>
      <c r="AF34" s="39">
        <f t="shared" si="0"/>
        <v>5.5979105999999987</v>
      </c>
      <c r="AG34" s="39">
        <f t="shared" si="0"/>
        <v>5.3661689999999993</v>
      </c>
      <c r="AH34" s="39">
        <f t="shared" si="0"/>
        <v>4.6040456999999995</v>
      </c>
      <c r="AI34" s="39">
        <f t="shared" si="0"/>
        <v>4.6888703999999999</v>
      </c>
      <c r="AJ34" s="39">
        <f t="shared" si="0"/>
        <v>4.7533007999999999</v>
      </c>
      <c r="AK34" s="86">
        <f t="shared" si="0"/>
        <v>4.5861195000000006</v>
      </c>
      <c r="AL34" s="500">
        <f t="shared" si="0"/>
        <v>1.080768</v>
      </c>
      <c r="AM34" s="39">
        <f t="shared" si="0"/>
        <v>0.97510734000000021</v>
      </c>
      <c r="AN34" s="39">
        <f t="shared" si="0"/>
        <v>0.97188582000000001</v>
      </c>
      <c r="AO34" s="39">
        <f t="shared" si="0"/>
        <v>1.0722725399999999</v>
      </c>
      <c r="AP34" s="39">
        <f t="shared" si="0"/>
        <v>1.1268045599999998</v>
      </c>
      <c r="AQ34" s="39">
        <f t="shared" si="0"/>
        <v>1.0684794599999998</v>
      </c>
      <c r="AR34" s="39">
        <f t="shared" si="0"/>
        <v>1.2929466599999999</v>
      </c>
      <c r="AS34" s="39">
        <f t="shared" si="0"/>
        <v>1.25576928</v>
      </c>
      <c r="AT34" s="39">
        <f t="shared" si="0"/>
        <v>1.2028999799999998</v>
      </c>
      <c r="AU34" s="39">
        <f t="shared" si="0"/>
        <v>1.1920143599999999</v>
      </c>
      <c r="AV34" s="39">
        <f t="shared" si="0"/>
        <v>1.2091871399999998</v>
      </c>
      <c r="AW34" s="39">
        <f t="shared" si="0"/>
        <v>1.11958212</v>
      </c>
      <c r="AX34" s="39">
        <f t="shared" si="0"/>
        <v>1.0732337999999999</v>
      </c>
      <c r="AY34" s="39">
        <f t="shared" si="0"/>
        <v>0.92080914000000003</v>
      </c>
      <c r="AZ34" s="39">
        <f t="shared" si="0"/>
        <v>0.93777407999999995</v>
      </c>
      <c r="BA34" s="39">
        <f t="shared" si="0"/>
        <v>0.95066015999999987</v>
      </c>
      <c r="BB34" s="86">
        <f t="shared" si="0"/>
        <v>0.91722389999999998</v>
      </c>
      <c r="BC34" s="85">
        <f t="shared" si="0"/>
        <v>0</v>
      </c>
      <c r="BD34" s="39">
        <f t="shared" si="0"/>
        <v>0</v>
      </c>
      <c r="BE34" s="39">
        <f t="shared" si="0"/>
        <v>0</v>
      </c>
      <c r="BF34" s="39">
        <f t="shared" si="0"/>
        <v>0</v>
      </c>
      <c r="BG34" s="39">
        <f t="shared" si="0"/>
        <v>0</v>
      </c>
      <c r="BH34" s="39">
        <f t="shared" si="0"/>
        <v>0</v>
      </c>
      <c r="BI34" s="39">
        <f t="shared" si="0"/>
        <v>0</v>
      </c>
      <c r="BJ34" s="39">
        <f t="shared" si="0"/>
        <v>0</v>
      </c>
      <c r="BK34" s="39">
        <f t="shared" si="0"/>
        <v>0</v>
      </c>
      <c r="BL34" s="39">
        <f t="shared" si="0"/>
        <v>0</v>
      </c>
      <c r="BM34" s="39">
        <f t="shared" si="0"/>
        <v>0</v>
      </c>
      <c r="BN34" s="39">
        <f t="shared" si="0"/>
        <v>0</v>
      </c>
      <c r="BO34" s="39">
        <f t="shared" si="0"/>
        <v>0</v>
      </c>
      <c r="BP34" s="39">
        <f t="shared" si="0"/>
        <v>0</v>
      </c>
      <c r="BQ34" s="39">
        <f t="shared" ref="BQ34:BS34" si="1">BQ9+BQ11+BQ16+BQ20+BQ24+BQ28</f>
        <v>0</v>
      </c>
      <c r="BR34" s="39">
        <f t="shared" si="1"/>
        <v>0</v>
      </c>
      <c r="BS34" s="86">
        <f t="shared" si="1"/>
        <v>0</v>
      </c>
    </row>
    <row r="35" spans="2:71" x14ac:dyDescent="0.35">
      <c r="B35" s="639"/>
      <c r="C35" s="360" t="s">
        <v>18</v>
      </c>
      <c r="D35" s="85">
        <f>D13+D15+D18+D22+D26+D29</f>
        <v>139261.24937537196</v>
      </c>
      <c r="E35" s="39">
        <f t="shared" ref="E35:BP35" si="2">E13+E15+E18+E22+E26+E29</f>
        <v>174670.4673517</v>
      </c>
      <c r="F35" s="39">
        <f t="shared" si="2"/>
        <v>176989.62860444596</v>
      </c>
      <c r="G35" s="39">
        <f t="shared" si="2"/>
        <v>159335.15134387196</v>
      </c>
      <c r="H35" s="39">
        <f t="shared" si="2"/>
        <v>142844.45406812799</v>
      </c>
      <c r="I35" s="39">
        <f t="shared" si="2"/>
        <v>132602.38876917199</v>
      </c>
      <c r="J35" s="39">
        <f t="shared" si="2"/>
        <v>167410.62009381998</v>
      </c>
      <c r="K35" s="39">
        <f t="shared" si="2"/>
        <v>173571.61278470393</v>
      </c>
      <c r="L35" s="39">
        <f t="shared" si="2"/>
        <v>156656.40976343997</v>
      </c>
      <c r="M35" s="39">
        <f t="shared" si="2"/>
        <v>134296.14515571599</v>
      </c>
      <c r="N35" s="39">
        <f t="shared" si="2"/>
        <v>129306.82981925596</v>
      </c>
      <c r="O35" s="39">
        <f t="shared" si="2"/>
        <v>125717.63953802396</v>
      </c>
      <c r="P35" s="39">
        <f t="shared" si="2"/>
        <v>121490.90947832396</v>
      </c>
      <c r="Q35" s="39">
        <f t="shared" si="2"/>
        <v>122196.82629004397</v>
      </c>
      <c r="R35" s="39">
        <f t="shared" si="2"/>
        <v>126226.40876139599</v>
      </c>
      <c r="S35" s="39">
        <f t="shared" si="2"/>
        <v>116059.40021665599</v>
      </c>
      <c r="T35" s="86">
        <f t="shared" si="2"/>
        <v>114767.41452154799</v>
      </c>
      <c r="U35" s="85">
        <f t="shared" si="2"/>
        <v>5.3927784281199989</v>
      </c>
      <c r="V35" s="39">
        <f t="shared" si="2"/>
        <v>6.765281009499998</v>
      </c>
      <c r="W35" s="39">
        <f t="shared" si="2"/>
        <v>6.855369346909999</v>
      </c>
      <c r="X35" s="39">
        <f t="shared" si="2"/>
        <v>6.1718083711199982</v>
      </c>
      <c r="Y35" s="39">
        <f t="shared" si="2"/>
        <v>5.5329128432800001</v>
      </c>
      <c r="Z35" s="39">
        <f t="shared" si="2"/>
        <v>5.1343948884199992</v>
      </c>
      <c r="AA35" s="39">
        <f t="shared" si="2"/>
        <v>6.4834693821999991</v>
      </c>
      <c r="AB35" s="39">
        <f t="shared" si="2"/>
        <v>6.7221294962399991</v>
      </c>
      <c r="AC35" s="39">
        <f t="shared" si="2"/>
        <v>6.0653595251999981</v>
      </c>
      <c r="AD35" s="39">
        <f t="shared" si="2"/>
        <v>5.1985659951600001</v>
      </c>
      <c r="AE35" s="39">
        <f t="shared" si="2"/>
        <v>5.0050275437599989</v>
      </c>
      <c r="AF35" s="39">
        <f t="shared" si="2"/>
        <v>4.8657561650399996</v>
      </c>
      <c r="AG35" s="39">
        <f t="shared" si="2"/>
        <v>4.7016278480400002</v>
      </c>
      <c r="AH35" s="39">
        <f t="shared" si="2"/>
        <v>4.7291363992399997</v>
      </c>
      <c r="AI35" s="39">
        <f t="shared" si="2"/>
        <v>4.8852225831599991</v>
      </c>
      <c r="AJ35" s="39">
        <f t="shared" si="2"/>
        <v>4.4908241077599991</v>
      </c>
      <c r="AK35" s="86">
        <f t="shared" si="2"/>
        <v>4.4408423050799994</v>
      </c>
      <c r="AL35" s="500">
        <f t="shared" si="2"/>
        <v>1.0782136858119999</v>
      </c>
      <c r="AM35" s="39">
        <f t="shared" si="2"/>
        <v>1.3527178176999997</v>
      </c>
      <c r="AN35" s="39">
        <f t="shared" si="2"/>
        <v>1.3707492059659994</v>
      </c>
      <c r="AO35" s="39">
        <f t="shared" si="2"/>
        <v>1.2340868877120001</v>
      </c>
      <c r="AP35" s="39">
        <f t="shared" si="2"/>
        <v>1.106327065408</v>
      </c>
      <c r="AQ35" s="39">
        <f t="shared" si="2"/>
        <v>1.0265170456519996</v>
      </c>
      <c r="AR35" s="39">
        <f t="shared" si="2"/>
        <v>1.2963262892199998</v>
      </c>
      <c r="AS35" s="39">
        <f t="shared" si="2"/>
        <v>1.3440487631039995</v>
      </c>
      <c r="AT35" s="39">
        <f t="shared" si="2"/>
        <v>1.2126157816799998</v>
      </c>
      <c r="AU35" s="39">
        <f t="shared" si="2"/>
        <v>1.0392490100759999</v>
      </c>
      <c r="AV35" s="39">
        <f t="shared" si="2"/>
        <v>1.0005306583759996</v>
      </c>
      <c r="AW35" s="39">
        <f t="shared" si="2"/>
        <v>0.97266562850399974</v>
      </c>
      <c r="AX35" s="39">
        <f t="shared" si="2"/>
        <v>0.93981910580399985</v>
      </c>
      <c r="AY35" s="39">
        <f t="shared" si="2"/>
        <v>0.94533101392399987</v>
      </c>
      <c r="AZ35" s="39">
        <f t="shared" si="2"/>
        <v>0.97654139031599974</v>
      </c>
      <c r="BA35" s="39">
        <f t="shared" si="2"/>
        <v>0.89763898177599988</v>
      </c>
      <c r="BB35" s="86">
        <f t="shared" si="2"/>
        <v>0.8876492035079997</v>
      </c>
      <c r="BC35" s="85">
        <f t="shared" si="2"/>
        <v>0</v>
      </c>
      <c r="BD35" s="39">
        <f t="shared" si="2"/>
        <v>0</v>
      </c>
      <c r="BE35" s="39">
        <f t="shared" si="2"/>
        <v>0</v>
      </c>
      <c r="BF35" s="39">
        <f t="shared" si="2"/>
        <v>0</v>
      </c>
      <c r="BG35" s="39">
        <f t="shared" si="2"/>
        <v>0</v>
      </c>
      <c r="BH35" s="39">
        <f t="shared" si="2"/>
        <v>0</v>
      </c>
      <c r="BI35" s="39">
        <f t="shared" si="2"/>
        <v>0</v>
      </c>
      <c r="BJ35" s="39">
        <f t="shared" si="2"/>
        <v>0</v>
      </c>
      <c r="BK35" s="39">
        <f t="shared" si="2"/>
        <v>0</v>
      </c>
      <c r="BL35" s="39">
        <f t="shared" si="2"/>
        <v>0</v>
      </c>
      <c r="BM35" s="39">
        <f t="shared" si="2"/>
        <v>0</v>
      </c>
      <c r="BN35" s="39">
        <f t="shared" si="2"/>
        <v>0</v>
      </c>
      <c r="BO35" s="39">
        <f t="shared" si="2"/>
        <v>0</v>
      </c>
      <c r="BP35" s="39">
        <f t="shared" si="2"/>
        <v>0</v>
      </c>
      <c r="BQ35" s="39">
        <f t="shared" ref="BQ35:BS35" si="3">BQ13+BQ15+BQ18+BQ22+BQ26+BQ29</f>
        <v>0</v>
      </c>
      <c r="BR35" s="39">
        <f t="shared" si="3"/>
        <v>0</v>
      </c>
      <c r="BS35" s="86">
        <f t="shared" si="3"/>
        <v>0</v>
      </c>
    </row>
    <row r="36" spans="2:71" x14ac:dyDescent="0.35">
      <c r="B36" s="639"/>
      <c r="C36" s="360" t="s">
        <v>125</v>
      </c>
      <c r="D36" s="85">
        <f>D12+D17+D21+D25+D30</f>
        <v>12818.442405999996</v>
      </c>
      <c r="E36" s="39">
        <f t="shared" ref="E36:BP36" si="4">E12+E17+E21+E25+E30</f>
        <v>12525.269843679998</v>
      </c>
      <c r="F36" s="39">
        <f t="shared" si="4"/>
        <v>12078.154948639998</v>
      </c>
      <c r="G36" s="39">
        <f t="shared" si="4"/>
        <v>10640.372614079999</v>
      </c>
      <c r="H36" s="39">
        <f t="shared" si="4"/>
        <v>10110.802525119998</v>
      </c>
      <c r="I36" s="39">
        <f t="shared" si="4"/>
        <v>13439.578929920001</v>
      </c>
      <c r="J36" s="39">
        <f t="shared" si="4"/>
        <v>13997.178614319995</v>
      </c>
      <c r="K36" s="39">
        <f t="shared" si="4"/>
        <v>14242.397146560001</v>
      </c>
      <c r="L36" s="39">
        <f t="shared" si="4"/>
        <v>16696.850712959997</v>
      </c>
      <c r="M36" s="39">
        <f t="shared" si="4"/>
        <v>16938.301704719997</v>
      </c>
      <c r="N36" s="39">
        <f t="shared" si="4"/>
        <v>17310.264493279996</v>
      </c>
      <c r="O36" s="39">
        <f t="shared" si="4"/>
        <v>17506.570926239998</v>
      </c>
      <c r="P36" s="39">
        <f t="shared" si="4"/>
        <v>18100.571187599999</v>
      </c>
      <c r="Q36" s="39">
        <f t="shared" si="4"/>
        <v>17517.252967279997</v>
      </c>
      <c r="R36" s="39">
        <f t="shared" si="4"/>
        <v>17766.498206159995</v>
      </c>
      <c r="S36" s="39">
        <f t="shared" si="4"/>
        <v>18519.291176319999</v>
      </c>
      <c r="T36" s="86">
        <f t="shared" si="4"/>
        <v>18251.443042799998</v>
      </c>
      <c r="U36" s="85">
        <f t="shared" si="4"/>
        <v>0.25276425999999996</v>
      </c>
      <c r="V36" s="39">
        <f t="shared" si="4"/>
        <v>0.24326709279999997</v>
      </c>
      <c r="W36" s="39">
        <f t="shared" si="4"/>
        <v>0.2360333744</v>
      </c>
      <c r="X36" s="39">
        <f t="shared" si="4"/>
        <v>0.21785647679999995</v>
      </c>
      <c r="Y36" s="39">
        <f t="shared" si="4"/>
        <v>0.21196755519999996</v>
      </c>
      <c r="Z36" s="39">
        <f t="shared" si="4"/>
        <v>0.26204376319999995</v>
      </c>
      <c r="AA36" s="39">
        <f t="shared" si="4"/>
        <v>0.28118608719999993</v>
      </c>
      <c r="AB36" s="39">
        <f t="shared" si="4"/>
        <v>0.28336541759999995</v>
      </c>
      <c r="AC36" s="39">
        <f t="shared" si="4"/>
        <v>0.31983596159999989</v>
      </c>
      <c r="AD36" s="39">
        <f t="shared" si="4"/>
        <v>0.32316267119999992</v>
      </c>
      <c r="AE36" s="39">
        <f t="shared" si="4"/>
        <v>0.32984590879999992</v>
      </c>
      <c r="AF36" s="39">
        <f t="shared" si="4"/>
        <v>0.32884307039999999</v>
      </c>
      <c r="AG36" s="39">
        <f t="shared" si="4"/>
        <v>0.33612879599999995</v>
      </c>
      <c r="AH36" s="39">
        <f t="shared" si="4"/>
        <v>0.31988644879999995</v>
      </c>
      <c r="AI36" s="39">
        <f t="shared" si="4"/>
        <v>0.32461533359999994</v>
      </c>
      <c r="AJ36" s="39">
        <f t="shared" si="4"/>
        <v>0.33713710719999995</v>
      </c>
      <c r="AK36" s="86">
        <f t="shared" si="4"/>
        <v>0.33135718799999997</v>
      </c>
      <c r="AL36" s="500">
        <f t="shared" si="4"/>
        <v>3.3103882000000001E-2</v>
      </c>
      <c r="AM36" s="39">
        <f t="shared" si="4"/>
        <v>3.138891856E-2</v>
      </c>
      <c r="AN36" s="39">
        <f t="shared" si="4"/>
        <v>3.0642214880000001E-2</v>
      </c>
      <c r="AO36" s="39">
        <f t="shared" si="4"/>
        <v>2.9551575359999999E-2</v>
      </c>
      <c r="AP36" s="39">
        <f t="shared" si="4"/>
        <v>2.9357631039999992E-2</v>
      </c>
      <c r="AQ36" s="39">
        <f t="shared" si="4"/>
        <v>3.3942832639999997E-2</v>
      </c>
      <c r="AR36" s="39">
        <f t="shared" si="4"/>
        <v>3.7482767439999995E-2</v>
      </c>
      <c r="AS36" s="39">
        <f t="shared" si="4"/>
        <v>3.7431443519999996E-2</v>
      </c>
      <c r="AT36" s="39">
        <f t="shared" si="4"/>
        <v>4.0695592319999994E-2</v>
      </c>
      <c r="AU36" s="39">
        <f t="shared" si="4"/>
        <v>4.0949424239999997E-2</v>
      </c>
      <c r="AV36" s="39">
        <f t="shared" si="4"/>
        <v>4.1742121760000001E-2</v>
      </c>
      <c r="AW36" s="39">
        <f t="shared" si="4"/>
        <v>4.0992874079999991E-2</v>
      </c>
      <c r="AX36" s="39">
        <f t="shared" si="4"/>
        <v>4.1385769199999999E-2</v>
      </c>
      <c r="AY36" s="39">
        <f t="shared" si="4"/>
        <v>3.8657599759999994E-2</v>
      </c>
      <c r="AZ36" s="39">
        <f t="shared" si="4"/>
        <v>3.9253356719999993E-2</v>
      </c>
      <c r="BA36" s="39">
        <f t="shared" si="4"/>
        <v>4.0598861439999995E-2</v>
      </c>
      <c r="BB36" s="86">
        <f t="shared" si="4"/>
        <v>3.9778707599999998E-2</v>
      </c>
      <c r="BC36" s="85">
        <f t="shared" si="4"/>
        <v>0</v>
      </c>
      <c r="BD36" s="39">
        <f t="shared" si="4"/>
        <v>0</v>
      </c>
      <c r="BE36" s="39">
        <f t="shared" si="4"/>
        <v>0</v>
      </c>
      <c r="BF36" s="39">
        <f t="shared" si="4"/>
        <v>0</v>
      </c>
      <c r="BG36" s="39">
        <f t="shared" si="4"/>
        <v>0</v>
      </c>
      <c r="BH36" s="39">
        <f t="shared" si="4"/>
        <v>0</v>
      </c>
      <c r="BI36" s="39">
        <f t="shared" si="4"/>
        <v>0</v>
      </c>
      <c r="BJ36" s="39">
        <f t="shared" si="4"/>
        <v>0</v>
      </c>
      <c r="BK36" s="39">
        <f t="shared" si="4"/>
        <v>0</v>
      </c>
      <c r="BL36" s="39">
        <f t="shared" si="4"/>
        <v>0</v>
      </c>
      <c r="BM36" s="39">
        <f t="shared" si="4"/>
        <v>0</v>
      </c>
      <c r="BN36" s="39">
        <f t="shared" si="4"/>
        <v>0</v>
      </c>
      <c r="BO36" s="39">
        <f t="shared" si="4"/>
        <v>0</v>
      </c>
      <c r="BP36" s="39">
        <f t="shared" si="4"/>
        <v>0</v>
      </c>
      <c r="BQ36" s="39">
        <f t="shared" ref="BQ36:BS36" si="5">BQ12+BQ17+BQ21+BQ25+BQ30</f>
        <v>0</v>
      </c>
      <c r="BR36" s="39">
        <f t="shared" si="5"/>
        <v>0</v>
      </c>
      <c r="BS36" s="86">
        <f t="shared" si="5"/>
        <v>0</v>
      </c>
    </row>
    <row r="37" spans="2:71" x14ac:dyDescent="0.35">
      <c r="B37" s="639"/>
      <c r="C37" s="360" t="s">
        <v>15</v>
      </c>
      <c r="D37" s="85">
        <f>D14+D19+D23+D27+D31</f>
        <v>76466.569153294404</v>
      </c>
      <c r="E37" s="39">
        <f t="shared" ref="E37:BB37" si="6">E14+E19+E23+E27+E31</f>
        <v>76253.933621747186</v>
      </c>
      <c r="F37" s="39">
        <f t="shared" si="6"/>
        <v>76570.63300707184</v>
      </c>
      <c r="G37" s="39">
        <f t="shared" si="6"/>
        <v>82714.212843098532</v>
      </c>
      <c r="H37" s="39">
        <f t="shared" si="6"/>
        <v>69696.75727686919</v>
      </c>
      <c r="I37" s="39">
        <f t="shared" si="6"/>
        <v>66218.688811877728</v>
      </c>
      <c r="J37" s="39">
        <f t="shared" si="6"/>
        <v>65053.492393295986</v>
      </c>
      <c r="K37" s="39">
        <f t="shared" si="6"/>
        <v>61444.134720695947</v>
      </c>
      <c r="L37" s="39">
        <f t="shared" si="6"/>
        <v>112509.11613814776</v>
      </c>
      <c r="M37" s="39">
        <f t="shared" si="6"/>
        <v>61552.985469844418</v>
      </c>
      <c r="N37" s="39">
        <f t="shared" si="6"/>
        <v>69526.063384447247</v>
      </c>
      <c r="O37" s="39">
        <f t="shared" si="6"/>
        <v>67927.367680721218</v>
      </c>
      <c r="P37" s="39">
        <f t="shared" si="6"/>
        <v>70507.436937011458</v>
      </c>
      <c r="Q37" s="39">
        <f t="shared" si="6"/>
        <v>74731.992388974351</v>
      </c>
      <c r="R37" s="39">
        <f t="shared" si="6"/>
        <v>83831.156988136077</v>
      </c>
      <c r="S37" s="39">
        <f t="shared" si="6"/>
        <v>94559.069761154693</v>
      </c>
      <c r="T37" s="86">
        <f t="shared" si="6"/>
        <v>88622.251874526875</v>
      </c>
      <c r="U37" s="85">
        <f t="shared" si="6"/>
        <v>6.6586787701040002</v>
      </c>
      <c r="V37" s="39">
        <f t="shared" si="6"/>
        <v>7.0841808679839993</v>
      </c>
      <c r="W37" s="39">
        <f t="shared" si="6"/>
        <v>7.1071364830648003</v>
      </c>
      <c r="X37" s="39">
        <f t="shared" si="6"/>
        <v>7.833744412523199</v>
      </c>
      <c r="Y37" s="39">
        <f t="shared" si="6"/>
        <v>6.5603287711964802</v>
      </c>
      <c r="Z37" s="39">
        <f t="shared" si="6"/>
        <v>6.2496844675921599</v>
      </c>
      <c r="AA37" s="39">
        <f t="shared" si="6"/>
        <v>5.9611994191199997</v>
      </c>
      <c r="AB37" s="39">
        <f t="shared" si="6"/>
        <v>5.5548641028186028</v>
      </c>
      <c r="AC37" s="39">
        <f t="shared" si="6"/>
        <v>10.954186156565925</v>
      </c>
      <c r="AD37" s="39">
        <f t="shared" si="6"/>
        <v>5.7657902430022645</v>
      </c>
      <c r="AE37" s="39">
        <f t="shared" si="6"/>
        <v>6.6136979598733401</v>
      </c>
      <c r="AF37" s="39">
        <f t="shared" si="6"/>
        <v>6.4638928733038252</v>
      </c>
      <c r="AG37" s="39">
        <f t="shared" si="6"/>
        <v>6.7573051367539261</v>
      </c>
      <c r="AH37" s="39">
        <f t="shared" si="6"/>
        <v>7.196366774124928</v>
      </c>
      <c r="AI37" s="39">
        <f t="shared" si="6"/>
        <v>8.1251537302871437</v>
      </c>
      <c r="AJ37" s="39">
        <f t="shared" si="6"/>
        <v>9.2951660051976184</v>
      </c>
      <c r="AK37" s="86">
        <f t="shared" si="6"/>
        <v>8.6720977854819736</v>
      </c>
      <c r="AL37" s="500">
        <f t="shared" si="6"/>
        <v>1.0189635140207998</v>
      </c>
      <c r="AM37" s="39">
        <f t="shared" si="6"/>
        <v>1.0878740587968001</v>
      </c>
      <c r="AN37" s="39">
        <f t="shared" si="6"/>
        <v>1.0916141766129601</v>
      </c>
      <c r="AO37" s="39">
        <f t="shared" si="6"/>
        <v>1.19801388250464</v>
      </c>
      <c r="AP37" s="39">
        <f t="shared" si="6"/>
        <v>1.0045928542392959</v>
      </c>
      <c r="AQ37" s="39">
        <f t="shared" si="6"/>
        <v>0.95647435351843191</v>
      </c>
      <c r="AR37" s="39">
        <f t="shared" si="6"/>
        <v>0.91816498382399991</v>
      </c>
      <c r="AS37" s="39">
        <f t="shared" si="6"/>
        <v>0.8581273630837204</v>
      </c>
      <c r="AT37" s="39">
        <f t="shared" si="6"/>
        <v>1.66548551203816</v>
      </c>
      <c r="AU37" s="39">
        <f t="shared" si="6"/>
        <v>0.88384241302412792</v>
      </c>
      <c r="AV37" s="39">
        <f t="shared" si="6"/>
        <v>1.0104871399046098</v>
      </c>
      <c r="AW37" s="39">
        <f t="shared" si="6"/>
        <v>0.98752512052080987</v>
      </c>
      <c r="AX37" s="39">
        <f t="shared" si="6"/>
        <v>1.0307969273160733</v>
      </c>
      <c r="AY37" s="39">
        <f t="shared" si="6"/>
        <v>1.0966721491935811</v>
      </c>
      <c r="AZ37" s="39">
        <f t="shared" si="6"/>
        <v>1.2365260849911155</v>
      </c>
      <c r="BA37" s="39">
        <f t="shared" si="6"/>
        <v>1.410434642753718</v>
      </c>
      <c r="BB37" s="86">
        <f t="shared" si="6"/>
        <v>1.31713150585826</v>
      </c>
      <c r="BC37" s="85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86"/>
    </row>
    <row r="38" spans="2:71" s="110" customFormat="1" x14ac:dyDescent="0.35">
      <c r="B38" s="639"/>
      <c r="C38" s="360" t="s">
        <v>136</v>
      </c>
      <c r="D38" s="85">
        <f>D10</f>
        <v>1692.0287999999998</v>
      </c>
      <c r="E38" s="39">
        <f t="shared" ref="E38:BB38" si="7">E10</f>
        <v>1692.0287999999998</v>
      </c>
      <c r="F38" s="39">
        <f t="shared" si="7"/>
        <v>1692.0287999999998</v>
      </c>
      <c r="G38" s="39">
        <f t="shared" si="7"/>
        <v>1692.0287999999998</v>
      </c>
      <c r="H38" s="39">
        <f t="shared" si="7"/>
        <v>1692.0287999999998</v>
      </c>
      <c r="I38" s="39">
        <f t="shared" si="7"/>
        <v>1692.0287999999998</v>
      </c>
      <c r="J38" s="39">
        <f t="shared" si="7"/>
        <v>1692.0287999999998</v>
      </c>
      <c r="K38" s="39">
        <f t="shared" si="7"/>
        <v>1692.0287999999998</v>
      </c>
      <c r="L38" s="39">
        <f t="shared" si="7"/>
        <v>1692.0287999999998</v>
      </c>
      <c r="M38" s="39">
        <f t="shared" si="7"/>
        <v>1692.0287999999998</v>
      </c>
      <c r="N38" s="39">
        <f t="shared" si="7"/>
        <v>1692.0287999999998</v>
      </c>
      <c r="O38" s="39">
        <f t="shared" si="7"/>
        <v>1692.0287999999998</v>
      </c>
      <c r="P38" s="39">
        <f t="shared" si="7"/>
        <v>1692.0287999999998</v>
      </c>
      <c r="Q38" s="39">
        <f t="shared" si="7"/>
        <v>1692.0287999999998</v>
      </c>
      <c r="R38" s="39">
        <f t="shared" si="7"/>
        <v>1692.0287999999998</v>
      </c>
      <c r="S38" s="39">
        <f t="shared" si="7"/>
        <v>1695.1334399999998</v>
      </c>
      <c r="T38" s="86">
        <f t="shared" si="7"/>
        <v>1695.1334399999998</v>
      </c>
      <c r="U38" s="85">
        <f t="shared" si="7"/>
        <v>7.3248000000000008E-2</v>
      </c>
      <c r="V38" s="39">
        <f t="shared" si="7"/>
        <v>7.3248000000000008E-2</v>
      </c>
      <c r="W38" s="39">
        <f t="shared" si="7"/>
        <v>7.3248000000000008E-2</v>
      </c>
      <c r="X38" s="39">
        <f t="shared" si="7"/>
        <v>7.3248000000000008E-2</v>
      </c>
      <c r="Y38" s="39">
        <f t="shared" si="7"/>
        <v>7.3248000000000008E-2</v>
      </c>
      <c r="Z38" s="39">
        <f t="shared" si="7"/>
        <v>7.3248000000000008E-2</v>
      </c>
      <c r="AA38" s="39">
        <f t="shared" si="7"/>
        <v>7.3248000000000008E-2</v>
      </c>
      <c r="AB38" s="39">
        <f t="shared" si="7"/>
        <v>7.3248000000000008E-2</v>
      </c>
      <c r="AC38" s="39">
        <f t="shared" si="7"/>
        <v>7.3248000000000008E-2</v>
      </c>
      <c r="AD38" s="39">
        <f t="shared" si="7"/>
        <v>7.3248000000000008E-2</v>
      </c>
      <c r="AE38" s="39">
        <f t="shared" si="7"/>
        <v>7.3248000000000008E-2</v>
      </c>
      <c r="AF38" s="39">
        <f t="shared" si="7"/>
        <v>7.3248000000000008E-2</v>
      </c>
      <c r="AG38" s="39">
        <f t="shared" si="7"/>
        <v>7.3248000000000008E-2</v>
      </c>
      <c r="AH38" s="39">
        <f t="shared" si="7"/>
        <v>7.3248000000000008E-2</v>
      </c>
      <c r="AI38" s="39">
        <f t="shared" si="7"/>
        <v>7.3248000000000008E-2</v>
      </c>
      <c r="AJ38" s="39">
        <f t="shared" si="7"/>
        <v>7.33824E-2</v>
      </c>
      <c r="AK38" s="86">
        <f t="shared" si="7"/>
        <v>7.33824E-2</v>
      </c>
      <c r="AL38" s="500">
        <f t="shared" si="7"/>
        <v>1.4649599999999999E-2</v>
      </c>
      <c r="AM38" s="39">
        <f t="shared" si="7"/>
        <v>1.4649599999999999E-2</v>
      </c>
      <c r="AN38" s="39">
        <f t="shared" si="7"/>
        <v>1.4649599999999999E-2</v>
      </c>
      <c r="AO38" s="39">
        <f t="shared" si="7"/>
        <v>1.4649599999999999E-2</v>
      </c>
      <c r="AP38" s="39">
        <f t="shared" si="7"/>
        <v>1.4649599999999999E-2</v>
      </c>
      <c r="AQ38" s="39">
        <f t="shared" si="7"/>
        <v>1.4649599999999999E-2</v>
      </c>
      <c r="AR38" s="39">
        <f t="shared" si="7"/>
        <v>1.4649599999999999E-2</v>
      </c>
      <c r="AS38" s="39">
        <f t="shared" si="7"/>
        <v>1.4649599999999999E-2</v>
      </c>
      <c r="AT38" s="39">
        <f t="shared" si="7"/>
        <v>1.4649599999999999E-2</v>
      </c>
      <c r="AU38" s="39">
        <f t="shared" si="7"/>
        <v>1.4649599999999999E-2</v>
      </c>
      <c r="AV38" s="39">
        <f t="shared" si="7"/>
        <v>1.4649599999999999E-2</v>
      </c>
      <c r="AW38" s="39">
        <f t="shared" si="7"/>
        <v>1.4649599999999999E-2</v>
      </c>
      <c r="AX38" s="39">
        <f t="shared" si="7"/>
        <v>1.4649599999999999E-2</v>
      </c>
      <c r="AY38" s="39">
        <f t="shared" si="7"/>
        <v>1.4649599999999999E-2</v>
      </c>
      <c r="AZ38" s="39">
        <f t="shared" si="7"/>
        <v>1.4649599999999999E-2</v>
      </c>
      <c r="BA38" s="39">
        <f t="shared" si="7"/>
        <v>1.467648E-2</v>
      </c>
      <c r="BB38" s="86">
        <f t="shared" si="7"/>
        <v>1.467648E-2</v>
      </c>
      <c r="BC38" s="85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86"/>
    </row>
    <row r="39" spans="2:71" x14ac:dyDescent="0.35">
      <c r="B39" s="639"/>
      <c r="C39" s="360" t="s">
        <v>126</v>
      </c>
      <c r="D39" s="85">
        <f>D32</f>
        <v>2620.8000000000002</v>
      </c>
      <c r="E39" s="39">
        <f t="shared" ref="E39:BB39" si="8">E32</f>
        <v>2620.8000000000002</v>
      </c>
      <c r="F39" s="39">
        <f t="shared" si="8"/>
        <v>2533.44</v>
      </c>
      <c r="G39" s="39">
        <f t="shared" si="8"/>
        <v>2498.4960000000001</v>
      </c>
      <c r="H39" s="39">
        <f t="shared" si="8"/>
        <v>2472.288</v>
      </c>
      <c r="I39" s="39">
        <f t="shared" si="8"/>
        <v>2446.08</v>
      </c>
      <c r="J39" s="39">
        <f t="shared" si="8"/>
        <v>2489.7600000000002</v>
      </c>
      <c r="K39" s="39">
        <f t="shared" si="8"/>
        <v>2489.7600000000002</v>
      </c>
      <c r="L39" s="39">
        <f t="shared" si="8"/>
        <v>2489.7600000000002</v>
      </c>
      <c r="M39" s="39">
        <f t="shared" si="8"/>
        <v>2491.5071999999996</v>
      </c>
      <c r="N39" s="39">
        <f t="shared" si="8"/>
        <v>2491.5071999999996</v>
      </c>
      <c r="O39" s="39">
        <f t="shared" si="8"/>
        <v>2489.7600000000002</v>
      </c>
      <c r="P39" s="39">
        <f t="shared" si="8"/>
        <v>2463.5520000000001</v>
      </c>
      <c r="Q39" s="39">
        <f t="shared" si="8"/>
        <v>2419.8719999999998</v>
      </c>
      <c r="R39" s="39">
        <f t="shared" si="8"/>
        <v>2346.4895999999999</v>
      </c>
      <c r="S39" s="39">
        <f t="shared" si="8"/>
        <v>2271.36</v>
      </c>
      <c r="T39" s="86">
        <f t="shared" si="8"/>
        <v>2203.2191999999995</v>
      </c>
      <c r="U39" s="85">
        <f t="shared" si="8"/>
        <v>0.70199999999999996</v>
      </c>
      <c r="V39" s="39">
        <f t="shared" si="8"/>
        <v>0.70199999999999996</v>
      </c>
      <c r="W39" s="39">
        <f t="shared" si="8"/>
        <v>0.67859999999999998</v>
      </c>
      <c r="X39" s="39">
        <f t="shared" si="8"/>
        <v>0.66924000000000006</v>
      </c>
      <c r="Y39" s="39">
        <f t="shared" si="8"/>
        <v>0.66222000000000003</v>
      </c>
      <c r="Z39" s="39">
        <f t="shared" si="8"/>
        <v>0.65519999999999989</v>
      </c>
      <c r="AA39" s="39">
        <f t="shared" si="8"/>
        <v>0.66689999999999994</v>
      </c>
      <c r="AB39" s="39">
        <f t="shared" si="8"/>
        <v>0.66689999999999994</v>
      </c>
      <c r="AC39" s="39">
        <f t="shared" si="8"/>
        <v>0.66689999999999994</v>
      </c>
      <c r="AD39" s="39">
        <f t="shared" si="8"/>
        <v>0.66736800000000007</v>
      </c>
      <c r="AE39" s="39">
        <f t="shared" si="8"/>
        <v>0.66736800000000007</v>
      </c>
      <c r="AF39" s="39">
        <f t="shared" si="8"/>
        <v>0.66689999999999994</v>
      </c>
      <c r="AG39" s="39">
        <f t="shared" si="8"/>
        <v>0.65988000000000002</v>
      </c>
      <c r="AH39" s="39">
        <f t="shared" si="8"/>
        <v>0.64817999999999998</v>
      </c>
      <c r="AI39" s="39">
        <f t="shared" si="8"/>
        <v>0.62852399999999997</v>
      </c>
      <c r="AJ39" s="39">
        <f t="shared" si="8"/>
        <v>0.60839999999999994</v>
      </c>
      <c r="AK39" s="86">
        <f t="shared" si="8"/>
        <v>0.59014799999999989</v>
      </c>
      <c r="AL39" s="500">
        <f t="shared" si="8"/>
        <v>9.3599999999999989E-2</v>
      </c>
      <c r="AM39" s="39">
        <f t="shared" si="8"/>
        <v>9.3599999999999989E-2</v>
      </c>
      <c r="AN39" s="39">
        <f t="shared" si="8"/>
        <v>9.0479999999999991E-2</v>
      </c>
      <c r="AO39" s="39">
        <f t="shared" si="8"/>
        <v>8.9232000000000006E-2</v>
      </c>
      <c r="AP39" s="39">
        <f t="shared" si="8"/>
        <v>8.8296000000000013E-2</v>
      </c>
      <c r="AQ39" s="39">
        <f t="shared" si="8"/>
        <v>8.7359999999999993E-2</v>
      </c>
      <c r="AR39" s="39">
        <f t="shared" si="8"/>
        <v>8.8919999999999999E-2</v>
      </c>
      <c r="AS39" s="39">
        <f t="shared" si="8"/>
        <v>8.8919999999999999E-2</v>
      </c>
      <c r="AT39" s="39">
        <f t="shared" si="8"/>
        <v>8.8919999999999999E-2</v>
      </c>
      <c r="AU39" s="39">
        <f t="shared" si="8"/>
        <v>8.8982400000000003E-2</v>
      </c>
      <c r="AV39" s="39">
        <f t="shared" si="8"/>
        <v>8.8982400000000003E-2</v>
      </c>
      <c r="AW39" s="39">
        <f t="shared" si="8"/>
        <v>8.8919999999999999E-2</v>
      </c>
      <c r="AX39" s="39">
        <f t="shared" si="8"/>
        <v>8.7983999999999993E-2</v>
      </c>
      <c r="AY39" s="39">
        <f t="shared" si="8"/>
        <v>8.6423999999999987E-2</v>
      </c>
      <c r="AZ39" s="39">
        <f t="shared" si="8"/>
        <v>8.3803199999999994E-2</v>
      </c>
      <c r="BA39" s="39">
        <f t="shared" si="8"/>
        <v>8.1119999999999998E-2</v>
      </c>
      <c r="BB39" s="86">
        <f t="shared" si="8"/>
        <v>7.868639999999999E-2</v>
      </c>
      <c r="BC39" s="85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86"/>
    </row>
    <row r="40" spans="2:71" x14ac:dyDescent="0.35">
      <c r="B40" s="639"/>
      <c r="C40" s="360" t="s">
        <v>16</v>
      </c>
      <c r="D40" s="85">
        <f>D33</f>
        <v>378109.79999999993</v>
      </c>
      <c r="E40" s="39">
        <f t="shared" ref="E40:BB40" si="9">E33</f>
        <v>375590</v>
      </c>
      <c r="F40" s="39">
        <f t="shared" si="9"/>
        <v>313889.89799999999</v>
      </c>
      <c r="G40" s="39">
        <f t="shared" si="9"/>
        <v>361254.16800000001</v>
      </c>
      <c r="H40" s="39">
        <f t="shared" si="9"/>
        <v>366493.95299999998</v>
      </c>
      <c r="I40" s="39">
        <f t="shared" si="9"/>
        <v>336195.788</v>
      </c>
      <c r="J40" s="39">
        <f t="shared" si="9"/>
        <v>326811.91499999998</v>
      </c>
      <c r="K40" s="39">
        <f t="shared" si="9"/>
        <v>259497.59688216003</v>
      </c>
      <c r="L40" s="39">
        <f t="shared" si="9"/>
        <v>171878.08836698247</v>
      </c>
      <c r="M40" s="39">
        <f t="shared" si="9"/>
        <v>164093.90639510864</v>
      </c>
      <c r="N40" s="39">
        <f t="shared" si="9"/>
        <v>192879.58315003771</v>
      </c>
      <c r="O40" s="39">
        <f t="shared" si="9"/>
        <v>170502.23294769577</v>
      </c>
      <c r="P40" s="39">
        <f t="shared" si="9"/>
        <v>149947.74578062206</v>
      </c>
      <c r="Q40" s="39">
        <f t="shared" si="9"/>
        <v>148048.40714315354</v>
      </c>
      <c r="R40" s="39">
        <f t="shared" si="9"/>
        <v>128575.53475552516</v>
      </c>
      <c r="S40" s="39">
        <f t="shared" si="9"/>
        <v>131861.39074287246</v>
      </c>
      <c r="T40" s="86">
        <f t="shared" si="9"/>
        <v>106281.41169517623</v>
      </c>
      <c r="U40" s="85">
        <f t="shared" si="9"/>
        <v>113.43293999999999</v>
      </c>
      <c r="V40" s="39">
        <f t="shared" si="9"/>
        <v>112.67700000000001</v>
      </c>
      <c r="W40" s="39">
        <f t="shared" si="9"/>
        <v>94.166969399999999</v>
      </c>
      <c r="X40" s="39">
        <f t="shared" si="9"/>
        <v>108.37625039999999</v>
      </c>
      <c r="Y40" s="39">
        <f t="shared" si="9"/>
        <v>109.94818590000001</v>
      </c>
      <c r="Z40" s="39">
        <f t="shared" si="9"/>
        <v>100.85873639999998</v>
      </c>
      <c r="AA40" s="39">
        <f t="shared" si="9"/>
        <v>98.043574499999991</v>
      </c>
      <c r="AB40" s="39">
        <f t="shared" si="9"/>
        <v>77.849279064648016</v>
      </c>
      <c r="AC40" s="39">
        <f t="shared" si="9"/>
        <v>51.563426510094736</v>
      </c>
      <c r="AD40" s="39">
        <f t="shared" si="9"/>
        <v>49.228171918532595</v>
      </c>
      <c r="AE40" s="39">
        <f t="shared" si="9"/>
        <v>57.863874945011318</v>
      </c>
      <c r="AF40" s="39">
        <f t="shared" si="9"/>
        <v>51.150669884308734</v>
      </c>
      <c r="AG40" s="39">
        <f t="shared" si="9"/>
        <v>44.984323734186617</v>
      </c>
      <c r="AH40" s="39">
        <f t="shared" si="9"/>
        <v>44.414522142946062</v>
      </c>
      <c r="AI40" s="39">
        <f t="shared" si="9"/>
        <v>38.572660426657549</v>
      </c>
      <c r="AJ40" s="39">
        <f t="shared" si="9"/>
        <v>39.558417222861742</v>
      </c>
      <c r="AK40" s="86">
        <f t="shared" si="9"/>
        <v>31.884423508552867</v>
      </c>
      <c r="AL40" s="500">
        <f t="shared" si="9"/>
        <v>15.124392</v>
      </c>
      <c r="AM40" s="39">
        <f t="shared" si="9"/>
        <v>15.023599999999998</v>
      </c>
      <c r="AN40" s="39">
        <f t="shared" si="9"/>
        <v>12.55559592</v>
      </c>
      <c r="AO40" s="39">
        <f t="shared" si="9"/>
        <v>14.450166719999999</v>
      </c>
      <c r="AP40" s="39">
        <f t="shared" si="9"/>
        <v>14.659758120000001</v>
      </c>
      <c r="AQ40" s="39">
        <f t="shared" si="9"/>
        <v>13.447831519999998</v>
      </c>
      <c r="AR40" s="39">
        <f t="shared" si="9"/>
        <v>13.0724766</v>
      </c>
      <c r="AS40" s="39">
        <f t="shared" si="9"/>
        <v>10.379903875286402</v>
      </c>
      <c r="AT40" s="39">
        <f t="shared" si="9"/>
        <v>6.8751235346792985</v>
      </c>
      <c r="AU40" s="39">
        <f t="shared" si="9"/>
        <v>6.5637562558043454</v>
      </c>
      <c r="AV40" s="39">
        <f t="shared" si="9"/>
        <v>7.715183326001509</v>
      </c>
      <c r="AW40" s="39">
        <f t="shared" si="9"/>
        <v>6.820089317907831</v>
      </c>
      <c r="AX40" s="39">
        <f t="shared" si="9"/>
        <v>5.9979098312248826</v>
      </c>
      <c r="AY40" s="39">
        <f t="shared" si="9"/>
        <v>5.9219362857261419</v>
      </c>
      <c r="AZ40" s="39">
        <f t="shared" si="9"/>
        <v>5.1430213902210067</v>
      </c>
      <c r="BA40" s="39">
        <f t="shared" si="9"/>
        <v>5.2744556297148995</v>
      </c>
      <c r="BB40" s="86">
        <f t="shared" si="9"/>
        <v>4.2512564678070488</v>
      </c>
      <c r="BC40" s="85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86"/>
    </row>
    <row r="41" spans="2:71" s="1" customFormat="1" ht="29" x14ac:dyDescent="0.35">
      <c r="B41" s="485" t="s">
        <v>458</v>
      </c>
      <c r="C41" s="364" t="s">
        <v>22</v>
      </c>
      <c r="D41" s="229">
        <f>IFERROR(('Activity Data Rep. Mauritius'!M40*'Activity Data Rep. Mauritius'!$J40*'Activity Data Rep. Mauritius'!$E40)/1000,"NA")</f>
        <v>605404.80000000005</v>
      </c>
      <c r="E41" s="227">
        <f>IFERROR(('Activity Data Rep. Mauritius'!N40*'Activity Data Rep. Mauritius'!$J40*'Activity Data Rep. Mauritius'!$E40)/1000,"NA")</f>
        <v>618017.4</v>
      </c>
      <c r="F41" s="227">
        <f>IFERROR(('Activity Data Rep. Mauritius'!O40*'Activity Data Rep. Mauritius'!$J40*'Activity Data Rep. Mauritius'!$E40)/1000,"NA")</f>
        <v>624323.70000000007</v>
      </c>
      <c r="G41" s="227">
        <f>IFERROR(('Activity Data Rep. Mauritius'!P40*'Activity Data Rep. Mauritius'!$J40*'Activity Data Rep. Mauritius'!$E40)/1000,"NA")</f>
        <v>659008.35</v>
      </c>
      <c r="H41" s="227">
        <f>IFERROR(('Activity Data Rep. Mauritius'!Q40*'Activity Data Rep. Mauritius'!$J40*'Activity Data Rep. Mauritius'!$E40)/1000,"NA")</f>
        <v>696846.15</v>
      </c>
      <c r="I41" s="227">
        <f>IFERROR(('Activity Data Rep. Mauritius'!R40*'Activity Data Rep. Mauritius'!$J40*'Activity Data Rep. Mauritius'!$E40)/1000,"NA")</f>
        <v>722071.35</v>
      </c>
      <c r="J41" s="227">
        <f>IFERROR(('Activity Data Rep. Mauritius'!S40*'Activity Data Rep. Mauritius'!$J40*'Activity Data Rep. Mauritius'!$E40)/1000,"NA")</f>
        <v>744143.4</v>
      </c>
      <c r="K41" s="227">
        <f>IFERROR(('Activity Data Rep. Mauritius'!T40*'Activity Data Rep. Mauritius'!$J40*'Activity Data Rep. Mauritius'!$E40)/1000,"NA")</f>
        <v>788287.5</v>
      </c>
      <c r="L41" s="227">
        <f>IFERROR(('Activity Data Rep. Mauritius'!U40*'Activity Data Rep. Mauritius'!$J40*'Activity Data Rep. Mauritius'!$E40)/1000,"NA")</f>
        <v>794593.8</v>
      </c>
      <c r="M41" s="227">
        <f>IFERROR(('Activity Data Rep. Mauritius'!V40*'Activity Data Rep. Mauritius'!$J40*'Activity Data Rep. Mauritius'!$E40)/1000,"NA")</f>
        <v>655855.20000000007</v>
      </c>
      <c r="N41" s="227">
        <f>IFERROR(('Activity Data Rep. Mauritius'!W40*'Activity Data Rep. Mauritius'!$J40*'Activity Data Rep. Mauritius'!$E40)/1000,"NA")</f>
        <v>722071.35</v>
      </c>
      <c r="O41" s="227">
        <f>IFERROR(('Activity Data Rep. Mauritius'!X40*'Activity Data Rep. Mauritius'!$J40*'Activity Data Rep. Mauritius'!$E40)/1000,"NA")</f>
        <v>763062.3</v>
      </c>
      <c r="P41" s="227">
        <f>IFERROR(('Activity Data Rep. Mauritius'!Y40*'Activity Data Rep. Mauritius'!$J40*'Activity Data Rep. Mauritius'!$E40)/1000,"NA")</f>
        <v>785134.35</v>
      </c>
      <c r="Q41" s="227">
        <f>IFERROR(('Activity Data Rep. Mauritius'!Z40*'Activity Data Rep. Mauritius'!$J40*'Activity Data Rep. Mauritius'!$E40)/1000,"NA")</f>
        <v>725224.5</v>
      </c>
      <c r="R41" s="227">
        <f>IFERROR(('Activity Data Rep. Mauritius'!AA40*'Activity Data Rep. Mauritius'!$J40*'Activity Data Rep. Mauritius'!$E40)/1000,"NA")</f>
        <v>763062.3</v>
      </c>
      <c r="S41" s="227">
        <f>IFERROR(('Activity Data Rep. Mauritius'!AB40*'Activity Data Rep. Mauritius'!$J40*'Activity Data Rep. Mauritius'!$E40)/1000,"NA")</f>
        <v>816665.85</v>
      </c>
      <c r="T41" s="228">
        <f>IFERROR(('Activity Data Rep. Mauritius'!AC40*'Activity Data Rep. Mauritius'!$J40*'Activity Data Rep. Mauritius'!$E40)/1000,"NA")</f>
        <v>917566.65</v>
      </c>
      <c r="U41" s="229">
        <f>IFERROR(('Activity Data Rep. Mauritius'!M40*'Activity Data Rep. Mauritius'!$J40*'Activity Data Rep. Mauritius'!$F40)/1000,"NA")</f>
        <v>4.2336</v>
      </c>
      <c r="V41" s="227">
        <f>IFERROR(('Activity Data Rep. Mauritius'!N40*'Activity Data Rep. Mauritius'!$J40*'Activity Data Rep. Mauritius'!$F40)/1000,"NA")</f>
        <v>4.3218000000000005</v>
      </c>
      <c r="W41" s="227">
        <f>IFERROR(('Activity Data Rep. Mauritius'!O40*'Activity Data Rep. Mauritius'!$J40*'Activity Data Rep. Mauritius'!$F40)/1000,"NA")</f>
        <v>4.3659000000000008</v>
      </c>
      <c r="X41" s="227">
        <f>IFERROR(('Activity Data Rep. Mauritius'!P40*'Activity Data Rep. Mauritius'!$J40*'Activity Data Rep. Mauritius'!$F40)/1000,"NA")</f>
        <v>4.6084499999999995</v>
      </c>
      <c r="Y41" s="227">
        <f>IFERROR(('Activity Data Rep. Mauritius'!Q40*'Activity Data Rep. Mauritius'!$J40*'Activity Data Rep. Mauritius'!$F40)/1000,"NA")</f>
        <v>4.8730500000000001</v>
      </c>
      <c r="Z41" s="227">
        <f>IFERROR(('Activity Data Rep. Mauritius'!R40*'Activity Data Rep. Mauritius'!$J40*'Activity Data Rep. Mauritius'!$F40)/1000,"NA")</f>
        <v>5.0494500000000002</v>
      </c>
      <c r="AA41" s="227">
        <f>IFERROR(('Activity Data Rep. Mauritius'!S40*'Activity Data Rep. Mauritius'!$J40*'Activity Data Rep. Mauritius'!$F40)/1000,"NA")</f>
        <v>5.2038000000000002</v>
      </c>
      <c r="AB41" s="227">
        <f>IFERROR(('Activity Data Rep. Mauritius'!T40*'Activity Data Rep. Mauritius'!$J40*'Activity Data Rep. Mauritius'!$F40)/1000,"NA")</f>
        <v>5.5125000000000002</v>
      </c>
      <c r="AC41" s="227">
        <f>IFERROR(('Activity Data Rep. Mauritius'!U40*'Activity Data Rep. Mauritius'!$J40*'Activity Data Rep. Mauritius'!$F40)/1000,"NA")</f>
        <v>5.5566000000000004</v>
      </c>
      <c r="AD41" s="227">
        <f>IFERROR(('Activity Data Rep. Mauritius'!V40*'Activity Data Rep. Mauritius'!$J40*'Activity Data Rep. Mauritius'!$F40)/1000,"NA")</f>
        <v>4.5864000000000003</v>
      </c>
      <c r="AE41" s="227">
        <f>IFERROR(('Activity Data Rep. Mauritius'!W40*'Activity Data Rep. Mauritius'!$J40*'Activity Data Rep. Mauritius'!$F40)/1000,"NA")</f>
        <v>5.0494500000000002</v>
      </c>
      <c r="AF41" s="227">
        <f>IFERROR(('Activity Data Rep. Mauritius'!X40*'Activity Data Rep. Mauritius'!$J40*'Activity Data Rep. Mauritius'!$F40)/1000,"NA")</f>
        <v>5.3361000000000001</v>
      </c>
      <c r="AG41" s="227">
        <f>IFERROR(('Activity Data Rep. Mauritius'!Y40*'Activity Data Rep. Mauritius'!$J40*'Activity Data Rep. Mauritius'!$F40)/1000,"NA")</f>
        <v>5.4904500000000001</v>
      </c>
      <c r="AH41" s="227">
        <f>IFERROR(('Activity Data Rep. Mauritius'!Z40*'Activity Data Rep. Mauritius'!$J40*'Activity Data Rep. Mauritius'!$F40)/1000,"NA")</f>
        <v>5.0715000000000003</v>
      </c>
      <c r="AI41" s="227">
        <f>IFERROR(('Activity Data Rep. Mauritius'!AA40*'Activity Data Rep. Mauritius'!$J40*'Activity Data Rep. Mauritius'!$F40)/1000,"NA")</f>
        <v>5.3361000000000001</v>
      </c>
      <c r="AJ41" s="227">
        <f>IFERROR(('Activity Data Rep. Mauritius'!AB40*'Activity Data Rep. Mauritius'!$J40*'Activity Data Rep. Mauritius'!$F40)/1000,"NA")</f>
        <v>5.7109499999999995</v>
      </c>
      <c r="AK41" s="228">
        <f>IFERROR(('Activity Data Rep. Mauritius'!AC40*'Activity Data Rep. Mauritius'!$J40*'Activity Data Rep. Mauritius'!$F40)/1000,"NA")</f>
        <v>6.41655</v>
      </c>
      <c r="AL41" s="508">
        <f>IFERROR(('Activity Data Rep. Mauritius'!M40*'Activity Data Rep. Mauritius'!$J40*'Activity Data Rep. Mauritius'!$G40)/1000,"NA")</f>
        <v>16.9344</v>
      </c>
      <c r="AM41" s="227">
        <f>IFERROR(('Activity Data Rep. Mauritius'!N40*'Activity Data Rep. Mauritius'!$J40*'Activity Data Rep. Mauritius'!$G40)/1000,"NA")</f>
        <v>17.287200000000002</v>
      </c>
      <c r="AN41" s="227">
        <f>IFERROR(('Activity Data Rep. Mauritius'!O40*'Activity Data Rep. Mauritius'!$J40*'Activity Data Rep. Mauritius'!$G40)/1000,"NA")</f>
        <v>17.463600000000003</v>
      </c>
      <c r="AO41" s="227">
        <f>IFERROR(('Activity Data Rep. Mauritius'!P40*'Activity Data Rep. Mauritius'!$J40*'Activity Data Rep. Mauritius'!$G40)/1000,"NA")</f>
        <v>18.433799999999998</v>
      </c>
      <c r="AP41" s="227">
        <f>IFERROR(('Activity Data Rep. Mauritius'!Q40*'Activity Data Rep. Mauritius'!$J40*'Activity Data Rep. Mauritius'!$G40)/1000,"NA")</f>
        <v>19.4922</v>
      </c>
      <c r="AQ41" s="227">
        <f>IFERROR(('Activity Data Rep. Mauritius'!R40*'Activity Data Rep. Mauritius'!$J40*'Activity Data Rep. Mauritius'!$G40)/1000,"NA")</f>
        <v>20.197800000000001</v>
      </c>
      <c r="AR41" s="227">
        <f>IFERROR(('Activity Data Rep. Mauritius'!S40*'Activity Data Rep. Mauritius'!$J40*'Activity Data Rep. Mauritius'!$G40)/1000,"NA")</f>
        <v>20.815200000000001</v>
      </c>
      <c r="AS41" s="227">
        <f>IFERROR(('Activity Data Rep. Mauritius'!T40*'Activity Data Rep. Mauritius'!$J40*'Activity Data Rep. Mauritius'!$G40)/1000,"NA")</f>
        <v>22.05</v>
      </c>
      <c r="AT41" s="227">
        <f>IFERROR(('Activity Data Rep. Mauritius'!U40*'Activity Data Rep. Mauritius'!$J40*'Activity Data Rep. Mauritius'!$G40)/1000,"NA")</f>
        <v>22.226400000000002</v>
      </c>
      <c r="AU41" s="227">
        <f>IFERROR(('Activity Data Rep. Mauritius'!V40*'Activity Data Rep. Mauritius'!$J40*'Activity Data Rep. Mauritius'!$G40)/1000,"NA")</f>
        <v>18.345600000000001</v>
      </c>
      <c r="AV41" s="227">
        <f>IFERROR(('Activity Data Rep. Mauritius'!W40*'Activity Data Rep. Mauritius'!$J40*'Activity Data Rep. Mauritius'!$G40)/1000,"NA")</f>
        <v>20.197800000000001</v>
      </c>
      <c r="AW41" s="227">
        <f>IFERROR(('Activity Data Rep. Mauritius'!X40*'Activity Data Rep. Mauritius'!$J40*'Activity Data Rep. Mauritius'!$G40)/1000,"NA")</f>
        <v>21.3444</v>
      </c>
      <c r="AX41" s="227">
        <f>IFERROR(('Activity Data Rep. Mauritius'!Y40*'Activity Data Rep. Mauritius'!$J40*'Activity Data Rep. Mauritius'!$G40)/1000,"NA")</f>
        <v>21.9618</v>
      </c>
      <c r="AY41" s="227">
        <f>IFERROR(('Activity Data Rep. Mauritius'!Z40*'Activity Data Rep. Mauritius'!$J40*'Activity Data Rep. Mauritius'!$G40)/1000,"NA")</f>
        <v>20.286000000000001</v>
      </c>
      <c r="AZ41" s="227">
        <f>IFERROR(('Activity Data Rep. Mauritius'!AA40*'Activity Data Rep. Mauritius'!$J40*'Activity Data Rep. Mauritius'!$G40)/1000,"NA")</f>
        <v>21.3444</v>
      </c>
      <c r="BA41" s="227">
        <f>IFERROR(('Activity Data Rep. Mauritius'!AB40*'Activity Data Rep. Mauritius'!$J40*'Activity Data Rep. Mauritius'!$G40)/1000,"NA")</f>
        <v>22.843799999999998</v>
      </c>
      <c r="BB41" s="228">
        <f>IFERROR(('Activity Data Rep. Mauritius'!AC40*'Activity Data Rep. Mauritius'!$J40*'Activity Data Rep. Mauritius'!$G40)/1000,"NA")</f>
        <v>25.6662</v>
      </c>
      <c r="BC41" s="229"/>
      <c r="BD41" s="227"/>
      <c r="BE41" s="227"/>
      <c r="BF41" s="227"/>
      <c r="BG41" s="227"/>
      <c r="BH41" s="227"/>
      <c r="BI41" s="227"/>
      <c r="BJ41" s="227"/>
      <c r="BK41" s="227"/>
      <c r="BL41" s="227"/>
      <c r="BM41" s="227"/>
      <c r="BN41" s="227"/>
      <c r="BO41" s="227"/>
      <c r="BP41" s="227"/>
      <c r="BQ41" s="227"/>
      <c r="BR41" s="227"/>
      <c r="BS41" s="228"/>
    </row>
    <row r="42" spans="2:71" x14ac:dyDescent="0.35">
      <c r="B42" s="239" t="s">
        <v>457</v>
      </c>
      <c r="C42" s="360" t="s">
        <v>22</v>
      </c>
      <c r="D42" s="85">
        <f>IFERROR(('Activity Data Rep. Mauritius'!M41*'Activity Data Rep. Mauritius'!$J41*'Activity Data Rep. Mauritius'!$E41)/1000,"NA")</f>
        <v>4770.9873671404466</v>
      </c>
      <c r="E42" s="39">
        <f>IFERROR(('Activity Data Rep. Mauritius'!N41*'Activity Data Rep. Mauritius'!$J41*'Activity Data Rep. Mauritius'!$E41)/1000,"NA")</f>
        <v>5054.2634505609994</v>
      </c>
      <c r="F42" s="39">
        <f>IFERROR(('Activity Data Rep. Mauritius'!O41*'Activity Data Rep. Mauritius'!$J41*'Activity Data Rep. Mauritius'!$E41)/1000,"NA")</f>
        <v>5912.6411616368578</v>
      </c>
      <c r="G42" s="39">
        <f>IFERROR(('Activity Data Rep. Mauritius'!P41*'Activity Data Rep. Mauritius'!$J41*'Activity Data Rep. Mauritius'!$E41)/1000,"NA")</f>
        <v>6291.6434476400027</v>
      </c>
      <c r="H42" s="39">
        <f>IFERROR(('Activity Data Rep. Mauritius'!Q41*'Activity Data Rep. Mauritius'!$J41*'Activity Data Rep. Mauritius'!$E41)/1000,"NA")</f>
        <v>6013.8581386702153</v>
      </c>
      <c r="I42" s="39">
        <f>IFERROR(('Activity Data Rep. Mauritius'!R41*'Activity Data Rep. Mauritius'!$J41*'Activity Data Rep. Mauritius'!$E41)/1000,"NA")</f>
        <v>5386.5961027862904</v>
      </c>
      <c r="J42" s="39">
        <f>IFERROR(('Activity Data Rep. Mauritius'!S41*'Activity Data Rep. Mauritius'!$J41*'Activity Data Rep. Mauritius'!$E41)/1000,"NA")</f>
        <v>5587.2429388074534</v>
      </c>
      <c r="K42" s="39">
        <f>IFERROR(('Activity Data Rep. Mauritius'!T41*'Activity Data Rep. Mauritius'!$J41*'Activity Data Rep. Mauritius'!$E41)/1000,"NA")</f>
        <v>6251.387886758177</v>
      </c>
      <c r="L42" s="39">
        <f>IFERROR(('Activity Data Rep. Mauritius'!U41*'Activity Data Rep. Mauritius'!$J41*'Activity Data Rep. Mauritius'!$E41)/1000,"NA")</f>
        <v>5590.4441392799999</v>
      </c>
      <c r="M42" s="39">
        <f>IFERROR(('Activity Data Rep. Mauritius'!V41*'Activity Data Rep. Mauritius'!$J41*'Activity Data Rep. Mauritius'!$E41)/1000,"NA")</f>
        <v>4252.095087239999</v>
      </c>
      <c r="N42" s="39">
        <f>IFERROR(('Activity Data Rep. Mauritius'!W41*'Activity Data Rep. Mauritius'!$J41*'Activity Data Rep. Mauritius'!$E41)/1000,"NA")</f>
        <v>5815.4662365799995</v>
      </c>
      <c r="O42" s="39">
        <f>IFERROR(('Activity Data Rep. Mauritius'!X41*'Activity Data Rep. Mauritius'!$J41*'Activity Data Rep. Mauritius'!$E41)/1000,"NA")</f>
        <v>6338.599572305</v>
      </c>
      <c r="P42" s="39">
        <f>IFERROR(('Activity Data Rep. Mauritius'!Y41*'Activity Data Rep. Mauritius'!$J41*'Activity Data Rep. Mauritius'!$E41)/1000,"NA")</f>
        <v>6730.8451610399998</v>
      </c>
      <c r="Q42" s="39">
        <f>IFERROR(('Activity Data Rep. Mauritius'!Z41*'Activity Data Rep. Mauritius'!$J41*'Activity Data Rep. Mauritius'!$E41)/1000,"NA")</f>
        <v>6913.0276164949992</v>
      </c>
      <c r="R42" s="39">
        <f>IFERROR(('Activity Data Rep. Mauritius'!AA41*'Activity Data Rep. Mauritius'!$J41*'Activity Data Rep. Mauritius'!$E41)/1000,"NA")</f>
        <v>7142.0445095999994</v>
      </c>
      <c r="S42" s="39">
        <f>IFERROR(('Activity Data Rep. Mauritius'!AB41*'Activity Data Rep. Mauritius'!$J41*'Activity Data Rep. Mauritius'!$E41)/1000,"NA")</f>
        <v>8487.5956715549983</v>
      </c>
      <c r="T42" s="86">
        <f>IFERROR(('Activity Data Rep. Mauritius'!AC41*'Activity Data Rep. Mauritius'!$J41*'Activity Data Rep. Mauritius'!$E41)/1000,"NA")</f>
        <v>9707.3283006700003</v>
      </c>
      <c r="U42" s="85">
        <f>IFERROR(('Activity Data Rep. Mauritius'!M41*'Activity Data Rep. Mauritius'!$J41*'Activity Data Rep. Mauritius'!$F41)/1000,"NA")</f>
        <v>3.3363548021961162E-2</v>
      </c>
      <c r="V42" s="39">
        <f>IFERROR(('Activity Data Rep. Mauritius'!N41*'Activity Data Rep. Mauritius'!$J41*'Activity Data Rep. Mauritius'!$F41)/1000,"NA")</f>
        <v>3.5344499654272721E-2</v>
      </c>
      <c r="W42" s="39">
        <f>IFERROR(('Activity Data Rep. Mauritius'!O41*'Activity Data Rep. Mauritius'!$J41*'Activity Data Rep. Mauritius'!$F41)/1000,"NA")</f>
        <v>4.1347140990467539E-2</v>
      </c>
      <c r="X42" s="39">
        <f>IFERROR(('Activity Data Rep. Mauritius'!P41*'Activity Data Rep. Mauritius'!$J41*'Activity Data Rep. Mauritius'!$F41)/1000,"NA")</f>
        <v>4.3997506626853165E-2</v>
      </c>
      <c r="Y42" s="39">
        <f>IFERROR(('Activity Data Rep. Mauritius'!Q41*'Activity Data Rep. Mauritius'!$J41*'Activity Data Rep. Mauritius'!$F41)/1000,"NA")</f>
        <v>4.2054952018672834E-2</v>
      </c>
      <c r="Z42" s="39">
        <f>IFERROR(('Activity Data Rep. Mauritius'!R41*'Activity Data Rep. Mauritius'!$J41*'Activity Data Rep. Mauritius'!$F41)/1000,"NA")</f>
        <v>3.7668504215288744E-2</v>
      </c>
      <c r="AA42" s="39">
        <f>IFERROR(('Activity Data Rep. Mauritius'!S41*'Activity Data Rep. Mauritius'!$J41*'Activity Data Rep. Mauritius'!$F41)/1000,"NA")</f>
        <v>3.9071628942709456E-2</v>
      </c>
      <c r="AB42" s="39">
        <f>IFERROR(('Activity Data Rep. Mauritius'!T41*'Activity Data Rep. Mauritius'!$J41*'Activity Data Rep. Mauritius'!$F41)/1000,"NA")</f>
        <v>4.3715999208099134E-2</v>
      </c>
      <c r="AC42" s="39">
        <f>IFERROR(('Activity Data Rep. Mauritius'!U41*'Activity Data Rep. Mauritius'!$J41*'Activity Data Rep. Mauritius'!$F41)/1000,"NA")</f>
        <v>3.9094014959999993E-2</v>
      </c>
      <c r="AD42" s="39">
        <f>IFERROR(('Activity Data Rep. Mauritius'!V41*'Activity Data Rep. Mauritius'!$J41*'Activity Data Rep. Mauritius'!$F41)/1000,"NA")</f>
        <v>2.9734930679999997E-2</v>
      </c>
      <c r="AE42" s="39">
        <f>IFERROR(('Activity Data Rep. Mauritius'!W41*'Activity Data Rep. Mauritius'!$J41*'Activity Data Rep. Mauritius'!$F41)/1000,"NA")</f>
        <v>4.0667596059999991E-2</v>
      </c>
      <c r="AF42" s="39">
        <f>IFERROR(('Activity Data Rep. Mauritius'!X41*'Activity Data Rep. Mauritius'!$J41*'Activity Data Rep. Mauritius'!$F41)/1000,"NA")</f>
        <v>4.4325871135E-2</v>
      </c>
      <c r="AG42" s="39">
        <f>IFERROR(('Activity Data Rep. Mauritius'!Y41*'Activity Data Rep. Mauritius'!$J41*'Activity Data Rep. Mauritius'!$F41)/1000,"NA")</f>
        <v>4.7068847279999999E-2</v>
      </c>
      <c r="AH42" s="39">
        <f>IFERROR(('Activity Data Rep. Mauritius'!Z41*'Activity Data Rep. Mauritius'!$J41*'Activity Data Rep. Mauritius'!$F41)/1000,"NA")</f>
        <v>4.8342850464999997E-2</v>
      </c>
      <c r="AI42" s="39">
        <f>IFERROR(('Activity Data Rep. Mauritius'!AA41*'Activity Data Rep. Mauritius'!$J41*'Activity Data Rep. Mauritius'!$F41)/1000,"NA")</f>
        <v>4.9944367199999992E-2</v>
      </c>
      <c r="AJ42" s="39">
        <f>IFERROR(('Activity Data Rep. Mauritius'!AB41*'Activity Data Rep. Mauritius'!$J41*'Activity Data Rep. Mauritius'!$F41)/1000,"NA")</f>
        <v>5.9353815884999987E-2</v>
      </c>
      <c r="AK42" s="86">
        <f>IFERROR(('Activity Data Rep. Mauritius'!AC41*'Activity Data Rep. Mauritius'!$J41*'Activity Data Rep. Mauritius'!$F41)/1000,"NA")</f>
        <v>6.7883414689999991E-2</v>
      </c>
      <c r="AL42" s="500">
        <f>IFERROR(('Activity Data Rep. Mauritius'!M41*'Activity Data Rep. Mauritius'!$J41*'Activity Data Rep. Mauritius'!$G41)/1000,"NA")</f>
        <v>0.13345419208784465</v>
      </c>
      <c r="AM42" s="39">
        <f>IFERROR(('Activity Data Rep. Mauritius'!N41*'Activity Data Rep. Mauritius'!$J41*'Activity Data Rep. Mauritius'!$G41)/1000,"NA")</f>
        <v>0.14137799861709088</v>
      </c>
      <c r="AN42" s="39">
        <f>IFERROR(('Activity Data Rep. Mauritius'!O41*'Activity Data Rep. Mauritius'!$J41*'Activity Data Rep. Mauritius'!$G41)/1000,"NA")</f>
        <v>0.16538856396187016</v>
      </c>
      <c r="AO42" s="39">
        <f>IFERROR(('Activity Data Rep. Mauritius'!P41*'Activity Data Rep. Mauritius'!$J41*'Activity Data Rep. Mauritius'!$G41)/1000,"NA")</f>
        <v>0.17599002650741266</v>
      </c>
      <c r="AP42" s="39">
        <f>IFERROR(('Activity Data Rep. Mauritius'!Q41*'Activity Data Rep. Mauritius'!$J41*'Activity Data Rep. Mauritius'!$G41)/1000,"NA")</f>
        <v>0.16821980807469133</v>
      </c>
      <c r="AQ42" s="39">
        <f>IFERROR(('Activity Data Rep. Mauritius'!R41*'Activity Data Rep. Mauritius'!$J41*'Activity Data Rep. Mauritius'!$G41)/1000,"NA")</f>
        <v>0.15067401686115497</v>
      </c>
      <c r="AR42" s="39">
        <f>IFERROR(('Activity Data Rep. Mauritius'!S41*'Activity Data Rep. Mauritius'!$J41*'Activity Data Rep. Mauritius'!$G41)/1000,"NA")</f>
        <v>0.15628651577083782</v>
      </c>
      <c r="AS42" s="39">
        <f>IFERROR(('Activity Data Rep. Mauritius'!T41*'Activity Data Rep. Mauritius'!$J41*'Activity Data Rep. Mauritius'!$G41)/1000,"NA")</f>
        <v>0.17486399683239653</v>
      </c>
      <c r="AT42" s="39">
        <f>IFERROR(('Activity Data Rep. Mauritius'!U41*'Activity Data Rep. Mauritius'!$J41*'Activity Data Rep. Mauritius'!$G41)/1000,"NA")</f>
        <v>0.15637605983999997</v>
      </c>
      <c r="AU42" s="39">
        <f>IFERROR(('Activity Data Rep. Mauritius'!V41*'Activity Data Rep. Mauritius'!$J41*'Activity Data Rep. Mauritius'!$G41)/1000,"NA")</f>
        <v>0.11893972271999999</v>
      </c>
      <c r="AV42" s="39">
        <f>IFERROR(('Activity Data Rep. Mauritius'!W41*'Activity Data Rep. Mauritius'!$J41*'Activity Data Rep. Mauritius'!$G41)/1000,"NA")</f>
        <v>0.16267038423999997</v>
      </c>
      <c r="AW42" s="39">
        <f>IFERROR(('Activity Data Rep. Mauritius'!X41*'Activity Data Rep. Mauritius'!$J41*'Activity Data Rep. Mauritius'!$G41)/1000,"NA")</f>
        <v>0.17730348454</v>
      </c>
      <c r="AX42" s="39">
        <f>IFERROR(('Activity Data Rep. Mauritius'!Y41*'Activity Data Rep. Mauritius'!$J41*'Activity Data Rep. Mauritius'!$G41)/1000,"NA")</f>
        <v>0.18827538912</v>
      </c>
      <c r="AY42" s="39">
        <f>IFERROR(('Activity Data Rep. Mauritius'!Z41*'Activity Data Rep. Mauritius'!$J41*'Activity Data Rep. Mauritius'!$G41)/1000,"NA")</f>
        <v>0.19337140185999999</v>
      </c>
      <c r="AZ42" s="39">
        <f>IFERROR(('Activity Data Rep. Mauritius'!AA41*'Activity Data Rep. Mauritius'!$J41*'Activity Data Rep. Mauritius'!$G41)/1000,"NA")</f>
        <v>0.19977746879999997</v>
      </c>
      <c r="BA42" s="39">
        <f>IFERROR(('Activity Data Rep. Mauritius'!AB41*'Activity Data Rep. Mauritius'!$J41*'Activity Data Rep. Mauritius'!$G41)/1000,"NA")</f>
        <v>0.23741526353999995</v>
      </c>
      <c r="BB42" s="86">
        <f>IFERROR(('Activity Data Rep. Mauritius'!AC41*'Activity Data Rep. Mauritius'!$J41*'Activity Data Rep. Mauritius'!$G41)/1000,"NA")</f>
        <v>0.27153365875999996</v>
      </c>
      <c r="BC42" s="85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86"/>
    </row>
    <row r="43" spans="2:71" x14ac:dyDescent="0.35">
      <c r="B43" s="644" t="s">
        <v>4</v>
      </c>
      <c r="C43" s="253" t="s">
        <v>540</v>
      </c>
      <c r="D43" s="87">
        <f>IFERROR(('Activity Data Rep. Mauritius'!M42*'Activity Data Rep. Mauritius'!$J42*'Activity Data Rep. Mauritius'!$E42)/1000,"NA")</f>
        <v>82751.268599999996</v>
      </c>
      <c r="E43" s="49">
        <f>IFERROR(('Activity Data Rep. Mauritius'!N42*'Activity Data Rep. Mauritius'!$J42*'Activity Data Rep. Mauritius'!$E42)/1000,"NA")</f>
        <v>86292.492991907508</v>
      </c>
      <c r="F43" s="49">
        <f>IFERROR(('Activity Data Rep. Mauritius'!O42*'Activity Data Rep. Mauritius'!$J42*'Activity Data Rep. Mauritius'!$E42)/1000,"NA")</f>
        <v>89914.423442774569</v>
      </c>
      <c r="G43" s="49">
        <f>IFERROR(('Activity Data Rep. Mauritius'!P42*'Activity Data Rep. Mauritius'!$J42*'Activity Data Rep. Mauritius'!$E42)/1000,"NA")</f>
        <v>93483.206001156068</v>
      </c>
      <c r="H43" s="49">
        <f>IFERROR(('Activity Data Rep. Mauritius'!Q42*'Activity Data Rep. Mauritius'!$J42*'Activity Data Rep. Mauritius'!$E42)/1000,"NA")</f>
        <v>98638.551572254335</v>
      </c>
      <c r="I43" s="49">
        <f>IFERROR(('Activity Data Rep. Mauritius'!R42*'Activity Data Rep. Mauritius'!$J42*'Activity Data Rep. Mauritius'!$E42)/1000,"NA")</f>
        <v>103343.12427745663</v>
      </c>
      <c r="J43" s="49">
        <f>IFERROR(('Activity Data Rep. Mauritius'!S42*'Activity Data Rep. Mauritius'!$J42*'Activity Data Rep. Mauritius'!$E42)/1000,"NA")</f>
        <v>108067.38138728324</v>
      </c>
      <c r="K43" s="49">
        <f>IFERROR(('Activity Data Rep. Mauritius'!T42*'Activity Data Rep. Mauritius'!$J42*'Activity Data Rep. Mauritius'!$E42)/1000,"NA")</f>
        <v>113043.59887630056</v>
      </c>
      <c r="L43" s="49">
        <f>IFERROR(('Activity Data Rep. Mauritius'!U42*'Activity Data Rep. Mauritius'!$J42*'Activity Data Rep. Mauritius'!$E42)/1000,"NA")</f>
        <v>118883.9617283237</v>
      </c>
      <c r="M43" s="49">
        <f>IFERROR(('Activity Data Rep. Mauritius'!V42*'Activity Data Rep. Mauritius'!$J42*'Activity Data Rep. Mauritius'!$E42)/1000,"NA")</f>
        <v>123996.00160924853</v>
      </c>
      <c r="N43" s="49">
        <f>IFERROR(('Activity Data Rep. Mauritius'!W42*'Activity Data Rep. Mauritius'!$J42*'Activity Data Rep. Mauritius'!$E42)/1000,"NA")</f>
        <v>129946.59712716765</v>
      </c>
      <c r="O43" s="49">
        <f>IFERROR(('Activity Data Rep. Mauritius'!X42*'Activity Data Rep. Mauritius'!$J42*'Activity Data Rep. Mauritius'!$E42)/1000,"NA")</f>
        <v>135635.39006358382</v>
      </c>
      <c r="P43" s="49">
        <f>IFERROR(('Activity Data Rep. Mauritius'!Y42*'Activity Data Rep. Mauritius'!$J42*'Activity Data Rep. Mauritius'!$E42)/1000,"NA")</f>
        <v>142745.3970138728</v>
      </c>
      <c r="Q43" s="49">
        <f>IFERROR(('Activity Data Rep. Mauritius'!Z42*'Activity Data Rep. Mauritius'!$J42*'Activity Data Rep. Mauritius'!$E42)/1000,"NA")</f>
        <v>150052.24801040458</v>
      </c>
      <c r="R43" s="49">
        <f>IFERROR(('Activity Data Rep. Mauritius'!AA42*'Activity Data Rep. Mauritius'!$J42*'Activity Data Rep. Mauritius'!$E42)/1000,"NA")</f>
        <v>131510.2672032204</v>
      </c>
      <c r="S43" s="49">
        <f>IFERROR(('Activity Data Rep. Mauritius'!AB42*'Activity Data Rep. Mauritius'!$J42*'Activity Data Rep. Mauritius'!$E42)/1000,"NA")</f>
        <v>172598.7571259641</v>
      </c>
      <c r="T43" s="88">
        <f>IFERROR(('Activity Data Rep. Mauritius'!AC42*'Activity Data Rep. Mauritius'!$J42*'Activity Data Rep. Mauritius'!$E42)/1000,"NA")</f>
        <v>207068.42557353337</v>
      </c>
      <c r="U43" s="87">
        <f>IFERROR(('Activity Data Rep. Mauritius'!M42*'Activity Data Rep. Mauritius'!$J42*'Activity Data Rep. Mauritius'!$F42)/1000,"NA")</f>
        <v>39.405365999999994</v>
      </c>
      <c r="V43" s="49">
        <f>IFERROR(('Activity Data Rep. Mauritius'!N42*'Activity Data Rep. Mauritius'!$J42*'Activity Data Rep. Mauritius'!$F42)/1000,"NA")</f>
        <v>41.091663329479765</v>
      </c>
      <c r="W43" s="49">
        <f>IFERROR(('Activity Data Rep. Mauritius'!O42*'Activity Data Rep. Mauritius'!$J42*'Activity Data Rep. Mauritius'!$F42)/1000,"NA")</f>
        <v>42.816392115606931</v>
      </c>
      <c r="X43" s="49">
        <f>IFERROR(('Activity Data Rep. Mauritius'!P42*'Activity Data Rep. Mauritius'!$J42*'Activity Data Rep. Mauritius'!$F42)/1000,"NA")</f>
        <v>44.51581238150289</v>
      </c>
      <c r="Y43" s="49">
        <f>IFERROR(('Activity Data Rep. Mauritius'!Q42*'Activity Data Rep. Mauritius'!$J42*'Activity Data Rep. Mauritius'!$F42)/1000,"NA")</f>
        <v>46.97073884393064</v>
      </c>
      <c r="Z43" s="49">
        <f>IFERROR(('Activity Data Rep. Mauritius'!R42*'Activity Data Rep. Mauritius'!$J42*'Activity Data Rep. Mauritius'!$F42)/1000,"NA")</f>
        <v>49.211011560693635</v>
      </c>
      <c r="AA43" s="49">
        <f>IFERROR(('Activity Data Rep. Mauritius'!S42*'Activity Data Rep. Mauritius'!$J42*'Activity Data Rep. Mauritius'!$F42)/1000,"NA")</f>
        <v>51.460657803468202</v>
      </c>
      <c r="AB43" s="49">
        <f>IFERROR(('Activity Data Rep. Mauritius'!T42*'Activity Data Rep. Mauritius'!$J42*'Activity Data Rep. Mauritius'!$F42)/1000,"NA")</f>
        <v>53.830285179190746</v>
      </c>
      <c r="AC43" s="49">
        <f>IFERROR(('Activity Data Rep. Mauritius'!U42*'Activity Data Rep. Mauritius'!$J42*'Activity Data Rep. Mauritius'!$F42)/1000,"NA")</f>
        <v>56.611410346820811</v>
      </c>
      <c r="AD43" s="49">
        <f>IFERROR(('Activity Data Rep. Mauritius'!V42*'Activity Data Rep. Mauritius'!$J42*'Activity Data Rep. Mauritius'!$F42)/1000,"NA")</f>
        <v>59.045715052023112</v>
      </c>
      <c r="AE43" s="49">
        <f>IFERROR(('Activity Data Rep. Mauritius'!W42*'Activity Data Rep. Mauritius'!$J42*'Activity Data Rep. Mauritius'!$F42)/1000,"NA")</f>
        <v>61.879331965317931</v>
      </c>
      <c r="AF43" s="49">
        <f>IFERROR(('Activity Data Rep. Mauritius'!X42*'Activity Data Rep. Mauritius'!$J42*'Activity Data Rep. Mauritius'!$F42)/1000,"NA")</f>
        <v>64.588280982658972</v>
      </c>
      <c r="AG43" s="49">
        <f>IFERROR(('Activity Data Rep. Mauritius'!Y42*'Activity Data Rep. Mauritius'!$J42*'Activity Data Rep. Mauritius'!$F42)/1000,"NA")</f>
        <v>67.973998578034681</v>
      </c>
      <c r="AH43" s="49">
        <f>IFERROR(('Activity Data Rep. Mauritius'!Z42*'Activity Data Rep. Mauritius'!$J42*'Activity Data Rep. Mauritius'!$F42)/1000,"NA")</f>
        <v>71.453451433525998</v>
      </c>
      <c r="AI43" s="49">
        <f>IFERROR(('Activity Data Rep. Mauritius'!AA42*'Activity Data Rep. Mauritius'!$J42*'Activity Data Rep. Mauritius'!$F42)/1000,"NA")</f>
        <v>62.62393676343828</v>
      </c>
      <c r="AJ43" s="49">
        <f>IFERROR(('Activity Data Rep. Mauritius'!AB42*'Activity Data Rep. Mauritius'!$J42*'Activity Data Rep. Mauritius'!$F42)/1000,"NA")</f>
        <v>82.189884345697195</v>
      </c>
      <c r="AK43" s="88">
        <f>IFERROR(('Activity Data Rep. Mauritius'!AC42*'Activity Data Rep. Mauritius'!$J42*'Activity Data Rep. Mauritius'!$F42)/1000,"NA")</f>
        <v>98.604012177873045</v>
      </c>
      <c r="AL43" s="500">
        <f>IFERROR(('Activity Data Rep. Mauritius'!M42*'Activity Data Rep. Mauritius'!$J42*'Activity Data Rep. Mauritius'!$G42)/1000,"NA")</f>
        <v>3.8211263999999998</v>
      </c>
      <c r="AM43" s="39">
        <f>IFERROR(('Activity Data Rep. Mauritius'!N42*'Activity Data Rep. Mauritius'!$J42*'Activity Data Rep. Mauritius'!$G42)/1000,"NA")</f>
        <v>3.9846461410404621</v>
      </c>
      <c r="AN43" s="39">
        <f>IFERROR(('Activity Data Rep. Mauritius'!O42*'Activity Data Rep. Mauritius'!$J42*'Activity Data Rep. Mauritius'!$G42)/1000,"NA")</f>
        <v>4.1518925687861277</v>
      </c>
      <c r="AO43" s="39">
        <f>IFERROR(('Activity Data Rep. Mauritius'!P42*'Activity Data Rep. Mauritius'!$J42*'Activity Data Rep. Mauritius'!$G42)/1000,"NA")</f>
        <v>4.3166848369942192</v>
      </c>
      <c r="AP43" s="39">
        <f>IFERROR(('Activity Data Rep. Mauritius'!Q42*'Activity Data Rep. Mauritius'!$J42*'Activity Data Rep. Mauritius'!$G42)/1000,"NA")</f>
        <v>4.5547383121387286</v>
      </c>
      <c r="AQ43" s="39">
        <f>IFERROR(('Activity Data Rep. Mauritius'!R42*'Activity Data Rep. Mauritius'!$J42*'Activity Data Rep. Mauritius'!$G42)/1000,"NA")</f>
        <v>4.7719768786127164</v>
      </c>
      <c r="AR43" s="39">
        <f>IFERROR(('Activity Data Rep. Mauritius'!S42*'Activity Data Rep. Mauritius'!$J42*'Activity Data Rep. Mauritius'!$G42)/1000,"NA")</f>
        <v>4.9901243930635841</v>
      </c>
      <c r="AS43" s="39">
        <f>IFERROR(('Activity Data Rep. Mauritius'!T42*'Activity Data Rep. Mauritius'!$J42*'Activity Data Rep. Mauritius'!$G42)/1000,"NA")</f>
        <v>5.2199064416184964</v>
      </c>
      <c r="AT43" s="39">
        <f>IFERROR(('Activity Data Rep. Mauritius'!U42*'Activity Data Rep. Mauritius'!$J42*'Activity Data Rep. Mauritius'!$G42)/1000,"NA")</f>
        <v>5.4895913063583821</v>
      </c>
      <c r="AU43" s="39">
        <f>IFERROR(('Activity Data Rep. Mauritius'!V42*'Activity Data Rep. Mauritius'!$J42*'Activity Data Rep. Mauritius'!$G42)/1000,"NA")</f>
        <v>5.725645095953757</v>
      </c>
      <c r="AV43" s="39">
        <f>IFERROR(('Activity Data Rep. Mauritius'!W42*'Activity Data Rep. Mauritius'!$J42*'Activity Data Rep. Mauritius'!$G42)/1000,"NA")</f>
        <v>6.0004200693641634</v>
      </c>
      <c r="AW43" s="39">
        <f>IFERROR(('Activity Data Rep. Mauritius'!X42*'Activity Data Rep. Mauritius'!$J42*'Activity Data Rep. Mauritius'!$G42)/1000,"NA")</f>
        <v>6.2631060346820817</v>
      </c>
      <c r="AX43" s="39">
        <f>IFERROR(('Activity Data Rep. Mauritius'!Y42*'Activity Data Rep. Mauritius'!$J42*'Activity Data Rep. Mauritius'!$G42)/1000,"NA")</f>
        <v>6.591418043930636</v>
      </c>
      <c r="AY43" s="39">
        <f>IFERROR(('Activity Data Rep. Mauritius'!Z42*'Activity Data Rep. Mauritius'!$J42*'Activity Data Rep. Mauritius'!$G42)/1000,"NA")</f>
        <v>6.9288195329479763</v>
      </c>
      <c r="AZ43" s="39">
        <f>IFERROR(('Activity Data Rep. Mauritius'!AA42*'Activity Data Rep. Mauritius'!$J42*'Activity Data Rep. Mauritius'!$G42)/1000,"NA")</f>
        <v>6.0726241710000757</v>
      </c>
      <c r="BA43" s="39">
        <f>IFERROR(('Activity Data Rep. Mauritius'!AB42*'Activity Data Rep. Mauritius'!$J42*'Activity Data Rep. Mauritius'!$G42)/1000,"NA")</f>
        <v>7.9699281789766978</v>
      </c>
      <c r="BB43" s="86">
        <f>IFERROR(('Activity Data Rep. Mauritius'!AC42*'Activity Data Rep. Mauritius'!$J42*'Activity Data Rep. Mauritius'!$G42)/1000,"NA")</f>
        <v>9.5616011808846579</v>
      </c>
      <c r="BC43" s="85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86"/>
    </row>
    <row r="44" spans="2:71" s="110" customFormat="1" x14ac:dyDescent="0.35">
      <c r="B44" s="644"/>
      <c r="C44" s="253" t="s">
        <v>541</v>
      </c>
      <c r="D44" s="87">
        <f>IFERROR(('Activity Data Rep. Mauritius'!M43*'Activity Data Rep. Mauritius'!$J43*'Activity Data Rep. Mauritius'!$E43)/1000,"NA")</f>
        <v>10903.473723761752</v>
      </c>
      <c r="E44" s="49">
        <f>IFERROR(('Activity Data Rep. Mauritius'!N43*'Activity Data Rep. Mauritius'!$J43*'Activity Data Rep. Mauritius'!$E43)/1000,"NA")</f>
        <v>11371.904496171992</v>
      </c>
      <c r="F44" s="49">
        <f>IFERROR(('Activity Data Rep. Mauritius'!O43*'Activity Data Rep. Mauritius'!$J43*'Activity Data Rep. Mauritius'!$E43)/1000,"NA")</f>
        <v>11850.301880761173</v>
      </c>
      <c r="G44" s="49">
        <f>IFERROR(('Activity Data Rep. Mauritius'!P43*'Activity Data Rep. Mauritius'!$J43*'Activity Data Rep. Mauritius'!$E43)/1000,"NA")</f>
        <v>12322.05485723106</v>
      </c>
      <c r="H44" s="49">
        <f>IFERROR(('Activity Data Rep. Mauritius'!Q43*'Activity Data Rep. Mauritius'!$J43*'Activity Data Rep. Mauritius'!$E43)/1000,"NA")</f>
        <v>13006.428893518359</v>
      </c>
      <c r="I44" s="49">
        <f>IFERROR(('Activity Data Rep. Mauritius'!R43*'Activity Data Rep. Mauritius'!$J43*'Activity Data Rep. Mauritius'!$E43)/1000,"NA")</f>
        <v>13624.358848612721</v>
      </c>
      <c r="J44" s="49">
        <f>IFERROR(('Activity Data Rep. Mauritius'!S43*'Activity Data Rep. Mauritius'!$J43*'Activity Data Rep. Mauritius'!$E43)/1000,"NA")</f>
        <v>14248.933211826372</v>
      </c>
      <c r="K44" s="49">
        <f>IFERROR(('Activity Data Rep. Mauritius'!T43*'Activity Data Rep. Mauritius'!$J43*'Activity Data Rep. Mauritius'!$E43)/1000,"NA")</f>
        <v>14910.051819696146</v>
      </c>
      <c r="L44" s="49">
        <f>IFERROR(('Activity Data Rep. Mauritius'!U43*'Activity Data Rep. Mauritius'!$J43*'Activity Data Rep. Mauritius'!$E43)/1000,"NA")</f>
        <v>15677.48095747462</v>
      </c>
      <c r="M44" s="49">
        <f>IFERROR(('Activity Data Rep. Mauritius'!V43*'Activity Data Rep. Mauritius'!$J43*'Activity Data Rep. Mauritius'!$E43)/1000,"NA")</f>
        <v>16351.888381582985</v>
      </c>
      <c r="N44" s="49">
        <f>IFERROR(('Activity Data Rep. Mauritius'!W43*'Activity Data Rep. Mauritius'!$J43*'Activity Data Rep. Mauritius'!$E43)/1000,"NA")</f>
        <v>17135.928539659697</v>
      </c>
      <c r="O44" s="49">
        <f>IFERROR(('Activity Data Rep. Mauritius'!X43*'Activity Data Rep. Mauritius'!$J43*'Activity Data Rep. Mauritius'!$E43)/1000,"NA")</f>
        <v>17886.746657139938</v>
      </c>
      <c r="P44" s="49">
        <f>IFERROR(('Activity Data Rep. Mauritius'!Y43*'Activity Data Rep. Mauritius'!$J43*'Activity Data Rep. Mauritius'!$E43)/1000,"NA")</f>
        <v>18823.608201960418</v>
      </c>
      <c r="Q44" s="49">
        <f>IFERROR(('Activity Data Rep. Mauritius'!Z43*'Activity Data Rep. Mauritius'!$J43*'Activity Data Rep. Mauritius'!$E43)/1000,"NA")</f>
        <v>19790.369583317719</v>
      </c>
      <c r="R44" s="49">
        <f>IFERROR(('Activity Data Rep. Mauritius'!AA43*'Activity Data Rep. Mauritius'!$J43*'Activity Data Rep. Mauritius'!$E43)/1000,"NA")</f>
        <v>15459.106312849299</v>
      </c>
      <c r="S44" s="49">
        <f>IFERROR(('Activity Data Rep. Mauritius'!AB43*'Activity Data Rep. Mauritius'!$J43*'Activity Data Rep. Mauritius'!$E43)/1000,"NA")</f>
        <v>17005.258509362979</v>
      </c>
      <c r="T44" s="88">
        <f>IFERROR(('Activity Data Rep. Mauritius'!AC43*'Activity Data Rep. Mauritius'!$J43*'Activity Data Rep. Mauritius'!$E43)/1000,"NA")</f>
        <v>23106.655192987469</v>
      </c>
      <c r="U44" s="87">
        <f>IFERROR(('Activity Data Rep. Mauritius'!M43*'Activity Data Rep. Mauritius'!$J43*'Activity Data Rep. Mauritius'!$F43)/1000,"NA")</f>
        <v>0.57386703809272377</v>
      </c>
      <c r="V44" s="49">
        <f>IFERROR(('Activity Data Rep. Mauritius'!N43*'Activity Data Rep. Mauritius'!$J43*'Activity Data Rep. Mauritius'!$F43)/1000,"NA")</f>
        <v>0.59852128927221004</v>
      </c>
      <c r="W44" s="49">
        <f>IFERROR(('Activity Data Rep. Mauritius'!O43*'Activity Data Rep. Mauritius'!$J43*'Activity Data Rep. Mauritius'!$F43)/1000,"NA")</f>
        <v>0.62370009898743017</v>
      </c>
      <c r="X44" s="49">
        <f>IFERROR(('Activity Data Rep. Mauritius'!P43*'Activity Data Rep. Mauritius'!$J43*'Activity Data Rep. Mauritius'!$F43)/1000,"NA")</f>
        <v>0.64852920301216099</v>
      </c>
      <c r="Y44" s="49">
        <f>IFERROR(('Activity Data Rep. Mauritius'!Q43*'Activity Data Rep. Mauritius'!$J43*'Activity Data Rep. Mauritius'!$F43)/1000,"NA")</f>
        <v>0.68454888913254519</v>
      </c>
      <c r="Z44" s="49">
        <f>IFERROR(('Activity Data Rep. Mauritius'!R43*'Activity Data Rep. Mauritius'!$J43*'Activity Data Rep. Mauritius'!$F43)/1000,"NA")</f>
        <v>0.71707151834803795</v>
      </c>
      <c r="AA44" s="49">
        <f>IFERROR(('Activity Data Rep. Mauritius'!S43*'Activity Data Rep. Mauritius'!$J43*'Activity Data Rep. Mauritius'!$F43)/1000,"NA")</f>
        <v>0.74994385325401958</v>
      </c>
      <c r="AB44" s="49">
        <f>IFERROR(('Activity Data Rep. Mauritius'!T43*'Activity Data Rep. Mauritius'!$J43*'Activity Data Rep. Mauritius'!$F43)/1000,"NA")</f>
        <v>0.78473956945769185</v>
      </c>
      <c r="AC44" s="49">
        <f>IFERROR(('Activity Data Rep. Mauritius'!U43*'Activity Data Rep. Mauritius'!$J43*'Activity Data Rep. Mauritius'!$F43)/1000,"NA")</f>
        <v>0.82513057670919043</v>
      </c>
      <c r="AD44" s="49">
        <f>IFERROR(('Activity Data Rep. Mauritius'!V43*'Activity Data Rep. Mauritius'!$J43*'Activity Data Rep. Mauritius'!$F43)/1000,"NA")</f>
        <v>0.86062570429384133</v>
      </c>
      <c r="AE44" s="49">
        <f>IFERROR(('Activity Data Rep. Mauritius'!W43*'Activity Data Rep. Mauritius'!$J43*'Activity Data Rep. Mauritius'!$F43)/1000,"NA")</f>
        <v>0.90189097577156296</v>
      </c>
      <c r="AF44" s="49">
        <f>IFERROR(('Activity Data Rep. Mauritius'!X43*'Activity Data Rep. Mauritius'!$J43*'Activity Data Rep. Mauritius'!$F43)/1000,"NA")</f>
        <v>0.94140771879683882</v>
      </c>
      <c r="AG44" s="49">
        <f>IFERROR(('Activity Data Rep. Mauritius'!Y43*'Activity Data Rep. Mauritius'!$J43*'Activity Data Rep. Mauritius'!$F43)/1000,"NA")</f>
        <v>0.99071622115581148</v>
      </c>
      <c r="AH44" s="49">
        <f>IFERROR(('Activity Data Rep. Mauritius'!Z43*'Activity Data Rep. Mauritius'!$J43*'Activity Data Rep. Mauritius'!$F43)/1000,"NA")</f>
        <v>1.0415983991219853</v>
      </c>
      <c r="AI44" s="49">
        <f>IFERROR(('Activity Data Rep. Mauritius'!AA43*'Activity Data Rep. Mauritius'!$J43*'Activity Data Rep. Mauritius'!$F43)/1000,"NA")</f>
        <v>0.81363717436048932</v>
      </c>
      <c r="AJ44" s="49">
        <f>IFERROR(('Activity Data Rep. Mauritius'!AB43*'Activity Data Rep. Mauritius'!$J43*'Activity Data Rep. Mauritius'!$F43)/1000,"NA")</f>
        <v>0.89501360575594602</v>
      </c>
      <c r="AK44" s="88">
        <f>IFERROR(('Activity Data Rep. Mauritius'!AC43*'Activity Data Rep. Mauritius'!$J43*'Activity Data Rep. Mauritius'!$F43)/1000,"NA")</f>
        <v>1.2161397469993402</v>
      </c>
      <c r="AL44" s="500">
        <f>IFERROR(('Activity Data Rep. Mauritius'!M43*'Activity Data Rep. Mauritius'!$J43*'Activity Data Rep. Mauritius'!$G43)/1000,"NA")</f>
        <v>0.57386703809272377</v>
      </c>
      <c r="AM44" s="39">
        <f>IFERROR(('Activity Data Rep. Mauritius'!N43*'Activity Data Rep. Mauritius'!$J43*'Activity Data Rep. Mauritius'!$G43)/1000,"NA")</f>
        <v>0.59852128927221004</v>
      </c>
      <c r="AN44" s="39">
        <f>IFERROR(('Activity Data Rep. Mauritius'!O43*'Activity Data Rep. Mauritius'!$J43*'Activity Data Rep. Mauritius'!$G43)/1000,"NA")</f>
        <v>0.62370009898743017</v>
      </c>
      <c r="AO44" s="39">
        <f>IFERROR(('Activity Data Rep. Mauritius'!P43*'Activity Data Rep. Mauritius'!$J43*'Activity Data Rep. Mauritius'!$G43)/1000,"NA")</f>
        <v>0.64852920301216099</v>
      </c>
      <c r="AP44" s="39">
        <f>IFERROR(('Activity Data Rep. Mauritius'!Q43*'Activity Data Rep. Mauritius'!$J43*'Activity Data Rep. Mauritius'!$G43)/1000,"NA")</f>
        <v>0.68454888913254519</v>
      </c>
      <c r="AQ44" s="39">
        <f>IFERROR(('Activity Data Rep. Mauritius'!R43*'Activity Data Rep. Mauritius'!$J43*'Activity Data Rep. Mauritius'!$G43)/1000,"NA")</f>
        <v>0.71707151834803795</v>
      </c>
      <c r="AR44" s="39">
        <f>IFERROR(('Activity Data Rep. Mauritius'!S43*'Activity Data Rep. Mauritius'!$J43*'Activity Data Rep. Mauritius'!$G43)/1000,"NA")</f>
        <v>0.74994385325401958</v>
      </c>
      <c r="AS44" s="39">
        <f>IFERROR(('Activity Data Rep. Mauritius'!T43*'Activity Data Rep. Mauritius'!$J43*'Activity Data Rep. Mauritius'!$G43)/1000,"NA")</f>
        <v>0.78473956945769185</v>
      </c>
      <c r="AT44" s="39">
        <f>IFERROR(('Activity Data Rep. Mauritius'!U43*'Activity Data Rep. Mauritius'!$J43*'Activity Data Rep. Mauritius'!$G43)/1000,"NA")</f>
        <v>0.82513057670919043</v>
      </c>
      <c r="AU44" s="39">
        <f>IFERROR(('Activity Data Rep. Mauritius'!V43*'Activity Data Rep. Mauritius'!$J43*'Activity Data Rep. Mauritius'!$G43)/1000,"NA")</f>
        <v>0.86062570429384133</v>
      </c>
      <c r="AV44" s="39">
        <f>IFERROR(('Activity Data Rep. Mauritius'!W43*'Activity Data Rep. Mauritius'!$J43*'Activity Data Rep. Mauritius'!$G43)/1000,"NA")</f>
        <v>0.90189097577156296</v>
      </c>
      <c r="AW44" s="39">
        <f>IFERROR(('Activity Data Rep. Mauritius'!X43*'Activity Data Rep. Mauritius'!$J43*'Activity Data Rep. Mauritius'!$G43)/1000,"NA")</f>
        <v>0.94140771879683882</v>
      </c>
      <c r="AX44" s="39">
        <f>IFERROR(('Activity Data Rep. Mauritius'!Y43*'Activity Data Rep. Mauritius'!$J43*'Activity Data Rep. Mauritius'!$G43)/1000,"NA")</f>
        <v>0.99071622115581148</v>
      </c>
      <c r="AY44" s="39">
        <f>IFERROR(('Activity Data Rep. Mauritius'!Z43*'Activity Data Rep. Mauritius'!$J43*'Activity Data Rep. Mauritius'!$G43)/1000,"NA")</f>
        <v>1.0415983991219853</v>
      </c>
      <c r="AZ44" s="39">
        <f>IFERROR(('Activity Data Rep. Mauritius'!AA43*'Activity Data Rep. Mauritius'!$J43*'Activity Data Rep. Mauritius'!$G43)/1000,"NA")</f>
        <v>0.81363717436048932</v>
      </c>
      <c r="BA44" s="39">
        <f>IFERROR(('Activity Data Rep. Mauritius'!AB43*'Activity Data Rep. Mauritius'!$J43*'Activity Data Rep. Mauritius'!$G43)/1000,"NA")</f>
        <v>0.89501360575594602</v>
      </c>
      <c r="BB44" s="86">
        <f>IFERROR(('Activity Data Rep. Mauritius'!AC43*'Activity Data Rep. Mauritius'!$J43*'Activity Data Rep. Mauritius'!$G43)/1000,"NA")</f>
        <v>1.2161397469993402</v>
      </c>
      <c r="BC44" s="85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86"/>
    </row>
    <row r="45" spans="2:71" s="110" customFormat="1" x14ac:dyDescent="0.35">
      <c r="B45" s="644"/>
      <c r="C45" s="253" t="s">
        <v>542</v>
      </c>
      <c r="D45" s="87">
        <f>IFERROR(('Activity Data Rep. Mauritius'!M44*'Activity Data Rep. Mauritius'!$J44*'Activity Data Rep. Mauritius'!$E44)/1000,"NA")</f>
        <v>75.824853525622913</v>
      </c>
      <c r="E45" s="49">
        <f>IFERROR(('Activity Data Rep. Mauritius'!N44*'Activity Data Rep. Mauritius'!$J44*'Activity Data Rep. Mauritius'!$E44)/1000,"NA")</f>
        <v>79.923494256737655</v>
      </c>
      <c r="F45" s="49">
        <f>IFERROR(('Activity Data Rep. Mauritius'!O44*'Activity Data Rep. Mauritius'!$J44*'Activity Data Rep. Mauritius'!$E44)/1000,"NA")</f>
        <v>84.022134987852411</v>
      </c>
      <c r="G45" s="49">
        <f>IFERROR(('Activity Data Rep. Mauritius'!P44*'Activity Data Rep. Mauritius'!$J44*'Activity Data Rep. Mauritius'!$E44)/1000,"NA")</f>
        <v>86.071455353409789</v>
      </c>
      <c r="H45" s="49">
        <f>IFERROR(('Activity Data Rep. Mauritius'!Q44*'Activity Data Rep. Mauritius'!$J44*'Activity Data Rep. Mauritius'!$E44)/1000,"NA")</f>
        <v>90.170096084524545</v>
      </c>
      <c r="I45" s="49">
        <f>IFERROR(('Activity Data Rep. Mauritius'!R44*'Activity Data Rep. Mauritius'!$J44*'Activity Data Rep. Mauritius'!$E44)/1000,"NA")</f>
        <v>96.318057181196679</v>
      </c>
      <c r="J45" s="49">
        <f>IFERROR(('Activity Data Rep. Mauritius'!S44*'Activity Data Rep. Mauritius'!$J44*'Activity Data Rep. Mauritius'!$E44)/1000,"NA")</f>
        <v>100.41669791231143</v>
      </c>
      <c r="K45" s="49">
        <f>IFERROR(('Activity Data Rep. Mauritius'!T44*'Activity Data Rep. Mauritius'!$J44*'Activity Data Rep. Mauritius'!$E44)/1000,"NA")</f>
        <v>104.51533864342618</v>
      </c>
      <c r="L45" s="49">
        <f>IFERROR(('Activity Data Rep. Mauritius'!U44*'Activity Data Rep. Mauritius'!$J44*'Activity Data Rep. Mauritius'!$E44)/1000,"NA")</f>
        <v>110.6632997400983</v>
      </c>
      <c r="M45" s="49">
        <f>IFERROR(('Activity Data Rep. Mauritius'!V44*'Activity Data Rep. Mauritius'!$J44*'Activity Data Rep. Mauritius'!$E44)/1000,"NA")</f>
        <v>114.76194047121307</v>
      </c>
      <c r="N45" s="49">
        <f>IFERROR(('Activity Data Rep. Mauritius'!W44*'Activity Data Rep. Mauritius'!$J44*'Activity Data Rep. Mauritius'!$E44)/1000,"NA")</f>
        <v>120.90990156788519</v>
      </c>
      <c r="O45" s="49">
        <f>IFERROR(('Activity Data Rep. Mauritius'!X44*'Activity Data Rep. Mauritius'!$J44*'Activity Data Rep. Mauritius'!$E44)/1000,"NA")</f>
        <v>125.00854229899996</v>
      </c>
      <c r="P45" s="49">
        <f>IFERROR(('Activity Data Rep. Mauritius'!Y44*'Activity Data Rep. Mauritius'!$J44*'Activity Data Rep. Mauritius'!$E44)/1000,"NA")</f>
        <v>131.15650339567205</v>
      </c>
      <c r="Q45" s="49">
        <f>IFERROR(('Activity Data Rep. Mauritius'!Z44*'Activity Data Rep. Mauritius'!$J44*'Activity Data Rep. Mauritius'!$E44)/1000,"NA")</f>
        <v>139.35378485790156</v>
      </c>
      <c r="R45" s="49">
        <f>IFERROR(('Activity Data Rep. Mauritius'!AA44*'Activity Data Rep. Mauritius'!$J44*'Activity Data Rep. Mauritius'!$E44)/1000,"NA")</f>
        <v>241.20679275806768</v>
      </c>
      <c r="S45" s="49">
        <f>IFERROR(('Activity Data Rep. Mauritius'!AB44*'Activity Data Rep. Mauritius'!$J44*'Activity Data Rep. Mauritius'!$E44)/1000,"NA")</f>
        <v>29.318484623041591</v>
      </c>
      <c r="T45" s="88">
        <f>IFERROR(('Activity Data Rep. Mauritius'!AC44*'Activity Data Rep. Mauritius'!$J44*'Activity Data Rep. Mauritius'!$E44)/1000,"NA")</f>
        <v>34.492487011961884</v>
      </c>
      <c r="U45" s="87">
        <f>IFERROR(('Activity Data Rep. Mauritius'!M44*'Activity Data Rep. Mauritius'!$J44*'Activity Data Rep. Mauritius'!$F44)/1000,"NA")</f>
        <v>7.4503025651166718E-2</v>
      </c>
      <c r="V45" s="49">
        <f>IFERROR(('Activity Data Rep. Mauritius'!N44*'Activity Data Rep. Mauritius'!$J44*'Activity Data Rep. Mauritius'!$F44)/1000,"NA")</f>
        <v>7.8530216226905467E-2</v>
      </c>
      <c r="W45" s="49">
        <f>IFERROR(('Activity Data Rep. Mauritius'!O44*'Activity Data Rep. Mauritius'!$J44*'Activity Data Rep. Mauritius'!$F44)/1000,"NA")</f>
        <v>8.2557406802644215E-2</v>
      </c>
      <c r="X45" s="49">
        <f>IFERROR(('Activity Data Rep. Mauritius'!P44*'Activity Data Rep. Mauritius'!$J44*'Activity Data Rep. Mauritius'!$F44)/1000,"NA")</f>
        <v>8.4571002090513589E-2</v>
      </c>
      <c r="Y45" s="49">
        <f>IFERROR(('Activity Data Rep. Mauritius'!Q44*'Activity Data Rep. Mauritius'!$J44*'Activity Data Rep. Mauritius'!$F44)/1000,"NA")</f>
        <v>8.8598192666252323E-2</v>
      </c>
      <c r="Z45" s="49">
        <f>IFERROR(('Activity Data Rep. Mauritius'!R44*'Activity Data Rep. Mauritius'!$J44*'Activity Data Rep. Mauritius'!$F44)/1000,"NA")</f>
        <v>9.4638978529860432E-2</v>
      </c>
      <c r="AA45" s="49">
        <f>IFERROR(('Activity Data Rep. Mauritius'!S44*'Activity Data Rep. Mauritius'!$J44*'Activity Data Rep. Mauritius'!$F44)/1000,"NA")</f>
        <v>9.866616910559918E-2</v>
      </c>
      <c r="AB45" s="49">
        <f>IFERROR(('Activity Data Rep. Mauritius'!T44*'Activity Data Rep. Mauritius'!$J44*'Activity Data Rep. Mauritius'!$F44)/1000,"NA")</f>
        <v>0.10269335968133793</v>
      </c>
      <c r="AC45" s="49">
        <f>IFERROR(('Activity Data Rep. Mauritius'!U44*'Activity Data Rep. Mauritius'!$J44*'Activity Data Rep. Mauritius'!$F44)/1000,"NA")</f>
        <v>0.10873414554494604</v>
      </c>
      <c r="AD45" s="49">
        <f>IFERROR(('Activity Data Rep. Mauritius'!V44*'Activity Data Rep. Mauritius'!$J44*'Activity Data Rep. Mauritius'!$F44)/1000,"NA")</f>
        <v>0.11276133612068479</v>
      </c>
      <c r="AE45" s="49">
        <f>IFERROR(('Activity Data Rep. Mauritius'!W44*'Activity Data Rep. Mauritius'!$J44*'Activity Data Rep. Mauritius'!$F44)/1000,"NA")</f>
        <v>0.11880212198429289</v>
      </c>
      <c r="AF45" s="49">
        <f>IFERROR(('Activity Data Rep. Mauritius'!X44*'Activity Data Rep. Mauritius'!$J44*'Activity Data Rep. Mauritius'!$F44)/1000,"NA")</f>
        <v>0.12282931256003164</v>
      </c>
      <c r="AG45" s="49">
        <f>IFERROR(('Activity Data Rep. Mauritius'!Y44*'Activity Data Rep. Mauritius'!$J44*'Activity Data Rep. Mauritius'!$F44)/1000,"NA")</f>
        <v>0.12887009842363972</v>
      </c>
      <c r="AH45" s="49">
        <f>IFERROR(('Activity Data Rep. Mauritius'!Z44*'Activity Data Rep. Mauritius'!$J44*'Activity Data Rep. Mauritius'!$F44)/1000,"NA")</f>
        <v>0.13692447957511722</v>
      </c>
      <c r="AI45" s="49">
        <f>IFERROR(('Activity Data Rep. Mauritius'!AA44*'Activity Data Rep. Mauritius'!$J44*'Activity Data Rep. Mauritius'!$F44)/1000,"NA")</f>
        <v>0.23700191998415529</v>
      </c>
      <c r="AJ45" s="49">
        <f>IFERROR(('Activity Data Rep. Mauritius'!AB44*'Activity Data Rep. Mauritius'!$J44*'Activity Data Rep. Mauritius'!$F44)/1000,"NA")</f>
        <v>2.8807385841974301E-2</v>
      </c>
      <c r="AK45" s="88">
        <f>IFERROR(('Activity Data Rep. Mauritius'!AC44*'Activity Data Rep. Mauritius'!$J44*'Activity Data Rep. Mauritius'!$F44)/1000,"NA")</f>
        <v>3.3891191675778712E-2</v>
      </c>
      <c r="AL45" s="500">
        <f>IFERROR(('Activity Data Rep. Mauritius'!M44*'Activity Data Rep. Mauritius'!$J44*'Activity Data Rep. Mauritius'!$G44)/1000,"NA")</f>
        <v>2.4033234081021526E-4</v>
      </c>
      <c r="AM45" s="39">
        <f>IFERROR(('Activity Data Rep. Mauritius'!N44*'Activity Data Rep. Mauritius'!$J44*'Activity Data Rep. Mauritius'!$G44)/1000,"NA")</f>
        <v>2.5332327815130794E-4</v>
      </c>
      <c r="AN45" s="39">
        <f>IFERROR(('Activity Data Rep. Mauritius'!O44*'Activity Data Rep. Mauritius'!$J44*'Activity Data Rep. Mauritius'!$G44)/1000,"NA")</f>
        <v>2.663142154924007E-4</v>
      </c>
      <c r="AO45" s="39">
        <f>IFERROR(('Activity Data Rep. Mauritius'!P44*'Activity Data Rep. Mauritius'!$J44*'Activity Data Rep. Mauritius'!$G44)/1000,"NA")</f>
        <v>2.7280968416294705E-4</v>
      </c>
      <c r="AP45" s="39">
        <f>IFERROR(('Activity Data Rep. Mauritius'!Q44*'Activity Data Rep. Mauritius'!$J44*'Activity Data Rep. Mauritius'!$G44)/1000,"NA")</f>
        <v>2.8580062150403981E-4</v>
      </c>
      <c r="AQ45" s="39">
        <f>IFERROR(('Activity Data Rep. Mauritius'!R44*'Activity Data Rep. Mauritius'!$J44*'Activity Data Rep. Mauritius'!$G44)/1000,"NA")</f>
        <v>3.0528702751567887E-4</v>
      </c>
      <c r="AR45" s="39">
        <f>IFERROR(('Activity Data Rep. Mauritius'!S44*'Activity Data Rep. Mauritius'!$J44*'Activity Data Rep. Mauritius'!$G44)/1000,"NA")</f>
        <v>3.1827796485677158E-4</v>
      </c>
      <c r="AS45" s="39">
        <f>IFERROR(('Activity Data Rep. Mauritius'!T44*'Activity Data Rep. Mauritius'!$J44*'Activity Data Rep. Mauritius'!$G44)/1000,"NA")</f>
        <v>3.3126890219786434E-4</v>
      </c>
      <c r="AT45" s="39">
        <f>IFERROR(('Activity Data Rep. Mauritius'!U44*'Activity Data Rep. Mauritius'!$J44*'Activity Data Rep. Mauritius'!$G44)/1000,"NA")</f>
        <v>3.5075530820950334E-4</v>
      </c>
      <c r="AU45" s="39">
        <f>IFERROR(('Activity Data Rep. Mauritius'!V44*'Activity Data Rep. Mauritius'!$J44*'Activity Data Rep. Mauritius'!$G44)/1000,"NA")</f>
        <v>3.637462455505961E-4</v>
      </c>
      <c r="AV45" s="39">
        <f>IFERROR(('Activity Data Rep. Mauritius'!W44*'Activity Data Rep. Mauritius'!$J44*'Activity Data Rep. Mauritius'!$G44)/1000,"NA")</f>
        <v>3.8323265156223516E-4</v>
      </c>
      <c r="AW45" s="39">
        <f>IFERROR(('Activity Data Rep. Mauritius'!X44*'Activity Data Rep. Mauritius'!$J44*'Activity Data Rep. Mauritius'!$G44)/1000,"NA")</f>
        <v>3.9622358890332787E-4</v>
      </c>
      <c r="AX45" s="39">
        <f>IFERROR(('Activity Data Rep. Mauritius'!Y44*'Activity Data Rep. Mauritius'!$J44*'Activity Data Rep. Mauritius'!$G44)/1000,"NA")</f>
        <v>4.1570999491496693E-4</v>
      </c>
      <c r="AY45" s="39">
        <f>IFERROR(('Activity Data Rep. Mauritius'!Z44*'Activity Data Rep. Mauritius'!$J44*'Activity Data Rep. Mauritius'!$G44)/1000,"NA")</f>
        <v>4.4169186959715239E-4</v>
      </c>
      <c r="AZ45" s="39">
        <f>IFERROR(('Activity Data Rep. Mauritius'!AA44*'Activity Data Rep. Mauritius'!$J44*'Activity Data Rep. Mauritius'!$G44)/1000,"NA")</f>
        <v>7.6452232252953326E-4</v>
      </c>
      <c r="BA45" s="39">
        <f>IFERROR(('Activity Data Rep. Mauritius'!AB44*'Activity Data Rep. Mauritius'!$J44*'Activity Data Rep. Mauritius'!$G44)/1000,"NA")</f>
        <v>9.2927051103142917E-5</v>
      </c>
      <c r="BB45" s="86">
        <f>IFERROR(('Activity Data Rep. Mauritius'!AC44*'Activity Data Rep. Mauritius'!$J44*'Activity Data Rep. Mauritius'!$G44)/1000,"NA")</f>
        <v>1.0932642476057651E-4</v>
      </c>
      <c r="BC45" s="85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86"/>
    </row>
    <row r="46" spans="2:71" s="110" customFormat="1" x14ac:dyDescent="0.35">
      <c r="B46" s="644"/>
      <c r="C46" s="253" t="s">
        <v>543</v>
      </c>
      <c r="D46" s="87">
        <f>IFERROR(('Activity Data Rep. Mauritius'!M45*'Activity Data Rep. Mauritius'!$J45*'Activity Data Rep. Mauritius'!$E45)/1000,"NA")</f>
        <v>98071.640719075134</v>
      </c>
      <c r="E46" s="49">
        <f>IFERROR(('Activity Data Rep. Mauritius'!N45*'Activity Data Rep. Mauritius'!$J45*'Activity Data Rep. Mauritius'!$E45)/1000,"NA")</f>
        <v>102278.19798728323</v>
      </c>
      <c r="F46" s="49">
        <f>IFERROR(('Activity Data Rep. Mauritius'!O45*'Activity Data Rep. Mauritius'!$J45*'Activity Data Rep. Mauritius'!$E45)/1000,"NA")</f>
        <v>106581.2088381503</v>
      </c>
      <c r="G46" s="49">
        <f>IFERROR(('Activity Data Rep. Mauritius'!P45*'Activity Data Rep. Mauritius'!$J45*'Activity Data Rep. Mauritius'!$E45)/1000,"NA")</f>
        <v>110823.19803468208</v>
      </c>
      <c r="H46" s="49">
        <f>IFERROR(('Activity Data Rep. Mauritius'!Q45*'Activity Data Rep. Mauritius'!$J45*'Activity Data Rep. Mauritius'!$E45)/1000,"NA")</f>
        <v>116945.04787283237</v>
      </c>
      <c r="I46" s="49">
        <f>IFERROR(('Activity Data Rep. Mauritius'!R45*'Activity Data Rep. Mauritius'!$J45*'Activity Data Rep. Mauritius'!$E45)/1000,"NA")</f>
        <v>122533.45034566475</v>
      </c>
      <c r="J46" s="49">
        <f>IFERROR(('Activity Data Rep. Mauritius'!S45*'Activity Data Rep. Mauritius'!$J45*'Activity Data Rep. Mauritius'!$E45)/1000,"NA")</f>
        <v>128149.41098497108</v>
      </c>
      <c r="K46" s="49">
        <f>IFERROR(('Activity Data Rep. Mauritius'!T45*'Activity Data Rep. Mauritius'!$J45*'Activity Data Rep. Mauritius'!$E45)/1000,"NA")</f>
        <v>134052.76393179188</v>
      </c>
      <c r="L46" s="49">
        <f>IFERROR(('Activity Data Rep. Mauritius'!U45*'Activity Data Rep. Mauritius'!$J45*'Activity Data Rep. Mauritius'!$E45)/1000,"NA")</f>
        <v>140981.67435953757</v>
      </c>
      <c r="M46" s="49">
        <f>IFERROR(('Activity Data Rep. Mauritius'!V45*'Activity Data Rep. Mauritius'!$J45*'Activity Data Rep. Mauritius'!$E45)/1000,"NA")</f>
        <v>147038.56566242775</v>
      </c>
      <c r="N46" s="49">
        <f>IFERROR(('Activity Data Rep. Mauritius'!W45*'Activity Data Rep. Mauritius'!$J45*'Activity Data Rep. Mauritius'!$E45)/1000,"NA")</f>
        <v>154095.42472023121</v>
      </c>
      <c r="O46" s="49">
        <f>IFERROR(('Activity Data Rep. Mauritius'!X45*'Activity Data Rep. Mauritius'!$J45*'Activity Data Rep. Mauritius'!$E45)/1000,"NA")</f>
        <v>160843.23862543353</v>
      </c>
      <c r="P46" s="49">
        <f>IFERROR(('Activity Data Rep. Mauritius'!Y45*'Activity Data Rep. Mauritius'!$J45*'Activity Data Rep. Mauritius'!$E45)/1000,"NA")</f>
        <v>169287.84820924854</v>
      </c>
      <c r="Q46" s="49">
        <f>IFERROR(('Activity Data Rep. Mauritius'!Z45*'Activity Data Rep. Mauritius'!$J45*'Activity Data Rep. Mauritius'!$E45)/1000,"NA")</f>
        <v>177964.73376763007</v>
      </c>
      <c r="R46" s="49">
        <f>IFERROR(('Activity Data Rep. Mauritius'!AA45*'Activity Data Rep. Mauritius'!$J45*'Activity Data Rep. Mauritius'!$E45)/1000,"NA")</f>
        <v>184401.70201826715</v>
      </c>
      <c r="S46" s="49">
        <f>IFERROR(('Activity Data Rep. Mauritius'!AB45*'Activity Data Rep. Mauritius'!$J45*'Activity Data Rep. Mauritius'!$E45)/1000,"NA")</f>
        <v>204046.79374342476</v>
      </c>
      <c r="T46" s="88">
        <f>IFERROR(('Activity Data Rep. Mauritius'!AC45*'Activity Data Rep. Mauritius'!$J45*'Activity Data Rep. Mauritius'!$E45)/1000,"NA")</f>
        <v>209056.44737036855</v>
      </c>
      <c r="U46" s="87">
        <f>IFERROR(('Activity Data Rep. Mauritius'!M45*'Activity Data Rep. Mauritius'!$J45*'Activity Data Rep. Mauritius'!$F45)/1000,"NA")</f>
        <v>46.700781294797686</v>
      </c>
      <c r="V46" s="49">
        <f>IFERROR(('Activity Data Rep. Mauritius'!N45*'Activity Data Rep. Mauritius'!$J45*'Activity Data Rep. Mauritius'!$F45)/1000,"NA")</f>
        <v>48.703903803468201</v>
      </c>
      <c r="W46" s="49">
        <f>IFERROR(('Activity Data Rep. Mauritius'!O45*'Activity Data Rep. Mauritius'!$J45*'Activity Data Rep. Mauritius'!$F45)/1000,"NA")</f>
        <v>50.752956589595378</v>
      </c>
      <c r="X46" s="49">
        <f>IFERROR(('Activity Data Rep. Mauritius'!P45*'Activity Data Rep. Mauritius'!$J45*'Activity Data Rep. Mauritius'!$F45)/1000,"NA")</f>
        <v>52.772951445086704</v>
      </c>
      <c r="Y46" s="49">
        <f>IFERROR(('Activity Data Rep. Mauritius'!Q45*'Activity Data Rep. Mauritius'!$J45*'Activity Data Rep. Mauritius'!$F45)/1000,"NA")</f>
        <v>55.688118034682077</v>
      </c>
      <c r="Z46" s="49">
        <f>IFERROR(('Activity Data Rep. Mauritius'!R45*'Activity Data Rep. Mauritius'!$J45*'Activity Data Rep. Mauritius'!$F45)/1000,"NA")</f>
        <v>58.349262069364173</v>
      </c>
      <c r="AA46" s="49">
        <f>IFERROR(('Activity Data Rep. Mauritius'!S45*'Activity Data Rep. Mauritius'!$J45*'Activity Data Rep. Mauritius'!$F45)/1000,"NA")</f>
        <v>61.023529040462421</v>
      </c>
      <c r="AB46" s="49">
        <f>IFERROR(('Activity Data Rep. Mauritius'!T45*'Activity Data Rep. Mauritius'!$J45*'Activity Data Rep. Mauritius'!$F45)/1000,"NA")</f>
        <v>63.834649491329465</v>
      </c>
      <c r="AC46" s="49">
        <f>IFERROR(('Activity Data Rep. Mauritius'!U45*'Activity Data Rep. Mauritius'!$J45*'Activity Data Rep. Mauritius'!$F45)/1000,"NA")</f>
        <v>67.134130647398848</v>
      </c>
      <c r="AD46" s="49">
        <f>IFERROR(('Activity Data Rep. Mauritius'!V45*'Activity Data Rep. Mauritius'!$J45*'Activity Data Rep. Mauritius'!$F45)/1000,"NA")</f>
        <v>70.018364601156065</v>
      </c>
      <c r="AE46" s="49">
        <f>IFERROR(('Activity Data Rep. Mauritius'!W45*'Activity Data Rep. Mauritius'!$J45*'Activity Data Rep. Mauritius'!$F45)/1000,"NA")</f>
        <v>73.378773676300568</v>
      </c>
      <c r="AF46" s="49">
        <f>IFERROR(('Activity Data Rep. Mauritius'!X45*'Activity Data Rep. Mauritius'!$J45*'Activity Data Rep. Mauritius'!$F45)/1000,"NA")</f>
        <v>76.592018393063583</v>
      </c>
      <c r="AG46" s="49">
        <f>IFERROR(('Activity Data Rep. Mauritius'!Y45*'Activity Data Rep. Mauritius'!$J45*'Activity Data Rep. Mauritius'!$F45)/1000,"NA")</f>
        <v>80.613261052023105</v>
      </c>
      <c r="AH46" s="49">
        <f>IFERROR(('Activity Data Rep. Mauritius'!Z45*'Activity Data Rep. Mauritius'!$J45*'Activity Data Rep. Mauritius'!$F45)/1000,"NA")</f>
        <v>84.745111317919068</v>
      </c>
      <c r="AI46" s="49">
        <f>IFERROR(('Activity Data Rep. Mauritius'!AA45*'Activity Data Rep. Mauritius'!$J45*'Activity Data Rep. Mauritius'!$F45)/1000,"NA")</f>
        <v>87.810334294412925</v>
      </c>
      <c r="AJ46" s="49">
        <f>IFERROR(('Activity Data Rep. Mauritius'!AB45*'Activity Data Rep. Mauritius'!$J45*'Activity Data Rep. Mauritius'!$F45)/1000,"NA")</f>
        <v>97.165139877821304</v>
      </c>
      <c r="AK46" s="88">
        <f>IFERROR(('Activity Data Rep. Mauritius'!AC45*'Activity Data Rep. Mauritius'!$J45*'Activity Data Rep. Mauritius'!$F45)/1000,"NA")</f>
        <v>99.550689223985032</v>
      </c>
      <c r="AL46" s="500">
        <f>IFERROR(('Activity Data Rep. Mauritius'!M45*'Activity Data Rep. Mauritius'!$J45*'Activity Data Rep. Mauritius'!$G45)/1000,"NA")</f>
        <v>4.5285606104046234</v>
      </c>
      <c r="AM46" s="39">
        <f>IFERROR(('Activity Data Rep. Mauritius'!N45*'Activity Data Rep. Mauritius'!$J45*'Activity Data Rep. Mauritius'!$G45)/1000,"NA")</f>
        <v>4.7228027930635834</v>
      </c>
      <c r="AN46" s="39">
        <f>IFERROR(('Activity Data Rep. Mauritius'!O45*'Activity Data Rep. Mauritius'!$J45*'Activity Data Rep. Mauritius'!$G45)/1000,"NA")</f>
        <v>4.9214988208092487</v>
      </c>
      <c r="AO46" s="39">
        <f>IFERROR(('Activity Data Rep. Mauritius'!P45*'Activity Data Rep. Mauritius'!$J45*'Activity Data Rep. Mauritius'!$G45)/1000,"NA")</f>
        <v>5.1173771098265899</v>
      </c>
      <c r="AP46" s="39">
        <f>IFERROR(('Activity Data Rep. Mauritius'!Q45*'Activity Data Rep. Mauritius'!$J45*'Activity Data Rep. Mauritius'!$G45)/1000,"NA")</f>
        <v>5.4000599306358383</v>
      </c>
      <c r="AQ46" s="39">
        <f>IFERROR(('Activity Data Rep. Mauritius'!R45*'Activity Data Rep. Mauritius'!$J45*'Activity Data Rep. Mauritius'!$G45)/1000,"NA")</f>
        <v>5.6581102612716778</v>
      </c>
      <c r="AR46" s="39">
        <f>IFERROR(('Activity Data Rep. Mauritius'!S45*'Activity Data Rep. Mauritius'!$J45*'Activity Data Rep. Mauritius'!$G45)/1000,"NA")</f>
        <v>5.9174331190751435</v>
      </c>
      <c r="AS46" s="39">
        <f>IFERROR(('Activity Data Rep. Mauritius'!T45*'Activity Data Rep. Mauritius'!$J45*'Activity Data Rep. Mauritius'!$G45)/1000,"NA")</f>
        <v>6.1900266173410392</v>
      </c>
      <c r="AT46" s="39">
        <f>IFERROR(('Activity Data Rep. Mauritius'!U45*'Activity Data Rep. Mauritius'!$J45*'Activity Data Rep. Mauritius'!$G45)/1000,"NA")</f>
        <v>6.5099763052023123</v>
      </c>
      <c r="AU46" s="39">
        <f>IFERROR(('Activity Data Rep. Mauritius'!V45*'Activity Data Rep. Mauritius'!$J45*'Activity Data Rep. Mauritius'!$G45)/1000,"NA")</f>
        <v>6.7896595976878613</v>
      </c>
      <c r="AV46" s="39">
        <f>IFERROR(('Activity Data Rep. Mauritius'!W45*'Activity Data Rep. Mauritius'!$J45*'Activity Data Rep. Mauritius'!$G45)/1000,"NA")</f>
        <v>7.1155174473988438</v>
      </c>
      <c r="AW46" s="39">
        <f>IFERROR(('Activity Data Rep. Mauritius'!X45*'Activity Data Rep. Mauritius'!$J45*'Activity Data Rep. Mauritius'!$G45)/1000,"NA")</f>
        <v>7.4271048138728331</v>
      </c>
      <c r="AX46" s="39">
        <f>IFERROR(('Activity Data Rep. Mauritius'!Y45*'Activity Data Rep. Mauritius'!$J45*'Activity Data Rep. Mauritius'!$G45)/1000,"NA")</f>
        <v>7.8170434959537571</v>
      </c>
      <c r="AY46" s="39">
        <f>IFERROR(('Activity Data Rep. Mauritius'!Z45*'Activity Data Rep. Mauritius'!$J45*'Activity Data Rep. Mauritius'!$G45)/1000,"NA")</f>
        <v>8.217707764161851</v>
      </c>
      <c r="AZ46" s="39">
        <f>IFERROR(('Activity Data Rep. Mauritius'!AA45*'Activity Data Rep. Mauritius'!$J45*'Activity Data Rep. Mauritius'!$G45)/1000,"NA")</f>
        <v>8.5149415073370118</v>
      </c>
      <c r="BA46" s="39">
        <f>IFERROR(('Activity Data Rep. Mauritius'!AB45*'Activity Data Rep. Mauritius'!$J45*'Activity Data Rep. Mauritius'!$G45)/1000,"NA")</f>
        <v>9.4220741699705517</v>
      </c>
      <c r="BB46" s="86">
        <f>IFERROR(('Activity Data Rep. Mauritius'!AC45*'Activity Data Rep. Mauritius'!$J45*'Activity Data Rep. Mauritius'!$G45)/1000,"NA")</f>
        <v>9.6534001671743059</v>
      </c>
      <c r="BC46" s="85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86"/>
    </row>
    <row r="47" spans="2:71" s="110" customFormat="1" x14ac:dyDescent="0.35">
      <c r="B47" s="644"/>
      <c r="C47" s="253" t="s">
        <v>544</v>
      </c>
      <c r="D47" s="87">
        <f>IFERROR(('Activity Data Rep. Mauritius'!M46*'Activity Data Rep. Mauritius'!$J46*'Activity Data Rep. Mauritius'!$E46)/1000,"NA")</f>
        <v>17192.406008673694</v>
      </c>
      <c r="E47" s="49">
        <f>IFERROR(('Activity Data Rep. Mauritius'!N46*'Activity Data Rep. Mauritius'!$J46*'Activity Data Rep. Mauritius'!$E46)/1000,"NA")</f>
        <v>17943.224126153938</v>
      </c>
      <c r="F47" s="49">
        <f>IFERROR(('Activity Data Rep. Mauritius'!O46*'Activity Data Rep. Mauritius'!$J46*'Activity Data Rep. Mauritius'!$E46)/1000,"NA")</f>
        <v>18713.975467992059</v>
      </c>
      <c r="G47" s="49">
        <f>IFERROR(('Activity Data Rep. Mauritius'!P46*'Activity Data Rep. Mauritius'!$J46*'Activity Data Rep. Mauritius'!$E46)/1000,"NA")</f>
        <v>19474.760197651249</v>
      </c>
      <c r="H47" s="49">
        <f>IFERROR(('Activity Data Rep. Mauritius'!Q46*'Activity Data Rep. Mauritius'!$J46*'Activity Data Rep. Mauritius'!$E46)/1000,"NA")</f>
        <v>20564.443129215495</v>
      </c>
      <c r="I47" s="49">
        <f>IFERROR(('Activity Data Rep. Mauritius'!R46*'Activity Data Rep. Mauritius'!$J46*'Activity Data Rep. Mauritius'!$E46)/1000,"NA")</f>
        <v>21564.426551169268</v>
      </c>
      <c r="J47" s="49">
        <f>IFERROR(('Activity Data Rep. Mauritius'!S46*'Activity Data Rep. Mauritius'!$J46*'Activity Data Rep. Mauritius'!$E46)/1000,"NA")</f>
        <v>22571.054381242338</v>
      </c>
      <c r="K47" s="49">
        <f>IFERROR(('Activity Data Rep. Mauritius'!T46*'Activity Data Rep. Mauritius'!$J46*'Activity Data Rep. Mauritius'!$E46)/1000,"NA")</f>
        <v>23617.548660031171</v>
      </c>
      <c r="L47" s="49">
        <f>IFERROR(('Activity Data Rep. Mauritius'!U46*'Activity Data Rep. Mauritius'!$J46*'Activity Data Rep. Mauritius'!$E46)/1000,"NA")</f>
        <v>24836.797549921652</v>
      </c>
      <c r="M47" s="49">
        <f>IFERROR(('Activity Data Rep. Mauritius'!V46*'Activity Data Rep. Mauritius'!$J46*'Activity Data Rep. Mauritius'!$E46)/1000,"NA")</f>
        <v>25903.225053068367</v>
      </c>
      <c r="N47" s="49">
        <f>IFERROR(('Activity Data Rep. Mauritius'!W46*'Activity Data Rep. Mauritius'!$J46*'Activity Data Rep. Mauritius'!$E46)/1000,"NA")</f>
        <v>27142.407167316731</v>
      </c>
      <c r="O47" s="49">
        <f>IFERROR(('Activity Data Rep. Mauritius'!X46*'Activity Data Rep. Mauritius'!$J46*'Activity Data Rep. Mauritius'!$E46)/1000,"NA")</f>
        <v>28338.400628789685</v>
      </c>
      <c r="P47" s="49">
        <f>IFERROR(('Activity Data Rep. Mauritius'!Y46*'Activity Data Rep. Mauritius'!$J46*'Activity Data Rep. Mauritius'!$E46)/1000,"NA")</f>
        <v>29843.359067809815</v>
      </c>
      <c r="Q47" s="49">
        <f>IFERROR(('Activity Data Rep. Mauritius'!Z46*'Activity Data Rep. Mauritius'!$J46*'Activity Data Rep. Mauritius'!$E46)/1000,"NA")</f>
        <v>31391.50615960536</v>
      </c>
      <c r="R47" s="49">
        <f>IFERROR(('Activity Data Rep. Mauritius'!AA46*'Activity Data Rep. Mauritius'!$J46*'Activity Data Rep. Mauritius'!$E46)/1000,"NA")</f>
        <v>32682.921562944262</v>
      </c>
      <c r="S47" s="49">
        <f>IFERROR(('Activity Data Rep. Mauritius'!AB46*'Activity Data Rep. Mauritius'!$J46*'Activity Data Rep. Mauritius'!$E46)/1000,"NA")</f>
        <v>32346.896047332342</v>
      </c>
      <c r="T47" s="88">
        <f>IFERROR(('Activity Data Rep. Mauritius'!AC46*'Activity Data Rep. Mauritius'!$J46*'Activity Data Rep. Mauritius'!$E46)/1000,"NA")</f>
        <v>35916.426397976655</v>
      </c>
      <c r="U47" s="87">
        <f>IFERROR(('Activity Data Rep. Mauritius'!M46*'Activity Data Rep. Mauritius'!$J46*'Activity Data Rep. Mauritius'!$F46)/1000,"NA")</f>
        <v>0.90486347414072066</v>
      </c>
      <c r="V47" s="49">
        <f>IFERROR(('Activity Data Rep. Mauritius'!N46*'Activity Data Rep. Mauritius'!$J46*'Activity Data Rep. Mauritius'!$F46)/1000,"NA")</f>
        <v>0.94438021716599674</v>
      </c>
      <c r="W47" s="49">
        <f>IFERROR(('Activity Data Rep. Mauritius'!O46*'Activity Data Rep. Mauritius'!$J46*'Activity Data Rep. Mauritius'!$F46)/1000,"NA")</f>
        <v>0.98494607726273997</v>
      </c>
      <c r="X47" s="49">
        <f>IFERROR(('Activity Data Rep. Mauritius'!P46*'Activity Data Rep. Mauritius'!$J46*'Activity Data Rep. Mauritius'!$F46)/1000,"NA")</f>
        <v>1.0249873788237498</v>
      </c>
      <c r="Y47" s="49">
        <f>IFERROR(('Activity Data Rep. Mauritius'!Q46*'Activity Data Rep. Mauritius'!$J46*'Activity Data Rep. Mauritius'!$F46)/1000,"NA")</f>
        <v>1.0823391120639734</v>
      </c>
      <c r="Z47" s="49">
        <f>IFERROR(('Activity Data Rep. Mauritius'!R46*'Activity Data Rep. Mauritius'!$J46*'Activity Data Rep. Mauritius'!$F46)/1000,"NA")</f>
        <v>1.1349698184825932</v>
      </c>
      <c r="AA47" s="49">
        <f>IFERROR(('Activity Data Rep. Mauritius'!S46*'Activity Data Rep. Mauritius'!$J46*'Activity Data Rep. Mauritius'!$F46)/1000,"NA")</f>
        <v>1.1879502305917022</v>
      </c>
      <c r="AB47" s="49">
        <f>IFERROR(('Activity Data Rep. Mauritius'!T46*'Activity Data Rep. Mauritius'!$J46*'Activity Data Rep. Mauritius'!$F46)/1000,"NA")</f>
        <v>1.2430288768437459</v>
      </c>
      <c r="AC47" s="49">
        <f>IFERROR(('Activity Data Rep. Mauritius'!U46*'Activity Data Rep. Mauritius'!$J46*'Activity Data Rep. Mauritius'!$F46)/1000,"NA")</f>
        <v>1.307199871048508</v>
      </c>
      <c r="AD47" s="49">
        <f>IFERROR(('Activity Data Rep. Mauritius'!V46*'Activity Data Rep. Mauritius'!$J46*'Activity Data Rep. Mauritius'!$F46)/1000,"NA")</f>
        <v>1.3633276343720193</v>
      </c>
      <c r="AE47" s="49">
        <f>IFERROR(('Activity Data Rep. Mauritius'!W46*'Activity Data Rep. Mauritius'!$J46*'Activity Data Rep. Mauritius'!$F46)/1000,"NA")</f>
        <v>1.4285477456482489</v>
      </c>
      <c r="AF47" s="49">
        <f>IFERROR(('Activity Data Rep. Mauritius'!X46*'Activity Data Rep. Mauritius'!$J46*'Activity Data Rep. Mauritius'!$F46)/1000,"NA")</f>
        <v>1.4914947699362993</v>
      </c>
      <c r="AG47" s="49">
        <f>IFERROR(('Activity Data Rep. Mauritius'!Y46*'Activity Data Rep. Mauritius'!$J46*'Activity Data Rep. Mauritius'!$F46)/1000,"NA")</f>
        <v>1.5707031088320957</v>
      </c>
      <c r="AH47" s="49">
        <f>IFERROR(('Activity Data Rep. Mauritius'!Z46*'Activity Data Rep. Mauritius'!$J46*'Activity Data Rep. Mauritius'!$F46)/1000,"NA")</f>
        <v>1.6521845347160717</v>
      </c>
      <c r="AI47" s="49">
        <f>IFERROR(('Activity Data Rep. Mauritius'!AA46*'Activity Data Rep. Mauritius'!$J46*'Activity Data Rep. Mauritius'!$F46)/1000,"NA")</f>
        <v>1.7201537664707507</v>
      </c>
      <c r="AJ47" s="49">
        <f>IFERROR(('Activity Data Rep. Mauritius'!AB46*'Activity Data Rep. Mauritius'!$J46*'Activity Data Rep. Mauritius'!$F46)/1000,"NA")</f>
        <v>1.7024682130174917</v>
      </c>
      <c r="AK47" s="88">
        <f>IFERROR(('Activity Data Rep. Mauritius'!AC46*'Activity Data Rep. Mauritius'!$J46*'Activity Data Rep. Mauritius'!$F46)/1000,"NA")</f>
        <v>1.8903382314724551</v>
      </c>
      <c r="AL47" s="500">
        <f>IFERROR(('Activity Data Rep. Mauritius'!M46*'Activity Data Rep. Mauritius'!$J46*'Activity Data Rep. Mauritius'!$G46)/1000,"NA")</f>
        <v>0.90486347414072066</v>
      </c>
      <c r="AM47" s="39">
        <f>IFERROR(('Activity Data Rep. Mauritius'!N46*'Activity Data Rep. Mauritius'!$J46*'Activity Data Rep. Mauritius'!$G46)/1000,"NA")</f>
        <v>0.94438021716599674</v>
      </c>
      <c r="AN47" s="39">
        <f>IFERROR(('Activity Data Rep. Mauritius'!O46*'Activity Data Rep. Mauritius'!$J46*'Activity Data Rep. Mauritius'!$G46)/1000,"NA")</f>
        <v>0.98494607726273997</v>
      </c>
      <c r="AO47" s="39">
        <f>IFERROR(('Activity Data Rep. Mauritius'!P46*'Activity Data Rep. Mauritius'!$J46*'Activity Data Rep. Mauritius'!$G46)/1000,"NA")</f>
        <v>1.0249873788237498</v>
      </c>
      <c r="AP47" s="39">
        <f>IFERROR(('Activity Data Rep. Mauritius'!Q46*'Activity Data Rep. Mauritius'!$J46*'Activity Data Rep. Mauritius'!$G46)/1000,"NA")</f>
        <v>1.0823391120639734</v>
      </c>
      <c r="AQ47" s="39">
        <f>IFERROR(('Activity Data Rep. Mauritius'!R46*'Activity Data Rep. Mauritius'!$J46*'Activity Data Rep. Mauritius'!$G46)/1000,"NA")</f>
        <v>1.1349698184825932</v>
      </c>
      <c r="AR47" s="39">
        <f>IFERROR(('Activity Data Rep. Mauritius'!S46*'Activity Data Rep. Mauritius'!$J46*'Activity Data Rep. Mauritius'!$G46)/1000,"NA")</f>
        <v>1.1879502305917022</v>
      </c>
      <c r="AS47" s="39">
        <f>IFERROR(('Activity Data Rep. Mauritius'!T46*'Activity Data Rep. Mauritius'!$J46*'Activity Data Rep. Mauritius'!$G46)/1000,"NA")</f>
        <v>1.2430288768437459</v>
      </c>
      <c r="AT47" s="39">
        <f>IFERROR(('Activity Data Rep. Mauritius'!U46*'Activity Data Rep. Mauritius'!$J46*'Activity Data Rep. Mauritius'!$G46)/1000,"NA")</f>
        <v>1.307199871048508</v>
      </c>
      <c r="AU47" s="39">
        <f>IFERROR(('Activity Data Rep. Mauritius'!V46*'Activity Data Rep. Mauritius'!$J46*'Activity Data Rep. Mauritius'!$G46)/1000,"NA")</f>
        <v>1.3633276343720193</v>
      </c>
      <c r="AV47" s="39">
        <f>IFERROR(('Activity Data Rep. Mauritius'!W46*'Activity Data Rep. Mauritius'!$J46*'Activity Data Rep. Mauritius'!$G46)/1000,"NA")</f>
        <v>1.4285477456482489</v>
      </c>
      <c r="AW47" s="39">
        <f>IFERROR(('Activity Data Rep. Mauritius'!X46*'Activity Data Rep. Mauritius'!$J46*'Activity Data Rep. Mauritius'!$G46)/1000,"NA")</f>
        <v>1.4914947699362993</v>
      </c>
      <c r="AX47" s="39">
        <f>IFERROR(('Activity Data Rep. Mauritius'!Y46*'Activity Data Rep. Mauritius'!$J46*'Activity Data Rep. Mauritius'!$G46)/1000,"NA")</f>
        <v>1.5707031088320957</v>
      </c>
      <c r="AY47" s="39">
        <f>IFERROR(('Activity Data Rep. Mauritius'!Z46*'Activity Data Rep. Mauritius'!$J46*'Activity Data Rep. Mauritius'!$G46)/1000,"NA")</f>
        <v>1.6521845347160717</v>
      </c>
      <c r="AZ47" s="39">
        <f>IFERROR(('Activity Data Rep. Mauritius'!AA46*'Activity Data Rep. Mauritius'!$J46*'Activity Data Rep. Mauritius'!$G46)/1000,"NA")</f>
        <v>1.7201537664707507</v>
      </c>
      <c r="BA47" s="39">
        <f>IFERROR(('Activity Data Rep. Mauritius'!AB46*'Activity Data Rep. Mauritius'!$J46*'Activity Data Rep. Mauritius'!$G46)/1000,"NA")</f>
        <v>1.7024682130174917</v>
      </c>
      <c r="BB47" s="86">
        <f>IFERROR(('Activity Data Rep. Mauritius'!AC46*'Activity Data Rep. Mauritius'!$J46*'Activity Data Rep. Mauritius'!$G46)/1000,"NA")</f>
        <v>1.8903382314724551</v>
      </c>
      <c r="BC47" s="85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86"/>
    </row>
    <row r="48" spans="2:71" s="110" customFormat="1" x14ac:dyDescent="0.35">
      <c r="B48" s="644"/>
      <c r="C48" s="253" t="s">
        <v>545</v>
      </c>
      <c r="D48" s="87">
        <f>IFERROR(('Activity Data Rep. Mauritius'!M47*'Activity Data Rep. Mauritius'!$J47*'Activity Data Rep. Mauritius'!$E47)/1000,"NA")</f>
        <v>151.64970705124583</v>
      </c>
      <c r="E48" s="49">
        <f>IFERROR(('Activity Data Rep. Mauritius'!N47*'Activity Data Rep. Mauritius'!$J47*'Activity Data Rep. Mauritius'!$E47)/1000,"NA")</f>
        <v>157.79766814791796</v>
      </c>
      <c r="F48" s="49">
        <f>IFERROR(('Activity Data Rep. Mauritius'!O47*'Activity Data Rep. Mauritius'!$J47*'Activity Data Rep. Mauritius'!$E47)/1000,"NA")</f>
        <v>163.94562924459009</v>
      </c>
      <c r="G48" s="49">
        <f>IFERROR(('Activity Data Rep. Mauritius'!P47*'Activity Data Rep. Mauritius'!$J47*'Activity Data Rep. Mauritius'!$E47)/1000,"NA")</f>
        <v>170.0935903412622</v>
      </c>
      <c r="H48" s="49">
        <f>IFERROR(('Activity Data Rep. Mauritius'!Q47*'Activity Data Rep. Mauritius'!$J47*'Activity Data Rep. Mauritius'!$E47)/1000,"NA")</f>
        <v>180.34019216904909</v>
      </c>
      <c r="I48" s="49">
        <f>IFERROR(('Activity Data Rep. Mauritius'!R47*'Activity Data Rep. Mauritius'!$J47*'Activity Data Rep. Mauritius'!$E47)/1000,"NA")</f>
        <v>188.53747363127854</v>
      </c>
      <c r="J48" s="49">
        <f>IFERROR(('Activity Data Rep. Mauritius'!S47*'Activity Data Rep. Mauritius'!$J47*'Activity Data Rep. Mauritius'!$E47)/1000,"NA")</f>
        <v>196.73475509350808</v>
      </c>
      <c r="K48" s="49">
        <f>IFERROR(('Activity Data Rep. Mauritius'!T47*'Activity Data Rep. Mauritius'!$J47*'Activity Data Rep. Mauritius'!$E47)/1000,"NA")</f>
        <v>206.981356921295</v>
      </c>
      <c r="L48" s="49">
        <f>IFERROR(('Activity Data Rep. Mauritius'!U47*'Activity Data Rep. Mauritius'!$J47*'Activity Data Rep. Mauritius'!$E47)/1000,"NA")</f>
        <v>217.22795874908184</v>
      </c>
      <c r="M48" s="49">
        <f>IFERROR(('Activity Data Rep. Mauritius'!V47*'Activity Data Rep. Mauritius'!$J47*'Activity Data Rep. Mauritius'!$E47)/1000,"NA")</f>
        <v>227.47456057686873</v>
      </c>
      <c r="N48" s="49">
        <f>IFERROR(('Activity Data Rep. Mauritius'!W47*'Activity Data Rep. Mauritius'!$J47*'Activity Data Rep. Mauritius'!$E47)/1000,"NA")</f>
        <v>237.72116240465559</v>
      </c>
      <c r="O48" s="49">
        <f>IFERROR(('Activity Data Rep. Mauritius'!X47*'Activity Data Rep. Mauritius'!$J47*'Activity Data Rep. Mauritius'!$E47)/1000,"NA")</f>
        <v>247.96776423244248</v>
      </c>
      <c r="P48" s="49">
        <f>IFERROR(('Activity Data Rep. Mauritius'!Y47*'Activity Data Rep. Mauritius'!$J47*'Activity Data Rep. Mauritius'!$E47)/1000,"NA")</f>
        <v>260.26368642578677</v>
      </c>
      <c r="Q48" s="49">
        <f>IFERROR(('Activity Data Rep. Mauritius'!Z47*'Activity Data Rep. Mauritius'!$J47*'Activity Data Rep. Mauritius'!$E47)/1000,"NA")</f>
        <v>274.60892898468836</v>
      </c>
      <c r="R48" s="49">
        <f>IFERROR(('Activity Data Rep. Mauritius'!AA47*'Activity Data Rep. Mauritius'!$J47*'Activity Data Rep. Mauritius'!$E47)/1000,"NA")</f>
        <v>54.202208598152268</v>
      </c>
      <c r="S48" s="49">
        <f>IFERROR(('Activity Data Rep. Mauritius'!AB47*'Activity Data Rep. Mauritius'!$J47*'Activity Data Rep. Mauritius'!$E47)/1000,"NA")</f>
        <v>351.83009305256371</v>
      </c>
      <c r="T48" s="88">
        <f>IFERROR(('Activity Data Rep. Mauritius'!AC47*'Activity Data Rep. Mauritius'!$J47*'Activity Data Rep. Mauritius'!$E47)/1000,"NA")</f>
        <v>350.10559803909166</v>
      </c>
      <c r="U48" s="87">
        <f>IFERROR(('Activity Data Rep. Mauritius'!M47*'Activity Data Rep. Mauritius'!$J47*'Activity Data Rep. Mauritius'!$F47)/1000,"NA")</f>
        <v>0.14900605130233344</v>
      </c>
      <c r="V48" s="49">
        <f>IFERROR(('Activity Data Rep. Mauritius'!N47*'Activity Data Rep. Mauritius'!$J47*'Activity Data Rep. Mauritius'!$F47)/1000,"NA")</f>
        <v>0.15504683716594156</v>
      </c>
      <c r="W48" s="49">
        <f>IFERROR(('Activity Data Rep. Mauritius'!O47*'Activity Data Rep. Mauritius'!$J47*'Activity Data Rep. Mauritius'!$F47)/1000,"NA")</f>
        <v>0.16108762302954968</v>
      </c>
      <c r="X48" s="49">
        <f>IFERROR(('Activity Data Rep. Mauritius'!P47*'Activity Data Rep. Mauritius'!$J47*'Activity Data Rep. Mauritius'!$F47)/1000,"NA")</f>
        <v>0.16712840889315778</v>
      </c>
      <c r="Y48" s="49">
        <f>IFERROR(('Activity Data Rep. Mauritius'!Q47*'Activity Data Rep. Mauritius'!$J47*'Activity Data Rep. Mauritius'!$F47)/1000,"NA")</f>
        <v>0.17719638533250465</v>
      </c>
      <c r="Z48" s="49">
        <f>IFERROR(('Activity Data Rep. Mauritius'!R47*'Activity Data Rep. Mauritius'!$J47*'Activity Data Rep. Mauritius'!$F47)/1000,"NA")</f>
        <v>0.18525076648398209</v>
      </c>
      <c r="AA48" s="49">
        <f>IFERROR(('Activity Data Rep. Mauritius'!S47*'Activity Data Rep. Mauritius'!$J47*'Activity Data Rep. Mauritius'!$F47)/1000,"NA")</f>
        <v>0.19330514763545961</v>
      </c>
      <c r="AB48" s="49">
        <f>IFERROR(('Activity Data Rep. Mauritius'!T47*'Activity Data Rep. Mauritius'!$J47*'Activity Data Rep. Mauritius'!$F47)/1000,"NA")</f>
        <v>0.20337312407480648</v>
      </c>
      <c r="AC48" s="49">
        <f>IFERROR(('Activity Data Rep. Mauritius'!U47*'Activity Data Rep. Mauritius'!$J47*'Activity Data Rep. Mauritius'!$F47)/1000,"NA")</f>
        <v>0.2134411005141533</v>
      </c>
      <c r="AD48" s="49">
        <f>IFERROR(('Activity Data Rep. Mauritius'!V47*'Activity Data Rep. Mauritius'!$J47*'Activity Data Rep. Mauritius'!$F47)/1000,"NA")</f>
        <v>0.2235090769535002</v>
      </c>
      <c r="AE48" s="49">
        <f>IFERROR(('Activity Data Rep. Mauritius'!W47*'Activity Data Rep. Mauritius'!$J47*'Activity Data Rep. Mauritius'!$F47)/1000,"NA")</f>
        <v>0.23357705339284701</v>
      </c>
      <c r="AF48" s="49">
        <f>IFERROR(('Activity Data Rep. Mauritius'!X47*'Activity Data Rep. Mauritius'!$J47*'Activity Data Rep. Mauritius'!$F47)/1000,"NA")</f>
        <v>0.24364502983219391</v>
      </c>
      <c r="AG48" s="49">
        <f>IFERROR(('Activity Data Rep. Mauritius'!Y47*'Activity Data Rep. Mauritius'!$J47*'Activity Data Rep. Mauritius'!$F47)/1000,"NA")</f>
        <v>0.25572660155941013</v>
      </c>
      <c r="AH48" s="49">
        <f>IFERROR(('Activity Data Rep. Mauritius'!Z47*'Activity Data Rep. Mauritius'!$J47*'Activity Data Rep. Mauritius'!$F47)/1000,"NA")</f>
        <v>0.26982176857449569</v>
      </c>
      <c r="AI48" s="49">
        <f>IFERROR(('Activity Data Rep. Mauritius'!AA47*'Activity Data Rep. Mauritius'!$J47*'Activity Data Rep. Mauritius'!$F47)/1000,"NA")</f>
        <v>5.3257320651116338E-2</v>
      </c>
      <c r="AJ48" s="49">
        <f>IFERROR(('Activity Data Rep. Mauritius'!AB47*'Activity Data Rep. Mauritius'!$J47*'Activity Data Rep. Mauritius'!$F47)/1000,"NA")</f>
        <v>0.34569676337969818</v>
      </c>
      <c r="AK48" s="88">
        <f>IFERROR(('Activity Data Rep. Mauritius'!AC47*'Activity Data Rep. Mauritius'!$J47*'Activity Data Rep. Mauritius'!$F47)/1000,"NA")</f>
        <v>0.34400233087834681</v>
      </c>
      <c r="AL48" s="500">
        <f>IFERROR(('Activity Data Rep. Mauritius'!M47*'Activity Data Rep. Mauritius'!$J47*'Activity Data Rep. Mauritius'!$G47)/1000,"NA")</f>
        <v>4.8066468162043051E-4</v>
      </c>
      <c r="AM48" s="39">
        <f>IFERROR(('Activity Data Rep. Mauritius'!N47*'Activity Data Rep. Mauritius'!$J47*'Activity Data Rep. Mauritius'!$G47)/1000,"NA")</f>
        <v>5.0015108763206957E-4</v>
      </c>
      <c r="AN48" s="39">
        <f>IFERROR(('Activity Data Rep. Mauritius'!O47*'Activity Data Rep. Mauritius'!$J47*'Activity Data Rep. Mauritius'!$G47)/1000,"NA")</f>
        <v>5.1963749364370869E-4</v>
      </c>
      <c r="AO48" s="39">
        <f>IFERROR(('Activity Data Rep. Mauritius'!P47*'Activity Data Rep. Mauritius'!$J47*'Activity Data Rep. Mauritius'!$G47)/1000,"NA")</f>
        <v>5.3912389965534769E-4</v>
      </c>
      <c r="AP48" s="39">
        <f>IFERROR(('Activity Data Rep. Mauritius'!Q47*'Activity Data Rep. Mauritius'!$J47*'Activity Data Rep. Mauritius'!$G47)/1000,"NA")</f>
        <v>5.7160124300807962E-4</v>
      </c>
      <c r="AQ48" s="39">
        <f>IFERROR(('Activity Data Rep. Mauritius'!R47*'Activity Data Rep. Mauritius'!$J47*'Activity Data Rep. Mauritius'!$G47)/1000,"NA")</f>
        <v>5.9758311769026482E-4</v>
      </c>
      <c r="AR48" s="39">
        <f>IFERROR(('Activity Data Rep. Mauritius'!S47*'Activity Data Rep. Mauritius'!$J47*'Activity Data Rep. Mauritius'!$G47)/1000,"NA")</f>
        <v>6.2356499237245044E-4</v>
      </c>
      <c r="AS48" s="39">
        <f>IFERROR(('Activity Data Rep. Mauritius'!T47*'Activity Data Rep. Mauritius'!$J47*'Activity Data Rep. Mauritius'!$G47)/1000,"NA")</f>
        <v>6.5604233572518226E-4</v>
      </c>
      <c r="AT48" s="39">
        <f>IFERROR(('Activity Data Rep. Mauritius'!U47*'Activity Data Rep. Mauritius'!$J47*'Activity Data Rep. Mauritius'!$G47)/1000,"NA")</f>
        <v>6.8851967907791387E-4</v>
      </c>
      <c r="AU48" s="39">
        <f>IFERROR(('Activity Data Rep. Mauritius'!V47*'Activity Data Rep. Mauritius'!$J47*'Activity Data Rep. Mauritius'!$G47)/1000,"NA")</f>
        <v>7.209970224306459E-4</v>
      </c>
      <c r="AV48" s="39">
        <f>IFERROR(('Activity Data Rep. Mauritius'!W47*'Activity Data Rep. Mauritius'!$J47*'Activity Data Rep. Mauritius'!$G47)/1000,"NA")</f>
        <v>7.5347436578337762E-4</v>
      </c>
      <c r="AW48" s="39">
        <f>IFERROR(('Activity Data Rep. Mauritius'!X47*'Activity Data Rep. Mauritius'!$J47*'Activity Data Rep. Mauritius'!$G47)/1000,"NA")</f>
        <v>7.8595170913610933E-4</v>
      </c>
      <c r="AX48" s="39">
        <f>IFERROR(('Activity Data Rep. Mauritius'!Y47*'Activity Data Rep. Mauritius'!$J47*'Activity Data Rep. Mauritius'!$G47)/1000,"NA")</f>
        <v>8.2492452115938756E-4</v>
      </c>
      <c r="AY48" s="39">
        <f>IFERROR(('Activity Data Rep. Mauritius'!Z47*'Activity Data Rep. Mauritius'!$J47*'Activity Data Rep. Mauritius'!$G47)/1000,"NA")</f>
        <v>8.7039280185321197E-4</v>
      </c>
      <c r="AZ48" s="39">
        <f>IFERROR(('Activity Data Rep. Mauritius'!AA47*'Activity Data Rep. Mauritius'!$J47*'Activity Data Rep. Mauritius'!$G47)/1000,"NA")</f>
        <v>1.717978085519882E-4</v>
      </c>
      <c r="BA48" s="39">
        <f>IFERROR(('Activity Data Rep. Mauritius'!AB47*'Activity Data Rep. Mauritius'!$J47*'Activity Data Rep. Mauritius'!$G47)/1000,"NA")</f>
        <v>1.1151508496119295E-3</v>
      </c>
      <c r="BB48" s="86">
        <f>IFERROR(('Activity Data Rep. Mauritius'!AC47*'Activity Data Rep. Mauritius'!$J47*'Activity Data Rep. Mauritius'!$G47)/1000,"NA")</f>
        <v>1.1096849383172478E-3</v>
      </c>
      <c r="BC48" s="85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86"/>
    </row>
    <row r="49" spans="2:71" s="110" customFormat="1" x14ac:dyDescent="0.35">
      <c r="B49" s="644"/>
      <c r="C49" s="253" t="s">
        <v>546</v>
      </c>
      <c r="D49" s="87">
        <f>IFERROR(('Activity Data Rep. Mauritius'!M48*'Activity Data Rep. Mauritius'!$J48*'Activity Data Rep. Mauritius'!$E48)/1000,"NA")</f>
        <v>36621.364361618485</v>
      </c>
      <c r="E49" s="49">
        <f>IFERROR(('Activity Data Rep. Mauritius'!N48*'Activity Data Rep. Mauritius'!$J48*'Activity Data Rep. Mauritius'!$E48)/1000,"NA")</f>
        <v>38221.873578728322</v>
      </c>
      <c r="F49" s="49">
        <f>IFERROR(('Activity Data Rep. Mauritius'!O48*'Activity Data Rep. Mauritius'!$J48*'Activity Data Rep. Mauritius'!$E48)/1000,"NA")</f>
        <v>39862.455981502892</v>
      </c>
      <c r="G49" s="49">
        <f>IFERROR(('Activity Data Rep. Mauritius'!P48*'Activity Data Rep. Mauritius'!$J48*'Activity Data Rep. Mauritius'!$E48)/1000,"NA")</f>
        <v>41485.765459421964</v>
      </c>
      <c r="H49" s="49">
        <f>IFERROR(('Activity Data Rep. Mauritius'!Q48*'Activity Data Rep. Mauritius'!$J48*'Activity Data Rep. Mauritius'!$E48)/1000,"NA")</f>
        <v>43802.410141040462</v>
      </c>
      <c r="I49" s="49">
        <f>IFERROR(('Activity Data Rep. Mauritius'!R48*'Activity Data Rep. Mauritius'!$J48*'Activity Data Rep. Mauritius'!$E48)/1000,"NA")</f>
        <v>45930.779941734108</v>
      </c>
      <c r="J49" s="49">
        <f>IFERROR(('Activity Data Rep. Mauritius'!S48*'Activity Data Rep. Mauritius'!$J48*'Activity Data Rep. Mauritius'!$E48)/1000,"NA")</f>
        <v>48074.695374797695</v>
      </c>
      <c r="K49" s="49">
        <f>IFERROR(('Activity Data Rep. Mauritius'!T48*'Activity Data Rep. Mauritius'!$J48*'Activity Data Rep. Mauritius'!$E48)/1000,"NA")</f>
        <v>50302.902681156069</v>
      </c>
      <c r="L49" s="49">
        <f>IFERROR(('Activity Data Rep. Mauritius'!U48*'Activity Data Rep. Mauritius'!$J48*'Activity Data Rep. Mauritius'!$E48)/1000,"NA")</f>
        <v>52907.659749364168</v>
      </c>
      <c r="M49" s="49">
        <f>IFERROR(('Activity Data Rep. Mauritius'!V48*'Activity Data Rep. Mauritius'!$J48*'Activity Data Rep. Mauritius'!$E48)/1000,"NA")</f>
        <v>55172.485656416175</v>
      </c>
      <c r="N49" s="49">
        <f>IFERROR(('Activity Data Rep. Mauritius'!W48*'Activity Data Rep. Mauritius'!$J48*'Activity Data Rep. Mauritius'!$E48)/1000,"NA")</f>
        <v>57811.097657341037</v>
      </c>
      <c r="O49" s="49">
        <f>IFERROR(('Activity Data Rep. Mauritius'!X48*'Activity Data Rep. Mauritius'!$J48*'Activity Data Rep. Mauritius'!$E48)/1000,"NA")</f>
        <v>60358.508615028899</v>
      </c>
      <c r="P49" s="49">
        <f>IFERROR(('Activity Data Rep. Mauritius'!Y48*'Activity Data Rep. Mauritius'!$J48*'Activity Data Rep. Mauritius'!$E48)/1000,"NA")</f>
        <v>63560.563424739885</v>
      </c>
      <c r="Q49" s="49">
        <f>IFERROR(('Activity Data Rep. Mauritius'!Z48*'Activity Data Rep. Mauritius'!$J48*'Activity Data Rep. Mauritius'!$E48)/1000,"NA")</f>
        <v>66859.001155144506</v>
      </c>
      <c r="R49" s="49">
        <f>IFERROR(('Activity Data Rep. Mauritius'!AA48*'Activity Data Rep. Mauritius'!$J48*'Activity Data Rep. Mauritius'!$E48)/1000,"NA")</f>
        <v>46985.379490404615</v>
      </c>
      <c r="S49" s="49">
        <f>IFERROR(('Activity Data Rep. Mauritius'!AB48*'Activity Data Rep. Mauritius'!$J48*'Activity Data Rep. Mauritius'!$E48)/1000,"NA")</f>
        <v>63162.900316300562</v>
      </c>
      <c r="T49" s="88">
        <f>IFERROR(('Activity Data Rep. Mauritius'!AC48*'Activity Data Rep. Mauritius'!$J48*'Activity Data Rep. Mauritius'!$E48)/1000,"NA")</f>
        <v>69956.225013641611</v>
      </c>
      <c r="U49" s="87">
        <f>IFERROR(('Activity Data Rep. Mauritius'!M48*'Activity Data Rep. Mauritius'!$J48*'Activity Data Rep. Mauritius'!$F48)/1000,"NA")</f>
        <v>17.438744934104044</v>
      </c>
      <c r="V49" s="49">
        <f>IFERROR(('Activity Data Rep. Mauritius'!N48*'Activity Data Rep. Mauritius'!$J48*'Activity Data Rep. Mauritius'!$F48)/1000,"NA")</f>
        <v>18.200892180346823</v>
      </c>
      <c r="W49" s="49">
        <f>IFERROR(('Activity Data Rep. Mauritius'!O48*'Activity Data Rep. Mauritius'!$J48*'Activity Data Rep. Mauritius'!$F48)/1000,"NA")</f>
        <v>18.982121895953757</v>
      </c>
      <c r="X49" s="49">
        <f>IFERROR(('Activity Data Rep. Mauritius'!P48*'Activity Data Rep. Mauritius'!$J48*'Activity Data Rep. Mauritius'!$F48)/1000,"NA")</f>
        <v>19.755126409248554</v>
      </c>
      <c r="Y49" s="49">
        <f>IFERROR(('Activity Data Rep. Mauritius'!Q48*'Activity Data Rep. Mauritius'!$J48*'Activity Data Rep. Mauritius'!$F48)/1000,"NA")</f>
        <v>20.858290543352599</v>
      </c>
      <c r="Z49" s="49">
        <f>IFERROR(('Activity Data Rep. Mauritius'!R48*'Activity Data Rep. Mauritius'!$J48*'Activity Data Rep. Mauritius'!$F48)/1000,"NA")</f>
        <v>21.871799972254337</v>
      </c>
      <c r="AA49" s="49">
        <f>IFERROR(('Activity Data Rep. Mauritius'!S48*'Activity Data Rep. Mauritius'!$J48*'Activity Data Rep. Mauritius'!$F48)/1000,"NA")</f>
        <v>22.892712083236994</v>
      </c>
      <c r="AB49" s="49">
        <f>IFERROR(('Activity Data Rep. Mauritius'!T48*'Activity Data Rep. Mauritius'!$J48*'Activity Data Rep. Mauritius'!$F48)/1000,"NA")</f>
        <v>23.95376318150289</v>
      </c>
      <c r="AC49" s="49">
        <f>IFERROR(('Activity Data Rep. Mauritius'!U48*'Activity Data Rep. Mauritius'!$J48*'Activity Data Rep. Mauritius'!$F48)/1000,"NA")</f>
        <v>25.194123690173413</v>
      </c>
      <c r="AD49" s="49">
        <f>IFERROR(('Activity Data Rep. Mauritius'!V48*'Activity Data Rep. Mauritius'!$J48*'Activity Data Rep. Mauritius'!$F48)/1000,"NA")</f>
        <v>26.272612217341038</v>
      </c>
      <c r="AE49" s="49">
        <f>IFERROR(('Activity Data Rep. Mauritius'!W48*'Activity Data Rep. Mauritius'!$J48*'Activity Data Rep. Mauritius'!$F48)/1000,"NA")</f>
        <v>27.529094122543352</v>
      </c>
      <c r="AF49" s="49">
        <f>IFERROR(('Activity Data Rep. Mauritius'!X48*'Activity Data Rep. Mauritius'!$J48*'Activity Data Rep. Mauritius'!$F48)/1000,"NA")</f>
        <v>28.742146959537571</v>
      </c>
      <c r="AG49" s="49">
        <f>IFERROR(('Activity Data Rep. Mauritius'!Y48*'Activity Data Rep. Mauritius'!$J48*'Activity Data Rep. Mauritius'!$F48)/1000,"NA")</f>
        <v>30.266934964161852</v>
      </c>
      <c r="AH49" s="49">
        <f>IFERROR(('Activity Data Rep. Mauritius'!Z48*'Activity Data Rep. Mauritius'!$J48*'Activity Data Rep. Mauritius'!$F48)/1000,"NA")</f>
        <v>31.837619597687862</v>
      </c>
      <c r="AI49" s="49">
        <f>IFERROR(('Activity Data Rep. Mauritius'!AA48*'Activity Data Rep. Mauritius'!$J48*'Activity Data Rep. Mauritius'!$F48)/1000,"NA")</f>
        <v>22.373990233526008</v>
      </c>
      <c r="AJ49" s="49">
        <f>IFERROR(('Activity Data Rep. Mauritius'!AB48*'Activity Data Rep. Mauritius'!$J48*'Activity Data Rep. Mauritius'!$F48)/1000,"NA")</f>
        <v>30.077571579190746</v>
      </c>
      <c r="AK49" s="88">
        <f>IFERROR(('Activity Data Rep. Mauritius'!AC48*'Activity Data Rep. Mauritius'!$J48*'Activity Data Rep. Mauritius'!$F48)/1000,"NA")</f>
        <v>33.312488101734104</v>
      </c>
      <c r="AL49" s="500">
        <f>IFERROR(('Activity Data Rep. Mauritius'!M48*'Activity Data Rep. Mauritius'!$J48*'Activity Data Rep. Mauritius'!$G48)/1000,"NA")</f>
        <v>1.6910298117919074</v>
      </c>
      <c r="AM49" s="39">
        <f>IFERROR(('Activity Data Rep. Mauritius'!N48*'Activity Data Rep. Mauritius'!$J48*'Activity Data Rep. Mauritius'!$G48)/1000,"NA")</f>
        <v>1.7649349993063586</v>
      </c>
      <c r="AN49" s="39">
        <f>IFERROR(('Activity Data Rep. Mauritius'!O48*'Activity Data Rep. Mauritius'!$J48*'Activity Data Rep. Mauritius'!$G48)/1000,"NA")</f>
        <v>1.8406906080924854</v>
      </c>
      <c r="AO49" s="39">
        <f>IFERROR(('Activity Data Rep. Mauritius'!P48*'Activity Data Rep. Mauritius'!$J48*'Activity Data Rep. Mauritius'!$G48)/1000,"NA")</f>
        <v>1.9156486215028901</v>
      </c>
      <c r="AP49" s="39">
        <f>IFERROR(('Activity Data Rep. Mauritius'!Q48*'Activity Data Rep. Mauritius'!$J48*'Activity Data Rep. Mauritius'!$G48)/1000,"NA")</f>
        <v>2.0226221132947977</v>
      </c>
      <c r="AQ49" s="39">
        <f>IFERROR(('Activity Data Rep. Mauritius'!R48*'Activity Data Rep. Mauritius'!$J48*'Activity Data Rep. Mauritius'!$G48)/1000,"NA")</f>
        <v>2.1209018154913295</v>
      </c>
      <c r="AR49" s="39">
        <f>IFERROR(('Activity Data Rep. Mauritius'!S48*'Activity Data Rep. Mauritius'!$J48*'Activity Data Rep. Mauritius'!$G48)/1000,"NA")</f>
        <v>2.2198993535260119</v>
      </c>
      <c r="AS49" s="39">
        <f>IFERROR(('Activity Data Rep. Mauritius'!T48*'Activity Data Rep. Mauritius'!$J48*'Activity Data Rep. Mauritius'!$G48)/1000,"NA")</f>
        <v>2.3227891569942201</v>
      </c>
      <c r="AT49" s="39">
        <f>IFERROR(('Activity Data Rep. Mauritius'!U48*'Activity Data Rep. Mauritius'!$J48*'Activity Data Rep. Mauritius'!$G48)/1000,"NA")</f>
        <v>2.4430665396531794</v>
      </c>
      <c r="AU49" s="39">
        <f>IFERROR(('Activity Data Rep. Mauritius'!V48*'Activity Data Rep. Mauritius'!$J48*'Activity Data Rep. Mauritius'!$G48)/1000,"NA")</f>
        <v>2.5476472453179189</v>
      </c>
      <c r="AV49" s="39">
        <f>IFERROR(('Activity Data Rep. Mauritius'!W48*'Activity Data Rep. Mauritius'!$J48*'Activity Data Rep. Mauritius'!$G48)/1000,"NA")</f>
        <v>2.6694879149132946</v>
      </c>
      <c r="AW49" s="39">
        <f>IFERROR(('Activity Data Rep. Mauritius'!X48*'Activity Data Rep. Mauritius'!$J48*'Activity Data Rep. Mauritius'!$G48)/1000,"NA")</f>
        <v>2.7871172809248557</v>
      </c>
      <c r="AX49" s="39">
        <f>IFERROR(('Activity Data Rep. Mauritius'!Y48*'Activity Data Rep. Mauritius'!$J48*'Activity Data Rep. Mauritius'!$G48)/1000,"NA")</f>
        <v>2.934975511676301</v>
      </c>
      <c r="AY49" s="39">
        <f>IFERROR(('Activity Data Rep. Mauritius'!Z48*'Activity Data Rep. Mauritius'!$J48*'Activity Data Rep. Mauritius'!$G48)/1000,"NA")</f>
        <v>3.0872843246242776</v>
      </c>
      <c r="AZ49" s="39">
        <f>IFERROR(('Activity Data Rep. Mauritius'!AA48*'Activity Data Rep. Mauritius'!$J48*'Activity Data Rep. Mauritius'!$G48)/1000,"NA")</f>
        <v>2.1695990529479765</v>
      </c>
      <c r="BA49" s="39">
        <f>IFERROR(('Activity Data Rep. Mauritius'!AB48*'Activity Data Rep. Mauritius'!$J48*'Activity Data Rep. Mauritius'!$G48)/1000,"NA")</f>
        <v>2.9166130016184968</v>
      </c>
      <c r="BB49" s="86">
        <f>IFERROR(('Activity Data Rep. Mauritius'!AC48*'Activity Data Rep. Mauritius'!$J48*'Activity Data Rep. Mauritius'!$G48)/1000,"NA")</f>
        <v>3.2303018765317919</v>
      </c>
      <c r="BC49" s="85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86"/>
    </row>
    <row r="50" spans="2:71" s="110" customFormat="1" x14ac:dyDescent="0.35">
      <c r="B50" s="644"/>
      <c r="C50" s="253" t="s">
        <v>547</v>
      </c>
      <c r="D50" s="87">
        <f>IFERROR(('Activity Data Rep. Mauritius'!M49*'Activity Data Rep. Mauritius'!$J49*'Activity Data Rep. Mauritius'!$E49)/1000,"NA")</f>
        <v>1225.8841526011561</v>
      </c>
      <c r="E50" s="49">
        <f>IFERROR(('Activity Data Rep. Mauritius'!N49*'Activity Data Rep. Mauritius'!$J49*'Activity Data Rep. Mauritius'!$E49)/1000,"NA")</f>
        <v>1278.1235341040463</v>
      </c>
      <c r="F50" s="49">
        <f>IFERROR(('Activity Data Rep. Mauritius'!O49*'Activity Data Rep. Mauritius'!$J49*'Activity Data Rep. Mauritius'!$E49)/1000,"NA")</f>
        <v>1333.8455410404624</v>
      </c>
      <c r="G50" s="49">
        <f>IFERROR(('Activity Data Rep. Mauritius'!P49*'Activity Data Rep. Mauritius'!$J49*'Activity Data Rep. Mauritius'!$E49)/1000,"NA")</f>
        <v>1386.0849225433524</v>
      </c>
      <c r="H50" s="49">
        <f>IFERROR(('Activity Data Rep. Mauritius'!Q49*'Activity Data Rep. Mauritius'!$J49*'Activity Data Rep. Mauritius'!$E49)/1000,"NA")</f>
        <v>1462.7026820809247</v>
      </c>
      <c r="I50" s="49">
        <f>IFERROR(('Activity Data Rep. Mauritius'!R49*'Activity Data Rep. Mauritius'!$J49*'Activity Data Rep. Mauritius'!$E49)/1000,"NA")</f>
        <v>1532.355190751445</v>
      </c>
      <c r="J50" s="49">
        <f>IFERROR(('Activity Data Rep. Mauritius'!S49*'Activity Data Rep. Mauritius'!$J49*'Activity Data Rep. Mauritius'!$E49)/1000,"NA")</f>
        <v>1602.0076994219651</v>
      </c>
      <c r="K50" s="49">
        <f>IFERROR(('Activity Data Rep. Mauritius'!T49*'Activity Data Rep. Mauritius'!$J49*'Activity Data Rep. Mauritius'!$E49)/1000,"NA")</f>
        <v>1675.1428335260118</v>
      </c>
      <c r="L50" s="49">
        <f>IFERROR(('Activity Data Rep. Mauritius'!U49*'Activity Data Rep. Mauritius'!$J49*'Activity Data Rep. Mauritius'!$E49)/1000,"NA")</f>
        <v>1765.691094797688</v>
      </c>
      <c r="M50" s="49">
        <f>IFERROR(('Activity Data Rep. Mauritius'!V49*'Activity Data Rep. Mauritius'!$J49*'Activity Data Rep. Mauritius'!$E49)/1000,"NA")</f>
        <v>1838.8262289017341</v>
      </c>
      <c r="N50" s="49">
        <f>IFERROR(('Activity Data Rep. Mauritius'!W49*'Activity Data Rep. Mauritius'!$J49*'Activity Data Rep. Mauritius'!$E49)/1000,"NA")</f>
        <v>1925.8918647398843</v>
      </c>
      <c r="O50" s="49">
        <f>IFERROR(('Activity Data Rep. Mauritius'!X49*'Activity Data Rep. Mauritius'!$J49*'Activity Data Rep. Mauritius'!$E49)/1000,"NA")</f>
        <v>2009.4748751445086</v>
      </c>
      <c r="P50" s="49">
        <f>IFERROR(('Activity Data Rep. Mauritius'!Y49*'Activity Data Rep. Mauritius'!$J49*'Activity Data Rep. Mauritius'!$E49)/1000,"NA")</f>
        <v>2117.4362635838152</v>
      </c>
      <c r="Q50" s="49">
        <f>IFERROR(('Activity Data Rep. Mauritius'!Z49*'Activity Data Rep. Mauritius'!$J49*'Activity Data Rep. Mauritius'!$E49)/1000,"NA")</f>
        <v>2225.3976520231213</v>
      </c>
      <c r="R50" s="49">
        <f>IFERROR(('Activity Data Rep. Mauritius'!AA49*'Activity Data Rep. Mauritius'!$J49*'Activity Data Rep. Mauritius'!$E49)/1000,"NA")</f>
        <v>1717.6319383393184</v>
      </c>
      <c r="S50" s="49">
        <f>IFERROR(('Activity Data Rep. Mauritius'!AB49*'Activity Data Rep. Mauritius'!$J49*'Activity Data Rep. Mauritius'!$E49)/1000,"NA")</f>
        <v>2538.1172028159467</v>
      </c>
      <c r="T50" s="88">
        <f>IFERROR(('Activity Data Rep. Mauritius'!AC49*'Activity Data Rep. Mauritius'!$J49*'Activity Data Rep. Mauritius'!$E49)/1000,"NA")</f>
        <v>2796.8564477515379</v>
      </c>
      <c r="U50" s="87">
        <f>IFERROR(('Activity Data Rep. Mauritius'!M49*'Activity Data Rep. Mauritius'!$J49*'Activity Data Rep. Mauritius'!$F49)/1000,"NA")</f>
        <v>0.58375435838150291</v>
      </c>
      <c r="V50" s="49">
        <f>IFERROR(('Activity Data Rep. Mauritius'!N49*'Activity Data Rep. Mauritius'!$J49*'Activity Data Rep. Mauritius'!$F49)/1000,"NA")</f>
        <v>0.60863025433526008</v>
      </c>
      <c r="W50" s="49">
        <f>IFERROR(('Activity Data Rep. Mauritius'!O49*'Activity Data Rep. Mauritius'!$J49*'Activity Data Rep. Mauritius'!$F49)/1000,"NA")</f>
        <v>0.6351645433526012</v>
      </c>
      <c r="X50" s="49">
        <f>IFERROR(('Activity Data Rep. Mauritius'!P49*'Activity Data Rep. Mauritius'!$J49*'Activity Data Rep. Mauritius'!$F49)/1000,"NA")</f>
        <v>0.66004043930635825</v>
      </c>
      <c r="Y50" s="49">
        <f>IFERROR(('Activity Data Rep. Mauritius'!Q49*'Activity Data Rep. Mauritius'!$J49*'Activity Data Rep. Mauritius'!$F49)/1000,"NA")</f>
        <v>0.6965250867052023</v>
      </c>
      <c r="Z50" s="49">
        <f>IFERROR(('Activity Data Rep. Mauritius'!R49*'Activity Data Rep. Mauritius'!$J49*'Activity Data Rep. Mauritius'!$F49)/1000,"NA")</f>
        <v>0.72969294797687856</v>
      </c>
      <c r="AA50" s="49">
        <f>IFERROR(('Activity Data Rep. Mauritius'!S49*'Activity Data Rep. Mauritius'!$J49*'Activity Data Rep. Mauritius'!$F49)/1000,"NA")</f>
        <v>0.76286080924855482</v>
      </c>
      <c r="AB50" s="49">
        <f>IFERROR(('Activity Data Rep. Mauritius'!T49*'Activity Data Rep. Mauritius'!$J49*'Activity Data Rep. Mauritius'!$F49)/1000,"NA")</f>
        <v>0.79768706358381503</v>
      </c>
      <c r="AC50" s="49">
        <f>IFERROR(('Activity Data Rep. Mauritius'!U49*'Activity Data Rep. Mauritius'!$J49*'Activity Data Rep. Mauritius'!$F49)/1000,"NA")</f>
        <v>0.84080528323699433</v>
      </c>
      <c r="AD50" s="49">
        <f>IFERROR(('Activity Data Rep. Mauritius'!V49*'Activity Data Rep. Mauritius'!$J49*'Activity Data Rep. Mauritius'!$F49)/1000,"NA")</f>
        <v>0.87563153757225443</v>
      </c>
      <c r="AE50" s="49">
        <f>IFERROR(('Activity Data Rep. Mauritius'!W49*'Activity Data Rep. Mauritius'!$J49*'Activity Data Rep. Mauritius'!$F49)/1000,"NA")</f>
        <v>0.91709136416184966</v>
      </c>
      <c r="AF50" s="49">
        <f>IFERROR(('Activity Data Rep. Mauritius'!X49*'Activity Data Rep. Mauritius'!$J49*'Activity Data Rep. Mauritius'!$F49)/1000,"NA")</f>
        <v>0.95689279768786129</v>
      </c>
      <c r="AG50" s="49">
        <f>IFERROR(('Activity Data Rep. Mauritius'!Y49*'Activity Data Rep. Mauritius'!$J49*'Activity Data Rep. Mauritius'!$F49)/1000,"NA")</f>
        <v>1.0083029826589596</v>
      </c>
      <c r="AH50" s="49">
        <f>IFERROR(('Activity Data Rep. Mauritius'!Z49*'Activity Data Rep. Mauritius'!$J49*'Activity Data Rep. Mauritius'!$F49)/1000,"NA")</f>
        <v>1.0597131676300577</v>
      </c>
      <c r="AI50" s="49">
        <f>IFERROR(('Activity Data Rep. Mauritius'!AA49*'Activity Data Rep. Mauritius'!$J49*'Activity Data Rep. Mauritius'!$F49)/1000,"NA")</f>
        <v>0.81791997063777067</v>
      </c>
      <c r="AJ50" s="49">
        <f>IFERROR(('Activity Data Rep. Mauritius'!AB49*'Activity Data Rep. Mauritius'!$J49*'Activity Data Rep. Mauritius'!$F49)/1000,"NA")</f>
        <v>1.2086272394361652</v>
      </c>
      <c r="AK50" s="88">
        <f>IFERROR(('Activity Data Rep. Mauritius'!AC49*'Activity Data Rep. Mauritius'!$J49*'Activity Data Rep. Mauritius'!$F49)/1000,"NA")</f>
        <v>1.3318364036912085</v>
      </c>
      <c r="AL50" s="500">
        <f>IFERROR(('Activity Data Rep. Mauritius'!M49*'Activity Data Rep. Mauritius'!$J49*'Activity Data Rep. Mauritius'!$G49)/1000,"NA")</f>
        <v>5.6606483236994222E-2</v>
      </c>
      <c r="AM50" s="39">
        <f>IFERROR(('Activity Data Rep. Mauritius'!N49*'Activity Data Rep. Mauritius'!$J49*'Activity Data Rep. Mauritius'!$G49)/1000,"NA")</f>
        <v>5.9018691329479775E-2</v>
      </c>
      <c r="AN50" s="39">
        <f>IFERROR(('Activity Data Rep. Mauritius'!O49*'Activity Data Rep. Mauritius'!$J49*'Activity Data Rep. Mauritius'!$G49)/1000,"NA")</f>
        <v>6.1591713294797699E-2</v>
      </c>
      <c r="AO50" s="39">
        <f>IFERROR(('Activity Data Rep. Mauritius'!P49*'Activity Data Rep. Mauritius'!$J49*'Activity Data Rep. Mauritius'!$G49)/1000,"NA")</f>
        <v>6.4003921387283225E-2</v>
      </c>
      <c r="AP50" s="39">
        <f>IFERROR(('Activity Data Rep. Mauritius'!Q49*'Activity Data Rep. Mauritius'!$J49*'Activity Data Rep. Mauritius'!$G49)/1000,"NA")</f>
        <v>6.7541826589595372E-2</v>
      </c>
      <c r="AQ50" s="39">
        <f>IFERROR(('Activity Data Rep. Mauritius'!R49*'Activity Data Rep. Mauritius'!$J49*'Activity Data Rep. Mauritius'!$G49)/1000,"NA")</f>
        <v>7.0758104046242776E-2</v>
      </c>
      <c r="AR50" s="39">
        <f>IFERROR(('Activity Data Rep. Mauritius'!S49*'Activity Data Rep. Mauritius'!$J49*'Activity Data Rep. Mauritius'!$G49)/1000,"NA")</f>
        <v>7.3974381502890166E-2</v>
      </c>
      <c r="AS50" s="39">
        <f>IFERROR(('Activity Data Rep. Mauritius'!T49*'Activity Data Rep. Mauritius'!$J49*'Activity Data Rep. Mauritius'!$G49)/1000,"NA")</f>
        <v>7.7351472832369955E-2</v>
      </c>
      <c r="AT50" s="39">
        <f>IFERROR(('Activity Data Rep. Mauritius'!U49*'Activity Data Rep. Mauritius'!$J49*'Activity Data Rep. Mauritius'!$G49)/1000,"NA")</f>
        <v>8.1532633526011575E-2</v>
      </c>
      <c r="AU50" s="39">
        <f>IFERROR(('Activity Data Rep. Mauritius'!V49*'Activity Data Rep. Mauritius'!$J49*'Activity Data Rep. Mauritius'!$G49)/1000,"NA")</f>
        <v>8.4909724855491336E-2</v>
      </c>
      <c r="AV50" s="39">
        <f>IFERROR(('Activity Data Rep. Mauritius'!W49*'Activity Data Rep. Mauritius'!$J49*'Activity Data Rep. Mauritius'!$G49)/1000,"NA")</f>
        <v>8.8930071676300584E-2</v>
      </c>
      <c r="AW50" s="39">
        <f>IFERROR(('Activity Data Rep. Mauritius'!X49*'Activity Data Rep. Mauritius'!$J49*'Activity Data Rep. Mauritius'!$G49)/1000,"NA")</f>
        <v>9.2789604624277461E-2</v>
      </c>
      <c r="AX50" s="39">
        <f>IFERROR(('Activity Data Rep. Mauritius'!Y49*'Activity Data Rep. Mauritius'!$J49*'Activity Data Rep. Mauritius'!$G49)/1000,"NA")</f>
        <v>9.7774834682080938E-2</v>
      </c>
      <c r="AY50" s="39">
        <f>IFERROR(('Activity Data Rep. Mauritius'!Z49*'Activity Data Rep. Mauritius'!$J49*'Activity Data Rep. Mauritius'!$G49)/1000,"NA")</f>
        <v>0.1027600647398844</v>
      </c>
      <c r="AZ50" s="39">
        <f>IFERROR(('Activity Data Rep. Mauritius'!AA49*'Activity Data Rep. Mauritius'!$J49*'Activity Data Rep. Mauritius'!$G49)/1000,"NA")</f>
        <v>7.9313451698208068E-2</v>
      </c>
      <c r="BA50" s="39">
        <f>IFERROR(('Activity Data Rep. Mauritius'!AB49*'Activity Data Rep. Mauritius'!$J49*'Activity Data Rep. Mauritius'!$G49)/1000,"NA")</f>
        <v>0.11720021715744632</v>
      </c>
      <c r="BB50" s="86">
        <f>IFERROR(('Activity Data Rep. Mauritius'!AC49*'Activity Data Rep. Mauritius'!$J49*'Activity Data Rep. Mauritius'!$G49)/1000,"NA")</f>
        <v>0.12914777247914749</v>
      </c>
      <c r="BC50" s="85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86"/>
    </row>
    <row r="51" spans="2:71" x14ac:dyDescent="0.35">
      <c r="B51" s="644"/>
      <c r="C51" s="253" t="s">
        <v>548</v>
      </c>
      <c r="D51" s="87">
        <f>IFERROR(('Activity Data Rep. Mauritius'!M50*'Activity Data Rep. Mauritius'!$J50*'Activity Data Rep. Mauritius'!$E50)/1000,"NA")</f>
        <v>27231.922110035001</v>
      </c>
      <c r="E51" s="49">
        <f>IFERROR(('Activity Data Rep. Mauritius'!N50*'Activity Data Rep. Mauritius'!$J50*'Activity Data Rep. Mauritius'!$E50)/1000,"NA")</f>
        <v>28420.532895819848</v>
      </c>
      <c r="F51" s="49">
        <f>IFERROR(('Activity Data Rep. Mauritius'!O50*'Activity Data Rep. Mauritius'!$J50*'Activity Data Rep. Mauritius'!$E50)/1000,"NA")</f>
        <v>29647.349028290642</v>
      </c>
      <c r="G51" s="49">
        <f>IFERROR(('Activity Data Rep. Mauritius'!P50*'Activity Data Rep. Mauritius'!$J50*'Activity Data Rep. Mauritius'!$E50)/1000,"NA")</f>
        <v>30852.939968158131</v>
      </c>
      <c r="H51" s="49">
        <f>IFERROR(('Activity Data Rep. Mauritius'!Q50*'Activity Data Rep. Mauritius'!$J50*'Activity Data Rep. Mauritius'!$E50)/1000,"NA")</f>
        <v>32580.670646066817</v>
      </c>
      <c r="I51" s="49">
        <f>IFERROR(('Activity Data Rep. Mauritius'!R50*'Activity Data Rep. Mauritius'!$J50*'Activity Data Rep. Mauritius'!$E50)/1000,"NA")</f>
        <v>34168.315052793725</v>
      </c>
      <c r="J51" s="49">
        <f>IFERROR(('Activity Data Rep. Mauritius'!S50*'Activity Data Rep. Mauritius'!$J50*'Activity Data Rep. Mauritius'!$E50)/1000,"NA")</f>
        <v>35764.449536561951</v>
      </c>
      <c r="K51" s="49">
        <f>IFERROR(('Activity Data Rep. Mauritius'!T50*'Activity Data Rep. Mauritius'!$J50*'Activity Data Rep. Mauritius'!$E50)/1000,"NA")</f>
        <v>37424.259598140074</v>
      </c>
      <c r="L51" s="49">
        <f>IFERROR(('Activity Data Rep. Mauritius'!U50*'Activity Data Rep. Mauritius'!$J50*'Activity Data Rep. Mauritius'!$E50)/1000,"NA")</f>
        <v>39359.997163561107</v>
      </c>
      <c r="M51" s="49">
        <f>IFERROR(('Activity Data Rep. Mauritius'!V50*'Activity Data Rep. Mauritius'!$J50*'Activity Data Rep. Mauritius'!$E50)/1000,"NA")</f>
        <v>41049.522494783858</v>
      </c>
      <c r="N51" s="49">
        <f>IFERROR(('Activity Data Rep. Mauritius'!W50*'Activity Data Rep. Mauritius'!$J50*'Activity Data Rep. Mauritius'!$E50)/1000,"NA")</f>
        <v>43006.485252808197</v>
      </c>
      <c r="O51" s="49">
        <f>IFERROR(('Activity Data Rep. Mauritius'!X50*'Activity Data Rep. Mauritius'!$J50*'Activity Data Rep. Mauritius'!$E50)/1000,"NA")</f>
        <v>44904.017471543295</v>
      </c>
      <c r="P51" s="49">
        <f>IFERROR(('Activity Data Rep. Mauritius'!Y50*'Activity Data Rep. Mauritius'!$J50*'Activity Data Rep. Mauritius'!$E50)/1000,"NA")</f>
        <v>47289.729120154312</v>
      </c>
      <c r="Q51" s="49">
        <f>IFERROR(('Activity Data Rep. Mauritius'!Z50*'Activity Data Rep. Mauritius'!$J50*'Activity Data Rep. Mauritius'!$E50)/1000,"NA")</f>
        <v>49747.606423616555</v>
      </c>
      <c r="R51" s="49">
        <f>IFERROR(('Activity Data Rep. Mauritius'!AA50*'Activity Data Rep. Mauritius'!$J50*'Activity Data Rep. Mauritius'!$E50)/1000,"NA")</f>
        <v>39883.733646714449</v>
      </c>
      <c r="S51" s="49">
        <f>IFERROR(('Activity Data Rep. Mauritius'!AB50*'Activity Data Rep. Mauritius'!$J50*'Activity Data Rep. Mauritius'!$E50)/1000,"NA")</f>
        <v>40788.798698756946</v>
      </c>
      <c r="T51" s="88">
        <f>IFERROR(('Activity Data Rep. Mauritius'!AC50*'Activity Data Rep. Mauritius'!$J50*'Activity Data Rep. Mauritius'!$E50)/1000,"NA")</f>
        <v>48519.817877144298</v>
      </c>
      <c r="U51" s="87">
        <f>IFERROR(('Activity Data Rep. Mauritius'!M50*'Activity Data Rep. Mauritius'!$J50*'Activity Data Rep. Mauritius'!$F50)/1000,"NA")</f>
        <v>1.4332590584228948</v>
      </c>
      <c r="V51" s="49">
        <f>IFERROR(('Activity Data Rep. Mauritius'!N50*'Activity Data Rep. Mauritius'!$J50*'Activity Data Rep. Mauritius'!$F50)/1000,"NA")</f>
        <v>1.4958175208326236</v>
      </c>
      <c r="W51" s="49">
        <f>IFERROR(('Activity Data Rep. Mauritius'!O50*'Activity Data Rep. Mauritius'!$J50*'Activity Data Rep. Mauritius'!$F50)/1000,"NA")</f>
        <v>1.5603867909626654</v>
      </c>
      <c r="X51" s="49">
        <f>IFERROR(('Activity Data Rep. Mauritius'!P50*'Activity Data Rep. Mauritius'!$J50*'Activity Data Rep. Mauritius'!$F50)/1000,"NA")</f>
        <v>1.6238389456925331</v>
      </c>
      <c r="Y51" s="49">
        <f>IFERROR(('Activity Data Rep. Mauritius'!Q50*'Activity Data Rep. Mauritius'!$J50*'Activity Data Rep. Mauritius'!$F50)/1000,"NA")</f>
        <v>1.7147721392666746</v>
      </c>
      <c r="Z51" s="49">
        <f>IFERROR(('Activity Data Rep. Mauritius'!R50*'Activity Data Rep. Mauritius'!$J50*'Activity Data Rep. Mauritius'!$F50)/1000,"NA")</f>
        <v>1.7983323711996695</v>
      </c>
      <c r="AA51" s="49">
        <f>IFERROR(('Activity Data Rep. Mauritius'!S50*'Activity Data Rep. Mauritius'!$J50*'Activity Data Rep. Mauritius'!$F50)/1000,"NA")</f>
        <v>1.8823394492927341</v>
      </c>
      <c r="AB51" s="49">
        <f>IFERROR(('Activity Data Rep. Mauritius'!T50*'Activity Data Rep. Mauritius'!$J50*'Activity Data Rep. Mauritius'!$F50)/1000,"NA")</f>
        <v>1.9696978735863195</v>
      </c>
      <c r="AC51" s="49">
        <f>IFERROR(('Activity Data Rep. Mauritius'!U50*'Activity Data Rep. Mauritius'!$J50*'Activity Data Rep. Mauritius'!$F50)/1000,"NA")</f>
        <v>2.0715787980821632</v>
      </c>
      <c r="AD51" s="49">
        <f>IFERROR(('Activity Data Rep. Mauritius'!V50*'Activity Data Rep. Mauritius'!$J50*'Activity Data Rep. Mauritius'!$F50)/1000,"NA")</f>
        <v>2.1605011839359927</v>
      </c>
      <c r="AE51" s="49">
        <f>IFERROR(('Activity Data Rep. Mauritius'!W50*'Activity Data Rep. Mauritius'!$J50*'Activity Data Rep. Mauritius'!$F50)/1000,"NA")</f>
        <v>2.2634992238320106</v>
      </c>
      <c r="AF51" s="49">
        <f>IFERROR(('Activity Data Rep. Mauritius'!X50*'Activity Data Rep. Mauritius'!$J50*'Activity Data Rep. Mauritius'!$F50)/1000,"NA")</f>
        <v>2.3633693406075418</v>
      </c>
      <c r="AG51" s="49">
        <f>IFERROR(('Activity Data Rep. Mauritius'!Y50*'Activity Data Rep. Mauritius'!$J50*'Activity Data Rep. Mauritius'!$F50)/1000,"NA")</f>
        <v>2.4889331115870692</v>
      </c>
      <c r="AH51" s="49">
        <f>IFERROR(('Activity Data Rep. Mauritius'!Z50*'Activity Data Rep. Mauritius'!$J50*'Activity Data Rep. Mauritius'!$F50)/1000,"NA")</f>
        <v>2.6182950749271874</v>
      </c>
      <c r="AI51" s="49">
        <f>IFERROR(('Activity Data Rep. Mauritius'!AA50*'Activity Data Rep. Mauritius'!$J50*'Activity Data Rep. Mauritius'!$F50)/1000,"NA")</f>
        <v>2.0991438761428651</v>
      </c>
      <c r="AJ51" s="49">
        <f>IFERROR(('Activity Data Rep. Mauritius'!AB50*'Activity Data Rep. Mauritius'!$J50*'Activity Data Rep. Mauritius'!$F50)/1000,"NA")</f>
        <v>2.1467788788819449</v>
      </c>
      <c r="AK51" s="88">
        <f>IFERROR(('Activity Data Rep. Mauritius'!AC50*'Activity Data Rep. Mauritius'!$J50*'Activity Data Rep. Mauritius'!$F50)/1000,"NA")</f>
        <v>2.5536746251128575</v>
      </c>
      <c r="AL51" s="500">
        <f>IFERROR(('Activity Data Rep. Mauritius'!M50*'Activity Data Rep. Mauritius'!$J50*'Activity Data Rep. Mauritius'!$G50)/1000,"NA")</f>
        <v>1.4332590584228948</v>
      </c>
      <c r="AM51" s="39">
        <f>IFERROR(('Activity Data Rep. Mauritius'!N50*'Activity Data Rep. Mauritius'!$J50*'Activity Data Rep. Mauritius'!$G50)/1000,"NA")</f>
        <v>1.4958175208326236</v>
      </c>
      <c r="AN51" s="39">
        <f>IFERROR(('Activity Data Rep. Mauritius'!O50*'Activity Data Rep. Mauritius'!$J50*'Activity Data Rep. Mauritius'!$G50)/1000,"NA")</f>
        <v>1.5603867909626654</v>
      </c>
      <c r="AO51" s="39">
        <f>IFERROR(('Activity Data Rep. Mauritius'!P50*'Activity Data Rep. Mauritius'!$J50*'Activity Data Rep. Mauritius'!$G50)/1000,"NA")</f>
        <v>1.6238389456925331</v>
      </c>
      <c r="AP51" s="39">
        <f>IFERROR(('Activity Data Rep. Mauritius'!Q50*'Activity Data Rep. Mauritius'!$J50*'Activity Data Rep. Mauritius'!$G50)/1000,"NA")</f>
        <v>1.7147721392666746</v>
      </c>
      <c r="AQ51" s="39">
        <f>IFERROR(('Activity Data Rep. Mauritius'!R50*'Activity Data Rep. Mauritius'!$J50*'Activity Data Rep. Mauritius'!$G50)/1000,"NA")</f>
        <v>1.7983323711996695</v>
      </c>
      <c r="AR51" s="39">
        <f>IFERROR(('Activity Data Rep. Mauritius'!S50*'Activity Data Rep. Mauritius'!$J50*'Activity Data Rep. Mauritius'!$G50)/1000,"NA")</f>
        <v>1.8823394492927341</v>
      </c>
      <c r="AS51" s="39">
        <f>IFERROR(('Activity Data Rep. Mauritius'!T50*'Activity Data Rep. Mauritius'!$J50*'Activity Data Rep. Mauritius'!$G50)/1000,"NA")</f>
        <v>1.9696978735863195</v>
      </c>
      <c r="AT51" s="39">
        <f>IFERROR(('Activity Data Rep. Mauritius'!U50*'Activity Data Rep. Mauritius'!$J50*'Activity Data Rep. Mauritius'!$G50)/1000,"NA")</f>
        <v>2.0715787980821632</v>
      </c>
      <c r="AU51" s="39">
        <f>IFERROR(('Activity Data Rep. Mauritius'!V50*'Activity Data Rep. Mauritius'!$J50*'Activity Data Rep. Mauritius'!$G50)/1000,"NA")</f>
        <v>2.1605011839359927</v>
      </c>
      <c r="AV51" s="39">
        <f>IFERROR(('Activity Data Rep. Mauritius'!W50*'Activity Data Rep. Mauritius'!$J50*'Activity Data Rep. Mauritius'!$G50)/1000,"NA")</f>
        <v>2.2634992238320106</v>
      </c>
      <c r="AW51" s="39">
        <f>IFERROR(('Activity Data Rep. Mauritius'!X50*'Activity Data Rep. Mauritius'!$J50*'Activity Data Rep. Mauritius'!$G50)/1000,"NA")</f>
        <v>2.3633693406075418</v>
      </c>
      <c r="AX51" s="39">
        <f>IFERROR(('Activity Data Rep. Mauritius'!Y50*'Activity Data Rep. Mauritius'!$J50*'Activity Data Rep. Mauritius'!$G50)/1000,"NA")</f>
        <v>2.4889331115870692</v>
      </c>
      <c r="AY51" s="39">
        <f>IFERROR(('Activity Data Rep. Mauritius'!Z50*'Activity Data Rep. Mauritius'!$J50*'Activity Data Rep. Mauritius'!$G50)/1000,"NA")</f>
        <v>2.6182950749271874</v>
      </c>
      <c r="AZ51" s="39">
        <f>IFERROR(('Activity Data Rep. Mauritius'!AA50*'Activity Data Rep. Mauritius'!$J50*'Activity Data Rep. Mauritius'!$G50)/1000,"NA")</f>
        <v>2.0991438761428651</v>
      </c>
      <c r="BA51" s="39">
        <f>IFERROR(('Activity Data Rep. Mauritius'!AB50*'Activity Data Rep. Mauritius'!$J50*'Activity Data Rep. Mauritius'!$G50)/1000,"NA")</f>
        <v>2.1467788788819449</v>
      </c>
      <c r="BB51" s="86">
        <f>IFERROR(('Activity Data Rep. Mauritius'!AC50*'Activity Data Rep. Mauritius'!$J50*'Activity Data Rep. Mauritius'!$G50)/1000,"NA")</f>
        <v>2.5536746251128575</v>
      </c>
      <c r="BC51" s="85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86"/>
    </row>
    <row r="52" spans="2:71" x14ac:dyDescent="0.35">
      <c r="B52" s="644"/>
      <c r="C52" s="253" t="s">
        <v>549</v>
      </c>
      <c r="D52" s="87">
        <f>IFERROR(('Activity Data Rep. Mauritius'!M51*'Activity Data Rep. Mauritius'!$J51*'Activity Data Rep. Mauritius'!$E51)/1000,"NA")</f>
        <v>7.8557280679699417</v>
      </c>
      <c r="E52" s="49">
        <f>IFERROR(('Activity Data Rep. Mauritius'!N51*'Activity Data Rep. Mauritius'!$J51*'Activity Data Rep. Mauritius'!$E51)/1000,"NA")</f>
        <v>7.8557280679699417</v>
      </c>
      <c r="F52" s="49">
        <f>IFERROR(('Activity Data Rep. Mauritius'!O51*'Activity Data Rep. Mauritius'!$J51*'Activity Data Rep. Mauritius'!$E51)/1000,"NA")</f>
        <v>10.474304090626587</v>
      </c>
      <c r="G52" s="49">
        <f>IFERROR(('Activity Data Rep. Mauritius'!P51*'Activity Data Rep. Mauritius'!$J51*'Activity Data Rep. Mauritius'!$E51)/1000,"NA")</f>
        <v>10.474304090626587</v>
      </c>
      <c r="H52" s="49">
        <f>IFERROR(('Activity Data Rep. Mauritius'!Q51*'Activity Data Rep. Mauritius'!$J51*'Activity Data Rep. Mauritius'!$E51)/1000,"NA")</f>
        <v>10.474304090626587</v>
      </c>
      <c r="I52" s="49">
        <f>IFERROR(('Activity Data Rep. Mauritius'!R51*'Activity Data Rep. Mauritius'!$J51*'Activity Data Rep. Mauritius'!$E51)/1000,"NA")</f>
        <v>10.474304090626587</v>
      </c>
      <c r="J52" s="49">
        <f>IFERROR(('Activity Data Rep. Mauritius'!S51*'Activity Data Rep. Mauritius'!$J51*'Activity Data Rep. Mauritius'!$E51)/1000,"NA")</f>
        <v>10.474304090626587</v>
      </c>
      <c r="K52" s="49">
        <f>IFERROR(('Activity Data Rep. Mauritius'!T51*'Activity Data Rep. Mauritius'!$J51*'Activity Data Rep. Mauritius'!$E51)/1000,"NA")</f>
        <v>10.474304090626587</v>
      </c>
      <c r="L52" s="49">
        <f>IFERROR(('Activity Data Rep. Mauritius'!U51*'Activity Data Rep. Mauritius'!$J51*'Activity Data Rep. Mauritius'!$E51)/1000,"NA")</f>
        <v>10.474304090626587</v>
      </c>
      <c r="M52" s="49">
        <f>IFERROR(('Activity Data Rep. Mauritius'!V51*'Activity Data Rep. Mauritius'!$J51*'Activity Data Rep. Mauritius'!$E51)/1000,"NA")</f>
        <v>13.092880113283231</v>
      </c>
      <c r="N52" s="49">
        <f>IFERROR(('Activity Data Rep. Mauritius'!W51*'Activity Data Rep. Mauritius'!$J51*'Activity Data Rep. Mauritius'!$E51)/1000,"NA")</f>
        <v>13.092880113283231</v>
      </c>
      <c r="O52" s="49">
        <f>IFERROR(('Activity Data Rep. Mauritius'!X51*'Activity Data Rep. Mauritius'!$J51*'Activity Data Rep. Mauritius'!$E51)/1000,"NA")</f>
        <v>13.092880113283231</v>
      </c>
      <c r="P52" s="49">
        <f>IFERROR(('Activity Data Rep. Mauritius'!Y51*'Activity Data Rep. Mauritius'!$J51*'Activity Data Rep. Mauritius'!$E51)/1000,"NA")</f>
        <v>13.092880113283231</v>
      </c>
      <c r="Q52" s="49">
        <f>IFERROR(('Activity Data Rep. Mauritius'!Z51*'Activity Data Rep. Mauritius'!$J51*'Activity Data Rep. Mauritius'!$E51)/1000,"NA")</f>
        <v>13.092880113283231</v>
      </c>
      <c r="R52" s="49">
        <f>IFERROR(('Activity Data Rep. Mauritius'!AA51*'Activity Data Rep. Mauritius'!$J51*'Activity Data Rep. Mauritius'!$E51)/1000,"NA")</f>
        <v>11.220208406938948</v>
      </c>
      <c r="S52" s="49">
        <f>IFERROR(('Activity Data Rep. Mauritius'!AB51*'Activity Data Rep. Mauritius'!$J51*'Activity Data Rep. Mauritius'!$E51)/1000,"NA")</f>
        <v>14.620271560556812</v>
      </c>
      <c r="T52" s="88">
        <f>IFERROR(('Activity Data Rep. Mauritius'!AC51*'Activity Data Rep. Mauritius'!$J51*'Activity Data Rep. Mauritius'!$E51)/1000,"NA")</f>
        <v>20.171395076667608</v>
      </c>
      <c r="U52" s="87">
        <f>IFERROR(('Activity Data Rep. Mauritius'!M51*'Activity Data Rep. Mauritius'!$J51*'Activity Data Rep. Mauritius'!$F51)/1000,"NA")</f>
        <v>7.718781936832589E-3</v>
      </c>
      <c r="V52" s="49">
        <f>IFERROR(('Activity Data Rep. Mauritius'!N51*'Activity Data Rep. Mauritius'!$J51*'Activity Data Rep. Mauritius'!$F51)/1000,"NA")</f>
        <v>7.718781936832589E-3</v>
      </c>
      <c r="W52" s="49">
        <f>IFERROR(('Activity Data Rep. Mauritius'!O51*'Activity Data Rep. Mauritius'!$J51*'Activity Data Rep. Mauritius'!$F51)/1000,"NA")</f>
        <v>1.0291709249110116E-2</v>
      </c>
      <c r="X52" s="49">
        <f>IFERROR(('Activity Data Rep. Mauritius'!P51*'Activity Data Rep. Mauritius'!$J51*'Activity Data Rep. Mauritius'!$F51)/1000,"NA")</f>
        <v>1.0291709249110116E-2</v>
      </c>
      <c r="Y52" s="49">
        <f>IFERROR(('Activity Data Rep. Mauritius'!Q51*'Activity Data Rep. Mauritius'!$J51*'Activity Data Rep. Mauritius'!$F51)/1000,"NA")</f>
        <v>1.0291709249110116E-2</v>
      </c>
      <c r="Z52" s="49">
        <f>IFERROR(('Activity Data Rep. Mauritius'!R51*'Activity Data Rep. Mauritius'!$J51*'Activity Data Rep. Mauritius'!$F51)/1000,"NA")</f>
        <v>1.0291709249110116E-2</v>
      </c>
      <c r="AA52" s="49">
        <f>IFERROR(('Activity Data Rep. Mauritius'!S51*'Activity Data Rep. Mauritius'!$J51*'Activity Data Rep. Mauritius'!$F51)/1000,"NA")</f>
        <v>1.0291709249110116E-2</v>
      </c>
      <c r="AB52" s="49">
        <f>IFERROR(('Activity Data Rep. Mauritius'!T51*'Activity Data Rep. Mauritius'!$J51*'Activity Data Rep. Mauritius'!$F51)/1000,"NA")</f>
        <v>1.0291709249110116E-2</v>
      </c>
      <c r="AC52" s="49">
        <f>IFERROR(('Activity Data Rep. Mauritius'!U51*'Activity Data Rep. Mauritius'!$J51*'Activity Data Rep. Mauritius'!$F51)/1000,"NA")</f>
        <v>1.0291709249110116E-2</v>
      </c>
      <c r="AD52" s="49">
        <f>IFERROR(('Activity Data Rep. Mauritius'!V51*'Activity Data Rep. Mauritius'!$J51*'Activity Data Rep. Mauritius'!$F51)/1000,"NA")</f>
        <v>1.2864636561387645E-2</v>
      </c>
      <c r="AE52" s="49">
        <f>IFERROR(('Activity Data Rep. Mauritius'!W51*'Activity Data Rep. Mauritius'!$J51*'Activity Data Rep. Mauritius'!$F51)/1000,"NA")</f>
        <v>1.2864636561387645E-2</v>
      </c>
      <c r="AF52" s="49">
        <f>IFERROR(('Activity Data Rep. Mauritius'!X51*'Activity Data Rep. Mauritius'!$J51*'Activity Data Rep. Mauritius'!$F51)/1000,"NA")</f>
        <v>1.2864636561387645E-2</v>
      </c>
      <c r="AG52" s="49">
        <f>IFERROR(('Activity Data Rep. Mauritius'!Y51*'Activity Data Rep. Mauritius'!$J51*'Activity Data Rep. Mauritius'!$F51)/1000,"NA")</f>
        <v>1.2864636561387645E-2</v>
      </c>
      <c r="AH52" s="49">
        <f>IFERROR(('Activity Data Rep. Mauritius'!Z51*'Activity Data Rep. Mauritius'!$J51*'Activity Data Rep. Mauritius'!$F51)/1000,"NA")</f>
        <v>1.2864636561387645E-2</v>
      </c>
      <c r="AI52" s="49">
        <f>IFERROR(('Activity Data Rep. Mauritius'!AA51*'Activity Data Rep. Mauritius'!$J51*'Activity Data Rep. Mauritius'!$F51)/1000,"NA")</f>
        <v>1.1024610479084228E-2</v>
      </c>
      <c r="AJ52" s="49">
        <f>IFERROR(('Activity Data Rep. Mauritius'!AB51*'Activity Data Rep. Mauritius'!$J51*'Activity Data Rep. Mauritius'!$F51)/1000,"NA")</f>
        <v>1.4365401533352175E-2</v>
      </c>
      <c r="AK52" s="88">
        <f>IFERROR(('Activity Data Rep. Mauritius'!AC51*'Activity Data Rep. Mauritius'!$J51*'Activity Data Rep. Mauritius'!$F51)/1000,"NA")</f>
        <v>1.9819754275014128E-2</v>
      </c>
      <c r="AL52" s="500">
        <f>IFERROR(('Activity Data Rep. Mauritius'!M51*'Activity Data Rep. Mauritius'!$J51*'Activity Data Rep. Mauritius'!$G51)/1000,"NA")</f>
        <v>2.4899296570427707E-5</v>
      </c>
      <c r="AM52" s="39">
        <f>IFERROR(('Activity Data Rep. Mauritius'!N51*'Activity Data Rep. Mauritius'!$J51*'Activity Data Rep. Mauritius'!$G51)/1000,"NA")</f>
        <v>2.4899296570427707E-5</v>
      </c>
      <c r="AN52" s="39">
        <f>IFERROR(('Activity Data Rep. Mauritius'!O51*'Activity Data Rep. Mauritius'!$J51*'Activity Data Rep. Mauritius'!$G51)/1000,"NA")</f>
        <v>3.3199062093903599E-5</v>
      </c>
      <c r="AO52" s="39">
        <f>IFERROR(('Activity Data Rep. Mauritius'!P51*'Activity Data Rep. Mauritius'!$J51*'Activity Data Rep. Mauritius'!$G51)/1000,"NA")</f>
        <v>3.3199062093903599E-5</v>
      </c>
      <c r="AP52" s="39">
        <f>IFERROR(('Activity Data Rep. Mauritius'!Q51*'Activity Data Rep. Mauritius'!$J51*'Activity Data Rep. Mauritius'!$G51)/1000,"NA")</f>
        <v>3.3199062093903599E-5</v>
      </c>
      <c r="AQ52" s="39">
        <f>IFERROR(('Activity Data Rep. Mauritius'!R51*'Activity Data Rep. Mauritius'!$J51*'Activity Data Rep. Mauritius'!$G51)/1000,"NA")</f>
        <v>3.3199062093903599E-5</v>
      </c>
      <c r="AR52" s="39">
        <f>IFERROR(('Activity Data Rep. Mauritius'!S51*'Activity Data Rep. Mauritius'!$J51*'Activity Data Rep. Mauritius'!$G51)/1000,"NA")</f>
        <v>3.3199062093903599E-5</v>
      </c>
      <c r="AS52" s="39">
        <f>IFERROR(('Activity Data Rep. Mauritius'!T51*'Activity Data Rep. Mauritius'!$J51*'Activity Data Rep. Mauritius'!$G51)/1000,"NA")</f>
        <v>3.3199062093903599E-5</v>
      </c>
      <c r="AT52" s="39">
        <f>IFERROR(('Activity Data Rep. Mauritius'!U51*'Activity Data Rep. Mauritius'!$J51*'Activity Data Rep. Mauritius'!$G51)/1000,"NA")</f>
        <v>3.3199062093903599E-5</v>
      </c>
      <c r="AU52" s="39">
        <f>IFERROR(('Activity Data Rep. Mauritius'!V51*'Activity Data Rep. Mauritius'!$J51*'Activity Data Rep. Mauritius'!$G51)/1000,"NA")</f>
        <v>4.1498827617379497E-5</v>
      </c>
      <c r="AV52" s="39">
        <f>IFERROR(('Activity Data Rep. Mauritius'!W51*'Activity Data Rep. Mauritius'!$J51*'Activity Data Rep. Mauritius'!$G51)/1000,"NA")</f>
        <v>4.1498827617379497E-5</v>
      </c>
      <c r="AW52" s="39">
        <f>IFERROR(('Activity Data Rep. Mauritius'!X51*'Activity Data Rep. Mauritius'!$J51*'Activity Data Rep. Mauritius'!$G51)/1000,"NA")</f>
        <v>4.1498827617379497E-5</v>
      </c>
      <c r="AX52" s="39">
        <f>IFERROR(('Activity Data Rep. Mauritius'!Y51*'Activity Data Rep. Mauritius'!$J51*'Activity Data Rep. Mauritius'!$G51)/1000,"NA")</f>
        <v>4.1498827617379497E-5</v>
      </c>
      <c r="AY52" s="39">
        <f>IFERROR(('Activity Data Rep. Mauritius'!Z51*'Activity Data Rep. Mauritius'!$J51*'Activity Data Rep. Mauritius'!$G51)/1000,"NA")</f>
        <v>4.1498827617379497E-5</v>
      </c>
      <c r="AZ52" s="39">
        <f>IFERROR(('Activity Data Rep. Mauritius'!AA51*'Activity Data Rep. Mauritius'!$J51*'Activity Data Rep. Mauritius'!$G51)/1000,"NA")</f>
        <v>3.5563259609949123E-5</v>
      </c>
      <c r="BA52" s="39">
        <f>IFERROR(('Activity Data Rep. Mauritius'!AB51*'Activity Data Rep. Mauritius'!$J51*'Activity Data Rep. Mauritius'!$G51)/1000,"NA")</f>
        <v>4.6340004946297346E-5</v>
      </c>
      <c r="BB52" s="86">
        <f>IFERROR(('Activity Data Rep. Mauritius'!AC51*'Activity Data Rep. Mauritius'!$J51*'Activity Data Rep. Mauritius'!$G51)/1000,"NA")</f>
        <v>6.3934691209722991E-5</v>
      </c>
      <c r="BC52" s="85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86"/>
    </row>
    <row r="53" spans="2:71" s="110" customFormat="1" x14ac:dyDescent="0.35">
      <c r="B53" s="644"/>
      <c r="C53" s="253" t="s">
        <v>550</v>
      </c>
      <c r="D53" s="87">
        <f>IFERROR(('Activity Data Rep. Mauritius'!M52*'Activity Data Rep. Mauritius'!$J52*'Activity Data Rep. Mauritius'!$E52)/1000,"NA")</f>
        <v>9915.0346092485543</v>
      </c>
      <c r="E53" s="49">
        <f>IFERROR(('Activity Data Rep. Mauritius'!N52*'Activity Data Rep. Mauritius'!$J52*'Activity Data Rep. Mauritius'!$E52)/1000,"NA")</f>
        <v>10339.914912138727</v>
      </c>
      <c r="F53" s="49">
        <f>IFERROR(('Activity Data Rep. Mauritius'!O52*'Activity Data Rep. Mauritius'!$J52*'Activity Data Rep. Mauritius'!$E52)/1000,"NA")</f>
        <v>10771.760465895954</v>
      </c>
      <c r="G53" s="49">
        <f>IFERROR(('Activity Data Rep. Mauritius'!P52*'Activity Data Rep. Mauritius'!$J52*'Activity Data Rep. Mauritius'!$E52)/1000,"NA")</f>
        <v>11200.123394219652</v>
      </c>
      <c r="H53" s="49">
        <f>IFERROR(('Activity Data Rep. Mauritius'!Q52*'Activity Data Rep. Mauritius'!$J52*'Activity Data Rep. Mauritius'!$E52)/1000,"NA")</f>
        <v>11816.548095953756</v>
      </c>
      <c r="I53" s="49">
        <f>IFERROR(('Activity Data Rep. Mauritius'!R52*'Activity Data Rep. Mauritius'!$J52*'Activity Data Rep. Mauritius'!$E52)/1000,"NA")</f>
        <v>12384.216041618498</v>
      </c>
      <c r="J53" s="49">
        <f>IFERROR(('Activity Data Rep. Mauritius'!S52*'Activity Data Rep. Mauritius'!$J52*'Activity Data Rep. Mauritius'!$E52)/1000,"NA")</f>
        <v>12948.40136184971</v>
      </c>
      <c r="K53" s="49">
        <f>IFERROR(('Activity Data Rep. Mauritius'!T52*'Activity Data Rep. Mauritius'!$J52*'Activity Data Rep. Mauritius'!$E52)/1000,"NA")</f>
        <v>13543.930310982658</v>
      </c>
      <c r="L53" s="49">
        <f>IFERROR(('Activity Data Rep. Mauritius'!U52*'Activity Data Rep. Mauritius'!$J52*'Activity Data Rep. Mauritius'!$E52)/1000,"NA")</f>
        <v>14243.938023121385</v>
      </c>
      <c r="M53" s="49">
        <f>IFERROR(('Activity Data Rep. Mauritius'!V52*'Activity Data Rep. Mauritius'!$J52*'Activity Data Rep. Mauritius'!$E52)/1000,"NA")</f>
        <v>14860.362724855491</v>
      </c>
      <c r="N53" s="49">
        <f>IFERROR(('Activity Data Rep. Mauritius'!W52*'Activity Data Rep. Mauritius'!$J52*'Activity Data Rep. Mauritius'!$E52)/1000,"NA")</f>
        <v>15570.818313294792</v>
      </c>
      <c r="O53" s="49">
        <f>IFERROR(('Activity Data Rep. Mauritius'!X52*'Activity Data Rep. Mauritius'!$J52*'Activity Data Rep. Mauritius'!$E52)/1000,"NA")</f>
        <v>16253.412898265897</v>
      </c>
      <c r="P53" s="49">
        <f>IFERROR(('Activity Data Rep. Mauritius'!Y52*'Activity Data Rep. Mauritius'!$J52*'Activity Data Rep. Mauritius'!$E52)/1000,"NA")</f>
        <v>17103.173504046244</v>
      </c>
      <c r="Q53" s="49">
        <f>IFERROR(('Activity Data Rep. Mauritius'!Z52*'Activity Data Rep. Mauritius'!$J52*'Activity Data Rep. Mauritius'!$E52)/1000,"NA")</f>
        <v>17980.7951132948</v>
      </c>
      <c r="R53" s="49">
        <f>IFERROR(('Activity Data Rep. Mauritius'!AA52*'Activity Data Rep. Mauritius'!$J52*'Activity Data Rep. Mauritius'!$E52)/1000,"NA")</f>
        <v>12536.141913263093</v>
      </c>
      <c r="S53" s="49">
        <f>IFERROR(('Activity Data Rep. Mauritius'!AB52*'Activity Data Rep. Mauritius'!$J52*'Activity Data Rep. Mauritius'!$E52)/1000,"NA")</f>
        <v>17140.383081325621</v>
      </c>
      <c r="T53" s="88">
        <f>IFERROR(('Activity Data Rep. Mauritius'!AC52*'Activity Data Rep. Mauritius'!$J52*'Activity Data Rep. Mauritius'!$E52)/1000,"NA")</f>
        <v>16987.790870498189</v>
      </c>
      <c r="U53" s="87">
        <f>IFERROR(('Activity Data Rep. Mauritius'!M52*'Activity Data Rep. Mauritius'!$J52*'Activity Data Rep. Mauritius'!$F52)/1000,"NA")</f>
        <v>4.721445052023121</v>
      </c>
      <c r="V53" s="49">
        <f>IFERROR(('Activity Data Rep. Mauritius'!N52*'Activity Data Rep. Mauritius'!$J52*'Activity Data Rep. Mauritius'!$F52)/1000,"NA")</f>
        <v>4.923769005780346</v>
      </c>
      <c r="W53" s="49">
        <f>IFERROR(('Activity Data Rep. Mauritius'!O52*'Activity Data Rep. Mauritius'!$J52*'Activity Data Rep. Mauritius'!$F52)/1000,"NA")</f>
        <v>5.1294097456647396</v>
      </c>
      <c r="X53" s="49">
        <f>IFERROR(('Activity Data Rep. Mauritius'!P52*'Activity Data Rep. Mauritius'!$J52*'Activity Data Rep. Mauritius'!$F52)/1000,"NA")</f>
        <v>5.333392092485548</v>
      </c>
      <c r="Y53" s="49">
        <f>IFERROR(('Activity Data Rep. Mauritius'!Q52*'Activity Data Rep. Mauritius'!$J52*'Activity Data Rep. Mauritius'!$F52)/1000,"NA")</f>
        <v>5.6269276647398838</v>
      </c>
      <c r="Z53" s="49">
        <f>IFERROR(('Activity Data Rep. Mauritius'!R52*'Activity Data Rep. Mauritius'!$J52*'Activity Data Rep. Mauritius'!$F52)/1000,"NA")</f>
        <v>5.8972457341040458</v>
      </c>
      <c r="AA53" s="49">
        <f>IFERROR(('Activity Data Rep. Mauritius'!S52*'Activity Data Rep. Mauritius'!$J52*'Activity Data Rep. Mauritius'!$F52)/1000,"NA")</f>
        <v>6.1659054104046245</v>
      </c>
      <c r="AB53" s="49">
        <f>IFERROR(('Activity Data Rep. Mauritius'!T52*'Activity Data Rep. Mauritius'!$J52*'Activity Data Rep. Mauritius'!$F52)/1000,"NA")</f>
        <v>6.4494906242774563</v>
      </c>
      <c r="AC53" s="49">
        <f>IFERROR(('Activity Data Rep. Mauritius'!U52*'Activity Data Rep. Mauritius'!$J52*'Activity Data Rep. Mauritius'!$F52)/1000,"NA")</f>
        <v>6.7828276300578025</v>
      </c>
      <c r="AD53" s="49">
        <f>IFERROR(('Activity Data Rep. Mauritius'!V52*'Activity Data Rep. Mauritius'!$J52*'Activity Data Rep. Mauritius'!$F52)/1000,"NA")</f>
        <v>7.0763632023121392</v>
      </c>
      <c r="AE53" s="49">
        <f>IFERROR(('Activity Data Rep. Mauritius'!W52*'Activity Data Rep. Mauritius'!$J52*'Activity Data Rep. Mauritius'!$F52)/1000,"NA")</f>
        <v>7.4146753872832338</v>
      </c>
      <c r="AF53" s="49">
        <f>IFERROR(('Activity Data Rep. Mauritius'!X52*'Activity Data Rep. Mauritius'!$J52*'Activity Data Rep. Mauritius'!$F52)/1000,"NA")</f>
        <v>7.7397204277456648</v>
      </c>
      <c r="AG53" s="49">
        <f>IFERROR(('Activity Data Rep. Mauritius'!Y52*'Activity Data Rep. Mauritius'!$J52*'Activity Data Rep. Mauritius'!$F52)/1000,"NA")</f>
        <v>8.1443683352601148</v>
      </c>
      <c r="AH53" s="49">
        <f>IFERROR(('Activity Data Rep. Mauritius'!Z52*'Activity Data Rep. Mauritius'!$J52*'Activity Data Rep. Mauritius'!$F52)/1000,"NA")</f>
        <v>8.5622833872832356</v>
      </c>
      <c r="AI53" s="49">
        <f>IFERROR(('Activity Data Rep. Mauritius'!AA52*'Activity Data Rep. Mauritius'!$J52*'Activity Data Rep. Mauritius'!$F52)/1000,"NA")</f>
        <v>5.9695913872681388</v>
      </c>
      <c r="AJ53" s="49">
        <f>IFERROR(('Activity Data Rep. Mauritius'!AB52*'Activity Data Rep. Mauritius'!$J52*'Activity Data Rep. Mauritius'!$F52)/1000,"NA")</f>
        <v>8.1620871815836278</v>
      </c>
      <c r="AK53" s="88">
        <f>IFERROR(('Activity Data Rep. Mauritius'!AC52*'Activity Data Rep. Mauritius'!$J52*'Activity Data Rep. Mauritius'!$F52)/1000,"NA")</f>
        <v>8.0894242240467555</v>
      </c>
      <c r="AL53" s="500">
        <f>IFERROR(('Activity Data Rep. Mauritius'!M52*'Activity Data Rep. Mauritius'!$J52*'Activity Data Rep. Mauritius'!$G52)/1000,"NA")</f>
        <v>0.45783709595375721</v>
      </c>
      <c r="AM53" s="39">
        <f>IFERROR(('Activity Data Rep. Mauritius'!N52*'Activity Data Rep. Mauritius'!$J52*'Activity Data Rep. Mauritius'!$G52)/1000,"NA")</f>
        <v>0.47745638843930627</v>
      </c>
      <c r="AN53" s="39">
        <f>IFERROR(('Activity Data Rep. Mauritius'!O52*'Activity Data Rep. Mauritius'!$J52*'Activity Data Rep. Mauritius'!$G52)/1000,"NA")</f>
        <v>0.49739730867052023</v>
      </c>
      <c r="AO53" s="39">
        <f>IFERROR(('Activity Data Rep. Mauritius'!P52*'Activity Data Rep. Mauritius'!$J52*'Activity Data Rep. Mauritius'!$G52)/1000,"NA")</f>
        <v>0.51717741502890169</v>
      </c>
      <c r="AP53" s="39">
        <f>IFERROR(('Activity Data Rep. Mauritius'!Q52*'Activity Data Rep. Mauritius'!$J52*'Activity Data Rep. Mauritius'!$G52)/1000,"NA")</f>
        <v>0.54564147052023126</v>
      </c>
      <c r="AQ53" s="39">
        <f>IFERROR(('Activity Data Rep. Mauritius'!R52*'Activity Data Rep. Mauritius'!$J52*'Activity Data Rep. Mauritius'!$G52)/1000,"NA")</f>
        <v>0.57185413179190758</v>
      </c>
      <c r="AR53" s="39">
        <f>IFERROR(('Activity Data Rep. Mauritius'!S52*'Activity Data Rep. Mauritius'!$J52*'Activity Data Rep. Mauritius'!$G52)/1000,"NA")</f>
        <v>0.5979059791907515</v>
      </c>
      <c r="AS53" s="39">
        <f>IFERROR(('Activity Data Rep. Mauritius'!T52*'Activity Data Rep. Mauritius'!$J52*'Activity Data Rep. Mauritius'!$G52)/1000,"NA")</f>
        <v>0.62540515144508668</v>
      </c>
      <c r="AT53" s="39">
        <f>IFERROR(('Activity Data Rep. Mauritius'!U52*'Activity Data Rep. Mauritius'!$J52*'Activity Data Rep. Mauritius'!$G52)/1000,"NA")</f>
        <v>0.65772873988439295</v>
      </c>
      <c r="AU53" s="39">
        <f>IFERROR(('Activity Data Rep. Mauritius'!V52*'Activity Data Rep. Mauritius'!$J52*'Activity Data Rep. Mauritius'!$G52)/1000,"NA")</f>
        <v>0.68619279537572264</v>
      </c>
      <c r="AV53" s="39">
        <f>IFERROR(('Activity Data Rep. Mauritius'!W52*'Activity Data Rep. Mauritius'!$J52*'Activity Data Rep. Mauritius'!$G52)/1000,"NA")</f>
        <v>0.71899882543352578</v>
      </c>
      <c r="AW53" s="39">
        <f>IFERROR(('Activity Data Rep. Mauritius'!X52*'Activity Data Rep. Mauritius'!$J52*'Activity Data Rep. Mauritius'!$G52)/1000,"NA")</f>
        <v>0.75051834450867061</v>
      </c>
      <c r="AX53" s="39">
        <f>IFERROR(('Activity Data Rep. Mauritius'!Y52*'Activity Data Rep. Mauritius'!$J52*'Activity Data Rep. Mauritius'!$G52)/1000,"NA")</f>
        <v>0.78975692947976883</v>
      </c>
      <c r="AY53" s="39">
        <f>IFERROR(('Activity Data Rep. Mauritius'!Z52*'Activity Data Rep. Mauritius'!$J52*'Activity Data Rep. Mauritius'!$G52)/1000,"NA")</f>
        <v>0.83028202543352614</v>
      </c>
      <c r="AZ53" s="39">
        <f>IFERROR(('Activity Data Rep. Mauritius'!AA52*'Activity Data Rep. Mauritius'!$J52*'Activity Data Rep. Mauritius'!$G52)/1000,"NA")</f>
        <v>0.57886946785630433</v>
      </c>
      <c r="BA53" s="39">
        <f>IFERROR(('Activity Data Rep. Mauritius'!AB52*'Activity Data Rep. Mauritius'!$J52*'Activity Data Rep. Mauritius'!$G52)/1000,"NA")</f>
        <v>0.79147512063841252</v>
      </c>
      <c r="BB53" s="86">
        <f>IFERROR(('Activity Data Rep. Mauritius'!AC52*'Activity Data Rep. Mauritius'!$J52*'Activity Data Rep. Mauritius'!$G52)/1000,"NA")</f>
        <v>0.78442901566514001</v>
      </c>
      <c r="BC53" s="85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86"/>
    </row>
    <row r="54" spans="2:71" s="110" customFormat="1" x14ac:dyDescent="0.35">
      <c r="B54" s="644"/>
      <c r="C54" s="253" t="s">
        <v>551</v>
      </c>
      <c r="D54" s="87">
        <f>IFERROR(('Activity Data Rep. Mauritius'!M53*'Activity Data Rep. Mauritius'!$J53*'Activity Data Rep. Mauritius'!$E53)/1000,"NA")</f>
        <v>43397.028796708932</v>
      </c>
      <c r="E54" s="49">
        <f>IFERROR(('Activity Data Rep. Mauritius'!N53*'Activity Data Rep. Mauritius'!$J53*'Activity Data Rep. Mauritius'!$E53)/1000,"NA")</f>
        <v>45303.051092485344</v>
      </c>
      <c r="F54" s="49">
        <f>IFERROR(('Activity Data Rep. Mauritius'!O53*'Activity Data Rep. Mauritius'!$J53*'Activity Data Rep. Mauritius'!$E53)/1000,"NA")</f>
        <v>47260.013850509698</v>
      </c>
      <c r="G54" s="49">
        <f>IFERROR(('Activity Data Rep. Mauritius'!P53*'Activity Data Rep. Mauritius'!$J53*'Activity Data Rep. Mauritius'!$E53)/1000,"NA")</f>
        <v>49191.506377410071</v>
      </c>
      <c r="H54" s="49">
        <f>IFERROR(('Activity Data Rep. Mauritius'!Q53*'Activity Data Rep. Mauritius'!$J53*'Activity Data Rep. Mauritius'!$E53)/1000,"NA")</f>
        <v>51946.536377318516</v>
      </c>
      <c r="I54" s="49">
        <f>IFERROR(('Activity Data Rep. Mauritius'!R53*'Activity Data Rep. Mauritius'!$J53*'Activity Data Rep. Mauritius'!$E53)/1000,"NA")</f>
        <v>54480.824374152646</v>
      </c>
      <c r="J54" s="49">
        <f>IFERROR(('Activity Data Rep. Mauritius'!S53*'Activity Data Rep. Mauritius'!$J53*'Activity Data Rep. Mauritius'!$E53)/1000,"NA")</f>
        <v>57036.337563590067</v>
      </c>
      <c r="K54" s="49">
        <f>IFERROR(('Activity Data Rep. Mauritius'!T53*'Activity Data Rep. Mauritius'!$J53*'Activity Data Rep. Mauritius'!$E53)/1000,"NA")</f>
        <v>59680.99656196135</v>
      </c>
      <c r="L54" s="49">
        <f>IFERROR(('Activity Data Rep. Mauritius'!U53*'Activity Data Rep. Mauritius'!$J53*'Activity Data Rep. Mauritius'!$E53)/1000,"NA")</f>
        <v>62771.384605001964</v>
      </c>
      <c r="M54" s="49">
        <f>IFERROR(('Activity Data Rep. Mauritius'!V53*'Activity Data Rep. Mauritius'!$J53*'Activity Data Rep. Mauritius'!$E53)/1000,"NA")</f>
        <v>65458.493988579852</v>
      </c>
      <c r="N54" s="49">
        <f>IFERROR(('Activity Data Rep. Mauritius'!W53*'Activity Data Rep. Mauritius'!$J53*'Activity Data Rep. Mauritius'!$E53)/1000,"NA")</f>
        <v>68587.087378306387</v>
      </c>
      <c r="O54" s="49">
        <f>IFERROR(('Activity Data Rep. Mauritius'!X53*'Activity Data Rep. Mauritius'!$J53*'Activity Data Rep. Mauritius'!$E53)/1000,"NA")</f>
        <v>71613.799843537112</v>
      </c>
      <c r="P54" s="49">
        <f>IFERROR(('Activity Data Rep. Mauritius'!Y53*'Activity Data Rep. Mauritius'!$J53*'Activity Data Rep. Mauritius'!$E53)/1000,"NA")</f>
        <v>75421.599396569276</v>
      </c>
      <c r="Q54" s="49">
        <f>IFERROR(('Activity Data Rep. Mauritius'!Z53*'Activity Data Rep. Mauritius'!$J53*'Activity Data Rep. Mauritius'!$E53)/1000,"NA")</f>
        <v>79348.260028179924</v>
      </c>
      <c r="R54" s="49">
        <f>IFERROR(('Activity Data Rep. Mauritius'!AA53*'Activity Data Rep. Mauritius'!$J53*'Activity Data Rep. Mauritius'!$E53)/1000,"NA")</f>
        <v>68641.225654025999</v>
      </c>
      <c r="S54" s="49">
        <f>IFERROR(('Activity Data Rep. Mauritius'!AB53*'Activity Data Rep. Mauritius'!$J53*'Activity Data Rep. Mauritius'!$E53)/1000,"NA")</f>
        <v>67997.007188933261</v>
      </c>
      <c r="T54" s="88">
        <f>IFERROR(('Activity Data Rep. Mauritius'!AC53*'Activity Data Rep. Mauritius'!$J53*'Activity Data Rep. Mauritius'!$E53)/1000,"NA")</f>
        <v>68084.539348959166</v>
      </c>
      <c r="U54" s="87">
        <f>IFERROR(('Activity Data Rep. Mauritius'!M53*'Activity Data Rep. Mauritius'!$J53*'Activity Data Rep. Mauritius'!$F53)/1000,"NA")</f>
        <v>2.2840541471952069</v>
      </c>
      <c r="V54" s="49">
        <f>IFERROR(('Activity Data Rep. Mauritius'!N53*'Activity Data Rep. Mauritius'!$J53*'Activity Data Rep. Mauritius'!$F53)/1000,"NA")</f>
        <v>2.3843711101308078</v>
      </c>
      <c r="W54" s="49">
        <f>IFERROR(('Activity Data Rep. Mauritius'!O53*'Activity Data Rep. Mauritius'!$J53*'Activity Data Rep. Mauritius'!$F53)/1000,"NA")</f>
        <v>2.4873691500268258</v>
      </c>
      <c r="X54" s="49">
        <f>IFERROR(('Activity Data Rep. Mauritius'!P53*'Activity Data Rep. Mauritius'!$J53*'Activity Data Rep. Mauritius'!$F53)/1000,"NA")</f>
        <v>2.5890266514426354</v>
      </c>
      <c r="Y54" s="49">
        <f>IFERROR(('Activity Data Rep. Mauritius'!Q53*'Activity Data Rep. Mauritius'!$J53*'Activity Data Rep. Mauritius'!$F53)/1000,"NA")</f>
        <v>2.7340282303851851</v>
      </c>
      <c r="Z54" s="49">
        <f>IFERROR(('Activity Data Rep. Mauritius'!R53*'Activity Data Rep. Mauritius'!$J53*'Activity Data Rep. Mauritius'!$F53)/1000,"NA")</f>
        <v>2.8674118091659282</v>
      </c>
      <c r="AA54" s="49">
        <f>IFERROR(('Activity Data Rep. Mauritius'!S53*'Activity Data Rep. Mauritius'!$J53*'Activity Data Rep. Mauritius'!$F53)/1000,"NA")</f>
        <v>3.0019125033468455</v>
      </c>
      <c r="AB54" s="49">
        <f>IFERROR(('Activity Data Rep. Mauritius'!T53*'Activity Data Rep. Mauritius'!$J53*'Activity Data Rep. Mauritius'!$F53)/1000,"NA")</f>
        <v>3.141105082208492</v>
      </c>
      <c r="AC54" s="49">
        <f>IFERROR(('Activity Data Rep. Mauritius'!U53*'Activity Data Rep. Mauritius'!$J53*'Activity Data Rep. Mauritius'!$F53)/1000,"NA")</f>
        <v>3.3037570844737876</v>
      </c>
      <c r="AD54" s="49">
        <f>IFERROR(('Activity Data Rep. Mauritius'!V53*'Activity Data Rep. Mauritius'!$J53*'Activity Data Rep. Mauritius'!$F53)/1000,"NA")</f>
        <v>3.4451838941357815</v>
      </c>
      <c r="AE54" s="49">
        <f>IFERROR(('Activity Data Rep. Mauritius'!W53*'Activity Data Rep. Mauritius'!$J53*'Activity Data Rep. Mauritius'!$F53)/1000,"NA")</f>
        <v>3.6098467041213889</v>
      </c>
      <c r="AF54" s="49">
        <f>IFERROR(('Activity Data Rep. Mauritius'!X53*'Activity Data Rep. Mauritius'!$J53*'Activity Data Rep. Mauritius'!$F53)/1000,"NA")</f>
        <v>3.7691473601861629</v>
      </c>
      <c r="AG54" s="49">
        <f>IFERROR(('Activity Data Rep. Mauritius'!Y53*'Activity Data Rep. Mauritius'!$J53*'Activity Data Rep. Mauritius'!$F53)/1000,"NA")</f>
        <v>3.9695578629773305</v>
      </c>
      <c r="AH54" s="49">
        <f>IFERROR(('Activity Data Rep. Mauritius'!Z53*'Activity Data Rep. Mauritius'!$J53*'Activity Data Rep. Mauritius'!$F53)/1000,"NA")</f>
        <v>4.1762242120094699</v>
      </c>
      <c r="AI54" s="49">
        <f>IFERROR(('Activity Data Rep. Mauritius'!AA53*'Activity Data Rep. Mauritius'!$J53*'Activity Data Rep. Mauritius'!$F53)/1000,"NA")</f>
        <v>3.6126960870539997</v>
      </c>
      <c r="AJ54" s="49">
        <f>IFERROR(('Activity Data Rep. Mauritius'!AB53*'Activity Data Rep. Mauritius'!$J53*'Activity Data Rep. Mauritius'!$F53)/1000,"NA")</f>
        <v>3.5787898520491193</v>
      </c>
      <c r="AK54" s="88">
        <f>IFERROR(('Activity Data Rep. Mauritius'!AC53*'Activity Data Rep. Mauritius'!$J53*'Activity Data Rep. Mauritius'!$F53)/1000,"NA")</f>
        <v>3.5833968078399558</v>
      </c>
      <c r="AL54" s="500">
        <f>IFERROR(('Activity Data Rep. Mauritius'!M53*'Activity Data Rep. Mauritius'!$J53*'Activity Data Rep. Mauritius'!$G53)/1000,"NA")</f>
        <v>2.2840541471952069</v>
      </c>
      <c r="AM54" s="39">
        <f>IFERROR(('Activity Data Rep. Mauritius'!N53*'Activity Data Rep. Mauritius'!$J53*'Activity Data Rep. Mauritius'!$G53)/1000,"NA")</f>
        <v>2.3843711101308078</v>
      </c>
      <c r="AN54" s="39">
        <f>IFERROR(('Activity Data Rep. Mauritius'!O53*'Activity Data Rep. Mauritius'!$J53*'Activity Data Rep. Mauritius'!$G53)/1000,"NA")</f>
        <v>2.4873691500268258</v>
      </c>
      <c r="AO54" s="39">
        <f>IFERROR(('Activity Data Rep. Mauritius'!P53*'Activity Data Rep. Mauritius'!$J53*'Activity Data Rep. Mauritius'!$G53)/1000,"NA")</f>
        <v>2.5890266514426354</v>
      </c>
      <c r="AP54" s="39">
        <f>IFERROR(('Activity Data Rep. Mauritius'!Q53*'Activity Data Rep. Mauritius'!$J53*'Activity Data Rep. Mauritius'!$G53)/1000,"NA")</f>
        <v>2.7340282303851851</v>
      </c>
      <c r="AQ54" s="39">
        <f>IFERROR(('Activity Data Rep. Mauritius'!R53*'Activity Data Rep. Mauritius'!$J53*'Activity Data Rep. Mauritius'!$G53)/1000,"NA")</f>
        <v>2.8674118091659282</v>
      </c>
      <c r="AR54" s="39">
        <f>IFERROR(('Activity Data Rep. Mauritius'!S53*'Activity Data Rep. Mauritius'!$J53*'Activity Data Rep. Mauritius'!$G53)/1000,"NA")</f>
        <v>3.0019125033468455</v>
      </c>
      <c r="AS54" s="39">
        <f>IFERROR(('Activity Data Rep. Mauritius'!T53*'Activity Data Rep. Mauritius'!$J53*'Activity Data Rep. Mauritius'!$G53)/1000,"NA")</f>
        <v>3.141105082208492</v>
      </c>
      <c r="AT54" s="39">
        <f>IFERROR(('Activity Data Rep. Mauritius'!U53*'Activity Data Rep. Mauritius'!$J53*'Activity Data Rep. Mauritius'!$G53)/1000,"NA")</f>
        <v>3.3037570844737876</v>
      </c>
      <c r="AU54" s="39">
        <f>IFERROR(('Activity Data Rep. Mauritius'!V53*'Activity Data Rep. Mauritius'!$J53*'Activity Data Rep. Mauritius'!$G53)/1000,"NA")</f>
        <v>3.4451838941357815</v>
      </c>
      <c r="AV54" s="39">
        <f>IFERROR(('Activity Data Rep. Mauritius'!W53*'Activity Data Rep. Mauritius'!$J53*'Activity Data Rep. Mauritius'!$G53)/1000,"NA")</f>
        <v>3.6098467041213889</v>
      </c>
      <c r="AW54" s="39">
        <f>IFERROR(('Activity Data Rep. Mauritius'!X53*'Activity Data Rep. Mauritius'!$J53*'Activity Data Rep. Mauritius'!$G53)/1000,"NA")</f>
        <v>3.7691473601861629</v>
      </c>
      <c r="AX54" s="39">
        <f>IFERROR(('Activity Data Rep. Mauritius'!Y53*'Activity Data Rep. Mauritius'!$J53*'Activity Data Rep. Mauritius'!$G53)/1000,"NA")</f>
        <v>3.9695578629773305</v>
      </c>
      <c r="AY54" s="39">
        <f>IFERROR(('Activity Data Rep. Mauritius'!Z53*'Activity Data Rep. Mauritius'!$J53*'Activity Data Rep. Mauritius'!$G53)/1000,"NA")</f>
        <v>4.1762242120094699</v>
      </c>
      <c r="AZ54" s="39">
        <f>IFERROR(('Activity Data Rep. Mauritius'!AA53*'Activity Data Rep. Mauritius'!$J53*'Activity Data Rep. Mauritius'!$G53)/1000,"NA")</f>
        <v>3.6126960870539997</v>
      </c>
      <c r="BA54" s="39">
        <f>IFERROR(('Activity Data Rep. Mauritius'!AB53*'Activity Data Rep. Mauritius'!$J53*'Activity Data Rep. Mauritius'!$G53)/1000,"NA")</f>
        <v>3.5787898520491193</v>
      </c>
      <c r="BB54" s="86">
        <f>IFERROR(('Activity Data Rep. Mauritius'!AC53*'Activity Data Rep. Mauritius'!$J53*'Activity Data Rep. Mauritius'!$G53)/1000,"NA")</f>
        <v>3.5833968078399558</v>
      </c>
      <c r="BC54" s="85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86"/>
    </row>
    <row r="55" spans="2:71" s="110" customFormat="1" x14ac:dyDescent="0.35">
      <c r="B55" s="644"/>
      <c r="C55" s="253" t="s">
        <v>552</v>
      </c>
      <c r="D55" s="87">
        <f>IFERROR(('Activity Data Rep. Mauritius'!M54*'Activity Data Rep. Mauritius'!$J54*'Activity Data Rep. Mauritius'!$E54)/1000,"NA")</f>
        <v>18.330032158596527</v>
      </c>
      <c r="E55" s="49">
        <f>IFERROR(('Activity Data Rep. Mauritius'!N54*'Activity Data Rep. Mauritius'!$J54*'Activity Data Rep. Mauritius'!$E54)/1000,"NA")</f>
        <v>18.330032158596527</v>
      </c>
      <c r="F55" s="49">
        <f>IFERROR(('Activity Data Rep. Mauritius'!O54*'Activity Data Rep. Mauritius'!$J54*'Activity Data Rep. Mauritius'!$E54)/1000,"NA")</f>
        <v>18.330032158596527</v>
      </c>
      <c r="G55" s="49">
        <f>IFERROR(('Activity Data Rep. Mauritius'!P54*'Activity Data Rep. Mauritius'!$J54*'Activity Data Rep. Mauritius'!$E54)/1000,"NA")</f>
        <v>18.330032158596527</v>
      </c>
      <c r="H55" s="49">
        <f>IFERROR(('Activity Data Rep. Mauritius'!Q54*'Activity Data Rep. Mauritius'!$J54*'Activity Data Rep. Mauritius'!$E54)/1000,"NA")</f>
        <v>20.948608181253174</v>
      </c>
      <c r="I55" s="49">
        <f>IFERROR(('Activity Data Rep. Mauritius'!R54*'Activity Data Rep. Mauritius'!$J54*'Activity Data Rep. Mauritius'!$E54)/1000,"NA")</f>
        <v>20.948608181253174</v>
      </c>
      <c r="J55" s="49">
        <f>IFERROR(('Activity Data Rep. Mauritius'!S54*'Activity Data Rep. Mauritius'!$J54*'Activity Data Rep. Mauritius'!$E54)/1000,"NA")</f>
        <v>23.567184203909818</v>
      </c>
      <c r="K55" s="49">
        <f>IFERROR(('Activity Data Rep. Mauritius'!T54*'Activity Data Rep. Mauritius'!$J54*'Activity Data Rep. Mauritius'!$E54)/1000,"NA")</f>
        <v>23.567184203909818</v>
      </c>
      <c r="L55" s="49">
        <f>IFERROR(('Activity Data Rep. Mauritius'!U54*'Activity Data Rep. Mauritius'!$J54*'Activity Data Rep. Mauritius'!$E54)/1000,"NA")</f>
        <v>26.185760226566462</v>
      </c>
      <c r="M55" s="49">
        <f>IFERROR(('Activity Data Rep. Mauritius'!V54*'Activity Data Rep. Mauritius'!$J54*'Activity Data Rep. Mauritius'!$E54)/1000,"NA")</f>
        <v>26.185760226566462</v>
      </c>
      <c r="N55" s="49">
        <f>IFERROR(('Activity Data Rep. Mauritius'!W54*'Activity Data Rep. Mauritius'!$J54*'Activity Data Rep. Mauritius'!$E54)/1000,"NA")</f>
        <v>26.185760226566462</v>
      </c>
      <c r="O55" s="49">
        <f>IFERROR(('Activity Data Rep. Mauritius'!X54*'Activity Data Rep. Mauritius'!$J54*'Activity Data Rep. Mauritius'!$E54)/1000,"NA")</f>
        <v>28.804336249223116</v>
      </c>
      <c r="P55" s="49">
        <f>IFERROR(('Activity Data Rep. Mauritius'!Y54*'Activity Data Rep. Mauritius'!$J54*'Activity Data Rep. Mauritius'!$E54)/1000,"NA")</f>
        <v>31.422912271879767</v>
      </c>
      <c r="Q55" s="49">
        <f>IFERROR(('Activity Data Rep. Mauritius'!Z54*'Activity Data Rep. Mauritius'!$J54*'Activity Data Rep. Mauritius'!$E54)/1000,"NA")</f>
        <v>34.041488294536414</v>
      </c>
      <c r="R55" s="49">
        <f>IFERROR(('Activity Data Rep. Mauritius'!AA54*'Activity Data Rep. Mauritius'!$J54*'Activity Data Rep. Mauritius'!$E54)/1000,"NA")</f>
        <v>30.678497616536934</v>
      </c>
      <c r="S55" s="49">
        <f>IFERROR(('Activity Data Rep. Mauritius'!AB54*'Activity Data Rep. Mauritius'!$J54*'Activity Data Rep. Mauritius'!$E54)/1000,"NA")</f>
        <v>36.720682059072921</v>
      </c>
      <c r="T55" s="88">
        <f>IFERROR(('Activity Data Rep. Mauritius'!AC54*'Activity Data Rep. Mauritius'!$J54*'Activity Data Rep. Mauritius'!$E54)/1000,"NA")</f>
        <v>35.006772673473712</v>
      </c>
      <c r="U55" s="87">
        <f>IFERROR(('Activity Data Rep. Mauritius'!M54*'Activity Data Rep. Mauritius'!$J54*'Activity Data Rep. Mauritius'!$F54)/1000,"NA")</f>
        <v>1.8010491185942706E-2</v>
      </c>
      <c r="V55" s="49">
        <f>IFERROR(('Activity Data Rep. Mauritius'!N54*'Activity Data Rep. Mauritius'!$J54*'Activity Data Rep. Mauritius'!$F54)/1000,"NA")</f>
        <v>1.8010491185942706E-2</v>
      </c>
      <c r="W55" s="49">
        <f>IFERROR(('Activity Data Rep. Mauritius'!O54*'Activity Data Rep. Mauritius'!$J54*'Activity Data Rep. Mauritius'!$F54)/1000,"NA")</f>
        <v>1.8010491185942706E-2</v>
      </c>
      <c r="X55" s="49">
        <f>IFERROR(('Activity Data Rep. Mauritius'!P54*'Activity Data Rep. Mauritius'!$J54*'Activity Data Rep. Mauritius'!$F54)/1000,"NA")</f>
        <v>1.8010491185942706E-2</v>
      </c>
      <c r="Y55" s="49">
        <f>IFERROR(('Activity Data Rep. Mauritius'!Q54*'Activity Data Rep. Mauritius'!$J54*'Activity Data Rep. Mauritius'!$F54)/1000,"NA")</f>
        <v>2.0583418498220232E-2</v>
      </c>
      <c r="Z55" s="49">
        <f>IFERROR(('Activity Data Rep. Mauritius'!R54*'Activity Data Rep. Mauritius'!$J54*'Activity Data Rep. Mauritius'!$F54)/1000,"NA")</f>
        <v>2.0583418498220232E-2</v>
      </c>
      <c r="AA55" s="49">
        <f>IFERROR(('Activity Data Rep. Mauritius'!S54*'Activity Data Rep. Mauritius'!$J54*'Activity Data Rep. Mauritius'!$F54)/1000,"NA")</f>
        <v>2.3156345810497761E-2</v>
      </c>
      <c r="AB55" s="49">
        <f>IFERROR(('Activity Data Rep. Mauritius'!T54*'Activity Data Rep. Mauritius'!$J54*'Activity Data Rep. Mauritius'!$F54)/1000,"NA")</f>
        <v>2.3156345810497761E-2</v>
      </c>
      <c r="AC55" s="49">
        <f>IFERROR(('Activity Data Rep. Mauritius'!U54*'Activity Data Rep. Mauritius'!$J54*'Activity Data Rep. Mauritius'!$F54)/1000,"NA")</f>
        <v>2.572927312277529E-2</v>
      </c>
      <c r="AD55" s="49">
        <f>IFERROR(('Activity Data Rep. Mauritius'!V54*'Activity Data Rep. Mauritius'!$J54*'Activity Data Rep. Mauritius'!$F54)/1000,"NA")</f>
        <v>2.572927312277529E-2</v>
      </c>
      <c r="AE55" s="49">
        <f>IFERROR(('Activity Data Rep. Mauritius'!W54*'Activity Data Rep. Mauritius'!$J54*'Activity Data Rep. Mauritius'!$F54)/1000,"NA")</f>
        <v>2.572927312277529E-2</v>
      </c>
      <c r="AF55" s="49">
        <f>IFERROR(('Activity Data Rep. Mauritius'!X54*'Activity Data Rep. Mauritius'!$J54*'Activity Data Rep. Mauritius'!$F54)/1000,"NA")</f>
        <v>2.8302200435052823E-2</v>
      </c>
      <c r="AG55" s="49">
        <f>IFERROR(('Activity Data Rep. Mauritius'!Y54*'Activity Data Rep. Mauritius'!$J54*'Activity Data Rep. Mauritius'!$F54)/1000,"NA")</f>
        <v>3.0875127747330356E-2</v>
      </c>
      <c r="AH55" s="49">
        <f>IFERROR(('Activity Data Rep. Mauritius'!Z54*'Activity Data Rep. Mauritius'!$J54*'Activity Data Rep. Mauritius'!$F54)/1000,"NA")</f>
        <v>3.3448055059607879E-2</v>
      </c>
      <c r="AI55" s="49">
        <f>IFERROR(('Activity Data Rep. Mauritius'!AA54*'Activity Data Rep. Mauritius'!$J54*'Activity Data Rep. Mauritius'!$F54)/1000,"NA")</f>
        <v>3.0143690209592549E-2</v>
      </c>
      <c r="AJ55" s="49">
        <f>IFERROR(('Activity Data Rep. Mauritius'!AB54*'Activity Data Rep. Mauritius'!$J54*'Activity Data Rep. Mauritius'!$F54)/1000,"NA")</f>
        <v>3.6080543386093837E-2</v>
      </c>
      <c r="AK55" s="88">
        <f>IFERROR(('Activity Data Rep. Mauritius'!AC54*'Activity Data Rep. Mauritius'!$J54*'Activity Data Rep. Mauritius'!$F54)/1000,"NA")</f>
        <v>3.4396511977105713E-2</v>
      </c>
      <c r="AL55" s="500">
        <f>IFERROR(('Activity Data Rep. Mauritius'!M54*'Activity Data Rep. Mauritius'!$J54*'Activity Data Rep. Mauritius'!$G54)/1000,"NA")</f>
        <v>5.8098358664331306E-5</v>
      </c>
      <c r="AM55" s="39">
        <f>IFERROR(('Activity Data Rep. Mauritius'!N54*'Activity Data Rep. Mauritius'!$J54*'Activity Data Rep. Mauritius'!$G54)/1000,"NA")</f>
        <v>5.8098358664331306E-5</v>
      </c>
      <c r="AN55" s="39">
        <f>IFERROR(('Activity Data Rep. Mauritius'!O54*'Activity Data Rep. Mauritius'!$J54*'Activity Data Rep. Mauritius'!$G54)/1000,"NA")</f>
        <v>5.8098358664331306E-5</v>
      </c>
      <c r="AO55" s="39">
        <f>IFERROR(('Activity Data Rep. Mauritius'!P54*'Activity Data Rep. Mauritius'!$J54*'Activity Data Rep. Mauritius'!$G54)/1000,"NA")</f>
        <v>5.8098358664331306E-5</v>
      </c>
      <c r="AP55" s="39">
        <f>IFERROR(('Activity Data Rep. Mauritius'!Q54*'Activity Data Rep. Mauritius'!$J54*'Activity Data Rep. Mauritius'!$G54)/1000,"NA")</f>
        <v>6.6398124187807197E-5</v>
      </c>
      <c r="AQ55" s="39">
        <f>IFERROR(('Activity Data Rep. Mauritius'!R54*'Activity Data Rep. Mauritius'!$J54*'Activity Data Rep. Mauritius'!$G54)/1000,"NA")</f>
        <v>6.6398124187807197E-5</v>
      </c>
      <c r="AR55" s="39">
        <f>IFERROR(('Activity Data Rep. Mauritius'!S54*'Activity Data Rep. Mauritius'!$J54*'Activity Data Rep. Mauritius'!$G54)/1000,"NA")</f>
        <v>7.4697889711283102E-5</v>
      </c>
      <c r="AS55" s="39">
        <f>IFERROR(('Activity Data Rep. Mauritius'!T54*'Activity Data Rep. Mauritius'!$J54*'Activity Data Rep. Mauritius'!$G54)/1000,"NA")</f>
        <v>7.4697889711283102E-5</v>
      </c>
      <c r="AT55" s="39">
        <f>IFERROR(('Activity Data Rep. Mauritius'!U54*'Activity Data Rep. Mauritius'!$J54*'Activity Data Rep. Mauritius'!$G54)/1000,"NA")</f>
        <v>8.2997655234758993E-5</v>
      </c>
      <c r="AU55" s="39">
        <f>IFERROR(('Activity Data Rep. Mauritius'!V54*'Activity Data Rep. Mauritius'!$J54*'Activity Data Rep. Mauritius'!$G54)/1000,"NA")</f>
        <v>8.2997655234758993E-5</v>
      </c>
      <c r="AV55" s="39">
        <f>IFERROR(('Activity Data Rep. Mauritius'!W54*'Activity Data Rep. Mauritius'!$J54*'Activity Data Rep. Mauritius'!$G54)/1000,"NA")</f>
        <v>8.2997655234758993E-5</v>
      </c>
      <c r="AW55" s="39">
        <f>IFERROR(('Activity Data Rep. Mauritius'!X54*'Activity Data Rep. Mauritius'!$J54*'Activity Data Rep. Mauritius'!$G54)/1000,"NA")</f>
        <v>9.1297420758234925E-5</v>
      </c>
      <c r="AX55" s="39">
        <f>IFERROR(('Activity Data Rep. Mauritius'!Y54*'Activity Data Rep. Mauritius'!$J54*'Activity Data Rep. Mauritius'!$G54)/1000,"NA")</f>
        <v>9.959718628171083E-5</v>
      </c>
      <c r="AY55" s="39">
        <f>IFERROR(('Activity Data Rep. Mauritius'!Z54*'Activity Data Rep. Mauritius'!$J54*'Activity Data Rep. Mauritius'!$G54)/1000,"NA")</f>
        <v>1.0789695180518673E-4</v>
      </c>
      <c r="AZ55" s="39">
        <f>IFERROR(('Activity Data Rep. Mauritius'!AA54*'Activity Data Rep. Mauritius'!$J54*'Activity Data Rep. Mauritius'!$G54)/1000,"NA")</f>
        <v>9.7237710353524352E-5</v>
      </c>
      <c r="BA55" s="39">
        <f>IFERROR(('Activity Data Rep. Mauritius'!AB54*'Activity Data Rep. Mauritius'!$J54*'Activity Data Rep. Mauritius'!$G54)/1000,"NA")</f>
        <v>1.1638884963256076E-4</v>
      </c>
      <c r="BB55" s="86">
        <f>IFERROR(('Activity Data Rep. Mauritius'!AC54*'Activity Data Rep. Mauritius'!$J54*'Activity Data Rep. Mauritius'!$G54)/1000,"NA")</f>
        <v>1.109564902487281E-4</v>
      </c>
      <c r="BC55" s="85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86"/>
    </row>
    <row r="56" spans="2:71" s="110" customFormat="1" x14ac:dyDescent="0.35">
      <c r="B56" s="644"/>
      <c r="C56" s="253" t="s">
        <v>553</v>
      </c>
      <c r="D56" s="87">
        <f>IFERROR(('Activity Data Rep. Mauritius'!M55*'Activity Data Rep. Mauritius'!$J55*'Activity Data Rep. Mauritius'!$E55)/1000,"NA")</f>
        <v>9156.5480890639883</v>
      </c>
      <c r="E56" s="49">
        <f>IFERROR(('Activity Data Rep. Mauritius'!N55*'Activity Data Rep. Mauritius'!$J55*'Activity Data Rep. Mauritius'!$E55)/1000,"NA")</f>
        <v>9547.0916329647262</v>
      </c>
      <c r="F56" s="49">
        <f>IFERROR(('Activity Data Rep. Mauritius'!O55*'Activity Data Rep. Mauritius'!$J55*'Activity Data Rep. Mauritius'!$E55)/1000,"NA")</f>
        <v>9950.3702924274403</v>
      </c>
      <c r="G56" s="49">
        <f>IFERROR(('Activity Data Rep. Mauritius'!P55*'Activity Data Rep. Mauritius'!$J55*'Activity Data Rep. Mauritius'!$E55)/1000,"NA")</f>
        <v>10340.913836328178</v>
      </c>
      <c r="H56" s="49">
        <f>IFERROR(('Activity Data Rep. Mauritius'!Q55*'Activity Data Rep. Mauritius'!$J55*'Activity Data Rep. Mauritius'!$E55)/1000,"NA")</f>
        <v>10913.994036617303</v>
      </c>
      <c r="I56" s="49">
        <f>IFERROR(('Activity Data Rep. Mauritius'!R55*'Activity Data Rep. Mauritius'!$J55*'Activity Data Rep. Mauritius'!$E55)/1000,"NA")</f>
        <v>11431.888736137842</v>
      </c>
      <c r="J56" s="49">
        <f>IFERROR(('Activity Data Rep. Mauritius'!S55*'Activity Data Rep. Mauritius'!$J55*'Activity Data Rep. Mauritius'!$E55)/1000,"NA")</f>
        <v>11954.028474179044</v>
      </c>
      <c r="K56" s="49">
        <f>IFERROR(('Activity Data Rep. Mauritius'!T55*'Activity Data Rep. Mauritius'!$J55*'Activity Data Rep. Mauritius'!$E55)/1000,"NA")</f>
        <v>12505.883481864865</v>
      </c>
      <c r="L56" s="49">
        <f>IFERROR(('Activity Data Rep. Mauritius'!U55*'Activity Data Rep. Mauritius'!$J55*'Activity Data Rep. Mauritius'!$E55)/1000,"NA")</f>
        <v>13151.129337005214</v>
      </c>
      <c r="M56" s="49">
        <f>IFERROR(('Activity Data Rep. Mauritius'!V55*'Activity Data Rep. Mauritius'!$J55*'Activity Data Rep. Mauritius'!$E55)/1000,"NA")</f>
        <v>13715.719460253014</v>
      </c>
      <c r="N56" s="49">
        <f>IFERROR(('Activity Data Rep. Mauritius'!W55*'Activity Data Rep. Mauritius'!$J55*'Activity Data Rep. Mauritius'!$E55)/1000,"NA")</f>
        <v>14373.700430955341</v>
      </c>
      <c r="O56" s="49">
        <f>IFERROR(('Activity Data Rep. Mauritius'!X55*'Activity Data Rep. Mauritius'!$J55*'Activity Data Rep. Mauritius'!$E55)/1000,"NA")</f>
        <v>15001.966132013045</v>
      </c>
      <c r="P56" s="49">
        <f>IFERROR(('Activity Data Rep. Mauritius'!Y55*'Activity Data Rep. Mauritius'!$J55*'Activity Data Rep. Mauritius'!$E55)/1000,"NA")</f>
        <v>15787.29825833518</v>
      </c>
      <c r="Q56" s="49">
        <f>IFERROR(('Activity Data Rep. Mauritius'!Z55*'Activity Data Rep. Mauritius'!$J55*'Activity Data Rep. Mauritius'!$E55)/1000,"NA")</f>
        <v>16598.100615781274</v>
      </c>
      <c r="R56" s="49">
        <f>IFERROR(('Activity Data Rep. Mauritius'!AA55*'Activity Data Rep. Mauritius'!$J55*'Activity Data Rep. Mauritius'!$E55)/1000,"NA")</f>
        <v>12975.653840289606</v>
      </c>
      <c r="S56" s="49">
        <f>IFERROR(('Activity Data Rep. Mauritius'!AB55*'Activity Data Rep. Mauritius'!$J55*'Activity Data Rep. Mauritius'!$E55)/1000,"NA")</f>
        <v>19718.508628620104</v>
      </c>
      <c r="T56" s="88">
        <f>IFERROR(('Activity Data Rep. Mauritius'!AC55*'Activity Data Rep. Mauritius'!$J55*'Activity Data Rep. Mauritius'!$E55)/1000,"NA")</f>
        <v>27136.879593270871</v>
      </c>
      <c r="U56" s="87">
        <f>IFERROR(('Activity Data Rep. Mauritius'!M55*'Activity Data Rep. Mauritius'!$J55*'Activity Data Rep. Mauritius'!$F55)/1000,"NA")</f>
        <v>0.48192358363494681</v>
      </c>
      <c r="V56" s="49">
        <f>IFERROR(('Activity Data Rep. Mauritius'!N55*'Activity Data Rep. Mauritius'!$J55*'Activity Data Rep. Mauritius'!$F55)/1000,"NA")</f>
        <v>0.50247850699814356</v>
      </c>
      <c r="W56" s="49">
        <f>IFERROR(('Activity Data Rep. Mauritius'!O55*'Activity Data Rep. Mauritius'!$J55*'Activity Data Rep. Mauritius'!$F55)/1000,"NA")</f>
        <v>0.52370369960144436</v>
      </c>
      <c r="X56" s="49">
        <f>IFERROR(('Activity Data Rep. Mauritius'!P55*'Activity Data Rep. Mauritius'!$J55*'Activity Data Rep. Mauritius'!$F55)/1000,"NA")</f>
        <v>0.544258622964641</v>
      </c>
      <c r="Y56" s="49">
        <f>IFERROR(('Activity Data Rep. Mauritius'!Q55*'Activity Data Rep. Mauritius'!$J55*'Activity Data Rep. Mauritius'!$F55)/1000,"NA")</f>
        <v>0.57442073876933186</v>
      </c>
      <c r="Z56" s="49">
        <f>IFERROR(('Activity Data Rep. Mauritius'!R55*'Activity Data Rep. Mauritius'!$J55*'Activity Data Rep. Mauritius'!$F55)/1000,"NA")</f>
        <v>0.60167835453357066</v>
      </c>
      <c r="AA56" s="49">
        <f>IFERROR(('Activity Data Rep. Mauritius'!S55*'Activity Data Rep. Mauritius'!$J55*'Activity Data Rep. Mauritius'!$F55)/1000,"NA")</f>
        <v>0.62915939337784432</v>
      </c>
      <c r="AB56" s="49">
        <f>IFERROR(('Activity Data Rep. Mauritius'!T55*'Activity Data Rep. Mauritius'!$J55*'Activity Data Rep. Mauritius'!$F55)/1000,"NA")</f>
        <v>0.65820439378236129</v>
      </c>
      <c r="AC56" s="49">
        <f>IFERROR(('Activity Data Rep. Mauritius'!U55*'Activity Data Rep. Mauritius'!$J55*'Activity Data Rep. Mauritius'!$F55)/1000,"NA")</f>
        <v>0.69216470194764268</v>
      </c>
      <c r="AD56" s="49">
        <f>IFERROR(('Activity Data Rep. Mauritius'!V55*'Activity Data Rep. Mauritius'!$J55*'Activity Data Rep. Mauritius'!$F55)/1000,"NA")</f>
        <v>0.72187997159226391</v>
      </c>
      <c r="AE56" s="49">
        <f>IFERROR(('Activity Data Rep. Mauritius'!W55*'Activity Data Rep. Mauritius'!$J55*'Activity Data Rep. Mauritius'!$F55)/1000,"NA")</f>
        <v>0.75651054899764947</v>
      </c>
      <c r="AF56" s="49">
        <f>IFERROR(('Activity Data Rep. Mauritius'!X55*'Activity Data Rep. Mauritius'!$J55*'Activity Data Rep. Mauritius'!$F55)/1000,"NA")</f>
        <v>0.78957716484279183</v>
      </c>
      <c r="AG56" s="49">
        <f>IFERROR(('Activity Data Rep. Mauritius'!Y55*'Activity Data Rep. Mauritius'!$J55*'Activity Data Rep. Mauritius'!$F55)/1000,"NA")</f>
        <v>0.83091043464921999</v>
      </c>
      <c r="AH56" s="49">
        <f>IFERROR(('Activity Data Rep. Mauritius'!Z55*'Activity Data Rep. Mauritius'!$J55*'Activity Data Rep. Mauritius'!$F55)/1000,"NA")</f>
        <v>0.87358424293585635</v>
      </c>
      <c r="AI56" s="49">
        <f>IFERROR(('Activity Data Rep. Mauritius'!AA55*'Activity Data Rep. Mauritius'!$J55*'Activity Data Rep. Mauritius'!$F55)/1000,"NA")</f>
        <v>0.68292914948892658</v>
      </c>
      <c r="AJ56" s="49">
        <f>IFERROR(('Activity Data Rep. Mauritius'!AB55*'Activity Data Rep. Mauritius'!$J55*'Activity Data Rep. Mauritius'!$F55)/1000,"NA")</f>
        <v>1.0378162436115845</v>
      </c>
      <c r="AK56" s="88">
        <f>IFERROR(('Activity Data Rep. Mauritius'!AC55*'Activity Data Rep. Mauritius'!$J55*'Activity Data Rep. Mauritius'!$F55)/1000,"NA")</f>
        <v>1.4282568206984667</v>
      </c>
      <c r="AL56" s="500">
        <f>IFERROR(('Activity Data Rep. Mauritius'!M55*'Activity Data Rep. Mauritius'!$J55*'Activity Data Rep. Mauritius'!$G55)/1000,"NA")</f>
        <v>0.48192358363494681</v>
      </c>
      <c r="AM56" s="39">
        <f>IFERROR(('Activity Data Rep. Mauritius'!N55*'Activity Data Rep. Mauritius'!$J55*'Activity Data Rep. Mauritius'!$G55)/1000,"NA")</f>
        <v>0.50247850699814356</v>
      </c>
      <c r="AN56" s="39">
        <f>IFERROR(('Activity Data Rep. Mauritius'!O55*'Activity Data Rep. Mauritius'!$J55*'Activity Data Rep. Mauritius'!$G55)/1000,"NA")</f>
        <v>0.52370369960144436</v>
      </c>
      <c r="AO56" s="39">
        <f>IFERROR(('Activity Data Rep. Mauritius'!P55*'Activity Data Rep. Mauritius'!$J55*'Activity Data Rep. Mauritius'!$G55)/1000,"NA")</f>
        <v>0.544258622964641</v>
      </c>
      <c r="AP56" s="39">
        <f>IFERROR(('Activity Data Rep. Mauritius'!Q55*'Activity Data Rep. Mauritius'!$J55*'Activity Data Rep. Mauritius'!$G55)/1000,"NA")</f>
        <v>0.57442073876933186</v>
      </c>
      <c r="AQ56" s="39">
        <f>IFERROR(('Activity Data Rep. Mauritius'!R55*'Activity Data Rep. Mauritius'!$J55*'Activity Data Rep. Mauritius'!$G55)/1000,"NA")</f>
        <v>0.60167835453357066</v>
      </c>
      <c r="AR56" s="39">
        <f>IFERROR(('Activity Data Rep. Mauritius'!S55*'Activity Data Rep. Mauritius'!$J55*'Activity Data Rep. Mauritius'!$G55)/1000,"NA")</f>
        <v>0.62915939337784432</v>
      </c>
      <c r="AS56" s="39">
        <f>IFERROR(('Activity Data Rep. Mauritius'!T55*'Activity Data Rep. Mauritius'!$J55*'Activity Data Rep. Mauritius'!$G55)/1000,"NA")</f>
        <v>0.65820439378236129</v>
      </c>
      <c r="AT56" s="39">
        <f>IFERROR(('Activity Data Rep. Mauritius'!U55*'Activity Data Rep. Mauritius'!$J55*'Activity Data Rep. Mauritius'!$G55)/1000,"NA")</f>
        <v>0.69216470194764268</v>
      </c>
      <c r="AU56" s="39">
        <f>IFERROR(('Activity Data Rep. Mauritius'!V55*'Activity Data Rep. Mauritius'!$J55*'Activity Data Rep. Mauritius'!$G55)/1000,"NA")</f>
        <v>0.72187997159226391</v>
      </c>
      <c r="AV56" s="39">
        <f>IFERROR(('Activity Data Rep. Mauritius'!W55*'Activity Data Rep. Mauritius'!$J55*'Activity Data Rep. Mauritius'!$G55)/1000,"NA")</f>
        <v>0.75651054899764947</v>
      </c>
      <c r="AW56" s="39">
        <f>IFERROR(('Activity Data Rep. Mauritius'!X55*'Activity Data Rep. Mauritius'!$J55*'Activity Data Rep. Mauritius'!$G55)/1000,"NA")</f>
        <v>0.78957716484279183</v>
      </c>
      <c r="AX56" s="39">
        <f>IFERROR(('Activity Data Rep. Mauritius'!Y55*'Activity Data Rep. Mauritius'!$J55*'Activity Data Rep. Mauritius'!$G55)/1000,"NA")</f>
        <v>0.83091043464921999</v>
      </c>
      <c r="AY56" s="39">
        <f>IFERROR(('Activity Data Rep. Mauritius'!Z55*'Activity Data Rep. Mauritius'!$J55*'Activity Data Rep. Mauritius'!$G55)/1000,"NA")</f>
        <v>0.87358424293585635</v>
      </c>
      <c r="AZ56" s="39">
        <f>IFERROR(('Activity Data Rep. Mauritius'!AA55*'Activity Data Rep. Mauritius'!$J55*'Activity Data Rep. Mauritius'!$G55)/1000,"NA")</f>
        <v>0.68292914948892658</v>
      </c>
      <c r="BA56" s="39">
        <f>IFERROR(('Activity Data Rep. Mauritius'!AB55*'Activity Data Rep. Mauritius'!$J55*'Activity Data Rep. Mauritius'!$G55)/1000,"NA")</f>
        <v>1.0378162436115845</v>
      </c>
      <c r="BB56" s="86">
        <f>IFERROR(('Activity Data Rep. Mauritius'!AC55*'Activity Data Rep. Mauritius'!$J55*'Activity Data Rep. Mauritius'!$G55)/1000,"NA")</f>
        <v>1.4282568206984667</v>
      </c>
      <c r="BC56" s="85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86"/>
    </row>
    <row r="57" spans="2:71" s="110" customFormat="1" x14ac:dyDescent="0.35">
      <c r="B57" s="644"/>
      <c r="C57" s="253" t="s">
        <v>554</v>
      </c>
      <c r="D57" s="87">
        <f>IFERROR(('Activity Data Rep. Mauritius'!M56*'Activity Data Rep. Mauritius'!$J56*'Activity Data Rep. Mauritius'!$E56)/1000,"NA")</f>
        <v>34809.315869413404</v>
      </c>
      <c r="E57" s="49">
        <f>IFERROR(('Activity Data Rep. Mauritius'!N56*'Activity Data Rep. Mauritius'!$J56*'Activity Data Rep. Mauritius'!$E56)/1000,"NA")</f>
        <v>36295.079351644461</v>
      </c>
      <c r="F57" s="49">
        <f>IFERROR(('Activity Data Rep. Mauritius'!O56*'Activity Data Rep. Mauritius'!$J56*'Activity Data Rep. Mauritius'!$E56)/1000,"NA")</f>
        <v>37814.803142040808</v>
      </c>
      <c r="G57" s="49">
        <f>IFERROR(('Activity Data Rep. Mauritius'!P56*'Activity Data Rep. Mauritius'!$J56*'Activity Data Rep. Mauritius'!$E56)/1000,"NA")</f>
        <v>39313.301739833863</v>
      </c>
      <c r="H57" s="49">
        <f>IFERROR(('Activity Data Rep. Mauritius'!Q56*'Activity Data Rep. Mauritius'!$J56*'Activity Data Rep. Mauritius'!$E56)/1000,"NA")</f>
        <v>41482.516423891204</v>
      </c>
      <c r="I57" s="49">
        <f>IFERROR(('Activity Data Rep. Mauritius'!R56*'Activity Data Rep. Mauritius'!$J56*'Activity Data Rep. Mauritius'!$E56)/1000,"NA")</f>
        <v>43456.459335998188</v>
      </c>
      <c r="J57" s="49">
        <f>IFERROR(('Activity Data Rep. Mauritius'!S56*'Activity Data Rep. Mauritius'!$J56*'Activity Data Rep. Mauritius'!$E56)/1000,"NA")</f>
        <v>45438.89232514648</v>
      </c>
      <c r="K57" s="49">
        <f>IFERROR(('Activity Data Rep. Mauritius'!T56*'Activity Data Rep. Mauritius'!$J56*'Activity Data Rep. Mauritius'!$E56)/1000,"NA")</f>
        <v>47531.696315831934</v>
      </c>
      <c r="L57" s="49">
        <f>IFERROR(('Activity Data Rep. Mauritius'!U56*'Activity Data Rep. Mauritius'!$J56*'Activity Data Rep. Mauritius'!$E56)/1000,"NA")</f>
        <v>49989.573619294184</v>
      </c>
      <c r="M57" s="49">
        <f>IFERROR(('Activity Data Rep. Mauritius'!V56*'Activity Data Rep. Mauritius'!$J56*'Activity Data Rep. Mauritius'!$E56)/1000,"NA")</f>
        <v>52137.563110748226</v>
      </c>
      <c r="N57" s="49">
        <f>IFERROR(('Activity Data Rep. Mauritius'!W56*'Activity Data Rep. Mauritius'!$J56*'Activity Data Rep. Mauritius'!$E56)/1000,"NA")</f>
        <v>54642.13583793772</v>
      </c>
      <c r="O57" s="49">
        <f>IFERROR(('Activity Data Rep. Mauritius'!X56*'Activity Data Rep. Mauritius'!$J56*'Activity Data Rep. Mauritius'!$E56)/1000,"NA")</f>
        <v>57032.092525069413</v>
      </c>
      <c r="P57" s="49">
        <f>IFERROR(('Activity Data Rep. Mauritius'!Y56*'Activity Data Rep. Mauritius'!$J56*'Activity Data Rep. Mauritius'!$E56)/1000,"NA")</f>
        <v>60020.599643614172</v>
      </c>
      <c r="Q57" s="49">
        <f>IFERROR(('Activity Data Rep. Mauritius'!Z56*'Activity Data Rep. Mauritius'!$J56*'Activity Data Rep. Mauritius'!$E56)/1000,"NA")</f>
        <v>63085.517455530826</v>
      </c>
      <c r="R57" s="49">
        <f>IFERROR(('Activity Data Rep. Mauritius'!AA56*'Activity Data Rep. Mauritius'!$J56*'Activity Data Rep. Mauritius'!$E56)/1000,"NA")</f>
        <v>68082.184993185685</v>
      </c>
      <c r="S57" s="49">
        <f>IFERROR(('Activity Data Rep. Mauritius'!AB56*'Activity Data Rep. Mauritius'!$J56*'Activity Data Rep. Mauritius'!$E56)/1000,"NA")</f>
        <v>77711.025389054514</v>
      </c>
      <c r="T57" s="88">
        <f>IFERROR(('Activity Data Rep. Mauritius'!AC56*'Activity Data Rep. Mauritius'!$J56*'Activity Data Rep. Mauritius'!$E56)/1000,"NA")</f>
        <v>76385.29070698467</v>
      </c>
      <c r="U57" s="87">
        <f>IFERROR(('Activity Data Rep. Mauritius'!M56*'Activity Data Rep. Mauritius'!$J56*'Activity Data Rep. Mauritius'!$F56)/1000,"NA")</f>
        <v>1.8320692562849161</v>
      </c>
      <c r="V57" s="49">
        <f>IFERROR(('Activity Data Rep. Mauritius'!N56*'Activity Data Rep. Mauritius'!$J56*'Activity Data Rep. Mauritius'!$F56)/1000,"NA")</f>
        <v>1.9102673342970771</v>
      </c>
      <c r="W57" s="49">
        <f>IFERROR(('Activity Data Rep. Mauritius'!O56*'Activity Data Rep. Mauritius'!$J56*'Activity Data Rep. Mauritius'!$F56)/1000,"NA")</f>
        <v>1.9902527969495165</v>
      </c>
      <c r="X57" s="49">
        <f>IFERROR(('Activity Data Rep. Mauritius'!P56*'Activity Data Rep. Mauritius'!$J56*'Activity Data Rep. Mauritius'!$F56)/1000,"NA")</f>
        <v>2.0691211442017821</v>
      </c>
      <c r="Y57" s="49">
        <f>IFERROR(('Activity Data Rep. Mauritius'!Q56*'Activity Data Rep. Mauritius'!$J56*'Activity Data Rep. Mauritius'!$F56)/1000,"NA")</f>
        <v>2.1832903380995368</v>
      </c>
      <c r="Z57" s="49">
        <f>IFERROR(('Activity Data Rep. Mauritius'!R56*'Activity Data Rep. Mauritius'!$J56*'Activity Data Rep. Mauritius'!$F56)/1000,"NA")</f>
        <v>2.2871820703156938</v>
      </c>
      <c r="AA57" s="49">
        <f>IFERROR(('Activity Data Rep. Mauritius'!S56*'Activity Data Rep. Mauritius'!$J56*'Activity Data Rep. Mauritius'!$F56)/1000,"NA")</f>
        <v>2.39152064869192</v>
      </c>
      <c r="AB57" s="49">
        <f>IFERROR(('Activity Data Rep. Mauritius'!T56*'Activity Data Rep. Mauritius'!$J56*'Activity Data Rep. Mauritius'!$F56)/1000,"NA")</f>
        <v>2.5016682271490494</v>
      </c>
      <c r="AC57" s="49">
        <f>IFERROR(('Activity Data Rep. Mauritius'!U56*'Activity Data Rep. Mauritius'!$J56*'Activity Data Rep. Mauritius'!$F56)/1000,"NA")</f>
        <v>2.6310301904891675</v>
      </c>
      <c r="AD57" s="49">
        <f>IFERROR(('Activity Data Rep. Mauritius'!V56*'Activity Data Rep. Mauritius'!$J56*'Activity Data Rep. Mauritius'!$F56)/1000,"NA")</f>
        <v>2.7440822689867486</v>
      </c>
      <c r="AE57" s="49">
        <f>IFERROR(('Activity Data Rep. Mauritius'!W56*'Activity Data Rep. Mauritius'!$J56*'Activity Data Rep. Mauritius'!$F56)/1000,"NA")</f>
        <v>2.8759018862072483</v>
      </c>
      <c r="AF57" s="49">
        <f>IFERROR(('Activity Data Rep. Mauritius'!X56*'Activity Data Rep. Mauritius'!$J56*'Activity Data Rep. Mauritius'!$F56)/1000,"NA")</f>
        <v>3.0016890802668112</v>
      </c>
      <c r="AG57" s="49">
        <f>IFERROR(('Activity Data Rep. Mauritius'!Y56*'Activity Data Rep. Mauritius'!$J56*'Activity Data Rep. Mauritius'!$F56)/1000,"NA")</f>
        <v>3.1589789286112722</v>
      </c>
      <c r="AH57" s="49">
        <f>IFERROR(('Activity Data Rep. Mauritius'!Z56*'Activity Data Rep. Mauritius'!$J56*'Activity Data Rep. Mauritius'!$F56)/1000,"NA")</f>
        <v>3.3202903923963589</v>
      </c>
      <c r="AI57" s="49">
        <f>IFERROR(('Activity Data Rep. Mauritius'!AA56*'Activity Data Rep. Mauritius'!$J56*'Activity Data Rep. Mauritius'!$F56)/1000,"NA")</f>
        <v>3.5832728943781937</v>
      </c>
      <c r="AJ57" s="49">
        <f>IFERROR(('Activity Data Rep. Mauritius'!AB56*'Activity Data Rep. Mauritius'!$J56*'Activity Data Rep. Mauritius'!$F56)/1000,"NA")</f>
        <v>4.0900539678449732</v>
      </c>
      <c r="AK57" s="88">
        <f>IFERROR(('Activity Data Rep. Mauritius'!AC56*'Activity Data Rep. Mauritius'!$J56*'Activity Data Rep. Mauritius'!$F56)/1000,"NA")</f>
        <v>4.020278458262351</v>
      </c>
      <c r="AL57" s="500">
        <f>IFERROR(('Activity Data Rep. Mauritius'!M56*'Activity Data Rep. Mauritius'!$J56*'Activity Data Rep. Mauritius'!$G56)/1000,"NA")</f>
        <v>1.8320692562849161</v>
      </c>
      <c r="AM57" s="39">
        <f>IFERROR(('Activity Data Rep. Mauritius'!N56*'Activity Data Rep. Mauritius'!$J56*'Activity Data Rep. Mauritius'!$G56)/1000,"NA")</f>
        <v>1.9102673342970771</v>
      </c>
      <c r="AN57" s="39">
        <f>IFERROR(('Activity Data Rep. Mauritius'!O56*'Activity Data Rep. Mauritius'!$J56*'Activity Data Rep. Mauritius'!$G56)/1000,"NA")</f>
        <v>1.9902527969495165</v>
      </c>
      <c r="AO57" s="39">
        <f>IFERROR(('Activity Data Rep. Mauritius'!P56*'Activity Data Rep. Mauritius'!$J56*'Activity Data Rep. Mauritius'!$G56)/1000,"NA")</f>
        <v>2.0691211442017821</v>
      </c>
      <c r="AP57" s="39">
        <f>IFERROR(('Activity Data Rep. Mauritius'!Q56*'Activity Data Rep. Mauritius'!$J56*'Activity Data Rep. Mauritius'!$G56)/1000,"NA")</f>
        <v>2.1832903380995368</v>
      </c>
      <c r="AQ57" s="39">
        <f>IFERROR(('Activity Data Rep. Mauritius'!R56*'Activity Data Rep. Mauritius'!$J56*'Activity Data Rep. Mauritius'!$G56)/1000,"NA")</f>
        <v>2.2871820703156938</v>
      </c>
      <c r="AR57" s="39">
        <f>IFERROR(('Activity Data Rep. Mauritius'!S56*'Activity Data Rep. Mauritius'!$J56*'Activity Data Rep. Mauritius'!$G56)/1000,"NA")</f>
        <v>2.39152064869192</v>
      </c>
      <c r="AS57" s="39">
        <f>IFERROR(('Activity Data Rep. Mauritius'!T56*'Activity Data Rep. Mauritius'!$J56*'Activity Data Rep. Mauritius'!$G56)/1000,"NA")</f>
        <v>2.5016682271490494</v>
      </c>
      <c r="AT57" s="39">
        <f>IFERROR(('Activity Data Rep. Mauritius'!U56*'Activity Data Rep. Mauritius'!$J56*'Activity Data Rep. Mauritius'!$G56)/1000,"NA")</f>
        <v>2.6310301904891675</v>
      </c>
      <c r="AU57" s="39">
        <f>IFERROR(('Activity Data Rep. Mauritius'!V56*'Activity Data Rep. Mauritius'!$J56*'Activity Data Rep. Mauritius'!$G56)/1000,"NA")</f>
        <v>2.7440822689867486</v>
      </c>
      <c r="AV57" s="39">
        <f>IFERROR(('Activity Data Rep. Mauritius'!W56*'Activity Data Rep. Mauritius'!$J56*'Activity Data Rep. Mauritius'!$G56)/1000,"NA")</f>
        <v>2.8759018862072483</v>
      </c>
      <c r="AW57" s="39">
        <f>IFERROR(('Activity Data Rep. Mauritius'!X56*'Activity Data Rep. Mauritius'!$J56*'Activity Data Rep. Mauritius'!$G56)/1000,"NA")</f>
        <v>3.0016890802668112</v>
      </c>
      <c r="AX57" s="39">
        <f>IFERROR(('Activity Data Rep. Mauritius'!Y56*'Activity Data Rep. Mauritius'!$J56*'Activity Data Rep. Mauritius'!$G56)/1000,"NA")</f>
        <v>3.1589789286112722</v>
      </c>
      <c r="AY57" s="39">
        <f>IFERROR(('Activity Data Rep. Mauritius'!Z56*'Activity Data Rep. Mauritius'!$J56*'Activity Data Rep. Mauritius'!$G56)/1000,"NA")</f>
        <v>3.3202903923963589</v>
      </c>
      <c r="AZ57" s="39">
        <f>IFERROR(('Activity Data Rep. Mauritius'!AA56*'Activity Data Rep. Mauritius'!$J56*'Activity Data Rep. Mauritius'!$G56)/1000,"NA")</f>
        <v>3.5832728943781937</v>
      </c>
      <c r="BA57" s="39">
        <f>IFERROR(('Activity Data Rep. Mauritius'!AB56*'Activity Data Rep. Mauritius'!$J56*'Activity Data Rep. Mauritius'!$G56)/1000,"NA")</f>
        <v>4.0900539678449732</v>
      </c>
      <c r="BB57" s="86">
        <f>IFERROR(('Activity Data Rep. Mauritius'!AC56*'Activity Data Rep. Mauritius'!$J56*'Activity Data Rep. Mauritius'!$G56)/1000,"NA")</f>
        <v>4.020278458262351</v>
      </c>
      <c r="BC57" s="85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86"/>
    </row>
    <row r="58" spans="2:71" s="110" customFormat="1" x14ac:dyDescent="0.35">
      <c r="B58" s="644"/>
      <c r="C58" s="253" t="s">
        <v>555</v>
      </c>
      <c r="D58" s="87">
        <f>IFERROR(('Activity Data Rep. Mauritius'!M57*'Activity Data Rep. Mauritius'!$J57*'Activity Data Rep. Mauritius'!$E57)/1000,"NA")</f>
        <v>157159.87353269177</v>
      </c>
      <c r="E58" s="49">
        <f>IFERROR(('Activity Data Rep. Mauritius'!N57*'Activity Data Rep. Mauritius'!$J57*'Activity Data Rep. Mauritius'!$E57)/1000,"NA")</f>
        <v>164083.236052861</v>
      </c>
      <c r="F58" s="49">
        <f>IFERROR(('Activity Data Rep. Mauritius'!O57*'Activity Data Rep. Mauritius'!$J57*'Activity Data Rep. Mauritius'!$E57)/1000,"NA")</f>
        <v>171181.41213035156</v>
      </c>
      <c r="G58" s="49">
        <f>IFERROR(('Activity Data Rep. Mauritius'!P57*'Activity Data Rep. Mauritius'!$J57*'Activity Data Rep. Mauritius'!$E57)/1000,"NA")</f>
        <v>178183.06792619315</v>
      </c>
      <c r="H58" s="49">
        <f>IFERROR(('Activity Data Rep. Mauritius'!Q57*'Activity Data Rep. Mauritius'!$J57*'Activity Data Rep. Mauritius'!$E57)/1000,"NA")</f>
        <v>188197.15070980892</v>
      </c>
      <c r="I58" s="49">
        <f>IFERROR(('Activity Data Rep. Mauritius'!R57*'Activity Data Rep. Mauritius'!$J57*'Activity Data Rep. Mauritius'!$E57)/1000,"NA")</f>
        <v>197413.38773181121</v>
      </c>
      <c r="J58" s="49">
        <f>IFERROR(('Activity Data Rep. Mauritius'!S57*'Activity Data Rep. Mauritius'!$J57*'Activity Data Rep. Mauritius'!$E57)/1000,"NA")</f>
        <v>206728.21628614169</v>
      </c>
      <c r="K58" s="49">
        <f>IFERROR(('Activity Data Rep. Mauritius'!T57*'Activity Data Rep. Mauritius'!$J57*'Activity Data Rep. Mauritius'!$E57)/1000,"NA")</f>
        <v>216316.4499301216</v>
      </c>
      <c r="L58" s="49">
        <f>IFERROR(('Activity Data Rep. Mauritius'!U57*'Activity Data Rep. Mauritius'!$J57*'Activity Data Rep. Mauritius'!$E57)/1000,"NA")</f>
        <v>227520.67335398431</v>
      </c>
      <c r="M58" s="49">
        <f>IFERROR(('Activity Data Rep. Mauritius'!V57*'Activity Data Rep. Mauritius'!$J57*'Activity Data Rep. Mauritius'!$E57)/1000,"NA")</f>
        <v>237250.16629428312</v>
      </c>
      <c r="N58" s="49">
        <f>IFERROR(('Activity Data Rep. Mauritius'!W57*'Activity Data Rep. Mauritius'!$J57*'Activity Data Rep. Mauritius'!$E57)/1000,"NA")</f>
        <v>248564.16600414139</v>
      </c>
      <c r="O58" s="49">
        <f>IFERROR(('Activity Data Rep. Mauritius'!X57*'Activity Data Rep. Mauritius'!$J57*'Activity Data Rep. Mauritius'!$E57)/1000,"NA")</f>
        <v>259580.31986633613</v>
      </c>
      <c r="P58" s="49">
        <f>IFERROR(('Activity Data Rep. Mauritius'!Y57*'Activity Data Rep. Mauritius'!$J57*'Activity Data Rep. Mauritius'!$E57)/1000,"NA")</f>
        <v>273375.26363969548</v>
      </c>
      <c r="Q58" s="49">
        <f>IFERROR(('Activity Data Rep. Mauritius'!Z57*'Activity Data Rep. Mauritius'!$J57*'Activity Data Rep. Mauritius'!$E57)/1000,"NA")</f>
        <v>287636.65306600218</v>
      </c>
      <c r="R58" s="49">
        <f>IFERROR(('Activity Data Rep. Mauritius'!AA57*'Activity Data Rep. Mauritius'!$J57*'Activity Data Rep. Mauritius'!$E57)/1000,"NA")</f>
        <v>308785.72445535433</v>
      </c>
      <c r="S58" s="49">
        <f>IFERROR(('Activity Data Rep. Mauritius'!AB57*'Activity Data Rep. Mauritius'!$J57*'Activity Data Rep. Mauritius'!$E57)/1000,"NA")</f>
        <v>286706.73804624024</v>
      </c>
      <c r="T58" s="88">
        <f>IFERROR(('Activity Data Rep. Mauritius'!AC57*'Activity Data Rep. Mauritius'!$J57*'Activity Data Rep. Mauritius'!$E57)/1000,"NA")</f>
        <v>286734.33848855365</v>
      </c>
      <c r="U58" s="87">
        <f>IFERROR(('Activity Data Rep. Mauritius'!M57*'Activity Data Rep. Mauritius'!$J57*'Activity Data Rep. Mauritius'!$F57)/1000,"NA")</f>
        <v>8.271572291194305</v>
      </c>
      <c r="V58" s="49">
        <f>IFERROR(('Activity Data Rep. Mauritius'!N57*'Activity Data Rep. Mauritius'!$J57*'Activity Data Rep. Mauritius'!$F57)/1000,"NA")</f>
        <v>8.6359597922558429</v>
      </c>
      <c r="W58" s="49">
        <f>IFERROR(('Activity Data Rep. Mauritius'!O57*'Activity Data Rep. Mauritius'!$J57*'Activity Data Rep. Mauritius'!$F57)/1000,"NA")</f>
        <v>9.0095480068606069</v>
      </c>
      <c r="X58" s="49">
        <f>IFERROR(('Activity Data Rep. Mauritius'!P57*'Activity Data Rep. Mauritius'!$J57*'Activity Data Rep. Mauritius'!$F57)/1000,"NA")</f>
        <v>9.3780562066417446</v>
      </c>
      <c r="Y58" s="49">
        <f>IFERROR(('Activity Data Rep. Mauritius'!Q57*'Activity Data Rep. Mauritius'!$J57*'Activity Data Rep. Mauritius'!$F57)/1000,"NA")</f>
        <v>9.9051131952530991</v>
      </c>
      <c r="Z58" s="49">
        <f>IFERROR(('Activity Data Rep. Mauritius'!R57*'Activity Data Rep. Mauritius'!$J57*'Activity Data Rep. Mauritius'!$F57)/1000,"NA")</f>
        <v>10.390178301674274</v>
      </c>
      <c r="AA58" s="49">
        <f>IFERROR(('Activity Data Rep. Mauritius'!S57*'Activity Data Rep. Mauritius'!$J57*'Activity Data Rep. Mauritius'!$F57)/1000,"NA")</f>
        <v>10.880432436112722</v>
      </c>
      <c r="AB58" s="49">
        <f>IFERROR(('Activity Data Rep. Mauritius'!T57*'Activity Data Rep. Mauritius'!$J57*'Activity Data Rep. Mauritius'!$F57)/1000,"NA")</f>
        <v>11.385076312111662</v>
      </c>
      <c r="AC58" s="49">
        <f>IFERROR(('Activity Data Rep. Mauritius'!U57*'Activity Data Rep. Mauritius'!$J57*'Activity Data Rep. Mauritius'!$F57)/1000,"NA")</f>
        <v>11.974772281788647</v>
      </c>
      <c r="AD58" s="49">
        <f>IFERROR(('Activity Data Rep. Mauritius'!V57*'Activity Data Rep. Mauritius'!$J57*'Activity Data Rep. Mauritius'!$F57)/1000,"NA")</f>
        <v>12.486850857593849</v>
      </c>
      <c r="AE58" s="49">
        <f>IFERROR(('Activity Data Rep. Mauritius'!W57*'Activity Data Rep. Mauritius'!$J57*'Activity Data Rep. Mauritius'!$F57)/1000,"NA")</f>
        <v>13.082324526533757</v>
      </c>
      <c r="AF58" s="49">
        <f>IFERROR(('Activity Data Rep. Mauritius'!X57*'Activity Data Rep. Mauritius'!$J57*'Activity Data Rep. Mauritius'!$F57)/1000,"NA")</f>
        <v>13.662122098228217</v>
      </c>
      <c r="AG58" s="49">
        <f>IFERROR(('Activity Data Rep. Mauritius'!Y57*'Activity Data Rep. Mauritius'!$J57*'Activity Data Rep. Mauritius'!$F57)/1000,"NA")</f>
        <v>14.38817177051029</v>
      </c>
      <c r="AH58" s="49">
        <f>IFERROR(('Activity Data Rep. Mauritius'!Z57*'Activity Data Rep. Mauritius'!$J57*'Activity Data Rep. Mauritius'!$F57)/1000,"NA")</f>
        <v>15.138771214000117</v>
      </c>
      <c r="AI58" s="49">
        <f>IFERROR(('Activity Data Rep. Mauritius'!AA57*'Activity Data Rep. Mauritius'!$J57*'Activity Data Rep. Mauritius'!$F57)/1000,"NA")</f>
        <v>16.251880234492333</v>
      </c>
      <c r="AJ58" s="49">
        <f>IFERROR(('Activity Data Rep. Mauritius'!AB57*'Activity Data Rep. Mauritius'!$J57*'Activity Data Rep. Mauritius'!$F57)/1000,"NA")</f>
        <v>15.089828318223168</v>
      </c>
      <c r="AK58" s="88">
        <f>IFERROR(('Activity Data Rep. Mauritius'!AC57*'Activity Data Rep. Mauritius'!$J57*'Activity Data Rep. Mauritius'!$F57)/1000,"NA")</f>
        <v>15.091280973081771</v>
      </c>
      <c r="AL58" s="500">
        <f>IFERROR(('Activity Data Rep. Mauritius'!M57*'Activity Data Rep. Mauritius'!$J57*'Activity Data Rep. Mauritius'!$G57)/1000,"NA")</f>
        <v>8.271572291194305</v>
      </c>
      <c r="AM58" s="39">
        <f>IFERROR(('Activity Data Rep. Mauritius'!N57*'Activity Data Rep. Mauritius'!$J57*'Activity Data Rep. Mauritius'!$G57)/1000,"NA")</f>
        <v>8.6359597922558429</v>
      </c>
      <c r="AN58" s="39">
        <f>IFERROR(('Activity Data Rep. Mauritius'!O57*'Activity Data Rep. Mauritius'!$J57*'Activity Data Rep. Mauritius'!$G57)/1000,"NA")</f>
        <v>9.0095480068606069</v>
      </c>
      <c r="AO58" s="39">
        <f>IFERROR(('Activity Data Rep. Mauritius'!P57*'Activity Data Rep. Mauritius'!$J57*'Activity Data Rep. Mauritius'!$G57)/1000,"NA")</f>
        <v>9.3780562066417446</v>
      </c>
      <c r="AP58" s="39">
        <f>IFERROR(('Activity Data Rep. Mauritius'!Q57*'Activity Data Rep. Mauritius'!$J57*'Activity Data Rep. Mauritius'!$G57)/1000,"NA")</f>
        <v>9.9051131952530991</v>
      </c>
      <c r="AQ58" s="39">
        <f>IFERROR(('Activity Data Rep. Mauritius'!R57*'Activity Data Rep. Mauritius'!$J57*'Activity Data Rep. Mauritius'!$G57)/1000,"NA")</f>
        <v>10.390178301674274</v>
      </c>
      <c r="AR58" s="39">
        <f>IFERROR(('Activity Data Rep. Mauritius'!S57*'Activity Data Rep. Mauritius'!$J57*'Activity Data Rep. Mauritius'!$G57)/1000,"NA")</f>
        <v>10.880432436112722</v>
      </c>
      <c r="AS58" s="39">
        <f>IFERROR(('Activity Data Rep. Mauritius'!T57*'Activity Data Rep. Mauritius'!$J57*'Activity Data Rep. Mauritius'!$G57)/1000,"NA")</f>
        <v>11.385076312111662</v>
      </c>
      <c r="AT58" s="39">
        <f>IFERROR(('Activity Data Rep. Mauritius'!U57*'Activity Data Rep. Mauritius'!$J57*'Activity Data Rep. Mauritius'!$G57)/1000,"NA")</f>
        <v>11.974772281788647</v>
      </c>
      <c r="AU58" s="39">
        <f>IFERROR(('Activity Data Rep. Mauritius'!V57*'Activity Data Rep. Mauritius'!$J57*'Activity Data Rep. Mauritius'!$G57)/1000,"NA")</f>
        <v>12.486850857593849</v>
      </c>
      <c r="AV58" s="39">
        <f>IFERROR(('Activity Data Rep. Mauritius'!W57*'Activity Data Rep. Mauritius'!$J57*'Activity Data Rep. Mauritius'!$G57)/1000,"NA")</f>
        <v>13.082324526533757</v>
      </c>
      <c r="AW58" s="39">
        <f>IFERROR(('Activity Data Rep. Mauritius'!X57*'Activity Data Rep. Mauritius'!$J57*'Activity Data Rep. Mauritius'!$G57)/1000,"NA")</f>
        <v>13.662122098228217</v>
      </c>
      <c r="AX58" s="39">
        <f>IFERROR(('Activity Data Rep. Mauritius'!Y57*'Activity Data Rep. Mauritius'!$J57*'Activity Data Rep. Mauritius'!$G57)/1000,"NA")</f>
        <v>14.38817177051029</v>
      </c>
      <c r="AY58" s="39">
        <f>IFERROR(('Activity Data Rep. Mauritius'!Z57*'Activity Data Rep. Mauritius'!$J57*'Activity Data Rep. Mauritius'!$G57)/1000,"NA")</f>
        <v>15.138771214000117</v>
      </c>
      <c r="AZ58" s="39">
        <f>IFERROR(('Activity Data Rep. Mauritius'!AA57*'Activity Data Rep. Mauritius'!$J57*'Activity Data Rep. Mauritius'!$G57)/1000,"NA")</f>
        <v>16.251880234492333</v>
      </c>
      <c r="BA58" s="39">
        <f>IFERROR(('Activity Data Rep. Mauritius'!AB57*'Activity Data Rep. Mauritius'!$J57*'Activity Data Rep. Mauritius'!$G57)/1000,"NA")</f>
        <v>15.089828318223168</v>
      </c>
      <c r="BB58" s="86">
        <f>IFERROR(('Activity Data Rep. Mauritius'!AC57*'Activity Data Rep. Mauritius'!$J57*'Activity Data Rep. Mauritius'!$G57)/1000,"NA")</f>
        <v>15.091280973081771</v>
      </c>
      <c r="BC58" s="85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86"/>
    </row>
    <row r="59" spans="2:71" s="110" customFormat="1" x14ac:dyDescent="0.35">
      <c r="B59" s="644" t="s">
        <v>459</v>
      </c>
      <c r="C59" s="364" t="s">
        <v>41</v>
      </c>
      <c r="D59" s="85">
        <f>IFERROR(('Activity Data Rep. Mauritius'!M58*'Activity Data Rep. Mauritius'!$J58*'Activity Data Rep. Mauritius'!$E58)/1000,"NA")</f>
        <v>509808</v>
      </c>
      <c r="E59" s="49">
        <f>IFERROR(('Activity Data Rep. Mauritius'!N58*'Activity Data Rep. Mauritius'!$J58*'Activity Data Rep. Mauritius'!$E58)/1000,"NA")</f>
        <v>500249.1</v>
      </c>
      <c r="F59" s="49">
        <f>IFERROR(('Activity Data Rep. Mauritius'!O58*'Activity Data Rep. Mauritius'!$J58*'Activity Data Rep. Mauritius'!$E58)/1000,"NA")</f>
        <v>442895.7</v>
      </c>
      <c r="G59" s="49">
        <f>IFERROR(('Activity Data Rep. Mauritius'!P58*'Activity Data Rep. Mauritius'!$J58*'Activity Data Rep. Mauritius'!$E58)/1000,"NA")</f>
        <v>312257.40000000002</v>
      </c>
      <c r="H59" s="49">
        <f>IFERROR(('Activity Data Rep. Mauritius'!Q58*'Activity Data Rep. Mauritius'!$J58*'Activity Data Rep. Mauritius'!$E58)/1000,"NA")</f>
        <v>334561.5</v>
      </c>
      <c r="I59" s="49">
        <f>IFERROR(('Activity Data Rep. Mauritius'!R58*'Activity Data Rep. Mauritius'!$J58*'Activity Data Rep. Mauritius'!$E58)/1000,"NA")</f>
        <v>430150.5</v>
      </c>
      <c r="J59" s="49">
        <f>IFERROR(('Activity Data Rep. Mauritius'!S58*'Activity Data Rep. Mauritius'!$J58*'Activity Data Rep. Mauritius'!$E58)/1000,"NA")</f>
        <v>388728.6</v>
      </c>
      <c r="K59" s="49">
        <f>IFERROR(('Activity Data Rep. Mauritius'!T58*'Activity Data Rep. Mauritius'!$J58*'Activity Data Rep. Mauritius'!$E58)/1000,"NA")</f>
        <v>375983.4</v>
      </c>
      <c r="L59" s="49">
        <f>IFERROR(('Activity Data Rep. Mauritius'!U58*'Activity Data Rep. Mauritius'!$J58*'Activity Data Rep. Mauritius'!$E58)/1000,"NA")</f>
        <v>372797.1</v>
      </c>
      <c r="M59" s="49">
        <f>IFERROR(('Activity Data Rep. Mauritius'!V58*'Activity Data Rep. Mauritius'!$J58*'Activity Data Rep. Mauritius'!$E58)/1000,"NA")</f>
        <v>347306.7</v>
      </c>
      <c r="N59" s="49">
        <f>IFERROR(('Activity Data Rep. Mauritius'!W58*'Activity Data Rep. Mauritius'!$J58*'Activity Data Rep. Mauritius'!$E58)/1000,"NA")</f>
        <v>360051.9</v>
      </c>
      <c r="O59" s="49">
        <f>IFERROR(('Activity Data Rep. Mauritius'!X58*'Activity Data Rep. Mauritius'!$J58*'Activity Data Rep. Mauritius'!$E58)/1000,"NA")</f>
        <v>318630</v>
      </c>
      <c r="P59" s="49">
        <f>IFERROR(('Activity Data Rep. Mauritius'!Y58*'Activity Data Rep. Mauritius'!$J58*'Activity Data Rep. Mauritius'!$E58)/1000,"NA")</f>
        <v>328188.90000000002</v>
      </c>
      <c r="Q59" s="49">
        <f>IFERROR(('Activity Data Rep. Mauritius'!Z58*'Activity Data Rep. Mauritius'!$J58*'Activity Data Rep. Mauritius'!$E58)/1000,"NA")</f>
        <v>363238.2</v>
      </c>
      <c r="R59" s="49">
        <f>IFERROR(('Activity Data Rep. Mauritius'!AA58*'Activity Data Rep. Mauritius'!$J58*'Activity Data Rep. Mauritius'!$E58)/1000,"NA")</f>
        <v>372797.1</v>
      </c>
      <c r="S59" s="49">
        <f>IFERROR(('Activity Data Rep. Mauritius'!AB58*'Activity Data Rep. Mauritius'!$J58*'Activity Data Rep. Mauritius'!$E58)/1000,"NA")</f>
        <v>369610.8</v>
      </c>
      <c r="T59" s="88">
        <f>IFERROR(('Activity Data Rep. Mauritius'!AC58*'Activity Data Rep. Mauritius'!$J58*'Activity Data Rep. Mauritius'!$E58)/1000,"NA")</f>
        <v>382356</v>
      </c>
      <c r="U59" s="87">
        <f>IFERROR(('Activity Data Rep. Mauritius'!M58*'Activity Data Rep. Mauritius'!$J58*'Activity Data Rep. Mauritius'!$F58)/1000,"NA")</f>
        <v>48.16</v>
      </c>
      <c r="V59" s="49">
        <f>IFERROR(('Activity Data Rep. Mauritius'!N58*'Activity Data Rep. Mauritius'!$J58*'Activity Data Rep. Mauritius'!$F58)/1000,"NA")</f>
        <v>47.256999999999998</v>
      </c>
      <c r="W59" s="49">
        <f>IFERROR(('Activity Data Rep. Mauritius'!O58*'Activity Data Rep. Mauritius'!$J58*'Activity Data Rep. Mauritius'!$F58)/1000,"NA")</f>
        <v>41.838999999999999</v>
      </c>
      <c r="X59" s="49">
        <f>IFERROR(('Activity Data Rep. Mauritius'!P58*'Activity Data Rep. Mauritius'!$J58*'Activity Data Rep. Mauritius'!$F58)/1000,"NA")</f>
        <v>29.498000000000001</v>
      </c>
      <c r="Y59" s="49">
        <f>IFERROR(('Activity Data Rep. Mauritius'!Q58*'Activity Data Rep. Mauritius'!$J58*'Activity Data Rep. Mauritius'!$F58)/1000,"NA")</f>
        <v>31.605</v>
      </c>
      <c r="Z59" s="49">
        <f>IFERROR(('Activity Data Rep. Mauritius'!R58*'Activity Data Rep. Mauritius'!$J58*'Activity Data Rep. Mauritius'!$F58)/1000,"NA")</f>
        <v>40.634999999999998</v>
      </c>
      <c r="AA59" s="49">
        <f>IFERROR(('Activity Data Rep. Mauritius'!S58*'Activity Data Rep. Mauritius'!$J58*'Activity Data Rep. Mauritius'!$F58)/1000,"NA")</f>
        <v>36.722000000000001</v>
      </c>
      <c r="AB59" s="49">
        <f>IFERROR(('Activity Data Rep. Mauritius'!T58*'Activity Data Rep. Mauritius'!$J58*'Activity Data Rep. Mauritius'!$F58)/1000,"NA")</f>
        <v>35.518000000000001</v>
      </c>
      <c r="AC59" s="49">
        <f>IFERROR(('Activity Data Rep. Mauritius'!U58*'Activity Data Rep. Mauritius'!$J58*'Activity Data Rep. Mauritius'!$F58)/1000,"NA")</f>
        <v>35.216999999999999</v>
      </c>
      <c r="AD59" s="49">
        <f>IFERROR(('Activity Data Rep. Mauritius'!V58*'Activity Data Rep. Mauritius'!$J58*'Activity Data Rep. Mauritius'!$F58)/1000,"NA")</f>
        <v>32.808999999999997</v>
      </c>
      <c r="AE59" s="49">
        <f>IFERROR(('Activity Data Rep. Mauritius'!W58*'Activity Data Rep. Mauritius'!$J58*'Activity Data Rep. Mauritius'!$F58)/1000,"NA")</f>
        <v>34.012999999999998</v>
      </c>
      <c r="AF59" s="49">
        <f>IFERROR(('Activity Data Rep. Mauritius'!X58*'Activity Data Rep. Mauritius'!$J58*'Activity Data Rep. Mauritius'!$F58)/1000,"NA")</f>
        <v>30.1</v>
      </c>
      <c r="AG59" s="49">
        <f>IFERROR(('Activity Data Rep. Mauritius'!Y58*'Activity Data Rep. Mauritius'!$J58*'Activity Data Rep. Mauritius'!$F58)/1000,"NA")</f>
        <v>31.003</v>
      </c>
      <c r="AH59" s="49">
        <f>IFERROR(('Activity Data Rep. Mauritius'!Z58*'Activity Data Rep. Mauritius'!$J58*'Activity Data Rep. Mauritius'!$F58)/1000,"NA")</f>
        <v>34.314</v>
      </c>
      <c r="AI59" s="49">
        <f>IFERROR(('Activity Data Rep. Mauritius'!AA58*'Activity Data Rep. Mauritius'!$J58*'Activity Data Rep. Mauritius'!$F58)/1000,"NA")</f>
        <v>35.216999999999999</v>
      </c>
      <c r="AJ59" s="49">
        <f>IFERROR(('Activity Data Rep. Mauritius'!AB58*'Activity Data Rep. Mauritius'!$J58*'Activity Data Rep. Mauritius'!$F58)/1000,"NA")</f>
        <v>34.915999999999997</v>
      </c>
      <c r="AK59" s="88">
        <f>IFERROR(('Activity Data Rep. Mauritius'!AC58*'Activity Data Rep. Mauritius'!$J58*'Activity Data Rep. Mauritius'!$F58)/1000,"NA")</f>
        <v>36.119999999999997</v>
      </c>
      <c r="AL59" s="500">
        <f>IFERROR(('Activity Data Rep. Mauritius'!M58*'Activity Data Rep. Mauritius'!$J58*'Activity Data Rep. Mauritius'!$G58)/1000,"NA")</f>
        <v>13.76</v>
      </c>
      <c r="AM59" s="39">
        <f>IFERROR(('Activity Data Rep. Mauritius'!N58*'Activity Data Rep. Mauritius'!$J58*'Activity Data Rep. Mauritius'!$G58)/1000,"NA")</f>
        <v>13.502000000000001</v>
      </c>
      <c r="AN59" s="39">
        <f>IFERROR(('Activity Data Rep. Mauritius'!O58*'Activity Data Rep. Mauritius'!$J58*'Activity Data Rep. Mauritius'!$G58)/1000,"NA")</f>
        <v>11.954000000000001</v>
      </c>
      <c r="AO59" s="39">
        <f>IFERROR(('Activity Data Rep. Mauritius'!P58*'Activity Data Rep. Mauritius'!$J58*'Activity Data Rep. Mauritius'!$G58)/1000,"NA")</f>
        <v>8.4280000000000008</v>
      </c>
      <c r="AP59" s="39">
        <f>IFERROR(('Activity Data Rep. Mauritius'!Q58*'Activity Data Rep. Mauritius'!$J58*'Activity Data Rep. Mauritius'!$G58)/1000,"NA")</f>
        <v>9.0299999999999994</v>
      </c>
      <c r="AQ59" s="39">
        <f>IFERROR(('Activity Data Rep. Mauritius'!R58*'Activity Data Rep. Mauritius'!$J58*'Activity Data Rep. Mauritius'!$G58)/1000,"NA")</f>
        <v>11.61</v>
      </c>
      <c r="AR59" s="39">
        <f>IFERROR(('Activity Data Rep. Mauritius'!S58*'Activity Data Rep. Mauritius'!$J58*'Activity Data Rep. Mauritius'!$G58)/1000,"NA")</f>
        <v>10.492000000000001</v>
      </c>
      <c r="AS59" s="39">
        <f>IFERROR(('Activity Data Rep. Mauritius'!T58*'Activity Data Rep. Mauritius'!$J58*'Activity Data Rep. Mauritius'!$G58)/1000,"NA")</f>
        <v>10.148</v>
      </c>
      <c r="AT59" s="39">
        <f>IFERROR(('Activity Data Rep. Mauritius'!U58*'Activity Data Rep. Mauritius'!$J58*'Activity Data Rep. Mauritius'!$G58)/1000,"NA")</f>
        <v>10.061999999999999</v>
      </c>
      <c r="AU59" s="39">
        <f>IFERROR(('Activity Data Rep. Mauritius'!V58*'Activity Data Rep. Mauritius'!$J58*'Activity Data Rep. Mauritius'!$G58)/1000,"NA")</f>
        <v>9.3740000000000006</v>
      </c>
      <c r="AV59" s="39">
        <f>IFERROR(('Activity Data Rep. Mauritius'!W58*'Activity Data Rep. Mauritius'!$J58*'Activity Data Rep. Mauritius'!$G58)/1000,"NA")</f>
        <v>9.718</v>
      </c>
      <c r="AW59" s="39">
        <f>IFERROR(('Activity Data Rep. Mauritius'!X58*'Activity Data Rep. Mauritius'!$J58*'Activity Data Rep. Mauritius'!$G58)/1000,"NA")</f>
        <v>8.6</v>
      </c>
      <c r="AX59" s="39">
        <f>IFERROR(('Activity Data Rep. Mauritius'!Y58*'Activity Data Rep. Mauritius'!$J58*'Activity Data Rep. Mauritius'!$G58)/1000,"NA")</f>
        <v>8.8580000000000005</v>
      </c>
      <c r="AY59" s="39">
        <f>IFERROR(('Activity Data Rep. Mauritius'!Z58*'Activity Data Rep. Mauritius'!$J58*'Activity Data Rep. Mauritius'!$G58)/1000,"NA")</f>
        <v>9.8040000000000003</v>
      </c>
      <c r="AZ59" s="39">
        <f>IFERROR(('Activity Data Rep. Mauritius'!AA58*'Activity Data Rep. Mauritius'!$J58*'Activity Data Rep. Mauritius'!$G58)/1000,"NA")</f>
        <v>10.061999999999999</v>
      </c>
      <c r="BA59" s="39">
        <f>IFERROR(('Activity Data Rep. Mauritius'!AB58*'Activity Data Rep. Mauritius'!$J58*'Activity Data Rep. Mauritius'!$G58)/1000,"NA")</f>
        <v>9.9760000000000009</v>
      </c>
      <c r="BB59" s="86">
        <f>IFERROR(('Activity Data Rep. Mauritius'!AC58*'Activity Data Rep. Mauritius'!$J58*'Activity Data Rep. Mauritius'!$G58)/1000,"NA")</f>
        <v>10.32</v>
      </c>
      <c r="BC59" s="85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86"/>
    </row>
    <row r="60" spans="2:71" s="110" customFormat="1" x14ac:dyDescent="0.35">
      <c r="B60" s="644"/>
      <c r="C60" s="364" t="s">
        <v>62</v>
      </c>
      <c r="D60" s="85">
        <f>IFERROR(('Activity Data Rep. Mauritius'!M59*'Activity Data Rep. Mauritius'!$J59*'Activity Data Rep. Mauritius'!$E59)/1000,"NA")</f>
        <v>181363.68</v>
      </c>
      <c r="E60" s="49">
        <f>IFERROR(('Activity Data Rep. Mauritius'!N59*'Activity Data Rep. Mauritius'!$J59*'Activity Data Rep. Mauritius'!$E59)/1000,"NA")</f>
        <v>137586.23999999999</v>
      </c>
      <c r="F60" s="49">
        <f>IFERROR(('Activity Data Rep. Mauritius'!O59*'Activity Data Rep. Mauritius'!$J59*'Activity Data Rep. Mauritius'!$E59)/1000,"NA")</f>
        <v>84427.92</v>
      </c>
      <c r="G60" s="49">
        <f>IFERROR(('Activity Data Rep. Mauritius'!P59*'Activity Data Rep. Mauritius'!$J59*'Activity Data Rep. Mauritius'!$E59)/1000,"NA")</f>
        <v>109443.6</v>
      </c>
      <c r="H60" s="49">
        <f>IFERROR(('Activity Data Rep. Mauritius'!Q59*'Activity Data Rep. Mauritius'!$J59*'Activity Data Rep. Mauritius'!$E59)/1000,"NA")</f>
        <v>125078.39999999999</v>
      </c>
      <c r="I60" s="49">
        <f>IFERROR(('Activity Data Rep. Mauritius'!R59*'Activity Data Rep. Mauritius'!$J59*'Activity Data Rep. Mauritius'!$E59)/1000,"NA")</f>
        <v>171982.8</v>
      </c>
      <c r="J60" s="49">
        <f>IFERROR(('Activity Data Rep. Mauritius'!S59*'Activity Data Rep. Mauritius'!$J59*'Activity Data Rep. Mauritius'!$E59)/1000,"NA")</f>
        <v>153221.04</v>
      </c>
      <c r="K60" s="49">
        <f>IFERROR(('Activity Data Rep. Mauritius'!T59*'Activity Data Rep. Mauritius'!$J59*'Activity Data Rep. Mauritius'!$E59)/1000,"NA")</f>
        <v>237648.96</v>
      </c>
      <c r="L60" s="49">
        <f>IFERROR(('Activity Data Rep. Mauritius'!U59*'Activity Data Rep. Mauritius'!$J59*'Activity Data Rep. Mauritius'!$E59)/1000,"NA")</f>
        <v>300188.15999999997</v>
      </c>
      <c r="M60" s="49">
        <f>IFERROR(('Activity Data Rep. Mauritius'!V59*'Activity Data Rep. Mauritius'!$J59*'Activity Data Rep. Mauritius'!$E59)/1000,"NA")</f>
        <v>337711.68</v>
      </c>
      <c r="N60" s="49">
        <f>IFERROR(('Activity Data Rep. Mauritius'!W59*'Activity Data Rep. Mauritius'!$J59*'Activity Data Rep. Mauritius'!$E59)/1000,"NA")</f>
        <v>384616.08</v>
      </c>
      <c r="O60" s="49">
        <f>IFERROR(('Activity Data Rep. Mauritius'!X59*'Activity Data Rep. Mauritius'!$J59*'Activity Data Rep. Mauritius'!$E59)/1000,"NA")</f>
        <v>578487.6</v>
      </c>
      <c r="P60" s="49">
        <f>IFERROR(('Activity Data Rep. Mauritius'!Y59*'Activity Data Rep. Mauritius'!$J59*'Activity Data Rep. Mauritius'!$E59)/1000,"NA")</f>
        <v>509694.48</v>
      </c>
      <c r="Q60" s="49">
        <f>IFERROR(('Activity Data Rep. Mauritius'!Z59*'Activity Data Rep. Mauritius'!$J59*'Activity Data Rep. Mauritius'!$E59)/1000,"NA")</f>
        <v>487805.76</v>
      </c>
      <c r="R60" s="49">
        <f>IFERROR(('Activity Data Rep. Mauritius'!AA59*'Activity Data Rep. Mauritius'!$J59*'Activity Data Rep. Mauritius'!$E59)/1000,"NA")</f>
        <v>534710.16</v>
      </c>
      <c r="S60" s="49">
        <f>IFERROR(('Activity Data Rep. Mauritius'!AB59*'Activity Data Rep. Mauritius'!$J59*'Activity Data Rep. Mauritius'!$E59)/1000,"NA")</f>
        <v>522202.32</v>
      </c>
      <c r="T60" s="88">
        <f>IFERROR(('Activity Data Rep. Mauritius'!AC59*'Activity Data Rep. Mauritius'!$J59*'Activity Data Rep. Mauritius'!$E59)/1000,"NA")</f>
        <v>678550.32</v>
      </c>
      <c r="U60" s="87">
        <f>IFERROR(('Activity Data Rep. Mauritius'!M59*'Activity Data Rep. Mauritius'!$J59*'Activity Data Rep. Mauritius'!$F59)/1000,"NA")</f>
        <v>16.402399999999997</v>
      </c>
      <c r="V60" s="49">
        <f>IFERROR(('Activity Data Rep. Mauritius'!N59*'Activity Data Rep. Mauritius'!$J59*'Activity Data Rep. Mauritius'!$F59)/1000,"NA")</f>
        <v>12.443199999999999</v>
      </c>
      <c r="W60" s="49">
        <f>IFERROR(('Activity Data Rep. Mauritius'!O59*'Activity Data Rep. Mauritius'!$J59*'Activity Data Rep. Mauritius'!$F59)/1000,"NA")</f>
        <v>7.6355999999999993</v>
      </c>
      <c r="X60" s="49">
        <f>IFERROR(('Activity Data Rep. Mauritius'!P59*'Activity Data Rep. Mauritius'!$J59*'Activity Data Rep. Mauritius'!$F59)/1000,"NA")</f>
        <v>9.8979999999999997</v>
      </c>
      <c r="Y60" s="49">
        <f>IFERROR(('Activity Data Rep. Mauritius'!Q59*'Activity Data Rep. Mauritius'!$J59*'Activity Data Rep. Mauritius'!$F59)/1000,"NA")</f>
        <v>11.311999999999999</v>
      </c>
      <c r="Z60" s="49">
        <f>IFERROR(('Activity Data Rep. Mauritius'!R59*'Activity Data Rep. Mauritius'!$J59*'Activity Data Rep. Mauritius'!$F59)/1000,"NA")</f>
        <v>15.554</v>
      </c>
      <c r="AA60" s="49">
        <f>IFERROR(('Activity Data Rep. Mauritius'!S59*'Activity Data Rep. Mauritius'!$J59*'Activity Data Rep. Mauritius'!$F59)/1000,"NA")</f>
        <v>13.857199999999999</v>
      </c>
      <c r="AB60" s="49">
        <f>IFERROR(('Activity Data Rep. Mauritius'!T59*'Activity Data Rep. Mauritius'!$J59*'Activity Data Rep. Mauritius'!$F59)/1000,"NA")</f>
        <v>21.492799999999999</v>
      </c>
      <c r="AC60" s="49">
        <f>IFERROR(('Activity Data Rep. Mauritius'!U59*'Activity Data Rep. Mauritius'!$J59*'Activity Data Rep. Mauritius'!$F59)/1000,"NA")</f>
        <v>27.148799999999994</v>
      </c>
      <c r="AD60" s="49">
        <f>IFERROR(('Activity Data Rep. Mauritius'!V59*'Activity Data Rep. Mauritius'!$J59*'Activity Data Rep. Mauritius'!$F59)/1000,"NA")</f>
        <v>30.542399999999997</v>
      </c>
      <c r="AE60" s="49">
        <f>IFERROR(('Activity Data Rep. Mauritius'!W59*'Activity Data Rep. Mauritius'!$J59*'Activity Data Rep. Mauritius'!$F59)/1000,"NA")</f>
        <v>34.784399999999998</v>
      </c>
      <c r="AF60" s="49">
        <f>IFERROR(('Activity Data Rep. Mauritius'!X59*'Activity Data Rep. Mauritius'!$J59*'Activity Data Rep. Mauritius'!$F59)/1000,"NA")</f>
        <v>52.317999999999998</v>
      </c>
      <c r="AG60" s="49">
        <f>IFERROR(('Activity Data Rep. Mauritius'!Y59*'Activity Data Rep. Mauritius'!$J59*'Activity Data Rep. Mauritius'!$F59)/1000,"NA")</f>
        <v>46.096400000000003</v>
      </c>
      <c r="AH60" s="49">
        <f>IFERROR(('Activity Data Rep. Mauritius'!Z59*'Activity Data Rep. Mauritius'!$J59*'Activity Data Rep. Mauritius'!$F59)/1000,"NA")</f>
        <v>44.116799999999998</v>
      </c>
      <c r="AI60" s="49">
        <f>IFERROR(('Activity Data Rep. Mauritius'!AA59*'Activity Data Rep. Mauritius'!$J59*'Activity Data Rep. Mauritius'!$F59)/1000,"NA")</f>
        <v>48.358799999999995</v>
      </c>
      <c r="AJ60" s="49">
        <f>IFERROR(('Activity Data Rep. Mauritius'!AB59*'Activity Data Rep. Mauritius'!$J59*'Activity Data Rep. Mauritius'!$F59)/1000,"NA")</f>
        <v>47.227599999999995</v>
      </c>
      <c r="AK60" s="88">
        <f>IFERROR(('Activity Data Rep. Mauritius'!AC59*'Activity Data Rep. Mauritius'!$J59*'Activity Data Rep. Mauritius'!$F59)/1000,"NA")</f>
        <v>61.367599999999989</v>
      </c>
      <c r="AL60" s="500">
        <f>IFERROR(('Activity Data Rep. Mauritius'!M59*'Activity Data Rep. Mauritius'!$J59*'Activity Data Rep. Mauritius'!$G59)/1000,"NA")</f>
        <v>4.6863999999999999</v>
      </c>
      <c r="AM60" s="39">
        <f>IFERROR(('Activity Data Rep. Mauritius'!N59*'Activity Data Rep. Mauritius'!$J59*'Activity Data Rep. Mauritius'!$G59)/1000,"NA")</f>
        <v>3.5551999999999997</v>
      </c>
      <c r="AN60" s="39">
        <f>IFERROR(('Activity Data Rep. Mauritius'!O59*'Activity Data Rep. Mauritius'!$J59*'Activity Data Rep. Mauritius'!$G59)/1000,"NA")</f>
        <v>2.1816</v>
      </c>
      <c r="AO60" s="39">
        <f>IFERROR(('Activity Data Rep. Mauritius'!P59*'Activity Data Rep. Mauritius'!$J59*'Activity Data Rep. Mauritius'!$G59)/1000,"NA")</f>
        <v>2.8279999999999998</v>
      </c>
      <c r="AP60" s="39">
        <f>IFERROR(('Activity Data Rep. Mauritius'!Q59*'Activity Data Rep. Mauritius'!$J59*'Activity Data Rep. Mauritius'!$G59)/1000,"NA")</f>
        <v>3.2320000000000002</v>
      </c>
      <c r="AQ60" s="39">
        <f>IFERROR(('Activity Data Rep. Mauritius'!R59*'Activity Data Rep. Mauritius'!$J59*'Activity Data Rep. Mauritius'!$G59)/1000,"NA")</f>
        <v>4.444</v>
      </c>
      <c r="AR60" s="39">
        <f>IFERROR(('Activity Data Rep. Mauritius'!S59*'Activity Data Rep. Mauritius'!$J59*'Activity Data Rep. Mauritius'!$G59)/1000,"NA")</f>
        <v>3.9591999999999996</v>
      </c>
      <c r="AS60" s="39">
        <f>IFERROR(('Activity Data Rep. Mauritius'!T59*'Activity Data Rep. Mauritius'!$J59*'Activity Data Rep. Mauritius'!$G59)/1000,"NA")</f>
        <v>6.1408000000000005</v>
      </c>
      <c r="AT60" s="39">
        <f>IFERROR(('Activity Data Rep. Mauritius'!U59*'Activity Data Rep. Mauritius'!$J59*'Activity Data Rep. Mauritius'!$G59)/1000,"NA")</f>
        <v>7.7567999999999993</v>
      </c>
      <c r="AU60" s="39">
        <f>IFERROR(('Activity Data Rep. Mauritius'!V59*'Activity Data Rep. Mauritius'!$J59*'Activity Data Rep. Mauritius'!$G59)/1000,"NA")</f>
        <v>8.7263999999999999</v>
      </c>
      <c r="AV60" s="39">
        <f>IFERROR(('Activity Data Rep. Mauritius'!W59*'Activity Data Rep. Mauritius'!$J59*'Activity Data Rep. Mauritius'!$G59)/1000,"NA")</f>
        <v>9.9383999999999997</v>
      </c>
      <c r="AW60" s="39">
        <f>IFERROR(('Activity Data Rep. Mauritius'!X59*'Activity Data Rep. Mauritius'!$J59*'Activity Data Rep. Mauritius'!$G59)/1000,"NA")</f>
        <v>14.948</v>
      </c>
      <c r="AX60" s="39">
        <f>IFERROR(('Activity Data Rep. Mauritius'!Y59*'Activity Data Rep. Mauritius'!$J59*'Activity Data Rep. Mauritius'!$G59)/1000,"NA")</f>
        <v>13.170399999999999</v>
      </c>
      <c r="AY60" s="39">
        <f>IFERROR(('Activity Data Rep. Mauritius'!Z59*'Activity Data Rep. Mauritius'!$J59*'Activity Data Rep. Mauritius'!$G59)/1000,"NA")</f>
        <v>12.604799999999999</v>
      </c>
      <c r="AZ60" s="39">
        <f>IFERROR(('Activity Data Rep. Mauritius'!AA59*'Activity Data Rep. Mauritius'!$J59*'Activity Data Rep. Mauritius'!$G59)/1000,"NA")</f>
        <v>13.816799999999999</v>
      </c>
      <c r="BA60" s="39">
        <f>IFERROR(('Activity Data Rep. Mauritius'!AB59*'Activity Data Rep. Mauritius'!$J59*'Activity Data Rep. Mauritius'!$G59)/1000,"NA")</f>
        <v>13.493600000000001</v>
      </c>
      <c r="BB60" s="86">
        <f>IFERROR(('Activity Data Rep. Mauritius'!AC59*'Activity Data Rep. Mauritius'!$J59*'Activity Data Rep. Mauritius'!$G59)/1000,"NA")</f>
        <v>17.5336</v>
      </c>
      <c r="BC60" s="85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86"/>
    </row>
    <row r="61" spans="2:71" ht="15" customHeight="1" x14ac:dyDescent="0.35">
      <c r="B61" s="644" t="s">
        <v>460</v>
      </c>
      <c r="C61" s="364" t="s">
        <v>136</v>
      </c>
      <c r="D61" s="85">
        <f>IFERROR(('Activity Data Rep. Mauritius'!M60*'Activity Data Rep. Mauritius'!$J60*'Activity Data Rep. Mauritius'!$E60)/1000,"NA")</f>
        <v>29384.146898379506</v>
      </c>
      <c r="E61" s="39">
        <f>IFERROR(('Activity Data Rep. Mauritius'!N60*'Activity Data Rep. Mauritius'!$J60*'Activity Data Rep. Mauritius'!$E60)/1000,"NA")</f>
        <v>31128.822666199885</v>
      </c>
      <c r="F61" s="39">
        <f>IFERROR(('Activity Data Rep. Mauritius'!O60*'Activity Data Rep. Mauritius'!$J60*'Activity Data Rep. Mauritius'!$E60)/1000,"NA")</f>
        <v>36415.505446008909</v>
      </c>
      <c r="G61" s="39">
        <f>IFERROR(('Activity Data Rep. Mauritius'!P60*'Activity Data Rep. Mauritius'!$J60*'Activity Data Rep. Mauritius'!$E60)/1000,"NA")</f>
        <v>38749.751586218874</v>
      </c>
      <c r="H61" s="39">
        <f>IFERROR(('Activity Data Rep. Mauritius'!Q60*'Activity Data Rep. Mauritius'!$J60*'Activity Data Rep. Mauritius'!$E60)/1000,"NA")</f>
        <v>37038.893078984489</v>
      </c>
      <c r="I61" s="39">
        <f>IFERROR(('Activity Data Rep. Mauritius'!R60*'Activity Data Rep. Mauritius'!$J60*'Activity Data Rep. Mauritius'!$E60)/1000,"NA")</f>
        <v>33175.634095501366</v>
      </c>
      <c r="J61" s="39">
        <f>IFERROR(('Activity Data Rep. Mauritius'!S60*'Activity Data Rep. Mauritius'!$J60*'Activity Data Rep. Mauritius'!$E60)/1000,"NA")</f>
        <v>34411.402637868021</v>
      </c>
      <c r="K61" s="39">
        <f>IFERROR(('Activity Data Rep. Mauritius'!T60*'Activity Data Rep. Mauritius'!$J60*'Activity Data Rep. Mauritius'!$E60)/1000,"NA")</f>
        <v>38501.820660520942</v>
      </c>
      <c r="L61" s="39">
        <f>IFERROR(('Activity Data Rep. Mauritius'!U60*'Activity Data Rep. Mauritius'!$J60*'Activity Data Rep. Mauritius'!$E60)/1000,"NA")</f>
        <v>34431.118587146018</v>
      </c>
      <c r="M61" s="39">
        <f>IFERROR(('Activity Data Rep. Mauritius'!V60*'Activity Data Rep. Mauritius'!$J60*'Activity Data Rep. Mauritius'!$E60)/1000,"NA")</f>
        <v>33736.589658193334</v>
      </c>
      <c r="N61" s="39">
        <f>IFERROR(('Activity Data Rep. Mauritius'!W60*'Activity Data Rep. Mauritius'!$J60*'Activity Data Rep. Mauritius'!$E60)/1000,"NA")</f>
        <v>39199.792790664491</v>
      </c>
      <c r="O61" s="39">
        <f>IFERROR(('Activity Data Rep. Mauritius'!X60*'Activity Data Rep. Mauritius'!$J60*'Activity Data Rep. Mauritius'!$E60)/1000,"NA")</f>
        <v>42250.086517033917</v>
      </c>
      <c r="P61" s="39">
        <f>IFERROR(('Activity Data Rep. Mauritius'!Y60*'Activity Data Rep. Mauritius'!$J60*'Activity Data Rep. Mauritius'!$E60)/1000,"NA")</f>
        <v>44043.284309904804</v>
      </c>
      <c r="Q61" s="39">
        <f>IFERROR(('Activity Data Rep. Mauritius'!Z60*'Activity Data Rep. Mauritius'!$J60*'Activity Data Rep. Mauritius'!$E60)/1000,"NA")</f>
        <v>45502.568832164085</v>
      </c>
      <c r="R61" s="39">
        <f>IFERROR(('Activity Data Rep. Mauritius'!AA60*'Activity Data Rep. Mauritius'!$J60*'Activity Data Rep. Mauritius'!$E60)/1000,"NA")</f>
        <v>45360.895353025022</v>
      </c>
      <c r="S61" s="39">
        <f>IFERROR(('Activity Data Rep. Mauritius'!AB60*'Activity Data Rep. Mauritius'!$J60*'Activity Data Rep. Mauritius'!$E60)/1000,"NA")</f>
        <v>53781.251386736585</v>
      </c>
      <c r="T61" s="86">
        <f>IFERROR(('Activity Data Rep. Mauritius'!AC60*'Activity Data Rep. Mauritius'!$J60*'Activity Data Rep. Mauritius'!$E60)/1000,"NA")</f>
        <v>62477.290325100315</v>
      </c>
      <c r="U61" s="87">
        <f>IFERROR(('Activity Data Rep. Mauritius'!M60*'Activity Data Rep. Mauritius'!$J60*'Activity Data Rep. Mauritius'!$F60)/1000,"NA")</f>
        <v>2.9680956463009602</v>
      </c>
      <c r="V61" s="49">
        <f>IFERROR(('Activity Data Rep. Mauritius'!N60*'Activity Data Rep. Mauritius'!$J60*'Activity Data Rep. Mauritius'!$F60)/1000,"NA")</f>
        <v>3.1443255218383723</v>
      </c>
      <c r="W61" s="49">
        <f>IFERROR(('Activity Data Rep. Mauritius'!O60*'Activity Data Rep. Mauritius'!$J60*'Activity Data Rep. Mauritius'!$F60)/1000,"NA")</f>
        <v>3.6783338834352435</v>
      </c>
      <c r="X61" s="49">
        <f>IFERROR(('Activity Data Rep. Mauritius'!P60*'Activity Data Rep. Mauritius'!$J60*'Activity Data Rep. Mauritius'!$F60)/1000,"NA")</f>
        <v>3.9141163218402899</v>
      </c>
      <c r="Y61" s="49">
        <f>IFERROR(('Activity Data Rep. Mauritius'!Q60*'Activity Data Rep. Mauritius'!$J60*'Activity Data Rep. Mauritius'!$F60)/1000,"NA")</f>
        <v>3.7413023312105551</v>
      </c>
      <c r="Z61" s="49">
        <f>IFERROR(('Activity Data Rep. Mauritius'!R60*'Activity Data Rep. Mauritius'!$J60*'Activity Data Rep. Mauritius'!$F60)/1000,"NA")</f>
        <v>3.351074151060744</v>
      </c>
      <c r="AA61" s="49">
        <f>IFERROR(('Activity Data Rep. Mauritius'!S60*'Activity Data Rep. Mauritius'!$J60*'Activity Data Rep. Mauritius'!$F60)/1000,"NA")</f>
        <v>3.4758992563503051</v>
      </c>
      <c r="AB61" s="49">
        <f>IFERROR(('Activity Data Rep. Mauritius'!T60*'Activity Data Rep. Mauritius'!$J60*'Activity Data Rep. Mauritius'!$F60)/1000,"NA")</f>
        <v>3.8890727939920144</v>
      </c>
      <c r="AC61" s="49">
        <f>IFERROR(('Activity Data Rep. Mauritius'!U60*'Activity Data Rep. Mauritius'!$J60*'Activity Data Rep. Mauritius'!$F60)/1000,"NA")</f>
        <v>3.4778907663783856</v>
      </c>
      <c r="AD61" s="49">
        <f>IFERROR(('Activity Data Rep. Mauritius'!V60*'Activity Data Rep. Mauritius'!$J60*'Activity Data Rep. Mauritius'!$F60)/1000,"NA")</f>
        <v>3.4077363291104379</v>
      </c>
      <c r="AE61" s="49">
        <f>IFERROR(('Activity Data Rep. Mauritius'!W60*'Activity Data Rep. Mauritius'!$J60*'Activity Data Rep. Mauritius'!$F60)/1000,"NA")</f>
        <v>3.9595750293600505</v>
      </c>
      <c r="AF61" s="49">
        <f>IFERROR(('Activity Data Rep. Mauritius'!X60*'Activity Data Rep. Mauritius'!$J60*'Activity Data Rep. Mauritius'!$F60)/1000,"NA")</f>
        <v>4.2676855067711035</v>
      </c>
      <c r="AG61" s="49">
        <f>IFERROR(('Activity Data Rep. Mauritius'!Y60*'Activity Data Rep. Mauritius'!$J60*'Activity Data Rep. Mauritius'!$F60)/1000,"NA")</f>
        <v>4.4488165969600812</v>
      </c>
      <c r="AH61" s="49">
        <f>IFERROR(('Activity Data Rep. Mauritius'!Z60*'Activity Data Rep. Mauritius'!$J60*'Activity Data Rep. Mauritius'!$F60)/1000,"NA")</f>
        <v>4.5962190739559681</v>
      </c>
      <c r="AI61" s="49">
        <f>IFERROR(('Activity Data Rep. Mauritius'!AA60*'Activity Data Rep. Mauritius'!$J60*'Activity Data Rep. Mauritius'!$F60)/1000,"NA")</f>
        <v>4.5819086215176794</v>
      </c>
      <c r="AJ61" s="49">
        <f>IFERROR(('Activity Data Rep. Mauritius'!AB60*'Activity Data Rep. Mauritius'!$J60*'Activity Data Rep. Mauritius'!$F60)/1000,"NA")</f>
        <v>5.4324496350238975</v>
      </c>
      <c r="AK61" s="88">
        <f>IFERROR(('Activity Data Rep. Mauritius'!AC60*'Activity Data Rep. Mauritius'!$J60*'Activity Data Rep. Mauritius'!$F60)/1000,"NA")</f>
        <v>6.3108374065757902</v>
      </c>
      <c r="AL61" s="500">
        <f>IFERROR(('Activity Data Rep. Mauritius'!M60*'Activity Data Rep. Mauritius'!$J60*'Activity Data Rep. Mauritius'!$G60)/1000,"NA")</f>
        <v>0.84802732751456</v>
      </c>
      <c r="AM61" s="39">
        <f>IFERROR(('Activity Data Rep. Mauritius'!N60*'Activity Data Rep. Mauritius'!$J60*'Activity Data Rep. Mauritius'!$G60)/1000,"NA")</f>
        <v>0.89837872052524925</v>
      </c>
      <c r="AN61" s="39">
        <f>IFERROR(('Activity Data Rep. Mauritius'!O60*'Activity Data Rep. Mauritius'!$J60*'Activity Data Rep. Mauritius'!$G60)/1000,"NA")</f>
        <v>1.0509525381243552</v>
      </c>
      <c r="AO61" s="39">
        <f>IFERROR(('Activity Data Rep. Mauritius'!P60*'Activity Data Rep. Mauritius'!$J60*'Activity Data Rep. Mauritius'!$G60)/1000,"NA")</f>
        <v>1.1183189490972256</v>
      </c>
      <c r="AP61" s="39">
        <f>IFERROR(('Activity Data Rep. Mauritius'!Q60*'Activity Data Rep. Mauritius'!$J60*'Activity Data Rep. Mauritius'!$G60)/1000,"NA")</f>
        <v>1.0689435232030158</v>
      </c>
      <c r="AQ61" s="39">
        <f>IFERROR(('Activity Data Rep. Mauritius'!R60*'Activity Data Rep. Mauritius'!$J60*'Activity Data Rep. Mauritius'!$G60)/1000,"NA")</f>
        <v>0.95744975744592697</v>
      </c>
      <c r="AR61" s="39">
        <f>IFERROR(('Activity Data Rep. Mauritius'!S60*'Activity Data Rep. Mauritius'!$J60*'Activity Data Rep. Mauritius'!$G60)/1000,"NA")</f>
        <v>0.99311407324294443</v>
      </c>
      <c r="AS61" s="39">
        <f>IFERROR(('Activity Data Rep. Mauritius'!T60*'Activity Data Rep. Mauritius'!$J60*'Activity Data Rep. Mauritius'!$G60)/1000,"NA")</f>
        <v>1.1111636554262898</v>
      </c>
      <c r="AT61" s="39">
        <f>IFERROR(('Activity Data Rep. Mauritius'!U60*'Activity Data Rep. Mauritius'!$J60*'Activity Data Rep. Mauritius'!$G60)/1000,"NA")</f>
        <v>0.99368307610811013</v>
      </c>
      <c r="AU61" s="39">
        <f>IFERROR(('Activity Data Rep. Mauritius'!V60*'Activity Data Rep. Mauritius'!$J60*'Activity Data Rep. Mauritius'!$G60)/1000,"NA")</f>
        <v>0.9736389511744109</v>
      </c>
      <c r="AV61" s="39">
        <f>IFERROR(('Activity Data Rep. Mauritius'!W60*'Activity Data Rep. Mauritius'!$J60*'Activity Data Rep. Mauritius'!$G60)/1000,"NA")</f>
        <v>1.1313071512457287</v>
      </c>
      <c r="AW61" s="39">
        <f>IFERROR(('Activity Data Rep. Mauritius'!X60*'Activity Data Rep. Mauritius'!$J60*'Activity Data Rep. Mauritius'!$G60)/1000,"NA")</f>
        <v>1.2193387162203151</v>
      </c>
      <c r="AX61" s="39">
        <f>IFERROR(('Activity Data Rep. Mauritius'!Y60*'Activity Data Rep. Mauritius'!$J60*'Activity Data Rep. Mauritius'!$G60)/1000,"NA")</f>
        <v>1.2710904562743091</v>
      </c>
      <c r="AY61" s="39">
        <f>IFERROR(('Activity Data Rep. Mauritius'!Z60*'Activity Data Rep. Mauritius'!$J60*'Activity Data Rep. Mauritius'!$G60)/1000,"NA")</f>
        <v>1.3132054497017052</v>
      </c>
      <c r="AZ61" s="39">
        <f>IFERROR(('Activity Data Rep. Mauritius'!AA60*'Activity Data Rep. Mauritius'!$J60*'Activity Data Rep. Mauritius'!$G60)/1000,"NA")</f>
        <v>1.309116749005051</v>
      </c>
      <c r="BA61" s="39">
        <f>IFERROR(('Activity Data Rep. Mauritius'!AB60*'Activity Data Rep. Mauritius'!$J60*'Activity Data Rep. Mauritius'!$G60)/1000,"NA")</f>
        <v>1.5521284671496851</v>
      </c>
      <c r="BB61" s="86">
        <f>IFERROR(('Activity Data Rep. Mauritius'!AC60*'Activity Data Rep. Mauritius'!$J60*'Activity Data Rep. Mauritius'!$G60)/1000,"NA")</f>
        <v>1.8030964018787969</v>
      </c>
      <c r="BC61" s="85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86"/>
    </row>
    <row r="62" spans="2:71" x14ac:dyDescent="0.35">
      <c r="B62" s="644"/>
      <c r="C62" s="364" t="s">
        <v>41</v>
      </c>
      <c r="D62" s="85">
        <f>IFERROR(('Activity Data Rep. Mauritius'!M61*'Activity Data Rep. Mauritius'!$J61*'Activity Data Rep. Mauritius'!$E61)/1000,"NA")</f>
        <v>1107.0361054818038</v>
      </c>
      <c r="E62" s="39">
        <f>IFERROR(('Activity Data Rep. Mauritius'!N61*'Activity Data Rep. Mauritius'!$J61*'Activity Data Rep. Mauritius'!$E61)/1000,"NA")</f>
        <v>1172.7660745707778</v>
      </c>
      <c r="F62" s="39">
        <f>IFERROR(('Activity Data Rep. Mauritius'!O61*'Activity Data Rep. Mauritius'!$J61*'Activity Data Rep. Mauritius'!$E61)/1000,"NA")</f>
        <v>1371.9397560704524</v>
      </c>
      <c r="G62" s="39">
        <f>IFERROR(('Activity Data Rep. Mauritius'!P61*'Activity Data Rep. Mauritius'!$J61*'Activity Data Rep. Mauritius'!$E61)/1000,"NA")</f>
        <v>1459.8815556139498</v>
      </c>
      <c r="H62" s="39">
        <f>IFERROR(('Activity Data Rep. Mauritius'!Q61*'Activity Data Rep. Mauritius'!$J61*'Activity Data Rep. Mauritius'!$E61)/1000,"NA")</f>
        <v>1395.4256384342134</v>
      </c>
      <c r="I62" s="39">
        <f>IFERROR(('Activity Data Rep. Mauritius'!R61*'Activity Data Rep. Mauritius'!$J61*'Activity Data Rep. Mauritius'!$E61)/1000,"NA")</f>
        <v>1249.8788851344398</v>
      </c>
      <c r="J62" s="39">
        <f>IFERROR(('Activity Data Rep. Mauritius'!S61*'Activity Data Rep. Mauritius'!$J61*'Activity Data Rep. Mauritius'!$E61)/1000,"NA")</f>
        <v>1296.435975906878</v>
      </c>
      <c r="K62" s="39">
        <f>IFERROR(('Activity Data Rep. Mauritius'!T61*'Activity Data Rep. Mauritius'!$J61*'Activity Data Rep. Mauritius'!$E61)/1000,"NA")</f>
        <v>1450.5408561081126</v>
      </c>
      <c r="L62" s="39">
        <f>IFERROR(('Activity Data Rep. Mauritius'!U61*'Activity Data Rep. Mauritius'!$J61*'Activity Data Rep. Mauritius'!$E61)/1000,"NA")</f>
        <v>1297.1787664932465</v>
      </c>
      <c r="M62" s="39">
        <f>IFERROR(('Activity Data Rep. Mauritius'!V61*'Activity Data Rep. Mauritius'!$J61*'Activity Data Rep. Mauritius'!$E61)/1000,"NA")</f>
        <v>1271.0126639580515</v>
      </c>
      <c r="N62" s="39">
        <f>IFERROR(('Activity Data Rep. Mauritius'!W61*'Activity Data Rep. Mauritius'!$J61*'Activity Data Rep. Mauritius'!$E61)/1000,"NA")</f>
        <v>1476.8366798855109</v>
      </c>
      <c r="O62" s="39">
        <f>IFERROR(('Activity Data Rep. Mauritius'!X61*'Activity Data Rep. Mauritius'!$J61*'Activity Data Rep. Mauritius'!$E61)/1000,"NA")</f>
        <v>1591.7552888583582</v>
      </c>
      <c r="P62" s="39">
        <f>IFERROR(('Activity Data Rep. Mauritius'!Y61*'Activity Data Rep. Mauritius'!$J61*'Activity Data Rep. Mauritius'!$E61)/1000,"NA")</f>
        <v>1659.3133060382897</v>
      </c>
      <c r="Q62" s="39">
        <f>IFERROR(('Activity Data Rep. Mauritius'!Z61*'Activity Data Rep. Mauritius'!$J61*'Activity Data Rep. Mauritius'!$E61)/1000,"NA")</f>
        <v>1714.2912728956796</v>
      </c>
      <c r="R62" s="39">
        <f>IFERROR(('Activity Data Rep. Mauritius'!AA61*'Activity Data Rep. Mauritius'!$J61*'Activity Data Rep. Mauritius'!$E61)/1000,"NA")</f>
        <v>1708.9537806370627</v>
      </c>
      <c r="S62" s="39">
        <f>IFERROR(('Activity Data Rep. Mauritius'!AB61*'Activity Data Rep. Mauritius'!$J61*'Activity Data Rep. Mauritius'!$E61)/1000,"NA")</f>
        <v>2026.1873618115542</v>
      </c>
      <c r="T62" s="86">
        <f>IFERROR(('Activity Data Rep. Mauritius'!AC61*'Activity Data Rep. Mauritius'!$J61*'Activity Data Rep. Mauritius'!$E61)/1000,"NA")</f>
        <v>2353.8071873160075</v>
      </c>
      <c r="U62" s="87">
        <f>IFERROR(('Activity Data Rep. Mauritius'!M61*'Activity Data Rep. Mauritius'!$J61*'Activity Data Rep. Mauritius'!$F61)/1000,"NA")</f>
        <v>0.10457830955968458</v>
      </c>
      <c r="V62" s="49">
        <f>IFERROR(('Activity Data Rep. Mauritius'!N61*'Activity Data Rep. Mauritius'!$J61*'Activity Data Rep. Mauritius'!$F61)/1000,"NA")</f>
        <v>0.11078761838050533</v>
      </c>
      <c r="W62" s="49">
        <f>IFERROR(('Activity Data Rep. Mauritius'!O61*'Activity Data Rep. Mauritius'!$J61*'Activity Data Rep. Mauritius'!$F61)/1000,"NA")</f>
        <v>0.12960294591758661</v>
      </c>
      <c r="X62" s="49">
        <f>IFERROR(('Activity Data Rep. Mauritius'!P61*'Activity Data Rep. Mauritius'!$J61*'Activity Data Rep. Mauritius'!$F61)/1000,"NA")</f>
        <v>0.13791053831710728</v>
      </c>
      <c r="Y62" s="49">
        <f>IFERROR(('Activity Data Rep. Mauritius'!Q61*'Activity Data Rep. Mauritius'!$J61*'Activity Data Rep. Mauritius'!$F61)/1000,"NA")</f>
        <v>0.13182158527718615</v>
      </c>
      <c r="Z62" s="49">
        <f>IFERROR(('Activity Data Rep. Mauritius'!R61*'Activity Data Rep. Mauritius'!$J61*'Activity Data Rep. Mauritius'!$F61)/1000,"NA")</f>
        <v>0.11807222936492681</v>
      </c>
      <c r="AA62" s="49">
        <f>IFERROR(('Activity Data Rep. Mauritius'!S61*'Activity Data Rep. Mauritius'!$J61*'Activity Data Rep. Mauritius'!$F61)/1000,"NA")</f>
        <v>0.12247033510591289</v>
      </c>
      <c r="AB62" s="49">
        <f>IFERROR(('Activity Data Rep. Mauritius'!T61*'Activity Data Rep. Mauritius'!$J61*'Activity Data Rep. Mauritius'!$F61)/1000,"NA")</f>
        <v>0.1370281510493494</v>
      </c>
      <c r="AC62" s="49">
        <f>IFERROR(('Activity Data Rep. Mauritius'!U61*'Activity Data Rep. Mauritius'!$J61*'Activity Data Rep. Mauritius'!$F61)/1000,"NA")</f>
        <v>0.12254050425712179</v>
      </c>
      <c r="AD62" s="49">
        <f>IFERROR(('Activity Data Rep. Mauritius'!V61*'Activity Data Rep. Mauritius'!$J61*'Activity Data Rep. Mauritius'!$F61)/1000,"NA")</f>
        <v>0.12006867270858786</v>
      </c>
      <c r="AE62" s="49">
        <f>IFERROR(('Activity Data Rep. Mauritius'!W61*'Activity Data Rep. Mauritius'!$J61*'Activity Data Rep. Mauritius'!$F61)/1000,"NA")</f>
        <v>0.1395122369662426</v>
      </c>
      <c r="AF62" s="49">
        <f>IFERROR(('Activity Data Rep. Mauritius'!X61*'Activity Data Rep. Mauritius'!$J61*'Activity Data Rep. Mauritius'!$F61)/1000,"NA")</f>
        <v>0.150368245911046</v>
      </c>
      <c r="AG62" s="49">
        <f>IFERROR(('Activity Data Rep. Mauritius'!Y61*'Activity Data Rep. Mauritius'!$J61*'Activity Data Rep. Mauritius'!$F61)/1000,"NA")</f>
        <v>0.15675024483492617</v>
      </c>
      <c r="AH62" s="49">
        <f>IFERROR(('Activity Data Rep. Mauritius'!Z61*'Activity Data Rep. Mauritius'!$J61*'Activity Data Rep. Mauritius'!$F61)/1000,"NA")</f>
        <v>0.1619438449429117</v>
      </c>
      <c r="AI62" s="49">
        <f>IFERROR(('Activity Data Rep. Mauritius'!AA61*'Activity Data Rep. Mauritius'!$J61*'Activity Data Rep. Mauritius'!$F61)/1000,"NA")</f>
        <v>0.16143962840026232</v>
      </c>
      <c r="AJ62" s="49">
        <f>IFERROR(('Activity Data Rep. Mauritius'!AB61*'Activity Data Rep. Mauritius'!$J61*'Activity Data Rep. Mauritius'!$F61)/1000,"NA")</f>
        <v>0.1914077129916448</v>
      </c>
      <c r="AK62" s="88">
        <f>IFERROR(('Activity Data Rep. Mauritius'!AC61*'Activity Data Rep. Mauritius'!$J61*'Activity Data Rep. Mauritius'!$F61)/1000,"NA")</f>
        <v>0.22235695426736912</v>
      </c>
      <c r="AL62" s="500">
        <f>IFERROR(('Activity Data Rep. Mauritius'!M61*'Activity Data Rep. Mauritius'!$J61*'Activity Data Rep. Mauritius'!$G61)/1000,"NA")</f>
        <v>2.9879517017052739E-2</v>
      </c>
      <c r="AM62" s="39">
        <f>IFERROR(('Activity Data Rep. Mauritius'!N61*'Activity Data Rep. Mauritius'!$J61*'Activity Data Rep. Mauritius'!$G61)/1000,"NA")</f>
        <v>3.1653605251572951E-2</v>
      </c>
      <c r="AN62" s="39">
        <f>IFERROR(('Activity Data Rep. Mauritius'!O61*'Activity Data Rep. Mauritius'!$J61*'Activity Data Rep. Mauritius'!$G61)/1000,"NA")</f>
        <v>3.7029413119310461E-2</v>
      </c>
      <c r="AO62" s="39">
        <f>IFERROR(('Activity Data Rep. Mauritius'!P61*'Activity Data Rep. Mauritius'!$J61*'Activity Data Rep. Mauritius'!$G61)/1000,"NA")</f>
        <v>3.940301094774494E-2</v>
      </c>
      <c r="AP62" s="39">
        <f>IFERROR(('Activity Data Rep. Mauritius'!Q61*'Activity Data Rep. Mauritius'!$J61*'Activity Data Rep. Mauritius'!$G61)/1000,"NA")</f>
        <v>3.7663310079196044E-2</v>
      </c>
      <c r="AQ62" s="39">
        <f>IFERROR(('Activity Data Rep. Mauritius'!R61*'Activity Data Rep. Mauritius'!$J61*'Activity Data Rep. Mauritius'!$G61)/1000,"NA")</f>
        <v>3.3734922675693377E-2</v>
      </c>
      <c r="AR62" s="39">
        <f>IFERROR(('Activity Data Rep. Mauritius'!S61*'Activity Data Rep. Mauritius'!$J61*'Activity Data Rep. Mauritius'!$G61)/1000,"NA")</f>
        <v>3.499152431597511E-2</v>
      </c>
      <c r="AS62" s="39">
        <f>IFERROR(('Activity Data Rep. Mauritius'!T61*'Activity Data Rep. Mauritius'!$J61*'Activity Data Rep. Mauritius'!$G61)/1000,"NA")</f>
        <v>3.9150900299814113E-2</v>
      </c>
      <c r="AT62" s="39">
        <f>IFERROR(('Activity Data Rep. Mauritius'!U61*'Activity Data Rep. Mauritius'!$J61*'Activity Data Rep. Mauritius'!$G61)/1000,"NA")</f>
        <v>3.5011572644891943E-2</v>
      </c>
      <c r="AU62" s="39">
        <f>IFERROR(('Activity Data Rep. Mauritius'!V61*'Activity Data Rep. Mauritius'!$J61*'Activity Data Rep. Mauritius'!$G61)/1000,"NA")</f>
        <v>3.4305335059596528E-2</v>
      </c>
      <c r="AV62" s="39">
        <f>IFERROR(('Activity Data Rep. Mauritius'!W61*'Activity Data Rep. Mauritius'!$J61*'Activity Data Rep. Mauritius'!$G61)/1000,"NA")</f>
        <v>3.9860639133212167E-2</v>
      </c>
      <c r="AW62" s="39">
        <f>IFERROR(('Activity Data Rep. Mauritius'!X61*'Activity Data Rep. Mauritius'!$J61*'Activity Data Rep. Mauritius'!$G61)/1000,"NA")</f>
        <v>4.2962355974584567E-2</v>
      </c>
      <c r="AX62" s="39">
        <f>IFERROR(('Activity Data Rep. Mauritius'!Y61*'Activity Data Rep. Mauritius'!$J61*'Activity Data Rep. Mauritius'!$G61)/1000,"NA")</f>
        <v>4.4785784238550334E-2</v>
      </c>
      <c r="AY62" s="39">
        <f>IFERROR(('Activity Data Rep. Mauritius'!Z61*'Activity Data Rep. Mauritius'!$J61*'Activity Data Rep. Mauritius'!$G61)/1000,"NA")</f>
        <v>4.6269669983689053E-2</v>
      </c>
      <c r="AZ62" s="39">
        <f>IFERROR(('Activity Data Rep. Mauritius'!AA61*'Activity Data Rep. Mauritius'!$J61*'Activity Data Rep. Mauritius'!$G61)/1000,"NA")</f>
        <v>4.6125608114360665E-2</v>
      </c>
      <c r="BA62" s="39">
        <f>IFERROR(('Activity Data Rep. Mauritius'!AB61*'Activity Data Rep. Mauritius'!$J61*'Activity Data Rep. Mauritius'!$G61)/1000,"NA")</f>
        <v>5.46879179976128E-2</v>
      </c>
      <c r="BB62" s="86">
        <f>IFERROR(('Activity Data Rep. Mauritius'!AC61*'Activity Data Rep. Mauritius'!$J61*'Activity Data Rep. Mauritius'!$G61)/1000,"NA")</f>
        <v>6.3530558362105471E-2</v>
      </c>
      <c r="BC62" s="85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86"/>
    </row>
    <row r="63" spans="2:71" x14ac:dyDescent="0.35">
      <c r="B63" s="645" t="s">
        <v>42</v>
      </c>
      <c r="C63" s="364" t="s">
        <v>43</v>
      </c>
      <c r="D63" s="85">
        <f>IFERROR(('Activity Data Rep. Mauritius'!M62*'Activity Data Rep. Mauritius'!$J62*'Activity Data Rep. Mauritius'!$E62)/1000,"NA")</f>
        <v>12386.214500000002</v>
      </c>
      <c r="E63" s="39">
        <f>IFERROR(('Activity Data Rep. Mauritius'!N62*'Activity Data Rep. Mauritius'!$J62*'Activity Data Rep. Mauritius'!$E62)/1000,"NA")</f>
        <v>13281.603499999997</v>
      </c>
      <c r="F63" s="39">
        <f>IFERROR(('Activity Data Rep. Mauritius'!O62*'Activity Data Rep. Mauritius'!$J62*'Activity Data Rep. Mauritius'!$E62)/1000,"NA")</f>
        <v>13606.928169999997</v>
      </c>
      <c r="G63" s="39">
        <f>IFERROR(('Activity Data Rep. Mauritius'!P62*'Activity Data Rep. Mauritius'!$J62*'Activity Data Rep. Mauritius'!$E62)/1000,"NA")</f>
        <v>17158.637869999999</v>
      </c>
      <c r="H63" s="39">
        <f>IFERROR(('Activity Data Rep. Mauritius'!Q62*'Activity Data Rep. Mauritius'!$J62*'Activity Data Rep. Mauritius'!$E62)/1000,"NA")</f>
        <v>19018.06236</v>
      </c>
      <c r="I63" s="39">
        <f>IFERROR(('Activity Data Rep. Mauritius'!R62*'Activity Data Rep. Mauritius'!$J62*'Activity Data Rep. Mauritius'!$E62)/1000,"NA")</f>
        <v>20847.640549999996</v>
      </c>
      <c r="J63" s="39">
        <f>IFERROR(('Activity Data Rep. Mauritius'!S62*'Activity Data Rep. Mauritius'!$J62*'Activity Data Rep. Mauritius'!$E62)/1000,"NA")</f>
        <v>34132.22868</v>
      </c>
      <c r="K63" s="39">
        <f>IFERROR(('Activity Data Rep. Mauritius'!T62*'Activity Data Rep. Mauritius'!$J62*'Activity Data Rep. Mauritius'!$E62)/1000,"NA")</f>
        <v>32613.052009999999</v>
      </c>
      <c r="L63" s="39">
        <f>IFERROR(('Activity Data Rep. Mauritius'!U62*'Activity Data Rep. Mauritius'!$J62*'Activity Data Rep. Mauritius'!$E62)/1000,"NA")</f>
        <v>30126.855219999994</v>
      </c>
      <c r="M63" s="39">
        <f>IFERROR(('Activity Data Rep. Mauritius'!V62*'Activity Data Rep. Mauritius'!$J62*'Activity Data Rep. Mauritius'!$E62)/1000,"NA")</f>
        <v>31562.462249999997</v>
      </c>
      <c r="N63" s="39">
        <f>IFERROR(('Activity Data Rep. Mauritius'!W62*'Activity Data Rep. Mauritius'!$J62*'Activity Data Rep. Mauritius'!$E62)/1000,"NA")</f>
        <v>32607.082750000005</v>
      </c>
      <c r="O63" s="39">
        <f>IFERROR(('Activity Data Rep. Mauritius'!X62*'Activity Data Rep. Mauritius'!$J62*'Activity Data Rep. Mauritius'!$E62)/1000,"NA")</f>
        <v>33606.933799999999</v>
      </c>
      <c r="P63" s="39">
        <f>IFERROR(('Activity Data Rep. Mauritius'!Y62*'Activity Data Rep. Mauritius'!$J62*'Activity Data Rep. Mauritius'!$E62)/1000,"NA")</f>
        <v>35570.820339999998</v>
      </c>
      <c r="Q63" s="39">
        <f>IFERROR(('Activity Data Rep. Mauritius'!Z62*'Activity Data Rep. Mauritius'!$J62*'Activity Data Rep. Mauritius'!$E62)/1000,"NA")</f>
        <v>39650.809549999998</v>
      </c>
      <c r="R63" s="39">
        <f>IFERROR(('Activity Data Rep. Mauritius'!AA62*'Activity Data Rep. Mauritius'!$J62*'Activity Data Rep. Mauritius'!$E62)/1000,"NA")</f>
        <v>41868.389640000001</v>
      </c>
      <c r="S63" s="39">
        <f>IFERROR(('Activity Data Rep. Mauritius'!AB62*'Activity Data Rep. Mauritius'!$J62*'Activity Data Rep. Mauritius'!$E62)/1000,"NA")</f>
        <v>45064.928369999994</v>
      </c>
      <c r="T63" s="86">
        <f>IFERROR(('Activity Data Rep. Mauritius'!AC62*'Activity Data Rep. Mauritius'!$J62*'Activity Data Rep. Mauritius'!$E62)/1000,"NA")</f>
        <v>48001.804289999993</v>
      </c>
      <c r="U63" s="85">
        <f>IFERROR(('Activity Data Rep. Mauritius'!M62*'Activity Data Rep. Mauritius'!$J62*'Activity Data Rep. Mauritius'!$F62)/1000,"NA")</f>
        <v>0.9814750000000001</v>
      </c>
      <c r="V63" s="39">
        <f>IFERROR(('Activity Data Rep. Mauritius'!N62*'Activity Data Rep. Mauritius'!$J62*'Activity Data Rep. Mauritius'!$F62)/1000,"NA")</f>
        <v>1.0524249999999999</v>
      </c>
      <c r="W63" s="39">
        <f>IFERROR(('Activity Data Rep. Mauritius'!O62*'Activity Data Rep. Mauritius'!$J62*'Activity Data Rep. Mauritius'!$F62)/1000,"NA")</f>
        <v>1.0782034999999999</v>
      </c>
      <c r="X63" s="39">
        <f>IFERROR(('Activity Data Rep. Mauritius'!P62*'Activity Data Rep. Mauritius'!$J62*'Activity Data Rep. Mauritius'!$F62)/1000,"NA")</f>
        <v>1.3596384999999998</v>
      </c>
      <c r="Y63" s="39">
        <f>IFERROR(('Activity Data Rep. Mauritius'!Q62*'Activity Data Rep. Mauritius'!$J62*'Activity Data Rep. Mauritius'!$F62)/1000,"NA")</f>
        <v>1.5069780000000002</v>
      </c>
      <c r="Z63" s="39">
        <f>IFERROR(('Activity Data Rep. Mauritius'!R62*'Activity Data Rep. Mauritius'!$J62*'Activity Data Rep. Mauritius'!$F62)/1000,"NA")</f>
        <v>1.6519524999999999</v>
      </c>
      <c r="AA63" s="39">
        <f>IFERROR(('Activity Data Rep. Mauritius'!S62*'Activity Data Rep. Mauritius'!$J62*'Activity Data Rep. Mauritius'!$F62)/1000,"NA")</f>
        <v>2.7046139999999994</v>
      </c>
      <c r="AB63" s="39">
        <f>IFERROR(('Activity Data Rep. Mauritius'!T62*'Activity Data Rep. Mauritius'!$J62*'Activity Data Rep. Mauritius'!$F62)/1000,"NA")</f>
        <v>2.5842354999999997</v>
      </c>
      <c r="AC63" s="39">
        <f>IFERROR(('Activity Data Rep. Mauritius'!U62*'Activity Data Rep. Mauritius'!$J62*'Activity Data Rep. Mauritius'!$F62)/1000,"NA")</f>
        <v>2.3872309999999999</v>
      </c>
      <c r="AD63" s="39">
        <f>IFERROR(('Activity Data Rep. Mauritius'!V62*'Activity Data Rep. Mauritius'!$J62*'Activity Data Rep. Mauritius'!$F62)/1000,"NA")</f>
        <v>2.5009874999999999</v>
      </c>
      <c r="AE63" s="39">
        <f>IFERROR(('Activity Data Rep. Mauritius'!W62*'Activity Data Rep. Mauritius'!$J62*'Activity Data Rep. Mauritius'!$F62)/1000,"NA")</f>
        <v>2.5837625000000002</v>
      </c>
      <c r="AF63" s="39">
        <f>IFERROR(('Activity Data Rep. Mauritius'!X62*'Activity Data Rep. Mauritius'!$J62*'Activity Data Rep. Mauritius'!$F62)/1000,"NA")</f>
        <v>2.6629899999999997</v>
      </c>
      <c r="AG63" s="39">
        <f>IFERROR(('Activity Data Rep. Mauritius'!Y62*'Activity Data Rep. Mauritius'!$J62*'Activity Data Rep. Mauritius'!$F62)/1000,"NA")</f>
        <v>2.8186069999999996</v>
      </c>
      <c r="AH63" s="39">
        <f>IFERROR(('Activity Data Rep. Mauritius'!Z62*'Activity Data Rep. Mauritius'!$J62*'Activity Data Rep. Mauritius'!$F62)/1000,"NA")</f>
        <v>3.1419025</v>
      </c>
      <c r="AI63" s="39">
        <f>IFERROR(('Activity Data Rep. Mauritius'!AA62*'Activity Data Rep. Mauritius'!$J62*'Activity Data Rep. Mauritius'!$F62)/1000,"NA")</f>
        <v>3.3176220000000005</v>
      </c>
      <c r="AJ63" s="39">
        <f>IFERROR(('Activity Data Rep. Mauritius'!AB62*'Activity Data Rep. Mauritius'!$J62*'Activity Data Rep. Mauritius'!$F62)/1000,"NA")</f>
        <v>3.5709134999999996</v>
      </c>
      <c r="AK63" s="86">
        <f>IFERROR(('Activity Data Rep. Mauritius'!AC62*'Activity Data Rep. Mauritius'!$J62*'Activity Data Rep. Mauritius'!$F62)/1000,"NA")</f>
        <v>3.8036294999999996</v>
      </c>
      <c r="AL63" s="500">
        <f>IFERROR(('Activity Data Rep. Mauritius'!M62*'Activity Data Rep. Mauritius'!$J62*'Activity Data Rep. Mauritius'!$G62)/1000,"NA")</f>
        <v>1.9629500000000005E-2</v>
      </c>
      <c r="AM63" s="39">
        <f>IFERROR(('Activity Data Rep. Mauritius'!N62*'Activity Data Rep. Mauritius'!$J62*'Activity Data Rep. Mauritius'!$G62)/1000,"NA")</f>
        <v>2.1048500000000001E-2</v>
      </c>
      <c r="AN63" s="39">
        <f>IFERROR(('Activity Data Rep. Mauritius'!O62*'Activity Data Rep. Mauritius'!$J62*'Activity Data Rep. Mauritius'!$G62)/1000,"NA")</f>
        <v>2.1564070000000001E-2</v>
      </c>
      <c r="AO63" s="39">
        <f>IFERROR(('Activity Data Rep. Mauritius'!P62*'Activity Data Rep. Mauritius'!$J62*'Activity Data Rep. Mauritius'!$G62)/1000,"NA")</f>
        <v>2.7192769999999995E-2</v>
      </c>
      <c r="AP63" s="39">
        <f>IFERROR(('Activity Data Rep. Mauritius'!Q62*'Activity Data Rep. Mauritius'!$J62*'Activity Data Rep. Mauritius'!$G62)/1000,"NA")</f>
        <v>3.0139560000000003E-2</v>
      </c>
      <c r="AQ63" s="39">
        <f>IFERROR(('Activity Data Rep. Mauritius'!R62*'Activity Data Rep. Mauritius'!$J62*'Activity Data Rep. Mauritius'!$G62)/1000,"NA")</f>
        <v>3.3039049999999993E-2</v>
      </c>
      <c r="AR63" s="39">
        <f>IFERROR(('Activity Data Rep. Mauritius'!S62*'Activity Data Rep. Mauritius'!$J62*'Activity Data Rep. Mauritius'!$G62)/1000,"NA")</f>
        <v>5.4092279999999993E-2</v>
      </c>
      <c r="AS63" s="39">
        <f>IFERROR(('Activity Data Rep. Mauritius'!T62*'Activity Data Rep. Mauritius'!$J62*'Activity Data Rep. Mauritius'!$G62)/1000,"NA")</f>
        <v>5.1684709999999995E-2</v>
      </c>
      <c r="AT63" s="39">
        <f>IFERROR(('Activity Data Rep. Mauritius'!U62*'Activity Data Rep. Mauritius'!$J62*'Activity Data Rep. Mauritius'!$G62)/1000,"NA")</f>
        <v>4.7744619999999995E-2</v>
      </c>
      <c r="AU63" s="39">
        <f>IFERROR(('Activity Data Rep. Mauritius'!V62*'Activity Data Rep. Mauritius'!$J62*'Activity Data Rep. Mauritius'!$G62)/1000,"NA")</f>
        <v>5.0019749999999995E-2</v>
      </c>
      <c r="AV63" s="39">
        <f>IFERROR(('Activity Data Rep. Mauritius'!W62*'Activity Data Rep. Mauritius'!$J62*'Activity Data Rep. Mauritius'!$G62)/1000,"NA")</f>
        <v>5.1675250000000006E-2</v>
      </c>
      <c r="AW63" s="39">
        <f>IFERROR(('Activity Data Rep. Mauritius'!X62*'Activity Data Rep. Mauritius'!$J62*'Activity Data Rep. Mauritius'!$G62)/1000,"NA")</f>
        <v>5.3259799999999996E-2</v>
      </c>
      <c r="AX63" s="39">
        <f>IFERROR(('Activity Data Rep. Mauritius'!Y62*'Activity Data Rep. Mauritius'!$J62*'Activity Data Rep. Mauritius'!$G62)/1000,"NA")</f>
        <v>5.6372139999999994E-2</v>
      </c>
      <c r="AY63" s="39">
        <f>IFERROR(('Activity Data Rep. Mauritius'!Z62*'Activity Data Rep. Mauritius'!$J62*'Activity Data Rep. Mauritius'!$G62)/1000,"NA")</f>
        <v>6.2838050000000006E-2</v>
      </c>
      <c r="AZ63" s="39">
        <f>IFERROR(('Activity Data Rep. Mauritius'!AA62*'Activity Data Rep. Mauritius'!$J62*'Activity Data Rep. Mauritius'!$G62)/1000,"NA")</f>
        <v>6.6352439999999999E-2</v>
      </c>
      <c r="BA63" s="39">
        <f>IFERROR(('Activity Data Rep. Mauritius'!AB62*'Activity Data Rep. Mauritius'!$J62*'Activity Data Rep. Mauritius'!$G62)/1000,"NA")</f>
        <v>7.1418269999999992E-2</v>
      </c>
      <c r="BB63" s="86">
        <f>IFERROR(('Activity Data Rep. Mauritius'!AC62*'Activity Data Rep. Mauritius'!$J62*'Activity Data Rep. Mauritius'!$G62)/1000,"NA")</f>
        <v>7.6072589999999995E-2</v>
      </c>
      <c r="BC63" s="85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86"/>
    </row>
    <row r="64" spans="2:71" x14ac:dyDescent="0.35">
      <c r="B64" s="645"/>
      <c r="C64" s="364" t="s">
        <v>44</v>
      </c>
      <c r="D64" s="85">
        <f>IFERROR(('Activity Data Rep. Mauritius'!M63*'Activity Data Rep. Mauritius'!$J63*'Activity Data Rep. Mauritius'!$E63)/1000,"NA")</f>
        <v>991.2</v>
      </c>
      <c r="E64" s="39">
        <f>IFERROR(('Activity Data Rep. Mauritius'!N63*'Activity Data Rep. Mauritius'!$J63*'Activity Data Rep. Mauritius'!$E63)/1000,"NA")</f>
        <v>1090.3200000000002</v>
      </c>
      <c r="F64" s="39">
        <f>IFERROR(('Activity Data Rep. Mauritius'!O63*'Activity Data Rep. Mauritius'!$J63*'Activity Data Rep. Mauritius'!$E63)/1000,"NA")</f>
        <v>1123.3600000000001</v>
      </c>
      <c r="G64" s="39">
        <f>IFERROR(('Activity Data Rep. Mauritius'!P63*'Activity Data Rep. Mauritius'!$J63*'Activity Data Rep. Mauritius'!$E63)/1000,"NA")</f>
        <v>1156.4000000000001</v>
      </c>
      <c r="H64" s="39">
        <f>IFERROR(('Activity Data Rep. Mauritius'!Q63*'Activity Data Rep. Mauritius'!$J63*'Activity Data Rep. Mauritius'!$E63)/1000,"NA")</f>
        <v>1189.44</v>
      </c>
      <c r="I64" s="39">
        <f>IFERROR(('Activity Data Rep. Mauritius'!R63*'Activity Data Rep. Mauritius'!$J63*'Activity Data Rep. Mauritius'!$E63)/1000,"NA")</f>
        <v>1255.52</v>
      </c>
      <c r="J64" s="39">
        <f>IFERROR(('Activity Data Rep. Mauritius'!S63*'Activity Data Rep. Mauritius'!$J63*'Activity Data Rep. Mauritius'!$E63)/1000,"NA")</f>
        <v>1298.472</v>
      </c>
      <c r="K64" s="39">
        <f>IFERROR(('Activity Data Rep. Mauritius'!T63*'Activity Data Rep. Mauritius'!$J63*'Activity Data Rep. Mauritius'!$E63)/1000,"NA")</f>
        <v>1344.7280000000001</v>
      </c>
      <c r="L64" s="39">
        <f>IFERROR(('Activity Data Rep. Mauritius'!U63*'Activity Data Rep. Mauritius'!$J63*'Activity Data Rep. Mauritius'!$E63)/1000,"NA")</f>
        <v>1394.288</v>
      </c>
      <c r="M64" s="39">
        <f>IFERROR(('Activity Data Rep. Mauritius'!V63*'Activity Data Rep. Mauritius'!$J63*'Activity Data Rep. Mauritius'!$E63)/1000,"NA")</f>
        <v>1444.5087999999998</v>
      </c>
      <c r="N64" s="39">
        <f>IFERROR(('Activity Data Rep. Mauritius'!W63*'Activity Data Rep. Mauritius'!$J63*'Activity Data Rep. Mauritius'!$E63)/1000,"NA")</f>
        <v>1496.712</v>
      </c>
      <c r="O64" s="39">
        <f>IFERROR(('Activity Data Rep. Mauritius'!X63*'Activity Data Rep. Mauritius'!$J63*'Activity Data Rep. Mauritius'!$E63)/1000,"NA")</f>
        <v>1549.576</v>
      </c>
      <c r="P64" s="39">
        <f>IFERROR(('Activity Data Rep. Mauritius'!Y63*'Activity Data Rep. Mauritius'!$J63*'Activity Data Rep. Mauritius'!$E63)/1000,"NA")</f>
        <v>1566.0959999999998</v>
      </c>
      <c r="Q64" s="39">
        <f>IFERROR(('Activity Data Rep. Mauritius'!Z63*'Activity Data Rep. Mauritius'!$J63*'Activity Data Rep. Mauritius'!$E63)/1000,"NA")</f>
        <v>1595.8320000000001</v>
      </c>
      <c r="R64" s="39">
        <f>IFERROR(('Activity Data Rep. Mauritius'!AA63*'Activity Data Rep. Mauritius'!$J63*'Activity Data Rep. Mauritius'!$E63)/1000,"NA")</f>
        <v>1642.088</v>
      </c>
      <c r="S64" s="39">
        <f>IFERROR(('Activity Data Rep. Mauritius'!AB63*'Activity Data Rep. Mauritius'!$J63*'Activity Data Rep. Mauritius'!$E63)/1000,"NA")</f>
        <v>1486.8</v>
      </c>
      <c r="T64" s="86">
        <f>IFERROR(('Activity Data Rep. Mauritius'!AC63*'Activity Data Rep. Mauritius'!$J63*'Activity Data Rep. Mauritius'!$E63)/1000,"NA")</f>
        <v>1387.6799999999998</v>
      </c>
      <c r="U64" s="85">
        <f>IFERROR(('Activity Data Rep. Mauritius'!M63*'Activity Data Rep. Mauritius'!$J63*'Activity Data Rep. Mauritius'!$F63)/1000,"NA")</f>
        <v>1.77</v>
      </c>
      <c r="V64" s="39">
        <f>IFERROR(('Activity Data Rep. Mauritius'!N63*'Activity Data Rep. Mauritius'!$J63*'Activity Data Rep. Mauritius'!$F63)/1000,"NA")</f>
        <v>1.9470000000000003</v>
      </c>
      <c r="W64" s="39">
        <f>IFERROR(('Activity Data Rep. Mauritius'!O63*'Activity Data Rep. Mauritius'!$J63*'Activity Data Rep. Mauritius'!$F63)/1000,"NA")</f>
        <v>2.0060000000000002</v>
      </c>
      <c r="X64" s="39">
        <f>IFERROR(('Activity Data Rep. Mauritius'!P63*'Activity Data Rep. Mauritius'!$J63*'Activity Data Rep. Mauritius'!$F63)/1000,"NA")</f>
        <v>2.0649999999999999</v>
      </c>
      <c r="Y64" s="39">
        <f>IFERROR(('Activity Data Rep. Mauritius'!Q63*'Activity Data Rep. Mauritius'!$J63*'Activity Data Rep. Mauritius'!$F63)/1000,"NA")</f>
        <v>2.1240000000000001</v>
      </c>
      <c r="Z64" s="39">
        <f>IFERROR(('Activity Data Rep. Mauritius'!R63*'Activity Data Rep. Mauritius'!$J63*'Activity Data Rep. Mauritius'!$F63)/1000,"NA")</f>
        <v>2.242</v>
      </c>
      <c r="AA64" s="39">
        <f>IFERROR(('Activity Data Rep. Mauritius'!S63*'Activity Data Rep. Mauritius'!$J63*'Activity Data Rep. Mauritius'!$F63)/1000,"NA")</f>
        <v>2.3187000000000002</v>
      </c>
      <c r="AB64" s="39">
        <f>IFERROR(('Activity Data Rep. Mauritius'!T63*'Activity Data Rep. Mauritius'!$J63*'Activity Data Rep. Mauritius'!$F63)/1000,"NA")</f>
        <v>2.4012999999999995</v>
      </c>
      <c r="AC64" s="39">
        <f>IFERROR(('Activity Data Rep. Mauritius'!U63*'Activity Data Rep. Mauritius'!$J63*'Activity Data Rep. Mauritius'!$F63)/1000,"NA")</f>
        <v>2.4898000000000002</v>
      </c>
      <c r="AD64" s="39">
        <f>IFERROR(('Activity Data Rep. Mauritius'!V63*'Activity Data Rep. Mauritius'!$J63*'Activity Data Rep. Mauritius'!$F63)/1000,"NA")</f>
        <v>2.5794800000000002</v>
      </c>
      <c r="AE64" s="39">
        <f>IFERROR(('Activity Data Rep. Mauritius'!W63*'Activity Data Rep. Mauritius'!$J63*'Activity Data Rep. Mauritius'!$F63)/1000,"NA")</f>
        <v>2.6726999999999999</v>
      </c>
      <c r="AF64" s="39">
        <f>IFERROR(('Activity Data Rep. Mauritius'!X63*'Activity Data Rep. Mauritius'!$J63*'Activity Data Rep. Mauritius'!$F63)/1000,"NA")</f>
        <v>2.7671000000000001</v>
      </c>
      <c r="AG64" s="39">
        <f>IFERROR(('Activity Data Rep. Mauritius'!Y63*'Activity Data Rep. Mauritius'!$J63*'Activity Data Rep. Mauritius'!$F63)/1000,"NA")</f>
        <v>2.7965999999999998</v>
      </c>
      <c r="AH64" s="39">
        <f>IFERROR(('Activity Data Rep. Mauritius'!Z63*'Activity Data Rep. Mauritius'!$J63*'Activity Data Rep. Mauritius'!$F63)/1000,"NA")</f>
        <v>2.8496999999999999</v>
      </c>
      <c r="AI64" s="39">
        <f>IFERROR(('Activity Data Rep. Mauritius'!AA63*'Activity Data Rep. Mauritius'!$J63*'Activity Data Rep. Mauritius'!$F63)/1000,"NA")</f>
        <v>2.9323000000000001</v>
      </c>
      <c r="AJ64" s="39">
        <f>IFERROR(('Activity Data Rep. Mauritius'!AB63*'Activity Data Rep. Mauritius'!$J63*'Activity Data Rep. Mauritius'!$F63)/1000,"NA")</f>
        <v>2.6549999999999998</v>
      </c>
      <c r="AK64" s="86">
        <f>IFERROR(('Activity Data Rep. Mauritius'!AC63*'Activity Data Rep. Mauritius'!$J63*'Activity Data Rep. Mauritius'!$F63)/1000,"NA")</f>
        <v>2.4779999999999998</v>
      </c>
      <c r="AL64" s="500">
        <f>IFERROR(('Activity Data Rep. Mauritius'!M63*'Activity Data Rep. Mauritius'!$J63*'Activity Data Rep. Mauritius'!$G63)/1000,"NA")</f>
        <v>8.8500000000000002E-3</v>
      </c>
      <c r="AM64" s="39">
        <f>IFERROR(('Activity Data Rep. Mauritius'!N63*'Activity Data Rep. Mauritius'!$J63*'Activity Data Rep. Mauritius'!$G63)/1000,"NA")</f>
        <v>9.7350000000000006E-3</v>
      </c>
      <c r="AN64" s="39">
        <f>IFERROR(('Activity Data Rep. Mauritius'!O63*'Activity Data Rep. Mauritius'!$J63*'Activity Data Rep. Mauritius'!$G63)/1000,"NA")</f>
        <v>1.0030000000000001E-2</v>
      </c>
      <c r="AO64" s="39">
        <f>IFERROR(('Activity Data Rep. Mauritius'!P63*'Activity Data Rep. Mauritius'!$J63*'Activity Data Rep. Mauritius'!$G63)/1000,"NA")</f>
        <v>1.0324999999999999E-2</v>
      </c>
      <c r="AP64" s="39">
        <f>IFERROR(('Activity Data Rep. Mauritius'!Q63*'Activity Data Rep. Mauritius'!$J63*'Activity Data Rep. Mauritius'!$G63)/1000,"NA")</f>
        <v>1.0619999999999999E-2</v>
      </c>
      <c r="AQ64" s="39">
        <f>IFERROR(('Activity Data Rep. Mauritius'!R63*'Activity Data Rep. Mauritius'!$J63*'Activity Data Rep. Mauritius'!$G63)/1000,"NA")</f>
        <v>1.1210000000000001E-2</v>
      </c>
      <c r="AR64" s="39">
        <f>IFERROR(('Activity Data Rep. Mauritius'!S63*'Activity Data Rep. Mauritius'!$J63*'Activity Data Rep. Mauritius'!$G63)/1000,"NA")</f>
        <v>1.1593500000000001E-2</v>
      </c>
      <c r="AS64" s="39">
        <f>IFERROR(('Activity Data Rep. Mauritius'!T63*'Activity Data Rep. Mauritius'!$J63*'Activity Data Rep. Mauritius'!$G63)/1000,"NA")</f>
        <v>1.20065E-2</v>
      </c>
      <c r="AT64" s="39">
        <f>IFERROR(('Activity Data Rep. Mauritius'!U63*'Activity Data Rep. Mauritius'!$J63*'Activity Data Rep. Mauritius'!$G63)/1000,"NA")</f>
        <v>1.2449E-2</v>
      </c>
      <c r="AU64" s="39">
        <f>IFERROR(('Activity Data Rep. Mauritius'!V63*'Activity Data Rep. Mauritius'!$J63*'Activity Data Rep. Mauritius'!$G63)/1000,"NA")</f>
        <v>1.28974E-2</v>
      </c>
      <c r="AV64" s="39">
        <f>IFERROR(('Activity Data Rep. Mauritius'!W63*'Activity Data Rep. Mauritius'!$J63*'Activity Data Rep. Mauritius'!$G63)/1000,"NA")</f>
        <v>1.33635E-2</v>
      </c>
      <c r="AW64" s="39">
        <f>IFERROR(('Activity Data Rep. Mauritius'!X63*'Activity Data Rep. Mauritius'!$J63*'Activity Data Rep. Mauritius'!$G63)/1000,"NA")</f>
        <v>1.3835499999999999E-2</v>
      </c>
      <c r="AX64" s="39">
        <f>IFERROR(('Activity Data Rep. Mauritius'!Y63*'Activity Data Rep. Mauritius'!$J63*'Activity Data Rep. Mauritius'!$G63)/1000,"NA")</f>
        <v>1.3982999999999999E-2</v>
      </c>
      <c r="AY64" s="39">
        <f>IFERROR(('Activity Data Rep. Mauritius'!Z63*'Activity Data Rep. Mauritius'!$J63*'Activity Data Rep. Mauritius'!$G63)/1000,"NA")</f>
        <v>1.4248500000000001E-2</v>
      </c>
      <c r="AZ64" s="39">
        <f>IFERROR(('Activity Data Rep. Mauritius'!AA63*'Activity Data Rep. Mauritius'!$J63*'Activity Data Rep. Mauritius'!$G63)/1000,"NA")</f>
        <v>1.4661500000000001E-2</v>
      </c>
      <c r="BA64" s="39">
        <f>IFERROR(('Activity Data Rep. Mauritius'!AB63*'Activity Data Rep. Mauritius'!$J63*'Activity Data Rep. Mauritius'!$G63)/1000,"NA")</f>
        <v>1.3275E-2</v>
      </c>
      <c r="BB64" s="86">
        <f>IFERROR(('Activity Data Rep. Mauritius'!AC63*'Activity Data Rep. Mauritius'!$J63*'Activity Data Rep. Mauritius'!$G63)/1000,"NA")</f>
        <v>1.2389999999999998E-2</v>
      </c>
      <c r="BC64" s="85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86"/>
    </row>
    <row r="65" spans="2:71" x14ac:dyDescent="0.35">
      <c r="B65" s="639" t="s">
        <v>45</v>
      </c>
      <c r="C65" s="364" t="s">
        <v>14</v>
      </c>
      <c r="D65" s="85">
        <f>IFERROR(('Activity Data Rep. Mauritius'!M64*'Activity Data Rep. Mauritius'!$J64*'Activity Data Rep. Mauritius'!$E64)/1000,"NA")</f>
        <v>30053.049599999998</v>
      </c>
      <c r="E65" s="39">
        <f>IFERROR(('Activity Data Rep. Mauritius'!N64*'Activity Data Rep. Mauritius'!$J64*'Activity Data Rep. Mauritius'!$E64)/1000,"NA")</f>
        <v>29677.386480000001</v>
      </c>
      <c r="F65" s="39">
        <f>IFERROR(('Activity Data Rep. Mauritius'!O64*'Activity Data Rep. Mauritius'!$J64*'Activity Data Rep. Mauritius'!$E64)/1000,"NA")</f>
        <v>26324.593133999999</v>
      </c>
      <c r="G65" s="39">
        <f>IFERROR(('Activity Data Rep. Mauritius'!P64*'Activity Data Rep. Mauritius'!$J64*'Activity Data Rep. Mauritius'!$E64)/1000,"NA")</f>
        <v>25873.797390000003</v>
      </c>
      <c r="H65" s="39">
        <f>IFERROR(('Activity Data Rep. Mauritius'!Q64*'Activity Data Rep. Mauritius'!$J64*'Activity Data Rep. Mauritius'!$E64)/1000,"NA")</f>
        <v>27316.969876000003</v>
      </c>
      <c r="I65" s="39">
        <f>IFERROR(('Activity Data Rep. Mauritius'!R64*'Activity Data Rep. Mauritius'!$J64*'Activity Data Rep. Mauritius'!$E64)/1000,"NA")</f>
        <v>30569.586390000004</v>
      </c>
      <c r="J65" s="39">
        <f>IFERROR(('Activity Data Rep. Mauritius'!S64*'Activity Data Rep. Mauritius'!$J64*'Activity Data Rep. Mauritius'!$E64)/1000,"NA")</f>
        <v>12281.053497999999</v>
      </c>
      <c r="K65" s="39">
        <f>IFERROR(('Activity Data Rep. Mauritius'!T64*'Activity Data Rep. Mauritius'!$J64*'Activity Data Rep. Mauritius'!$E64)/1000,"NA")</f>
        <v>3875.5911879999994</v>
      </c>
      <c r="L65" s="39">
        <f>IFERROR(('Activity Data Rep. Mauritius'!U64*'Activity Data Rep. Mauritius'!$J64*'Activity Data Rep. Mauritius'!$E64)/1000,"NA")</f>
        <v>5547.2920719999993</v>
      </c>
      <c r="M65" s="39">
        <f>IFERROR(('Activity Data Rep. Mauritius'!V64*'Activity Data Rep. Mauritius'!$J64*'Activity Data Rep. Mauritius'!$E64)/1000,"NA")</f>
        <v>4620.6563759999999</v>
      </c>
      <c r="N65" s="39">
        <f>IFERROR(('Activity Data Rep. Mauritius'!W64*'Activity Data Rep. Mauritius'!$J64*'Activity Data Rep. Mauritius'!$E64)/1000,"NA")</f>
        <v>5418.9405059999999</v>
      </c>
      <c r="O65" s="39">
        <f>IFERROR(('Activity Data Rep. Mauritius'!X64*'Activity Data Rep. Mauritius'!$J64*'Activity Data Rep. Mauritius'!$E64)/1000,"NA")</f>
        <v>1612.2208900000001</v>
      </c>
      <c r="P65" s="39">
        <f>IFERROR(('Activity Data Rep. Mauritius'!Y64*'Activity Data Rep. Mauritius'!$J64*'Activity Data Rep. Mauritius'!$E64)/1000,"NA")</f>
        <v>760.71781799999997</v>
      </c>
      <c r="Q65" s="39">
        <f>IFERROR(('Activity Data Rep. Mauritius'!Z64*'Activity Data Rep. Mauritius'!$J64*'Activity Data Rep. Mauritius'!$E64)/1000,"NA")</f>
        <v>632.36625200000003</v>
      </c>
      <c r="R65" s="39">
        <f>IFERROR(('Activity Data Rep. Mauritius'!AA64*'Activity Data Rep. Mauritius'!$J64*'Activity Data Rep. Mauritius'!$E64)/1000,"NA")</f>
        <v>478.97047800000001</v>
      </c>
      <c r="S65" s="39">
        <f>IFERROR(('Activity Data Rep. Mauritius'!AB64*'Activity Data Rep. Mauritius'!$J64*'Activity Data Rep. Mauritius'!$E64)/1000,"NA")</f>
        <v>410.09890599999994</v>
      </c>
      <c r="T65" s="86">
        <f>IFERROR(('Activity Data Rep. Mauritius'!AC64*'Activity Data Rep. Mauritius'!$J64*'Activity Data Rep. Mauritius'!$E64)/1000,"NA")</f>
        <v>222.267346</v>
      </c>
      <c r="U65" s="85">
        <f>IFERROR(('Activity Data Rep. Mauritius'!M64*'Activity Data Rep. Mauritius'!$J64*'Activity Data Rep. Mauritius'!$F64)/1000,"NA")</f>
        <v>4.1798400000000004</v>
      </c>
      <c r="V65" s="39">
        <f>IFERROR(('Activity Data Rep. Mauritius'!N64*'Activity Data Rep. Mauritius'!$J64*'Activity Data Rep. Mauritius'!$F64)/1000,"NA")</f>
        <v>4.1275920000000008</v>
      </c>
      <c r="W65" s="39">
        <f>IFERROR(('Activity Data Rep. Mauritius'!O64*'Activity Data Rep. Mauritius'!$J64*'Activity Data Rep. Mauritius'!$F64)/1000,"NA")</f>
        <v>3.6612786000000002</v>
      </c>
      <c r="X65" s="39">
        <f>IFERROR(('Activity Data Rep. Mauritius'!P64*'Activity Data Rep. Mauritius'!$J64*'Activity Data Rep. Mauritius'!$F64)/1000,"NA")</f>
        <v>3.5985810000000003</v>
      </c>
      <c r="Y65" s="39">
        <f>IFERROR(('Activity Data Rep. Mauritius'!Q64*'Activity Data Rep. Mauritius'!$J64*'Activity Data Rep. Mauritius'!$F64)/1000,"NA")</f>
        <v>3.7993003999999999</v>
      </c>
      <c r="Z65" s="39">
        <f>IFERROR(('Activity Data Rep. Mauritius'!R64*'Activity Data Rep. Mauritius'!$J64*'Activity Data Rep. Mauritius'!$F64)/1000,"NA")</f>
        <v>4.2516810000000005</v>
      </c>
      <c r="AA65" s="39">
        <f>IFERROR(('Activity Data Rep. Mauritius'!S64*'Activity Data Rep. Mauritius'!$J64*'Activity Data Rep. Mauritius'!$F64)/1000,"NA")</f>
        <v>1.7080742</v>
      </c>
      <c r="AB65" s="39">
        <f>IFERROR(('Activity Data Rep. Mauritius'!T64*'Activity Data Rep. Mauritius'!$J64*'Activity Data Rep. Mauritius'!$F64)/1000,"NA")</f>
        <v>0.53902519999999998</v>
      </c>
      <c r="AC65" s="39">
        <f>IFERROR(('Activity Data Rep. Mauritius'!U64*'Activity Data Rep. Mauritius'!$J64*'Activity Data Rep. Mauritius'!$F64)/1000,"NA")</f>
        <v>0.7715287999999999</v>
      </c>
      <c r="AD65" s="39">
        <f>IFERROR(('Activity Data Rep. Mauritius'!V64*'Activity Data Rep. Mauritius'!$J64*'Activity Data Rep. Mauritius'!$F64)/1000,"NA")</f>
        <v>0.64265039999999996</v>
      </c>
      <c r="AE65" s="39">
        <f>IFERROR(('Activity Data Rep. Mauritius'!W64*'Activity Data Rep. Mauritius'!$J64*'Activity Data Rep. Mauritius'!$F64)/1000,"NA")</f>
        <v>0.75367740000000005</v>
      </c>
      <c r="AF65" s="39">
        <f>IFERROR(('Activity Data Rep. Mauritius'!X64*'Activity Data Rep. Mauritius'!$J64*'Activity Data Rep. Mauritius'!$F64)/1000,"NA")</f>
        <v>0.22423100000000001</v>
      </c>
      <c r="AG65" s="39">
        <f>IFERROR(('Activity Data Rep. Mauritius'!Y64*'Activity Data Rep. Mauritius'!$J64*'Activity Data Rep. Mauritius'!$F64)/1000,"NA")</f>
        <v>0.10580219999999999</v>
      </c>
      <c r="AH65" s="39">
        <f>IFERROR(('Activity Data Rep. Mauritius'!Z64*'Activity Data Rep. Mauritius'!$J64*'Activity Data Rep. Mauritius'!$F64)/1000,"NA")</f>
        <v>8.7950799999999996E-2</v>
      </c>
      <c r="AI65" s="39">
        <f>IFERROR(('Activity Data Rep. Mauritius'!AA64*'Activity Data Rep. Mauritius'!$J64*'Activity Data Rep. Mauritius'!$F64)/1000,"NA")</f>
        <v>6.66162E-2</v>
      </c>
      <c r="AJ65" s="39">
        <f>IFERROR(('Activity Data Rep. Mauritius'!AB64*'Activity Data Rep. Mauritius'!$J64*'Activity Data Rep. Mauritius'!$F64)/1000,"NA")</f>
        <v>5.7037399999999995E-2</v>
      </c>
      <c r="AK65" s="86">
        <f>IFERROR(('Activity Data Rep. Mauritius'!AC64*'Activity Data Rep. Mauritius'!$J64*'Activity Data Rep. Mauritius'!$F64)/1000,"NA")</f>
        <v>3.0913399999999997E-2</v>
      </c>
      <c r="AL65" s="500">
        <f>IFERROR(('Activity Data Rep. Mauritius'!M64*'Activity Data Rep. Mauritius'!$J64*'Activity Data Rep. Mauritius'!$G64)/1000,"NA")</f>
        <v>0.25079039999999997</v>
      </c>
      <c r="AM65" s="39">
        <f>IFERROR(('Activity Data Rep. Mauritius'!N64*'Activity Data Rep. Mauritius'!$J64*'Activity Data Rep. Mauritius'!$G64)/1000,"NA")</f>
        <v>0.24765551999999999</v>
      </c>
      <c r="AN65" s="39">
        <f>IFERROR(('Activity Data Rep. Mauritius'!O64*'Activity Data Rep. Mauritius'!$J64*'Activity Data Rep. Mauritius'!$G64)/1000,"NA")</f>
        <v>0.21967671599999999</v>
      </c>
      <c r="AO65" s="39">
        <f>IFERROR(('Activity Data Rep. Mauritius'!P64*'Activity Data Rep. Mauritius'!$J64*'Activity Data Rep. Mauritius'!$G64)/1000,"NA")</f>
        <v>0.21591486000000001</v>
      </c>
      <c r="AP65" s="39">
        <f>IFERROR(('Activity Data Rep. Mauritius'!Q64*'Activity Data Rep. Mauritius'!$J64*'Activity Data Rep. Mauritius'!$G64)/1000,"NA")</f>
        <v>0.22795802399999998</v>
      </c>
      <c r="AQ65" s="39">
        <f>IFERROR(('Activity Data Rep. Mauritius'!R64*'Activity Data Rep. Mauritius'!$J64*'Activity Data Rep. Mauritius'!$G64)/1000,"NA")</f>
        <v>0.25510085999999998</v>
      </c>
      <c r="AR65" s="39">
        <f>IFERROR(('Activity Data Rep. Mauritius'!S64*'Activity Data Rep. Mauritius'!$J64*'Activity Data Rep. Mauritius'!$G64)/1000,"NA")</f>
        <v>0.102484452</v>
      </c>
      <c r="AS65" s="39">
        <f>IFERROR(('Activity Data Rep. Mauritius'!T64*'Activity Data Rep. Mauritius'!$J64*'Activity Data Rep. Mauritius'!$G64)/1000,"NA")</f>
        <v>3.2341511999999996E-2</v>
      </c>
      <c r="AT65" s="39">
        <f>IFERROR(('Activity Data Rep. Mauritius'!U64*'Activity Data Rep. Mauritius'!$J64*'Activity Data Rep. Mauritius'!$G64)/1000,"NA")</f>
        <v>4.6291727999999997E-2</v>
      </c>
      <c r="AU65" s="39">
        <f>IFERROR(('Activity Data Rep. Mauritius'!V64*'Activity Data Rep. Mauritius'!$J64*'Activity Data Rep. Mauritius'!$G64)/1000,"NA")</f>
        <v>3.8559024000000004E-2</v>
      </c>
      <c r="AV65" s="39">
        <f>IFERROR(('Activity Data Rep. Mauritius'!W64*'Activity Data Rep. Mauritius'!$J64*'Activity Data Rep. Mauritius'!$G64)/1000,"NA")</f>
        <v>4.5220643999999997E-2</v>
      </c>
      <c r="AW65" s="39">
        <f>IFERROR(('Activity Data Rep. Mauritius'!X64*'Activity Data Rep. Mauritius'!$J64*'Activity Data Rep. Mauritius'!$G64)/1000,"NA")</f>
        <v>1.345386E-2</v>
      </c>
      <c r="AX65" s="39">
        <f>IFERROR(('Activity Data Rep. Mauritius'!Y64*'Activity Data Rep. Mauritius'!$J64*'Activity Data Rep. Mauritius'!$G64)/1000,"NA")</f>
        <v>6.3481319999999985E-3</v>
      </c>
      <c r="AY65" s="39">
        <f>IFERROR(('Activity Data Rep. Mauritius'!Z64*'Activity Data Rep. Mauritius'!$J64*'Activity Data Rep. Mauritius'!$G64)/1000,"NA")</f>
        <v>5.2770479999999995E-3</v>
      </c>
      <c r="AZ65" s="39">
        <f>IFERROR(('Activity Data Rep. Mauritius'!AA64*'Activity Data Rep. Mauritius'!$J64*'Activity Data Rep. Mauritius'!$G64)/1000,"NA")</f>
        <v>3.9969719999999997E-3</v>
      </c>
      <c r="BA65" s="39">
        <f>IFERROR(('Activity Data Rep. Mauritius'!AB64*'Activity Data Rep. Mauritius'!$J64*'Activity Data Rep. Mauritius'!$G64)/1000,"NA")</f>
        <v>3.4222439999999996E-3</v>
      </c>
      <c r="BB65" s="86">
        <f>IFERROR(('Activity Data Rep. Mauritius'!AC64*'Activity Data Rep. Mauritius'!$J64*'Activity Data Rep. Mauritius'!$G64)/1000,"NA")</f>
        <v>1.8548039999999996E-3</v>
      </c>
      <c r="BC65" s="85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86"/>
    </row>
    <row r="66" spans="2:71" x14ac:dyDescent="0.35">
      <c r="B66" s="639"/>
      <c r="C66" s="364" t="s">
        <v>43</v>
      </c>
      <c r="D66" s="85">
        <f>IFERROR(('Activity Data Rep. Mauritius'!M65*'Activity Data Rep. Mauritius'!$J65*'Activity Data Rep. Mauritius'!$E65)/1000,"NA")</f>
        <v>112550.3973</v>
      </c>
      <c r="E66" s="39">
        <f>IFERROR(('Activity Data Rep. Mauritius'!N65*'Activity Data Rep. Mauritius'!$J65*'Activity Data Rep. Mauritius'!$E65)/1000,"NA")</f>
        <v>112968.2455</v>
      </c>
      <c r="F66" s="39">
        <f>IFERROR(('Activity Data Rep. Mauritius'!O65*'Activity Data Rep. Mauritius'!$J65*'Activity Data Rep. Mauritius'!$E65)/1000,"NA")</f>
        <v>116469.21649000001</v>
      </c>
      <c r="G66" s="39">
        <f>IFERROR(('Activity Data Rep. Mauritius'!P65*'Activity Data Rep. Mauritius'!$J65*'Activity Data Rep. Mauritius'!$E65)/1000,"NA")</f>
        <v>121053.60816999999</v>
      </c>
      <c r="H66" s="39">
        <f>IFERROR(('Activity Data Rep. Mauritius'!Q65*'Activity Data Rep. Mauritius'!$J65*'Activity Data Rep. Mauritius'!$E65)/1000,"NA")</f>
        <v>127909.30328000001</v>
      </c>
      <c r="I66" s="39">
        <f>IFERROR(('Activity Data Rep. Mauritius'!R65*'Activity Data Rep. Mauritius'!$J65*'Activity Data Rep. Mauritius'!$E65)/1000,"NA")</f>
        <v>128953.92378</v>
      </c>
      <c r="J66" s="39">
        <f>IFERROR(('Activity Data Rep. Mauritius'!S65*'Activity Data Rep. Mauritius'!$J65*'Activity Data Rep. Mauritius'!$E65)/1000,"NA")</f>
        <v>124157.62336999997</v>
      </c>
      <c r="K66" s="39">
        <f>IFERROR(('Activity Data Rep. Mauritius'!T65*'Activity Data Rep. Mauritius'!$J65*'Activity Data Rep. Mauritius'!$E65)/1000,"NA")</f>
        <v>125617.10743999998</v>
      </c>
      <c r="L66" s="39">
        <f>IFERROR(('Activity Data Rep. Mauritius'!U65*'Activity Data Rep. Mauritius'!$J65*'Activity Data Rep. Mauritius'!$E65)/1000,"NA")</f>
        <v>126530.40421999998</v>
      </c>
      <c r="M66" s="39">
        <f>IFERROR(('Activity Data Rep. Mauritius'!V65*'Activity Data Rep. Mauritius'!$J65*'Activity Data Rep. Mauritius'!$E65)/1000,"NA")</f>
        <v>129046.44730999999</v>
      </c>
      <c r="N66" s="39">
        <f>IFERROR(('Activity Data Rep. Mauritius'!W65*'Activity Data Rep. Mauritius'!$J65*'Activity Data Rep. Mauritius'!$E65)/1000,"NA")</f>
        <v>131499.81316999998</v>
      </c>
      <c r="O66" s="39">
        <f>IFERROR(('Activity Data Rep. Mauritius'!X65*'Activity Data Rep. Mauritius'!$J65*'Activity Data Rep. Mauritius'!$E65)/1000,"NA")</f>
        <v>133233.88319999998</v>
      </c>
      <c r="P66" s="39">
        <f>IFERROR(('Activity Data Rep. Mauritius'!Y65*'Activity Data Rep. Mauritius'!$J65*'Activity Data Rep. Mauritius'!$E65)/1000,"NA")</f>
        <v>135290.29326999999</v>
      </c>
      <c r="Q66" s="39">
        <f>IFERROR(('Activity Data Rep. Mauritius'!Z65*'Activity Data Rep. Mauritius'!$J65*'Activity Data Rep. Mauritius'!$E65)/1000,"NA")</f>
        <v>138367.44680000001</v>
      </c>
      <c r="R66" s="39">
        <f>IFERROR(('Activity Data Rep. Mauritius'!AA65*'Activity Data Rep. Mauritius'!$J65*'Activity Data Rep. Mauritius'!$E65)/1000,"NA")</f>
        <v>141978.84909999999</v>
      </c>
      <c r="S66" s="39">
        <f>IFERROR(('Activity Data Rep. Mauritius'!AB65*'Activity Data Rep. Mauritius'!$J65*'Activity Data Rep. Mauritius'!$E65)/1000,"NA")</f>
        <v>146524.44059000001</v>
      </c>
      <c r="T66" s="86">
        <f>IFERROR(('Activity Data Rep. Mauritius'!AC65*'Activity Data Rep. Mauritius'!$J65*'Activity Data Rep. Mauritius'!$E65)/1000,"NA")</f>
        <v>147604.87664999996</v>
      </c>
      <c r="U66" s="85">
        <f>IFERROR(('Activity Data Rep. Mauritius'!M65*'Activity Data Rep. Mauritius'!$J65*'Activity Data Rep. Mauritius'!$F65)/1000,"NA")</f>
        <v>8.9184150000000013</v>
      </c>
      <c r="V66" s="39">
        <f>IFERROR(('Activity Data Rep. Mauritius'!N65*'Activity Data Rep. Mauritius'!$J65*'Activity Data Rep. Mauritius'!$F65)/1000,"NA")</f>
        <v>8.9515250000000002</v>
      </c>
      <c r="W66" s="39">
        <f>IFERROR(('Activity Data Rep. Mauritius'!O65*'Activity Data Rep. Mauritius'!$J65*'Activity Data Rep. Mauritius'!$F65)/1000,"NA")</f>
        <v>9.228939500000001</v>
      </c>
      <c r="X66" s="39">
        <f>IFERROR(('Activity Data Rep. Mauritius'!P65*'Activity Data Rep. Mauritius'!$J65*'Activity Data Rep. Mauritius'!$F65)/1000,"NA")</f>
        <v>9.5922035000000001</v>
      </c>
      <c r="Y66" s="39">
        <f>IFERROR(('Activity Data Rep. Mauritius'!Q65*'Activity Data Rep. Mauritius'!$J65*'Activity Data Rep. Mauritius'!$F65)/1000,"NA")</f>
        <v>10.135444</v>
      </c>
      <c r="Z66" s="39">
        <f>IFERROR(('Activity Data Rep. Mauritius'!R65*'Activity Data Rep. Mauritius'!$J65*'Activity Data Rep. Mauritius'!$F65)/1000,"NA")</f>
        <v>10.218219000000001</v>
      </c>
      <c r="AA66" s="39">
        <f>IFERROR(('Activity Data Rep. Mauritius'!S65*'Activity Data Rep. Mauritius'!$J65*'Activity Data Rep. Mauritius'!$F65)/1000,"NA")</f>
        <v>9.8381634999999985</v>
      </c>
      <c r="AB66" s="39">
        <f>IFERROR(('Activity Data Rep. Mauritius'!T65*'Activity Data Rep. Mauritius'!$J65*'Activity Data Rep. Mauritius'!$F65)/1000,"NA")</f>
        <v>9.9538119999999992</v>
      </c>
      <c r="AC66" s="39">
        <f>IFERROR(('Activity Data Rep. Mauritius'!U65*'Activity Data Rep. Mauritius'!$J65*'Activity Data Rep. Mauritius'!$F65)/1000,"NA")</f>
        <v>10.026180999999999</v>
      </c>
      <c r="AD66" s="39">
        <f>IFERROR(('Activity Data Rep. Mauritius'!V65*'Activity Data Rep. Mauritius'!$J65*'Activity Data Rep. Mauritius'!$F65)/1000,"NA")</f>
        <v>10.225550499999999</v>
      </c>
      <c r="AE66" s="39">
        <f>IFERROR(('Activity Data Rep. Mauritius'!W65*'Activity Data Rep. Mauritius'!$J65*'Activity Data Rep. Mauritius'!$F65)/1000,"NA")</f>
        <v>10.4199535</v>
      </c>
      <c r="AF66" s="39">
        <f>IFERROR(('Activity Data Rep. Mauritius'!X65*'Activity Data Rep. Mauritius'!$J65*'Activity Data Rep. Mauritius'!$F65)/1000,"NA")</f>
        <v>10.557359999999999</v>
      </c>
      <c r="AG66" s="39">
        <f>IFERROR(('Activity Data Rep. Mauritius'!Y65*'Activity Data Rep. Mauritius'!$J65*'Activity Data Rep. Mauritius'!$F65)/1000,"NA")</f>
        <v>10.7203085</v>
      </c>
      <c r="AH66" s="39">
        <f>IFERROR(('Activity Data Rep. Mauritius'!Z65*'Activity Data Rep. Mauritius'!$J65*'Activity Data Rep. Mauritius'!$F65)/1000,"NA")</f>
        <v>10.964139999999999</v>
      </c>
      <c r="AI66" s="39">
        <f>IFERROR(('Activity Data Rep. Mauritius'!AA65*'Activity Data Rep. Mauritius'!$J65*'Activity Data Rep. Mauritius'!$F65)/1000,"NA")</f>
        <v>11.250304999999999</v>
      </c>
      <c r="AJ66" s="39">
        <f>IFERROR(('Activity Data Rep. Mauritius'!AB65*'Activity Data Rep. Mauritius'!$J65*'Activity Data Rep. Mauritius'!$F65)/1000,"NA")</f>
        <v>11.610494500000001</v>
      </c>
      <c r="AK66" s="86">
        <f>IFERROR(('Activity Data Rep. Mauritius'!AC65*'Activity Data Rep. Mauritius'!$J65*'Activity Data Rep. Mauritius'!$F65)/1000,"NA")</f>
        <v>11.696107499999998</v>
      </c>
      <c r="AL66" s="500">
        <f>IFERROR(('Activity Data Rep. Mauritius'!M65*'Activity Data Rep. Mauritius'!$J65*'Activity Data Rep. Mauritius'!$G65)/1000,"NA")</f>
        <v>0.17836830000000001</v>
      </c>
      <c r="AM66" s="39">
        <f>IFERROR(('Activity Data Rep. Mauritius'!N65*'Activity Data Rep. Mauritius'!$J65*'Activity Data Rep. Mauritius'!$G65)/1000,"NA")</f>
        <v>0.17903050000000001</v>
      </c>
      <c r="AN66" s="39">
        <f>IFERROR(('Activity Data Rep. Mauritius'!O65*'Activity Data Rep. Mauritius'!$J65*'Activity Data Rep. Mauritius'!$G65)/1000,"NA")</f>
        <v>0.18457879000000002</v>
      </c>
      <c r="AO66" s="39">
        <f>IFERROR(('Activity Data Rep. Mauritius'!P65*'Activity Data Rep. Mauritius'!$J65*'Activity Data Rep. Mauritius'!$G65)/1000,"NA")</f>
        <v>0.19184406999999998</v>
      </c>
      <c r="AP66" s="39">
        <f>IFERROR(('Activity Data Rep. Mauritius'!Q65*'Activity Data Rep. Mauritius'!$J65*'Activity Data Rep. Mauritius'!$G65)/1000,"NA")</f>
        <v>0.20270888000000004</v>
      </c>
      <c r="AQ66" s="39">
        <f>IFERROR(('Activity Data Rep. Mauritius'!R65*'Activity Data Rep. Mauritius'!$J65*'Activity Data Rep. Mauritius'!$G65)/1000,"NA")</f>
        <v>0.20436438000000001</v>
      </c>
      <c r="AR66" s="39">
        <f>IFERROR(('Activity Data Rep. Mauritius'!S65*'Activity Data Rep. Mauritius'!$J65*'Activity Data Rep. Mauritius'!$G65)/1000,"NA")</f>
        <v>0.19676326999999999</v>
      </c>
      <c r="AS66" s="39">
        <f>IFERROR(('Activity Data Rep. Mauritius'!T65*'Activity Data Rep. Mauritius'!$J65*'Activity Data Rep. Mauritius'!$G65)/1000,"NA")</f>
        <v>0.19907623999999999</v>
      </c>
      <c r="AT66" s="39">
        <f>IFERROR(('Activity Data Rep. Mauritius'!U65*'Activity Data Rep. Mauritius'!$J65*'Activity Data Rep. Mauritius'!$G65)/1000,"NA")</f>
        <v>0.20052361999999999</v>
      </c>
      <c r="AU66" s="39">
        <f>IFERROR(('Activity Data Rep. Mauritius'!V65*'Activity Data Rep. Mauritius'!$J65*'Activity Data Rep. Mauritius'!$G65)/1000,"NA")</f>
        <v>0.20451100999999999</v>
      </c>
      <c r="AV66" s="39">
        <f>IFERROR(('Activity Data Rep. Mauritius'!W65*'Activity Data Rep. Mauritius'!$J65*'Activity Data Rep. Mauritius'!$G65)/1000,"NA")</f>
        <v>0.20839906999999999</v>
      </c>
      <c r="AW66" s="39">
        <f>IFERROR(('Activity Data Rep. Mauritius'!X65*'Activity Data Rep. Mauritius'!$J65*'Activity Data Rep. Mauritius'!$G65)/1000,"NA")</f>
        <v>0.21114720000000001</v>
      </c>
      <c r="AX66" s="39">
        <f>IFERROR(('Activity Data Rep. Mauritius'!Y65*'Activity Data Rep. Mauritius'!$J65*'Activity Data Rep. Mauritius'!$G65)/1000,"NA")</f>
        <v>0.21440616999999998</v>
      </c>
      <c r="AY66" s="39">
        <f>IFERROR(('Activity Data Rep. Mauritius'!Z65*'Activity Data Rep. Mauritius'!$J65*'Activity Data Rep. Mauritius'!$G65)/1000,"NA")</f>
        <v>0.2192828</v>
      </c>
      <c r="AZ66" s="39">
        <f>IFERROR(('Activity Data Rep. Mauritius'!AA65*'Activity Data Rep. Mauritius'!$J65*'Activity Data Rep. Mauritius'!$G65)/1000,"NA")</f>
        <v>0.22500609999999999</v>
      </c>
      <c r="BA66" s="39">
        <f>IFERROR(('Activity Data Rep. Mauritius'!AB65*'Activity Data Rep. Mauritius'!$J65*'Activity Data Rep. Mauritius'!$G65)/1000,"NA")</f>
        <v>0.23220989</v>
      </c>
      <c r="BB66" s="86">
        <f>IFERROR(('Activity Data Rep. Mauritius'!AC65*'Activity Data Rep. Mauritius'!$J65*'Activity Data Rep. Mauritius'!$G65)/1000,"NA")</f>
        <v>0.23392215</v>
      </c>
      <c r="BC66" s="85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86"/>
    </row>
    <row r="67" spans="2:71" x14ac:dyDescent="0.35">
      <c r="B67" s="639"/>
      <c r="C67" s="364" t="s">
        <v>46</v>
      </c>
      <c r="D67" s="85">
        <f>IFERROR(('Activity Data Rep. Mauritius'!M66*'Activity Data Rep. Mauritius'!$J66*'Activity Data Rep. Mauritius'!$E66)/1000,"NA")</f>
        <v>27955.200000000001</v>
      </c>
      <c r="E67" s="39">
        <f>IFERROR(('Activity Data Rep. Mauritius'!N66*'Activity Data Rep. Mauritius'!$J66*'Activity Data Rep. Mauritius'!$E66)/1000,"NA")</f>
        <v>27780.48</v>
      </c>
      <c r="F67" s="39">
        <f>IFERROR(('Activity Data Rep. Mauritius'!O66*'Activity Data Rep. Mauritius'!$J66*'Activity Data Rep. Mauritius'!$E66)/1000,"NA")</f>
        <v>27693.119999999999</v>
      </c>
      <c r="G67" s="39">
        <f>IFERROR(('Activity Data Rep. Mauritius'!P66*'Activity Data Rep. Mauritius'!$J66*'Activity Data Rep. Mauritius'!$E66)/1000,"NA")</f>
        <v>27570.815999999995</v>
      </c>
      <c r="H67" s="39">
        <f>IFERROR(('Activity Data Rep. Mauritius'!Q66*'Activity Data Rep. Mauritius'!$J66*'Activity Data Rep. Mauritius'!$E66)/1000,"NA")</f>
        <v>27850.367999999999</v>
      </c>
      <c r="I67" s="39">
        <f>IFERROR(('Activity Data Rep. Mauritius'!R66*'Activity Data Rep. Mauritius'!$J66*'Activity Data Rep. Mauritius'!$E66)/1000,"NA")</f>
        <v>28898.687999999998</v>
      </c>
      <c r="J67" s="39">
        <f>IFERROR(('Activity Data Rep. Mauritius'!S66*'Activity Data Rep. Mauritius'!$J66*'Activity Data Rep. Mauritius'!$E66)/1000,"NA")</f>
        <v>30528.8256</v>
      </c>
      <c r="K67" s="39">
        <f>IFERROR(('Activity Data Rep. Mauritius'!T66*'Activity Data Rep. Mauritius'!$J66*'Activity Data Rep. Mauritius'!$E66)/1000,"NA")</f>
        <v>30570.758399999999</v>
      </c>
      <c r="L67" s="39">
        <f>IFERROR(('Activity Data Rep. Mauritius'!U66*'Activity Data Rep. Mauritius'!$J66*'Activity Data Rep. Mauritius'!$E66)/1000,"NA")</f>
        <v>29223.667199999996</v>
      </c>
      <c r="M67" s="39">
        <f>IFERROR(('Activity Data Rep. Mauritius'!V66*'Activity Data Rep. Mauritius'!$J66*'Activity Data Rep. Mauritius'!$E66)/1000,"NA")</f>
        <v>29036.716799999998</v>
      </c>
      <c r="N67" s="39">
        <f>IFERROR(('Activity Data Rep. Mauritius'!W66*'Activity Data Rep. Mauritius'!$J66*'Activity Data Rep. Mauritius'!$E66)/1000,"NA")</f>
        <v>28998.278400000003</v>
      </c>
      <c r="O67" s="39">
        <f>IFERROR(('Activity Data Rep. Mauritius'!X66*'Activity Data Rep. Mauritius'!$J66*'Activity Data Rep. Mauritius'!$E66)/1000,"NA")</f>
        <v>28542.259199999997</v>
      </c>
      <c r="P67" s="39">
        <f>IFERROR(('Activity Data Rep. Mauritius'!Y66*'Activity Data Rep. Mauritius'!$J66*'Activity Data Rep. Mauritius'!$E66)/1000,"NA")</f>
        <v>27960.441599999998</v>
      </c>
      <c r="Q67" s="39">
        <f>IFERROR(('Activity Data Rep. Mauritius'!Z66*'Activity Data Rep. Mauritius'!$J66*'Activity Data Rep. Mauritius'!$E66)/1000,"NA")</f>
        <v>27022.195199999998</v>
      </c>
      <c r="R67" s="39">
        <f>IFERROR(('Activity Data Rep. Mauritius'!AA66*'Activity Data Rep. Mauritius'!$J66*'Activity Data Rep. Mauritius'!$E66)/1000,"NA")</f>
        <v>25385.068800000001</v>
      </c>
      <c r="S67" s="39">
        <f>IFERROR(('Activity Data Rep. Mauritius'!AB66*'Activity Data Rep. Mauritius'!$J66*'Activity Data Rep. Mauritius'!$E66)/1000,"NA")</f>
        <v>23805.599999999995</v>
      </c>
      <c r="T67" s="86">
        <f>IFERROR(('Activity Data Rep. Mauritius'!AC66*'Activity Data Rep. Mauritius'!$J66*'Activity Data Rep. Mauritius'!$E66)/1000,"NA")</f>
        <v>23699.020800000002</v>
      </c>
      <c r="U67" s="85">
        <f>IFERROR(('Activity Data Rep. Mauritius'!M66*'Activity Data Rep. Mauritius'!$J66*'Activity Data Rep. Mauritius'!$F66)/1000,"NA")</f>
        <v>74.88</v>
      </c>
      <c r="V67" s="39">
        <f>IFERROR(('Activity Data Rep. Mauritius'!N66*'Activity Data Rep. Mauritius'!$J66*'Activity Data Rep. Mauritius'!$F66)/1000,"NA")</f>
        <v>74.412000000000006</v>
      </c>
      <c r="W67" s="39">
        <f>IFERROR(('Activity Data Rep. Mauritius'!O66*'Activity Data Rep. Mauritius'!$J66*'Activity Data Rep. Mauritius'!$F66)/1000,"NA")</f>
        <v>74.177999999999997</v>
      </c>
      <c r="X67" s="39">
        <f>IFERROR(('Activity Data Rep. Mauritius'!P66*'Activity Data Rep. Mauritius'!$J66*'Activity Data Rep. Mauritius'!$F66)/1000,"NA")</f>
        <v>73.850399999999993</v>
      </c>
      <c r="Y67" s="39">
        <f>IFERROR(('Activity Data Rep. Mauritius'!Q66*'Activity Data Rep. Mauritius'!$J66*'Activity Data Rep. Mauritius'!$F66)/1000,"NA")</f>
        <v>74.599199999999996</v>
      </c>
      <c r="Z67" s="39">
        <f>IFERROR(('Activity Data Rep. Mauritius'!R66*'Activity Data Rep. Mauritius'!$J66*'Activity Data Rep. Mauritius'!$F66)/1000,"NA")</f>
        <v>77.407200000000003</v>
      </c>
      <c r="AA67" s="39">
        <f>IFERROR(('Activity Data Rep. Mauritius'!S66*'Activity Data Rep. Mauritius'!$J66*'Activity Data Rep. Mauritius'!$F66)/1000,"NA")</f>
        <v>81.77364</v>
      </c>
      <c r="AB67" s="39">
        <f>IFERROR(('Activity Data Rep. Mauritius'!T66*'Activity Data Rep. Mauritius'!$J66*'Activity Data Rep. Mauritius'!$F66)/1000,"NA")</f>
        <v>81.885959999999997</v>
      </c>
      <c r="AC67" s="39">
        <f>IFERROR(('Activity Data Rep. Mauritius'!U66*'Activity Data Rep. Mauritius'!$J66*'Activity Data Rep. Mauritius'!$F66)/1000,"NA")</f>
        <v>78.277679999999989</v>
      </c>
      <c r="AD67" s="39">
        <f>IFERROR(('Activity Data Rep. Mauritius'!V66*'Activity Data Rep. Mauritius'!$J66*'Activity Data Rep. Mauritius'!$F66)/1000,"NA")</f>
        <v>77.776920000000004</v>
      </c>
      <c r="AE67" s="39">
        <f>IFERROR(('Activity Data Rep. Mauritius'!W66*'Activity Data Rep. Mauritius'!$J66*'Activity Data Rep. Mauritius'!$F66)/1000,"NA")</f>
        <v>77.673960000000008</v>
      </c>
      <c r="AF67" s="39">
        <f>IFERROR(('Activity Data Rep. Mauritius'!X66*'Activity Data Rep. Mauritius'!$J66*'Activity Data Rep. Mauritius'!$F66)/1000,"NA")</f>
        <v>76.452479999999994</v>
      </c>
      <c r="AG67" s="39">
        <f>IFERROR(('Activity Data Rep. Mauritius'!Y66*'Activity Data Rep. Mauritius'!$J66*'Activity Data Rep. Mauritius'!$F66)/1000,"NA")</f>
        <v>74.89403999999999</v>
      </c>
      <c r="AH67" s="39">
        <f>IFERROR(('Activity Data Rep. Mauritius'!Z66*'Activity Data Rep. Mauritius'!$J66*'Activity Data Rep. Mauritius'!$F66)/1000,"NA")</f>
        <v>72.380880000000005</v>
      </c>
      <c r="AI67" s="39">
        <f>IFERROR(('Activity Data Rep. Mauritius'!AA66*'Activity Data Rep. Mauritius'!$J66*'Activity Data Rep. Mauritius'!$F66)/1000,"NA")</f>
        <v>67.995720000000006</v>
      </c>
      <c r="AJ67" s="39">
        <f>IFERROR(('Activity Data Rep. Mauritius'!AB66*'Activity Data Rep. Mauritius'!$J66*'Activity Data Rep. Mauritius'!$F66)/1000,"NA")</f>
        <v>63.764999999999993</v>
      </c>
      <c r="AK67" s="86">
        <f>IFERROR(('Activity Data Rep. Mauritius'!AC66*'Activity Data Rep. Mauritius'!$J66*'Activity Data Rep. Mauritius'!$F66)/1000,"NA")</f>
        <v>63.479519999999994</v>
      </c>
      <c r="AL67" s="500">
        <f>IFERROR(('Activity Data Rep. Mauritius'!M66*'Activity Data Rep. Mauritius'!$J66*'Activity Data Rep. Mauritius'!$G66)/1000,"NA")</f>
        <v>0.99839999999999995</v>
      </c>
      <c r="AM67" s="39">
        <f>IFERROR(('Activity Data Rep. Mauritius'!N66*'Activity Data Rep. Mauritius'!$J66*'Activity Data Rep. Mauritius'!$G66)/1000,"NA")</f>
        <v>0.99215999999999993</v>
      </c>
      <c r="AN67" s="39">
        <f>IFERROR(('Activity Data Rep. Mauritius'!O66*'Activity Data Rep. Mauritius'!$J66*'Activity Data Rep. Mauritius'!$G66)/1000,"NA")</f>
        <v>0.98903999999999992</v>
      </c>
      <c r="AO67" s="39">
        <f>IFERROR(('Activity Data Rep. Mauritius'!P66*'Activity Data Rep. Mauritius'!$J66*'Activity Data Rep. Mauritius'!$G66)/1000,"NA")</f>
        <v>0.98467199999999988</v>
      </c>
      <c r="AP67" s="39">
        <f>IFERROR(('Activity Data Rep. Mauritius'!Q66*'Activity Data Rep. Mauritius'!$J66*'Activity Data Rep. Mauritius'!$G66)/1000,"NA")</f>
        <v>0.99465599999999998</v>
      </c>
      <c r="AQ67" s="39">
        <f>IFERROR(('Activity Data Rep. Mauritius'!R66*'Activity Data Rep. Mauritius'!$J66*'Activity Data Rep. Mauritius'!$G66)/1000,"NA")</f>
        <v>1.0320959999999999</v>
      </c>
      <c r="AR67" s="39">
        <f>IFERROR(('Activity Data Rep. Mauritius'!S66*'Activity Data Rep. Mauritius'!$J66*'Activity Data Rep. Mauritius'!$G66)/1000,"NA")</f>
        <v>1.0903152</v>
      </c>
      <c r="AS67" s="39">
        <f>IFERROR(('Activity Data Rep. Mauritius'!T66*'Activity Data Rep. Mauritius'!$J66*'Activity Data Rep. Mauritius'!$G66)/1000,"NA")</f>
        <v>1.0918128</v>
      </c>
      <c r="AT67" s="39">
        <f>IFERROR(('Activity Data Rep. Mauritius'!U66*'Activity Data Rep. Mauritius'!$J66*'Activity Data Rep. Mauritius'!$G66)/1000,"NA")</f>
        <v>1.0437023999999999</v>
      </c>
      <c r="AU67" s="39">
        <f>IFERROR(('Activity Data Rep. Mauritius'!V66*'Activity Data Rep. Mauritius'!$J66*'Activity Data Rep. Mauritius'!$G66)/1000,"NA")</f>
        <v>1.0370256</v>
      </c>
      <c r="AV67" s="39">
        <f>IFERROR(('Activity Data Rep. Mauritius'!W66*'Activity Data Rep. Mauritius'!$J66*'Activity Data Rep. Mauritius'!$G66)/1000,"NA")</f>
        <v>1.0356528</v>
      </c>
      <c r="AW67" s="39">
        <f>IFERROR(('Activity Data Rep. Mauritius'!X66*'Activity Data Rep. Mauritius'!$J66*'Activity Data Rep. Mauritius'!$G66)/1000,"NA")</f>
        <v>1.0193663999999998</v>
      </c>
      <c r="AX67" s="39">
        <f>IFERROR(('Activity Data Rep. Mauritius'!Y66*'Activity Data Rep. Mauritius'!$J66*'Activity Data Rep. Mauritius'!$G66)/1000,"NA")</f>
        <v>0.9985871999999999</v>
      </c>
      <c r="AY67" s="39">
        <f>IFERROR(('Activity Data Rep. Mauritius'!Z66*'Activity Data Rep. Mauritius'!$J66*'Activity Data Rep. Mauritius'!$G66)/1000,"NA")</f>
        <v>0.9650784</v>
      </c>
      <c r="AZ67" s="39">
        <f>IFERROR(('Activity Data Rep. Mauritius'!AA66*'Activity Data Rep. Mauritius'!$J66*'Activity Data Rep. Mauritius'!$G66)/1000,"NA")</f>
        <v>0.90660960000000002</v>
      </c>
      <c r="BA67" s="39">
        <f>IFERROR(('Activity Data Rep. Mauritius'!AB66*'Activity Data Rep. Mauritius'!$J66*'Activity Data Rep. Mauritius'!$G66)/1000,"NA")</f>
        <v>0.85019999999999996</v>
      </c>
      <c r="BB67" s="86">
        <f>IFERROR(('Activity Data Rep. Mauritius'!AC66*'Activity Data Rep. Mauritius'!$J66*'Activity Data Rep. Mauritius'!$G66)/1000,"NA")</f>
        <v>0.84639359999999997</v>
      </c>
      <c r="BC67" s="85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86"/>
    </row>
    <row r="68" spans="2:71" x14ac:dyDescent="0.35">
      <c r="B68" s="639"/>
      <c r="C68" s="364" t="s">
        <v>44</v>
      </c>
      <c r="D68" s="85">
        <f>IFERROR(('Activity Data Rep. Mauritius'!M67*'Activity Data Rep. Mauritius'!$J67*'Activity Data Rep. Mauritius'!$E67)/1000,"NA")</f>
        <v>495.6</v>
      </c>
      <c r="E68" s="39">
        <f>IFERROR(('Activity Data Rep. Mauritius'!N67*'Activity Data Rep. Mauritius'!$J67*'Activity Data Rep. Mauritius'!$E67)/1000,"NA")</f>
        <v>495.6</v>
      </c>
      <c r="F68" s="39">
        <f>IFERROR(('Activity Data Rep. Mauritius'!O67*'Activity Data Rep. Mauritius'!$J67*'Activity Data Rep. Mauritius'!$E67)/1000,"NA")</f>
        <v>429.52</v>
      </c>
      <c r="G68" s="39">
        <f>IFERROR(('Activity Data Rep. Mauritius'!P67*'Activity Data Rep. Mauritius'!$J67*'Activity Data Rep. Mauritius'!$E67)/1000,"NA")</f>
        <v>413</v>
      </c>
      <c r="H68" s="39">
        <f>IFERROR(('Activity Data Rep. Mauritius'!Q67*'Activity Data Rep. Mauritius'!$J67*'Activity Data Rep. Mauritius'!$E67)/1000,"NA")</f>
        <v>396.48</v>
      </c>
      <c r="I68" s="39">
        <f>IFERROR(('Activity Data Rep. Mauritius'!R67*'Activity Data Rep. Mauritius'!$J67*'Activity Data Rep. Mauritius'!$E67)/1000,"NA")</f>
        <v>429.52</v>
      </c>
      <c r="J68" s="39">
        <f>IFERROR(('Activity Data Rep. Mauritius'!S67*'Activity Data Rep. Mauritius'!$J67*'Activity Data Rep. Mauritius'!$E67)/1000,"NA")</f>
        <v>406.392</v>
      </c>
      <c r="K68" s="39">
        <f>IFERROR(('Activity Data Rep. Mauritius'!T67*'Activity Data Rep. Mauritius'!$J67*'Activity Data Rep. Mauritius'!$E67)/1000,"NA")</f>
        <v>416.30399999999997</v>
      </c>
      <c r="L68" s="39">
        <f>IFERROR(('Activity Data Rep. Mauritius'!U67*'Activity Data Rep. Mauritius'!$J67*'Activity Data Rep. Mauritius'!$E67)/1000,"NA")</f>
        <v>393.17599999999999</v>
      </c>
      <c r="M68" s="39">
        <f>IFERROR(('Activity Data Rep. Mauritius'!V67*'Activity Data Rep. Mauritius'!$J67*'Activity Data Rep. Mauritius'!$E67)/1000,"NA")</f>
        <v>393.17599999999999</v>
      </c>
      <c r="N68" s="39">
        <f>IFERROR(('Activity Data Rep. Mauritius'!W67*'Activity Data Rep. Mauritius'!$J67*'Activity Data Rep. Mauritius'!$E67)/1000,"NA")</f>
        <v>393.17599999999999</v>
      </c>
      <c r="O68" s="39">
        <f>IFERROR(('Activity Data Rep. Mauritius'!X67*'Activity Data Rep. Mauritius'!$J67*'Activity Data Rep. Mauritius'!$E67)/1000,"NA")</f>
        <v>383.26400000000001</v>
      </c>
      <c r="P68" s="39">
        <f>IFERROR(('Activity Data Rep. Mauritius'!Y67*'Activity Data Rep. Mauritius'!$J67*'Activity Data Rep. Mauritius'!$E67)/1000,"NA")</f>
        <v>376.65600000000001</v>
      </c>
      <c r="Q68" s="39">
        <f>IFERROR(('Activity Data Rep. Mauritius'!Z67*'Activity Data Rep. Mauritius'!$J67*'Activity Data Rep. Mauritius'!$E67)/1000,"NA")</f>
        <v>366.74400000000003</v>
      </c>
      <c r="R68" s="39">
        <f>IFERROR(('Activity Data Rep. Mauritius'!AA67*'Activity Data Rep. Mauritius'!$J67*'Activity Data Rep. Mauritius'!$E67)/1000,"NA")</f>
        <v>340.31200000000001</v>
      </c>
      <c r="S68" s="39">
        <f>IFERROR(('Activity Data Rep. Mauritius'!AB67*'Activity Data Rep. Mauritius'!$J67*'Activity Data Rep. Mauritius'!$E67)/1000,"NA")</f>
        <v>323.79199999999997</v>
      </c>
      <c r="T68" s="86">
        <f>IFERROR(('Activity Data Rep. Mauritius'!AC67*'Activity Data Rep. Mauritius'!$J67*'Activity Data Rep. Mauritius'!$E67)/1000,"NA")</f>
        <v>313.88</v>
      </c>
      <c r="U68" s="85">
        <f>IFERROR(('Activity Data Rep. Mauritius'!M67*'Activity Data Rep. Mauritius'!$J67*'Activity Data Rep. Mauritius'!$F67)/1000,"NA")</f>
        <v>0.88500000000000001</v>
      </c>
      <c r="V68" s="39">
        <f>IFERROR(('Activity Data Rep. Mauritius'!N67*'Activity Data Rep. Mauritius'!$J67*'Activity Data Rep. Mauritius'!$F67)/1000,"NA")</f>
        <v>0.88500000000000001</v>
      </c>
      <c r="W68" s="39">
        <f>IFERROR(('Activity Data Rep. Mauritius'!O67*'Activity Data Rep. Mauritius'!$J67*'Activity Data Rep. Mauritius'!$F67)/1000,"NA")</f>
        <v>0.76700000000000002</v>
      </c>
      <c r="X68" s="39">
        <f>IFERROR(('Activity Data Rep. Mauritius'!P67*'Activity Data Rep. Mauritius'!$J67*'Activity Data Rep. Mauritius'!$F67)/1000,"NA")</f>
        <v>0.73750000000000004</v>
      </c>
      <c r="Y68" s="39">
        <f>IFERROR(('Activity Data Rep. Mauritius'!Q67*'Activity Data Rep. Mauritius'!$J67*'Activity Data Rep. Mauritius'!$F67)/1000,"NA")</f>
        <v>0.70799999999999996</v>
      </c>
      <c r="Z68" s="39">
        <f>IFERROR(('Activity Data Rep. Mauritius'!R67*'Activity Data Rep. Mauritius'!$J67*'Activity Data Rep. Mauritius'!$F67)/1000,"NA")</f>
        <v>0.76700000000000002</v>
      </c>
      <c r="AA68" s="39">
        <f>IFERROR(('Activity Data Rep. Mauritius'!S67*'Activity Data Rep. Mauritius'!$J67*'Activity Data Rep. Mauritius'!$F67)/1000,"NA")</f>
        <v>0.7256999999999999</v>
      </c>
      <c r="AB68" s="39">
        <f>IFERROR(('Activity Data Rep. Mauritius'!T67*'Activity Data Rep. Mauritius'!$J67*'Activity Data Rep. Mauritius'!$F67)/1000,"NA")</f>
        <v>0.74339999999999995</v>
      </c>
      <c r="AC68" s="39">
        <f>IFERROR(('Activity Data Rep. Mauritius'!U67*'Activity Data Rep. Mauritius'!$J67*'Activity Data Rep. Mauritius'!$F67)/1000,"NA")</f>
        <v>0.70210000000000006</v>
      </c>
      <c r="AD68" s="39">
        <f>IFERROR(('Activity Data Rep. Mauritius'!V67*'Activity Data Rep. Mauritius'!$J67*'Activity Data Rep. Mauritius'!$F67)/1000,"NA")</f>
        <v>0.70210000000000006</v>
      </c>
      <c r="AE68" s="39">
        <f>IFERROR(('Activity Data Rep. Mauritius'!W67*'Activity Data Rep. Mauritius'!$J67*'Activity Data Rep. Mauritius'!$F67)/1000,"NA")</f>
        <v>0.70210000000000006</v>
      </c>
      <c r="AF68" s="39">
        <f>IFERROR(('Activity Data Rep. Mauritius'!X67*'Activity Data Rep. Mauritius'!$J67*'Activity Data Rep. Mauritius'!$F67)/1000,"NA")</f>
        <v>0.68440000000000001</v>
      </c>
      <c r="AG68" s="39">
        <f>IFERROR(('Activity Data Rep. Mauritius'!Y67*'Activity Data Rep. Mauritius'!$J67*'Activity Data Rep. Mauritius'!$F67)/1000,"NA")</f>
        <v>0.67259999999999998</v>
      </c>
      <c r="AH68" s="39">
        <f>IFERROR(('Activity Data Rep. Mauritius'!Z67*'Activity Data Rep. Mauritius'!$J67*'Activity Data Rep. Mauritius'!$F67)/1000,"NA")</f>
        <v>0.65490000000000004</v>
      </c>
      <c r="AI68" s="39">
        <f>IFERROR(('Activity Data Rep. Mauritius'!AA67*'Activity Data Rep. Mauritius'!$J67*'Activity Data Rep. Mauritius'!$F67)/1000,"NA")</f>
        <v>0.60770000000000002</v>
      </c>
      <c r="AJ68" s="39">
        <f>IFERROR(('Activity Data Rep. Mauritius'!AB67*'Activity Data Rep. Mauritius'!$J67*'Activity Data Rep. Mauritius'!$F67)/1000,"NA")</f>
        <v>0.57820000000000005</v>
      </c>
      <c r="AK68" s="86">
        <f>IFERROR(('Activity Data Rep. Mauritius'!AC67*'Activity Data Rep. Mauritius'!$J67*'Activity Data Rep. Mauritius'!$F67)/1000,"NA")</f>
        <v>0.5605</v>
      </c>
      <c r="AL68" s="500">
        <f>IFERROR(('Activity Data Rep. Mauritius'!M67*'Activity Data Rep. Mauritius'!$J67*'Activity Data Rep. Mauritius'!$G67)/1000,"NA")</f>
        <v>4.4250000000000001E-3</v>
      </c>
      <c r="AM68" s="39">
        <f>IFERROR(('Activity Data Rep. Mauritius'!N67*'Activity Data Rep. Mauritius'!$J67*'Activity Data Rep. Mauritius'!$G67)/1000,"NA")</f>
        <v>4.4250000000000001E-3</v>
      </c>
      <c r="AN68" s="39">
        <f>IFERROR(('Activity Data Rep. Mauritius'!O67*'Activity Data Rep. Mauritius'!$J67*'Activity Data Rep. Mauritius'!$G67)/1000,"NA")</f>
        <v>3.8349999999999999E-3</v>
      </c>
      <c r="AO68" s="39">
        <f>IFERROR(('Activity Data Rep. Mauritius'!P67*'Activity Data Rep. Mauritius'!$J67*'Activity Data Rep. Mauritius'!$G67)/1000,"NA")</f>
        <v>3.6874999999999998E-3</v>
      </c>
      <c r="AP68" s="39">
        <f>IFERROR(('Activity Data Rep. Mauritius'!Q67*'Activity Data Rep. Mauritius'!$J67*'Activity Data Rep. Mauritius'!$G67)/1000,"NA")</f>
        <v>3.5400000000000002E-3</v>
      </c>
      <c r="AQ68" s="39">
        <f>IFERROR(('Activity Data Rep. Mauritius'!R67*'Activity Data Rep. Mauritius'!$J67*'Activity Data Rep. Mauritius'!$G67)/1000,"NA")</f>
        <v>3.8349999999999999E-3</v>
      </c>
      <c r="AR68" s="39">
        <f>IFERROR(('Activity Data Rep. Mauritius'!S67*'Activity Data Rep. Mauritius'!$J67*'Activity Data Rep. Mauritius'!$G67)/1000,"NA")</f>
        <v>3.6284999999999998E-3</v>
      </c>
      <c r="AS68" s="39">
        <f>IFERROR(('Activity Data Rep. Mauritius'!T67*'Activity Data Rep. Mauritius'!$J67*'Activity Data Rep. Mauritius'!$G67)/1000,"NA")</f>
        <v>3.7170000000000003E-3</v>
      </c>
      <c r="AT68" s="39">
        <f>IFERROR(('Activity Data Rep. Mauritius'!U67*'Activity Data Rep. Mauritius'!$J67*'Activity Data Rep. Mauritius'!$G67)/1000,"NA")</f>
        <v>3.5105000000000002E-3</v>
      </c>
      <c r="AU68" s="39">
        <f>IFERROR(('Activity Data Rep. Mauritius'!V67*'Activity Data Rep. Mauritius'!$J67*'Activity Data Rep. Mauritius'!$G67)/1000,"NA")</f>
        <v>3.5105000000000002E-3</v>
      </c>
      <c r="AV68" s="39">
        <f>IFERROR(('Activity Data Rep. Mauritius'!W67*'Activity Data Rep. Mauritius'!$J67*'Activity Data Rep. Mauritius'!$G67)/1000,"NA")</f>
        <v>3.5105000000000002E-3</v>
      </c>
      <c r="AW68" s="39">
        <f>IFERROR(('Activity Data Rep. Mauritius'!X67*'Activity Data Rep. Mauritius'!$J67*'Activity Data Rep. Mauritius'!$G67)/1000,"NA")</f>
        <v>3.4220000000000001E-3</v>
      </c>
      <c r="AX68" s="39">
        <f>IFERROR(('Activity Data Rep. Mauritius'!Y67*'Activity Data Rep. Mauritius'!$J67*'Activity Data Rep. Mauritius'!$G67)/1000,"NA")</f>
        <v>3.3630000000000001E-3</v>
      </c>
      <c r="AY68" s="39">
        <f>IFERROR(('Activity Data Rep. Mauritius'!Z67*'Activity Data Rep. Mauritius'!$J67*'Activity Data Rep. Mauritius'!$G67)/1000,"NA")</f>
        <v>3.2745000000000001E-3</v>
      </c>
      <c r="AZ68" s="39">
        <f>IFERROR(('Activity Data Rep. Mauritius'!AA67*'Activity Data Rep. Mauritius'!$J67*'Activity Data Rep. Mauritius'!$G67)/1000,"NA")</f>
        <v>3.0385E-3</v>
      </c>
      <c r="BA68" s="39">
        <f>IFERROR(('Activity Data Rep. Mauritius'!AB67*'Activity Data Rep. Mauritius'!$J67*'Activity Data Rep. Mauritius'!$G67)/1000,"NA")</f>
        <v>2.8909999999999999E-3</v>
      </c>
      <c r="BB68" s="86">
        <f>IFERROR(('Activity Data Rep. Mauritius'!AC67*'Activity Data Rep. Mauritius'!$J67*'Activity Data Rep. Mauritius'!$G67)/1000,"NA")</f>
        <v>2.8025000000000003E-3</v>
      </c>
      <c r="BC68" s="85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86"/>
    </row>
    <row r="69" spans="2:71" x14ac:dyDescent="0.35">
      <c r="B69" s="259" t="s">
        <v>47</v>
      </c>
      <c r="C69" s="364" t="s">
        <v>41</v>
      </c>
      <c r="D69" s="85">
        <f>IFERROR(('Activity Data Rep. Mauritius'!M68*'Activity Data Rep. Mauritius'!$J68*'Activity Data Rep. Mauritius'!$E68)/1000,"NA")</f>
        <v>7880.1496799999995</v>
      </c>
      <c r="E69" s="39">
        <f>IFERROR(('Activity Data Rep. Mauritius'!N68*'Activity Data Rep. Mauritius'!$J68*'Activity Data Rep. Mauritius'!$E68)/1000,"NA")</f>
        <v>8955.0072299999993</v>
      </c>
      <c r="F69" s="39">
        <f>IFERROR(('Activity Data Rep. Mauritius'!O68*'Activity Data Rep. Mauritius'!$J68*'Activity Data Rep. Mauritius'!$E68)/1000,"NA")</f>
        <v>8823.4575000000004</v>
      </c>
      <c r="G69" s="39">
        <f>IFERROR(('Activity Data Rep. Mauritius'!P68*'Activity Data Rep. Mauritius'!$J68*'Activity Data Rep. Mauritius'!$E68)/1000,"NA")</f>
        <v>9397.7843699999994</v>
      </c>
      <c r="H69" s="39">
        <f>IFERROR(('Activity Data Rep. Mauritius'!Q68*'Activity Data Rep. Mauritius'!$J68*'Activity Data Rep. Mauritius'!$E68)/1000,"NA")</f>
        <v>10097.243910000001</v>
      </c>
      <c r="I69" s="39">
        <f>IFERROR(('Activity Data Rep. Mauritius'!R68*'Activity Data Rep. Mauritius'!$J68*'Activity Data Rep. Mauritius'!$E68)/1000,"NA")</f>
        <v>9609.5473500000007</v>
      </c>
      <c r="J69" s="39">
        <f>IFERROR(('Activity Data Rep. Mauritius'!S68*'Activity Data Rep. Mauritius'!$J68*'Activity Data Rep. Mauritius'!$E68)/1000,"NA")</f>
        <v>9782.807969999998</v>
      </c>
      <c r="K69" s="39">
        <f>IFERROR(('Activity Data Rep. Mauritius'!T68*'Activity Data Rep. Mauritius'!$J68*'Activity Data Rep. Mauritius'!$E68)/1000,"NA")</f>
        <v>9959.1924876560915</v>
      </c>
      <c r="L69" s="39">
        <f>IFERROR(('Activity Data Rep. Mauritius'!U68*'Activity Data Rep. Mauritius'!$J68*'Activity Data Rep. Mauritius'!$E68)/1000,"NA")</f>
        <v>10138.757226999474</v>
      </c>
      <c r="M69" s="39">
        <f>IFERROR(('Activity Data Rep. Mauritius'!V68*'Activity Data Rep. Mauritius'!$J68*'Activity Data Rep. Mauritius'!$E68)/1000,"NA")</f>
        <v>10321.559527586443</v>
      </c>
      <c r="N69" s="39">
        <f>IFERROR(('Activity Data Rep. Mauritius'!W68*'Activity Data Rep. Mauritius'!$J68*'Activity Data Rep. Mauritius'!$E68)/1000,"NA")</f>
        <v>10507.657762808367</v>
      </c>
      <c r="O69" s="39">
        <f>IFERROR(('Activity Data Rep. Mauritius'!X68*'Activity Data Rep. Mauritius'!$J68*'Activity Data Rep. Mauritius'!$E68)/1000,"NA")</f>
        <v>10697.111358531793</v>
      </c>
      <c r="P69" s="39">
        <f>IFERROR(('Activity Data Rep. Mauritius'!Y68*'Activity Data Rep. Mauritius'!$J68*'Activity Data Rep. Mauritius'!$E68)/1000,"NA")</f>
        <v>10889.980812074602</v>
      </c>
      <c r="Q69" s="39">
        <f>IFERROR(('Activity Data Rep. Mauritius'!Z68*'Activity Data Rep. Mauritius'!$J68*'Activity Data Rep. Mauritius'!$E68)/1000,"NA")</f>
        <v>11086.327711524362</v>
      </c>
      <c r="R69" s="39">
        <f>IFERROR(('Activity Data Rep. Mauritius'!AA68*'Activity Data Rep. Mauritius'!$J68*'Activity Data Rep. Mauritius'!$E68)/1000,"NA")</f>
        <v>7325.073989999999</v>
      </c>
      <c r="S69" s="39">
        <f>IFERROR(('Activity Data Rep. Mauritius'!AB68*'Activity Data Rep. Mauritius'!$J68*'Activity Data Rep. Mauritius'!$E68)/1000,"NA")</f>
        <v>7398.8701799999999</v>
      </c>
      <c r="T69" s="86">
        <f>IFERROR(('Activity Data Rep. Mauritius'!AC68*'Activity Data Rep. Mauritius'!$J68*'Activity Data Rep. Mauritius'!$E68)/1000,"NA")</f>
        <v>7273.737509999999</v>
      </c>
      <c r="U69" s="85">
        <f>IFERROR(('Activity Data Rep. Mauritius'!M68*'Activity Data Rep. Mauritius'!$J68*'Activity Data Rep. Mauritius'!$F68)/1000,"NA")</f>
        <v>1.0634479999999999</v>
      </c>
      <c r="V69" s="39">
        <f>IFERROR(('Activity Data Rep. Mauritius'!N68*'Activity Data Rep. Mauritius'!$J68*'Activity Data Rep. Mauritius'!$F68)/1000,"NA")</f>
        <v>1.2085029999999999</v>
      </c>
      <c r="W69" s="39">
        <f>IFERROR(('Activity Data Rep. Mauritius'!O68*'Activity Data Rep. Mauritius'!$J68*'Activity Data Rep. Mauritius'!$F68)/1000,"NA")</f>
        <v>1.19075</v>
      </c>
      <c r="X69" s="39">
        <f>IFERROR(('Activity Data Rep. Mauritius'!P68*'Activity Data Rep. Mauritius'!$J68*'Activity Data Rep. Mauritius'!$F68)/1000,"NA")</f>
        <v>1.2682569999999997</v>
      </c>
      <c r="Y69" s="39">
        <f>IFERROR(('Activity Data Rep. Mauritius'!Q68*'Activity Data Rep. Mauritius'!$J68*'Activity Data Rep. Mauritius'!$F68)/1000,"NA")</f>
        <v>1.3626509999999998</v>
      </c>
      <c r="Z69" s="39">
        <f>IFERROR(('Activity Data Rep. Mauritius'!R68*'Activity Data Rep. Mauritius'!$J68*'Activity Data Rep. Mauritius'!$F68)/1000,"NA")</f>
        <v>1.296835</v>
      </c>
      <c r="AA69" s="39">
        <f>IFERROR(('Activity Data Rep. Mauritius'!S68*'Activity Data Rep. Mauritius'!$J68*'Activity Data Rep. Mauritius'!$F68)/1000,"NA")</f>
        <v>1.320217</v>
      </c>
      <c r="AB69" s="39">
        <f>IFERROR(('Activity Data Rep. Mauritius'!T68*'Activity Data Rep. Mauritius'!$J68*'Activity Data Rep. Mauritius'!$F68)/1000,"NA")</f>
        <v>1.3440205786310517</v>
      </c>
      <c r="AC69" s="39">
        <f>IFERROR(('Activity Data Rep. Mauritius'!U68*'Activity Data Rep. Mauritius'!$J68*'Activity Data Rep. Mauritius'!$F68)/1000,"NA")</f>
        <v>1.3682533369769871</v>
      </c>
      <c r="AD69" s="39">
        <f>IFERROR(('Activity Data Rep. Mauritius'!V68*'Activity Data Rep. Mauritius'!$J68*'Activity Data Rep. Mauritius'!$F68)/1000,"NA")</f>
        <v>1.3929230131695605</v>
      </c>
      <c r="AE69" s="39">
        <f>IFERROR(('Activity Data Rep. Mauritius'!W68*'Activity Data Rep. Mauritius'!$J68*'Activity Data Rep. Mauritius'!$F68)/1000,"NA")</f>
        <v>1.4180374848594288</v>
      </c>
      <c r="AF69" s="39">
        <f>IFERROR(('Activity Data Rep. Mauritius'!X68*'Activity Data Rep. Mauritius'!$J68*'Activity Data Rep. Mauritius'!$F68)/1000,"NA")</f>
        <v>1.443604771731686</v>
      </c>
      <c r="AG69" s="39">
        <f>IFERROR(('Activity Data Rep. Mauritius'!Y68*'Activity Data Rep. Mauritius'!$J68*'Activity Data Rep. Mauritius'!$F68)/1000,"NA")</f>
        <v>1.4696330380667477</v>
      </c>
      <c r="AH69" s="39">
        <f>IFERROR(('Activity Data Rep. Mauritius'!Z68*'Activity Data Rep. Mauritius'!$J68*'Activity Data Rep. Mauritius'!$F68)/1000,"NA")</f>
        <v>1.4961305953474173</v>
      </c>
      <c r="AI69" s="39">
        <f>IFERROR(('Activity Data Rep. Mauritius'!AA68*'Activity Data Rep. Mauritius'!$J68*'Activity Data Rep. Mauritius'!$F68)/1000,"NA")</f>
        <v>0.98853899999999995</v>
      </c>
      <c r="AJ69" s="39">
        <f>IFERROR(('Activity Data Rep. Mauritius'!AB68*'Activity Data Rep. Mauritius'!$J68*'Activity Data Rep. Mauritius'!$F68)/1000,"NA")</f>
        <v>0.998498</v>
      </c>
      <c r="AK69" s="86">
        <f>IFERROR(('Activity Data Rep. Mauritius'!AC68*'Activity Data Rep. Mauritius'!$J68*'Activity Data Rep. Mauritius'!$F68)/1000,"NA")</f>
        <v>0.9816109999999999</v>
      </c>
      <c r="AL69" s="500">
        <f>IFERROR(('Activity Data Rep. Mauritius'!M68*'Activity Data Rep. Mauritius'!$J68*'Activity Data Rep. Mauritius'!$G68)/1000,"NA")</f>
        <v>6.3806879999999996E-2</v>
      </c>
      <c r="AM69" s="39">
        <f>IFERROR(('Activity Data Rep. Mauritius'!N68*'Activity Data Rep. Mauritius'!$J68*'Activity Data Rep. Mauritius'!$G68)/1000,"NA")</f>
        <v>7.2510179999999994E-2</v>
      </c>
      <c r="AN69" s="39">
        <f>IFERROR(('Activity Data Rep. Mauritius'!O68*'Activity Data Rep. Mauritius'!$J68*'Activity Data Rep. Mauritius'!$G68)/1000,"NA")</f>
        <v>7.1444999999999995E-2</v>
      </c>
      <c r="AO69" s="39">
        <f>IFERROR(('Activity Data Rep. Mauritius'!P68*'Activity Data Rep. Mauritius'!$J68*'Activity Data Rep. Mauritius'!$G68)/1000,"NA")</f>
        <v>7.6095419999999997E-2</v>
      </c>
      <c r="AP69" s="39">
        <f>IFERROR(('Activity Data Rep. Mauritius'!Q68*'Activity Data Rep. Mauritius'!$J68*'Activity Data Rep. Mauritius'!$G68)/1000,"NA")</f>
        <v>8.1759059999999995E-2</v>
      </c>
      <c r="AQ69" s="39">
        <f>IFERROR(('Activity Data Rep. Mauritius'!R68*'Activity Data Rep. Mauritius'!$J68*'Activity Data Rep. Mauritius'!$G68)/1000,"NA")</f>
        <v>7.7810100000000007E-2</v>
      </c>
      <c r="AR69" s="39">
        <f>IFERROR(('Activity Data Rep. Mauritius'!S68*'Activity Data Rep. Mauritius'!$J68*'Activity Data Rep. Mauritius'!$G68)/1000,"NA")</f>
        <v>7.9213019999999981E-2</v>
      </c>
      <c r="AS69" s="39">
        <f>IFERROR(('Activity Data Rep. Mauritius'!T68*'Activity Data Rep. Mauritius'!$J68*'Activity Data Rep. Mauritius'!$G68)/1000,"NA")</f>
        <v>8.0641234717863094E-2</v>
      </c>
      <c r="AT69" s="39">
        <f>IFERROR(('Activity Data Rep. Mauritius'!U68*'Activity Data Rep. Mauritius'!$J68*'Activity Data Rep. Mauritius'!$G68)/1000,"NA")</f>
        <v>8.2095200218619227E-2</v>
      </c>
      <c r="AU69" s="39">
        <f>IFERROR(('Activity Data Rep. Mauritius'!V68*'Activity Data Rep. Mauritius'!$J68*'Activity Data Rep. Mauritius'!$G68)/1000,"NA")</f>
        <v>8.3575380790173626E-2</v>
      </c>
      <c r="AV69" s="39">
        <f>IFERROR(('Activity Data Rep. Mauritius'!W68*'Activity Data Rep. Mauritius'!$J68*'Activity Data Rep. Mauritius'!$G68)/1000,"NA")</f>
        <v>8.5082249091565726E-2</v>
      </c>
      <c r="AW69" s="39">
        <f>IFERROR(('Activity Data Rep. Mauritius'!X68*'Activity Data Rep. Mauritius'!$J68*'Activity Data Rep. Mauritius'!$G68)/1000,"NA")</f>
        <v>8.6616286303901155E-2</v>
      </c>
      <c r="AX69" s="39">
        <f>IFERROR(('Activity Data Rep. Mauritius'!Y68*'Activity Data Rep. Mauritius'!$J68*'Activity Data Rep. Mauritius'!$G68)/1000,"NA")</f>
        <v>8.8177982284004863E-2</v>
      </c>
      <c r="AY69" s="39">
        <f>IFERROR(('Activity Data Rep. Mauritius'!Z68*'Activity Data Rep. Mauritius'!$J68*'Activity Data Rep. Mauritius'!$G68)/1000,"NA")</f>
        <v>8.9767835720845027E-2</v>
      </c>
      <c r="AZ69" s="39">
        <f>IFERROR(('Activity Data Rep. Mauritius'!AA68*'Activity Data Rep. Mauritius'!$J68*'Activity Data Rep. Mauritius'!$G68)/1000,"NA")</f>
        <v>5.9312339999999991E-2</v>
      </c>
      <c r="BA69" s="39">
        <f>IFERROR(('Activity Data Rep. Mauritius'!AB68*'Activity Data Rep. Mauritius'!$J68*'Activity Data Rep. Mauritius'!$G68)/1000,"NA")</f>
        <v>5.9909879999999999E-2</v>
      </c>
      <c r="BB69" s="86">
        <f>IFERROR(('Activity Data Rep. Mauritius'!AC68*'Activity Data Rep. Mauritius'!$J68*'Activity Data Rep. Mauritius'!$G68)/1000,"NA")</f>
        <v>5.889665999999999E-2</v>
      </c>
      <c r="BC69" s="85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86"/>
    </row>
    <row r="70" spans="2:71" s="110" customFormat="1" x14ac:dyDescent="0.35">
      <c r="B70" s="643" t="s">
        <v>339</v>
      </c>
      <c r="C70" s="364" t="s">
        <v>136</v>
      </c>
      <c r="D70" s="85">
        <f>IFERROR(('Activity Data Rep. Mauritius'!M69*'Activity Data Rep. Mauritius'!$J69*'Activity Data Rep. Mauritius'!$E69)/1000,"NA")</f>
        <v>27708.912000000004</v>
      </c>
      <c r="E70" s="39">
        <f>IFERROR(('Activity Data Rep. Mauritius'!N69*'Activity Data Rep. Mauritius'!$J69*'Activity Data Rep. Mauritius'!$E69)/1000,"NA")</f>
        <v>28050.422399999999</v>
      </c>
      <c r="F70" s="39">
        <f>IFERROR(('Activity Data Rep. Mauritius'!O69*'Activity Data Rep. Mauritius'!$J69*'Activity Data Rep. Mauritius'!$E69)/1000,"NA")</f>
        <v>28252.223999999995</v>
      </c>
      <c r="G70" s="39">
        <f>IFERROR(('Activity Data Rep. Mauritius'!P69*'Activity Data Rep. Mauritius'!$J69*'Activity Data Rep. Mauritius'!$E69)/1000,"NA")</f>
        <v>36122.486400000002</v>
      </c>
      <c r="H70" s="39">
        <f>IFERROR(('Activity Data Rep. Mauritius'!Q69*'Activity Data Rep. Mauritius'!$J69*'Activity Data Rep. Mauritius'!$E69)/1000,"NA")</f>
        <v>27646.819199999994</v>
      </c>
      <c r="I70" s="39">
        <f>IFERROR(('Activity Data Rep. Mauritius'!R69*'Activity Data Rep. Mauritius'!$J69*'Activity Data Rep. Mauritius'!$E69)/1000,"NA")</f>
        <v>29059.430399999997</v>
      </c>
      <c r="J70" s="39">
        <f>IFERROR(('Activity Data Rep. Mauritius'!S69*'Activity Data Rep. Mauritius'!$J69*'Activity Data Rep. Mauritius'!$E69)/1000,"NA")</f>
        <v>31077.446399999997</v>
      </c>
      <c r="K70" s="39">
        <f>IFERROR(('Activity Data Rep. Mauritius'!T69*'Activity Data Rep. Mauritius'!$J69*'Activity Data Rep. Mauritius'!$E69)/1000,"NA")</f>
        <v>30593.481540102101</v>
      </c>
      <c r="L70" s="39">
        <f>IFERROR(('Activity Data Rep. Mauritius'!U69*'Activity Data Rep. Mauritius'!$J69*'Activity Data Rep. Mauritius'!$E69)/1000,"NA")</f>
        <v>38937.158323766307</v>
      </c>
      <c r="M70" s="39">
        <f>IFERROR(('Activity Data Rep. Mauritius'!V69*'Activity Data Rep. Mauritius'!$J69*'Activity Data Rep. Mauritius'!$E69)/1000,"NA")</f>
        <v>44499.609512875773</v>
      </c>
      <c r="N70" s="39">
        <f>IFERROR(('Activity Data Rep. Mauritius'!W69*'Activity Data Rep. Mauritius'!$J69*'Activity Data Rep. Mauritius'!$E69)/1000,"NA")</f>
        <v>45194.915911514458</v>
      </c>
      <c r="O70" s="39">
        <f>IFERROR(('Activity Data Rep. Mauritius'!X69*'Activity Data Rep. Mauritius'!$J69*'Activity Data Rep. Mauritius'!$E69)/1000,"NA")</f>
        <v>47976.141506069202</v>
      </c>
      <c r="P70" s="39">
        <f>IFERROR(('Activity Data Rep. Mauritius'!Y69*'Activity Data Rep. Mauritius'!$J69*'Activity Data Rep. Mauritius'!$E69)/1000,"NA")</f>
        <v>41023.077519682352</v>
      </c>
      <c r="Q70" s="39">
        <f>IFERROR(('Activity Data Rep. Mauritius'!Z69*'Activity Data Rep. Mauritius'!$J69*'Activity Data Rep. Mauritius'!$E69)/1000,"NA")</f>
        <v>34765.319931934202</v>
      </c>
      <c r="R70" s="39">
        <f>IFERROR(('Activity Data Rep. Mauritius'!AA69*'Activity Data Rep. Mauritius'!$J69*'Activity Data Rep. Mauritius'!$E69)/1000,"NA")</f>
        <v>36155.932729211578</v>
      </c>
      <c r="S70" s="39">
        <f>IFERROR(('Activity Data Rep. Mauritius'!AB69*'Activity Data Rep. Mauritius'!$J69*'Activity Data Rep. Mauritius'!$E69)/1000,"NA")</f>
        <v>38241.851925127616</v>
      </c>
      <c r="T70" s="86">
        <f>IFERROR(('Activity Data Rep. Mauritius'!AC69*'Activity Data Rep. Mauritius'!$J69*'Activity Data Rep. Mauritius'!$E69)/1000,"NA")</f>
        <v>36155.932729211578</v>
      </c>
      <c r="U70" s="85">
        <f>IFERROR(('Activity Data Rep. Mauritius'!M69*'Activity Data Rep. Mauritius'!$J69*'Activity Data Rep. Mauritius'!$F69)/1000,"NA")</f>
        <v>3.9984000000000006</v>
      </c>
      <c r="V70" s="39">
        <f>IFERROR(('Activity Data Rep. Mauritius'!N69*'Activity Data Rep. Mauritius'!$J69*'Activity Data Rep. Mauritius'!$F69)/1000,"NA")</f>
        <v>4.0476799999999997</v>
      </c>
      <c r="W70" s="39">
        <f>IFERROR(('Activity Data Rep. Mauritius'!O69*'Activity Data Rep. Mauritius'!$J69*'Activity Data Rep. Mauritius'!$F69)/1000,"NA")</f>
        <v>4.0767999999999995</v>
      </c>
      <c r="X70" s="39">
        <f>IFERROR(('Activity Data Rep. Mauritius'!P69*'Activity Data Rep. Mauritius'!$J69*'Activity Data Rep. Mauritius'!$F69)/1000,"NA")</f>
        <v>5.2124799999999993</v>
      </c>
      <c r="Y70" s="39">
        <f>IFERROR(('Activity Data Rep. Mauritius'!Q69*'Activity Data Rep. Mauritius'!$J69*'Activity Data Rep. Mauritius'!$F69)/1000,"NA")</f>
        <v>3.9894399999999997</v>
      </c>
      <c r="Z70" s="39">
        <f>IFERROR(('Activity Data Rep. Mauritius'!R69*'Activity Data Rep. Mauritius'!$J69*'Activity Data Rep. Mauritius'!$F69)/1000,"NA")</f>
        <v>4.1932799999999997</v>
      </c>
      <c r="AA70" s="39">
        <f>IFERROR(('Activity Data Rep. Mauritius'!S69*'Activity Data Rep. Mauritius'!$J69*'Activity Data Rep. Mauritius'!$F69)/1000,"NA")</f>
        <v>4.4844799999999996</v>
      </c>
      <c r="AB70" s="39">
        <f>IFERROR(('Activity Data Rep. Mauritius'!T69*'Activity Data Rep. Mauritius'!$J69*'Activity Data Rep. Mauritius'!$F69)/1000,"NA")</f>
        <v>4.4146438008805342</v>
      </c>
      <c r="AC70" s="39">
        <f>IFERROR(('Activity Data Rep. Mauritius'!U69*'Activity Data Rep. Mauritius'!$J69*'Activity Data Rep. Mauritius'!$F69)/1000,"NA")</f>
        <v>5.6186375647570426</v>
      </c>
      <c r="AD70" s="39">
        <f>IFERROR(('Activity Data Rep. Mauritius'!V69*'Activity Data Rep. Mauritius'!$J69*'Activity Data Rep. Mauritius'!$F69)/1000,"NA")</f>
        <v>6.421300074008049</v>
      </c>
      <c r="AE70" s="39">
        <f>IFERROR(('Activity Data Rep. Mauritius'!W69*'Activity Data Rep. Mauritius'!$J69*'Activity Data Rep. Mauritius'!$F69)/1000,"NA")</f>
        <v>6.5216328876644241</v>
      </c>
      <c r="AF70" s="39">
        <f>IFERROR(('Activity Data Rep. Mauritius'!X69*'Activity Data Rep. Mauritius'!$J69*'Activity Data Rep. Mauritius'!$F69)/1000,"NA")</f>
        <v>6.9229641422899277</v>
      </c>
      <c r="AG70" s="39">
        <f>IFERROR(('Activity Data Rep. Mauritius'!Y69*'Activity Data Rep. Mauritius'!$J69*'Activity Data Rep. Mauritius'!$F69)/1000,"NA")</f>
        <v>5.9196360057261703</v>
      </c>
      <c r="AH70" s="39">
        <f>IFERROR(('Activity Data Rep. Mauritius'!Z69*'Activity Data Rep. Mauritius'!$J69*'Activity Data Rep. Mauritius'!$F69)/1000,"NA")</f>
        <v>5.0166406828187871</v>
      </c>
      <c r="AI70" s="39">
        <f>IFERROR(('Activity Data Rep. Mauritius'!AA69*'Activity Data Rep. Mauritius'!$J69*'Activity Data Rep. Mauritius'!$F69)/1000,"NA")</f>
        <v>5.2173063101315398</v>
      </c>
      <c r="AJ70" s="39">
        <f>IFERROR(('Activity Data Rep. Mauritius'!AB69*'Activity Data Rep. Mauritius'!$J69*'Activity Data Rep. Mauritius'!$F69)/1000,"NA")</f>
        <v>5.5183047511006666</v>
      </c>
      <c r="AK70" s="86">
        <f>IFERROR(('Activity Data Rep. Mauritius'!AC69*'Activity Data Rep. Mauritius'!$J69*'Activity Data Rep. Mauritius'!$F69)/1000,"NA")</f>
        <v>5.2173063101315398</v>
      </c>
      <c r="AL70" s="500">
        <f>IFERROR(('Activity Data Rep. Mauritius'!M69*'Activity Data Rep. Mauritius'!$J69*'Activity Data Rep. Mauritius'!$G69)/1000,"NA")</f>
        <v>0.23990400000000001</v>
      </c>
      <c r="AM70" s="39">
        <f>IFERROR(('Activity Data Rep. Mauritius'!N69*'Activity Data Rep. Mauritius'!$J69*'Activity Data Rep. Mauritius'!$G69)/1000,"NA")</f>
        <v>0.24286079999999999</v>
      </c>
      <c r="AN70" s="39">
        <f>IFERROR(('Activity Data Rep. Mauritius'!O69*'Activity Data Rep. Mauritius'!$J69*'Activity Data Rep. Mauritius'!$G69)/1000,"NA")</f>
        <v>0.24460799999999994</v>
      </c>
      <c r="AO70" s="39">
        <f>IFERROR(('Activity Data Rep. Mauritius'!P69*'Activity Data Rep. Mauritius'!$J69*'Activity Data Rep. Mauritius'!$G69)/1000,"NA")</f>
        <v>0.31274879999999994</v>
      </c>
      <c r="AP70" s="39">
        <f>IFERROR(('Activity Data Rep. Mauritius'!Q69*'Activity Data Rep. Mauritius'!$J69*'Activity Data Rep. Mauritius'!$G69)/1000,"NA")</f>
        <v>0.23936639999999998</v>
      </c>
      <c r="AQ70" s="39">
        <f>IFERROR(('Activity Data Rep. Mauritius'!R69*'Activity Data Rep. Mauritius'!$J69*'Activity Data Rep. Mauritius'!$G69)/1000,"NA")</f>
        <v>0.25159679999999995</v>
      </c>
      <c r="AR70" s="39">
        <f>IFERROR(('Activity Data Rep. Mauritius'!S69*'Activity Data Rep. Mauritius'!$J69*'Activity Data Rep. Mauritius'!$G69)/1000,"NA")</f>
        <v>0.26906879999999994</v>
      </c>
      <c r="AS70" s="39">
        <f>IFERROR(('Activity Data Rep. Mauritius'!T69*'Activity Data Rep. Mauritius'!$J69*'Activity Data Rep. Mauritius'!$G69)/1000,"NA")</f>
        <v>0.26487862805283202</v>
      </c>
      <c r="AT70" s="39">
        <f>IFERROR(('Activity Data Rep. Mauritius'!U69*'Activity Data Rep. Mauritius'!$J69*'Activity Data Rep. Mauritius'!$G69)/1000,"NA")</f>
        <v>0.33711825388542249</v>
      </c>
      <c r="AU70" s="39">
        <f>IFERROR(('Activity Data Rep. Mauritius'!V69*'Activity Data Rep. Mauritius'!$J69*'Activity Data Rep. Mauritius'!$G69)/1000,"NA")</f>
        <v>0.38527800444048288</v>
      </c>
      <c r="AV70" s="39">
        <f>IFERROR(('Activity Data Rep. Mauritius'!W69*'Activity Data Rep. Mauritius'!$J69*'Activity Data Rep. Mauritius'!$G69)/1000,"NA")</f>
        <v>0.39129797325986543</v>
      </c>
      <c r="AW70" s="39">
        <f>IFERROR(('Activity Data Rep. Mauritius'!X69*'Activity Data Rep. Mauritius'!$J69*'Activity Data Rep. Mauritius'!$G69)/1000,"NA")</f>
        <v>0.41537784853739562</v>
      </c>
      <c r="AX70" s="39">
        <f>IFERROR(('Activity Data Rep. Mauritius'!Y69*'Activity Data Rep. Mauritius'!$J69*'Activity Data Rep. Mauritius'!$G69)/1000,"NA")</f>
        <v>0.35517816034357019</v>
      </c>
      <c r="AY70" s="39">
        <f>IFERROR(('Activity Data Rep. Mauritius'!Z69*'Activity Data Rep. Mauritius'!$J69*'Activity Data Rep. Mauritius'!$G69)/1000,"NA")</f>
        <v>0.30099844096912726</v>
      </c>
      <c r="AZ70" s="39">
        <f>IFERROR(('Activity Data Rep. Mauritius'!AA69*'Activity Data Rep. Mauritius'!$J69*'Activity Data Rep. Mauritius'!$G69)/1000,"NA")</f>
        <v>0.31303837860789241</v>
      </c>
      <c r="BA70" s="39">
        <f>IFERROR(('Activity Data Rep. Mauritius'!AB69*'Activity Data Rep. Mauritius'!$J69*'Activity Data Rep. Mauritius'!$G69)/1000,"NA")</f>
        <v>0.33109828506604</v>
      </c>
      <c r="BB70" s="86">
        <f>IFERROR(('Activity Data Rep. Mauritius'!AC69*'Activity Data Rep. Mauritius'!$J69*'Activity Data Rep. Mauritius'!$G69)/1000,"NA")</f>
        <v>0.31303837860789241</v>
      </c>
      <c r="BC70" s="85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86"/>
    </row>
    <row r="71" spans="2:71" s="110" customFormat="1" x14ac:dyDescent="0.35">
      <c r="B71" s="638"/>
      <c r="C71" s="364" t="s">
        <v>41</v>
      </c>
      <c r="D71" s="85">
        <f>IFERROR(('Activity Data Rep. Mauritius'!M70*'Activity Data Rep. Mauritius'!$J70*'Activity Data Rep. Mauritius'!$E70)/1000,"NA")</f>
        <v>5236.32096</v>
      </c>
      <c r="E71" s="39">
        <f>IFERROR(('Activity Data Rep. Mauritius'!N70*'Activity Data Rep. Mauritius'!$J70*'Activity Data Rep. Mauritius'!$E70)/1000,"NA")</f>
        <v>5204.2356600000003</v>
      </c>
      <c r="F71" s="39">
        <f>IFERROR(('Activity Data Rep. Mauritius'!O70*'Activity Data Rep. Mauritius'!$J70*'Activity Data Rep. Mauritius'!$E70)/1000,"NA")</f>
        <v>4767.8755799999999</v>
      </c>
      <c r="G71" s="39">
        <f>IFERROR(('Activity Data Rep. Mauritius'!P70*'Activity Data Rep. Mauritius'!$J70*'Activity Data Rep. Mauritius'!$E70)/1000,"NA")</f>
        <v>5707.97487</v>
      </c>
      <c r="H71" s="39">
        <f>IFERROR(('Activity Data Rep. Mauritius'!Q70*'Activity Data Rep. Mauritius'!$J70*'Activity Data Rep. Mauritius'!$E70)/1000,"NA")</f>
        <v>6012.7852199999998</v>
      </c>
      <c r="I71" s="39">
        <f>IFERROR(('Activity Data Rep. Mauritius'!R70*'Activity Data Rep. Mauritius'!$J70*'Activity Data Rep. Mauritius'!$E70)/1000,"NA")</f>
        <v>5364.6621599999999</v>
      </c>
      <c r="J71" s="39">
        <f>IFERROR(('Activity Data Rep. Mauritius'!S70*'Activity Data Rep. Mauritius'!$J70*'Activity Data Rep. Mauritius'!$E70)/1000,"NA")</f>
        <v>4873.7570699999997</v>
      </c>
      <c r="K71" s="39">
        <f>IFERROR(('Activity Data Rep. Mauritius'!T70*'Activity Data Rep. Mauritius'!$J70*'Activity Data Rep. Mauritius'!$E70)/1000,"NA")</f>
        <v>5476.1284218170567</v>
      </c>
      <c r="L71" s="39">
        <f>IFERROR(('Activity Data Rep. Mauritius'!U70*'Activity Data Rep. Mauritius'!$J70*'Activity Data Rep. Mauritius'!$E70)/1000,"NA")</f>
        <v>6969.6179914035247</v>
      </c>
      <c r="M71" s="39">
        <f>IFERROR(('Activity Data Rep. Mauritius'!V70*'Activity Data Rep. Mauritius'!$J70*'Activity Data Rep. Mauritius'!$E70)/1000,"NA")</f>
        <v>7965.2777044611703</v>
      </c>
      <c r="N71" s="39">
        <f>IFERROR(('Activity Data Rep. Mauritius'!W70*'Activity Data Rep. Mauritius'!$J70*'Activity Data Rep. Mauritius'!$E70)/1000,"NA")</f>
        <v>8089.7351685933772</v>
      </c>
      <c r="O71" s="39">
        <f>IFERROR(('Activity Data Rep. Mauritius'!X70*'Activity Data Rep. Mauritius'!$J70*'Activity Data Rep. Mauritius'!$E70)/1000,"NA")</f>
        <v>8587.5650251222014</v>
      </c>
      <c r="P71" s="39">
        <f>IFERROR(('Activity Data Rep. Mauritius'!Y70*'Activity Data Rep. Mauritius'!$J70*'Activity Data Rep. Mauritius'!$E70)/1000,"NA")</f>
        <v>7342.9903838001437</v>
      </c>
      <c r="Q71" s="39">
        <f>IFERROR(('Activity Data Rep. Mauritius'!Z70*'Activity Data Rep. Mauritius'!$J70*'Activity Data Rep. Mauritius'!$E70)/1000,"NA")</f>
        <v>6222.8732066102903</v>
      </c>
      <c r="R71" s="39">
        <f>IFERROR(('Activity Data Rep. Mauritius'!AA70*'Activity Data Rep. Mauritius'!$J70*'Activity Data Rep. Mauritius'!$E70)/1000,"NA")</f>
        <v>6471.7881348747023</v>
      </c>
      <c r="S71" s="39">
        <f>IFERROR(('Activity Data Rep. Mauritius'!AB70*'Activity Data Rep. Mauritius'!$J70*'Activity Data Rep. Mauritius'!$E70)/1000,"NA")</f>
        <v>6845.1605272713186</v>
      </c>
      <c r="T71" s="86">
        <f>IFERROR(('Activity Data Rep. Mauritius'!AC70*'Activity Data Rep. Mauritius'!$J70*'Activity Data Rep. Mauritius'!$E70)/1000,"NA")</f>
        <v>6471.7881348747023</v>
      </c>
      <c r="U71" s="85">
        <f>IFERROR(('Activity Data Rep. Mauritius'!M70*'Activity Data Rep. Mauritius'!$J70*'Activity Data Rep. Mauritius'!$F70)/1000,"NA")</f>
        <v>0.70665599999999995</v>
      </c>
      <c r="V71" s="39">
        <f>IFERROR(('Activity Data Rep. Mauritius'!N70*'Activity Data Rep. Mauritius'!$J70*'Activity Data Rep. Mauritius'!$F70)/1000,"NA")</f>
        <v>0.70232600000000001</v>
      </c>
      <c r="W71" s="39">
        <f>IFERROR(('Activity Data Rep. Mauritius'!O70*'Activity Data Rep. Mauritius'!$J70*'Activity Data Rep. Mauritius'!$F70)/1000,"NA")</f>
        <v>0.64343799999999995</v>
      </c>
      <c r="X71" s="39">
        <f>IFERROR(('Activity Data Rep. Mauritius'!P70*'Activity Data Rep. Mauritius'!$J70*'Activity Data Rep. Mauritius'!$F70)/1000,"NA")</f>
        <v>0.77030699999999996</v>
      </c>
      <c r="Y71" s="39">
        <f>IFERROR(('Activity Data Rep. Mauritius'!Q70*'Activity Data Rep. Mauritius'!$J70*'Activity Data Rep. Mauritius'!$F70)/1000,"NA")</f>
        <v>0.811442</v>
      </c>
      <c r="Z71" s="39">
        <f>IFERROR(('Activity Data Rep. Mauritius'!R70*'Activity Data Rep. Mauritius'!$J70*'Activity Data Rep. Mauritius'!$F70)/1000,"NA")</f>
        <v>0.72397599999999995</v>
      </c>
      <c r="AA71" s="39">
        <f>IFERROR(('Activity Data Rep. Mauritius'!S70*'Activity Data Rep. Mauritius'!$J70*'Activity Data Rep. Mauritius'!$F70)/1000,"NA")</f>
        <v>0.65772699999999984</v>
      </c>
      <c r="AB71" s="39">
        <f>IFERROR(('Activity Data Rep. Mauritius'!T70*'Activity Data Rep. Mauritius'!$J70*'Activity Data Rep. Mauritius'!$F70)/1000,"NA")</f>
        <v>0.73901868040716012</v>
      </c>
      <c r="AC71" s="39">
        <f>IFERROR(('Activity Data Rep. Mauritius'!U70*'Activity Data Rep. Mauritius'!$J70*'Activity Data Rep. Mauritius'!$F70)/1000,"NA")</f>
        <v>0.9405692296091126</v>
      </c>
      <c r="AD71" s="39">
        <f>IFERROR(('Activity Data Rep. Mauritius'!V70*'Activity Data Rep. Mauritius'!$J70*'Activity Data Rep. Mauritius'!$F70)/1000,"NA")</f>
        <v>1.0749362624104144</v>
      </c>
      <c r="AE71" s="39">
        <f>IFERROR(('Activity Data Rep. Mauritius'!W70*'Activity Data Rep. Mauritius'!$J70*'Activity Data Rep. Mauritius'!$F70)/1000,"NA")</f>
        <v>1.0917321415105772</v>
      </c>
      <c r="AF71" s="39">
        <f>IFERROR(('Activity Data Rep. Mauritius'!X70*'Activity Data Rep. Mauritius'!$J70*'Activity Data Rep. Mauritius'!$F70)/1000,"NA")</f>
        <v>1.1589156579112283</v>
      </c>
      <c r="AG71" s="39">
        <f>IFERROR(('Activity Data Rep. Mauritius'!Y70*'Activity Data Rep. Mauritius'!$J70*'Activity Data Rep. Mauritius'!$F70)/1000,"NA")</f>
        <v>0.99095686690960083</v>
      </c>
      <c r="AH71" s="39">
        <f>IFERROR(('Activity Data Rep. Mauritius'!Z70*'Activity Data Rep. Mauritius'!$J70*'Activity Data Rep. Mauritius'!$F70)/1000,"NA")</f>
        <v>0.83979395500813647</v>
      </c>
      <c r="AI71" s="39">
        <f>IFERROR(('Activity Data Rep. Mauritius'!AA70*'Activity Data Rep. Mauritius'!$J70*'Activity Data Rep. Mauritius'!$F70)/1000,"NA")</f>
        <v>0.87338571320846192</v>
      </c>
      <c r="AJ71" s="39">
        <f>IFERROR(('Activity Data Rep. Mauritius'!AB70*'Activity Data Rep. Mauritius'!$J70*'Activity Data Rep. Mauritius'!$F70)/1000,"NA")</f>
        <v>0.92377335050894982</v>
      </c>
      <c r="AK71" s="86">
        <f>IFERROR(('Activity Data Rep. Mauritius'!AC70*'Activity Data Rep. Mauritius'!$J70*'Activity Data Rep. Mauritius'!$F70)/1000,"NA")</f>
        <v>0.87338571320846192</v>
      </c>
      <c r="AL71" s="500">
        <f>IFERROR(('Activity Data Rep. Mauritius'!M70*'Activity Data Rep. Mauritius'!$J70*'Activity Data Rep. Mauritius'!$G70)/1000,"NA")</f>
        <v>4.2399359999999997E-2</v>
      </c>
      <c r="AM71" s="39">
        <f>IFERROR(('Activity Data Rep. Mauritius'!N70*'Activity Data Rep. Mauritius'!$J70*'Activity Data Rep. Mauritius'!$G70)/1000,"NA")</f>
        <v>4.2139560000000006E-2</v>
      </c>
      <c r="AN71" s="39">
        <f>IFERROR(('Activity Data Rep. Mauritius'!O70*'Activity Data Rep. Mauritius'!$J70*'Activity Data Rep. Mauritius'!$G70)/1000,"NA")</f>
        <v>3.860628E-2</v>
      </c>
      <c r="AO71" s="39">
        <f>IFERROR(('Activity Data Rep. Mauritius'!P70*'Activity Data Rep. Mauritius'!$J70*'Activity Data Rep. Mauritius'!$G70)/1000,"NA")</f>
        <v>4.6218419999999996E-2</v>
      </c>
      <c r="AP71" s="39">
        <f>IFERROR(('Activity Data Rep. Mauritius'!Q70*'Activity Data Rep. Mauritius'!$J70*'Activity Data Rep. Mauritius'!$G70)/1000,"NA")</f>
        <v>4.8686519999999997E-2</v>
      </c>
      <c r="AQ71" s="39">
        <f>IFERROR(('Activity Data Rep. Mauritius'!R70*'Activity Data Rep. Mauritius'!$J70*'Activity Data Rep. Mauritius'!$G70)/1000,"NA")</f>
        <v>4.3438559999999994E-2</v>
      </c>
      <c r="AR71" s="39">
        <f>IFERROR(('Activity Data Rep. Mauritius'!S70*'Activity Data Rep. Mauritius'!$J70*'Activity Data Rep. Mauritius'!$G70)/1000,"NA")</f>
        <v>3.9463619999999991E-2</v>
      </c>
      <c r="AS71" s="39">
        <f>IFERROR(('Activity Data Rep. Mauritius'!T70*'Activity Data Rep. Mauritius'!$J70*'Activity Data Rep. Mauritius'!$G70)/1000,"NA")</f>
        <v>4.4341120824429599E-2</v>
      </c>
      <c r="AT71" s="39">
        <f>IFERROR(('Activity Data Rep. Mauritius'!U70*'Activity Data Rep. Mauritius'!$J70*'Activity Data Rep. Mauritius'!$G70)/1000,"NA")</f>
        <v>5.6434153776546758E-2</v>
      </c>
      <c r="AU71" s="39">
        <f>IFERROR(('Activity Data Rep. Mauritius'!V70*'Activity Data Rep. Mauritius'!$J70*'Activity Data Rep. Mauritius'!$G70)/1000,"NA")</f>
        <v>6.4496175744624865E-2</v>
      </c>
      <c r="AV71" s="39">
        <f>IFERROR(('Activity Data Rep. Mauritius'!W70*'Activity Data Rep. Mauritius'!$J70*'Activity Data Rep. Mauritius'!$G70)/1000,"NA")</f>
        <v>6.5503928490634633E-2</v>
      </c>
      <c r="AW71" s="39">
        <f>IFERROR(('Activity Data Rep. Mauritius'!X70*'Activity Data Rep. Mauritius'!$J70*'Activity Data Rep. Mauritius'!$G70)/1000,"NA")</f>
        <v>6.9534939474673693E-2</v>
      </c>
      <c r="AX71" s="39">
        <f>IFERROR(('Activity Data Rep. Mauritius'!Y70*'Activity Data Rep. Mauritius'!$J70*'Activity Data Rep. Mauritius'!$G70)/1000,"NA")</f>
        <v>5.945741201457605E-2</v>
      </c>
      <c r="AY71" s="39">
        <f>IFERROR(('Activity Data Rep. Mauritius'!Z70*'Activity Data Rep. Mauritius'!$J70*'Activity Data Rep. Mauritius'!$G70)/1000,"NA")</f>
        <v>5.0387637300488182E-2</v>
      </c>
      <c r="AZ71" s="39">
        <f>IFERROR(('Activity Data Rep. Mauritius'!AA70*'Activity Data Rep. Mauritius'!$J70*'Activity Data Rep. Mauritius'!$G70)/1000,"NA")</f>
        <v>5.2403142792507705E-2</v>
      </c>
      <c r="BA71" s="39">
        <f>IFERROR(('Activity Data Rep. Mauritius'!AB70*'Activity Data Rep. Mauritius'!$J70*'Activity Data Rep. Mauritius'!$G70)/1000,"NA")</f>
        <v>5.542640103053699E-2</v>
      </c>
      <c r="BB71" s="86">
        <f>IFERROR(('Activity Data Rep. Mauritius'!AC70*'Activity Data Rep. Mauritius'!$J70*'Activity Data Rep. Mauritius'!$G70)/1000,"NA")</f>
        <v>5.2403142792507705E-2</v>
      </c>
      <c r="BC71" s="85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86"/>
    </row>
    <row r="72" spans="2:71" s="110" customFormat="1" x14ac:dyDescent="0.35">
      <c r="B72" s="480" t="s">
        <v>419</v>
      </c>
      <c r="C72" s="364" t="s">
        <v>117</v>
      </c>
      <c r="D72" s="85" t="str">
        <f>IFERROR(('Activity Data Rep. Mauritius'!M71*'Activity Data Rep. Mauritius'!$J71*'Activity Data Rep. Mauritius'!$E71)/1000,"NA")</f>
        <v>NA</v>
      </c>
      <c r="E72" s="39" t="str">
        <f>IFERROR(('Activity Data Rep. Mauritius'!N71*'Activity Data Rep. Mauritius'!$J71*'Activity Data Rep. Mauritius'!$E71)/1000,"NA")</f>
        <v>NA</v>
      </c>
      <c r="F72" s="39" t="str">
        <f>IFERROR(('Activity Data Rep. Mauritius'!O71*'Activity Data Rep. Mauritius'!$J71*'Activity Data Rep. Mauritius'!$E71)/1000,"NA")</f>
        <v>NA</v>
      </c>
      <c r="G72" s="39" t="str">
        <f>IFERROR(('Activity Data Rep. Mauritius'!P71*'Activity Data Rep. Mauritius'!$J71*'Activity Data Rep. Mauritius'!$E71)/1000,"NA")</f>
        <v>NA</v>
      </c>
      <c r="H72" s="39" t="str">
        <f>IFERROR(('Activity Data Rep. Mauritius'!Q71*'Activity Data Rep. Mauritius'!$J71*'Activity Data Rep. Mauritius'!$E71)/1000,"NA")</f>
        <v>NA</v>
      </c>
      <c r="I72" s="39" t="str">
        <f>IFERROR(('Activity Data Rep. Mauritius'!R71*'Activity Data Rep. Mauritius'!$J71*'Activity Data Rep. Mauritius'!$E71)/1000,"NA")</f>
        <v>NA</v>
      </c>
      <c r="J72" s="39" t="str">
        <f>IFERROR(('Activity Data Rep. Mauritius'!S71*'Activity Data Rep. Mauritius'!$J71*'Activity Data Rep. Mauritius'!$E71)/1000,"NA")</f>
        <v>NA</v>
      </c>
      <c r="K72" s="39" t="str">
        <f>IFERROR(('Activity Data Rep. Mauritius'!T71*'Activity Data Rep. Mauritius'!$J71*'Activity Data Rep. Mauritius'!$E71)/1000,"NA")</f>
        <v>NA</v>
      </c>
      <c r="L72" s="39" t="str">
        <f>IFERROR(('Activity Data Rep. Mauritius'!U71*'Activity Data Rep. Mauritius'!$J71*'Activity Data Rep. Mauritius'!$E71)/1000,"NA")</f>
        <v>NA</v>
      </c>
      <c r="M72" s="39" t="str">
        <f>IFERROR(('Activity Data Rep. Mauritius'!V71*'Activity Data Rep. Mauritius'!$J71*'Activity Data Rep. Mauritius'!$E71)/1000,"NA")</f>
        <v>NA</v>
      </c>
      <c r="N72" s="39" t="str">
        <f>IFERROR(('Activity Data Rep. Mauritius'!W71*'Activity Data Rep. Mauritius'!$J71*'Activity Data Rep. Mauritius'!$E71)/1000,"NA")</f>
        <v>NA</v>
      </c>
      <c r="O72" s="39" t="str">
        <f>IFERROR(('Activity Data Rep. Mauritius'!X71*'Activity Data Rep. Mauritius'!$J71*'Activity Data Rep. Mauritius'!$E71)/1000,"NA")</f>
        <v>NA</v>
      </c>
      <c r="P72" s="39" t="str">
        <f>IFERROR(('Activity Data Rep. Mauritius'!Y71*'Activity Data Rep. Mauritius'!$J71*'Activity Data Rep. Mauritius'!$E71)/1000,"NA")</f>
        <v>NA</v>
      </c>
      <c r="Q72" s="39">
        <f>IFERROR(('Activity Data Rep. Mauritius'!Z71*'Activity Data Rep. Mauritius'!$J71*'Activity Data Rep. Mauritius'!$E71)/1000,"NA")</f>
        <v>770.03453999999999</v>
      </c>
      <c r="R72" s="39">
        <f>IFERROR(('Activity Data Rep. Mauritius'!AA71*'Activity Data Rep. Mauritius'!$J71*'Activity Data Rep. Mauritius'!$E71)/1000,"NA")</f>
        <v>805.85010000000011</v>
      </c>
      <c r="S72" s="39">
        <f>IFERROR(('Activity Data Rep. Mauritius'!AB71*'Activity Data Rep. Mauritius'!$J71*'Activity Data Rep. Mauritius'!$E71)/1000,"NA")</f>
        <v>850.61954999999978</v>
      </c>
      <c r="T72" s="86">
        <f>IFERROR(('Activity Data Rep. Mauritius'!AC71*'Activity Data Rep. Mauritius'!$J71*'Activity Data Rep. Mauritius'!$E71)/1000,"NA")</f>
        <v>871.51195999999993</v>
      </c>
      <c r="U72" s="85" t="str">
        <f>IFERROR(('Activity Data Rep. Mauritius'!M71*'Activity Data Rep. Mauritius'!$J71*'Activity Data Rep. Mauritius'!$F71)/1000,"NA")</f>
        <v>NA</v>
      </c>
      <c r="V72" s="39" t="str">
        <f>IFERROR(('Activity Data Rep. Mauritius'!N71*'Activity Data Rep. Mauritius'!$J71*'Activity Data Rep. Mauritius'!$F71)/1000,"NA")</f>
        <v>NA</v>
      </c>
      <c r="W72" s="39" t="str">
        <f>IFERROR(('Activity Data Rep. Mauritius'!O71*'Activity Data Rep. Mauritius'!$J71*'Activity Data Rep. Mauritius'!$F71)/1000,"NA")</f>
        <v>NA</v>
      </c>
      <c r="X72" s="39" t="str">
        <f>IFERROR(('Activity Data Rep. Mauritius'!P71*'Activity Data Rep. Mauritius'!$J71*'Activity Data Rep. Mauritius'!$F71)/1000,"NA")</f>
        <v>NA</v>
      </c>
      <c r="Y72" s="39" t="str">
        <f>IFERROR(('Activity Data Rep. Mauritius'!Q71*'Activity Data Rep. Mauritius'!$J71*'Activity Data Rep. Mauritius'!$F71)/1000,"NA")</f>
        <v>NA</v>
      </c>
      <c r="Z72" s="39" t="str">
        <f>IFERROR(('Activity Data Rep. Mauritius'!R71*'Activity Data Rep. Mauritius'!$J71*'Activity Data Rep. Mauritius'!$F71)/1000,"NA")</f>
        <v>NA</v>
      </c>
      <c r="AA72" s="39" t="str">
        <f>IFERROR(('Activity Data Rep. Mauritius'!S71*'Activity Data Rep. Mauritius'!$J71*'Activity Data Rep. Mauritius'!$F71)/1000,"NA")</f>
        <v>NA</v>
      </c>
      <c r="AB72" s="39" t="str">
        <f>IFERROR(('Activity Data Rep. Mauritius'!T71*'Activity Data Rep. Mauritius'!$J71*'Activity Data Rep. Mauritius'!$F71)/1000,"NA")</f>
        <v>NA</v>
      </c>
      <c r="AC72" s="39" t="str">
        <f>IFERROR(('Activity Data Rep. Mauritius'!U71*'Activity Data Rep. Mauritius'!$J71*'Activity Data Rep. Mauritius'!$F71)/1000,"NA")</f>
        <v>NA</v>
      </c>
      <c r="AD72" s="39" t="str">
        <f>IFERROR(('Activity Data Rep. Mauritius'!V71*'Activity Data Rep. Mauritius'!$J71*'Activity Data Rep. Mauritius'!$F71)/1000,"NA")</f>
        <v>NA</v>
      </c>
      <c r="AE72" s="39" t="str">
        <f>IFERROR(('Activity Data Rep. Mauritius'!W71*'Activity Data Rep. Mauritius'!$J71*'Activity Data Rep. Mauritius'!$F71)/1000,"NA")</f>
        <v>NA</v>
      </c>
      <c r="AF72" s="39" t="str">
        <f>IFERROR(('Activity Data Rep. Mauritius'!X71*'Activity Data Rep. Mauritius'!$J71*'Activity Data Rep. Mauritius'!$F71)/1000,"NA")</f>
        <v>NA</v>
      </c>
      <c r="AG72" s="39" t="str">
        <f>IFERROR(('Activity Data Rep. Mauritius'!Y71*'Activity Data Rep. Mauritius'!$J71*'Activity Data Rep. Mauritius'!$F71)/1000,"NA")</f>
        <v>NA</v>
      </c>
      <c r="AH72" s="39">
        <f>IFERROR(('Activity Data Rep. Mauritius'!Z71*'Activity Data Rep. Mauritius'!$J71*'Activity Data Rep. Mauritius'!$F71)/1000,"NA")</f>
        <v>6.1017000000000002E-2</v>
      </c>
      <c r="AI72" s="39">
        <f>IFERROR(('Activity Data Rep. Mauritius'!AA71*'Activity Data Rep. Mauritius'!$J71*'Activity Data Rep. Mauritius'!$F71)/1000,"NA")</f>
        <v>6.3855000000000009E-2</v>
      </c>
      <c r="AJ72" s="39">
        <f>IFERROR(('Activity Data Rep. Mauritius'!AB71*'Activity Data Rep. Mauritius'!$J71*'Activity Data Rep. Mauritius'!$F71)/1000,"NA")</f>
        <v>6.740249999999999E-2</v>
      </c>
      <c r="AK72" s="86">
        <f>IFERROR(('Activity Data Rep. Mauritius'!AC71*'Activity Data Rep. Mauritius'!$J71*'Activity Data Rep. Mauritius'!$F71)/1000,"NA")</f>
        <v>6.9057999999999994E-2</v>
      </c>
      <c r="AL72" s="500" t="str">
        <f>IFERROR(('Activity Data Rep. Mauritius'!M71*'Activity Data Rep. Mauritius'!$J71*'Activity Data Rep. Mauritius'!$G71)/1000,"NA")</f>
        <v>NA</v>
      </c>
      <c r="AM72" s="39" t="str">
        <f>IFERROR(('Activity Data Rep. Mauritius'!N71*'Activity Data Rep. Mauritius'!$J71*'Activity Data Rep. Mauritius'!$G71)/1000,"NA")</f>
        <v>NA</v>
      </c>
      <c r="AN72" s="39" t="str">
        <f>IFERROR(('Activity Data Rep. Mauritius'!O71*'Activity Data Rep. Mauritius'!$J71*'Activity Data Rep. Mauritius'!$G71)/1000,"NA")</f>
        <v>NA</v>
      </c>
      <c r="AO72" s="39" t="str">
        <f>IFERROR(('Activity Data Rep. Mauritius'!P71*'Activity Data Rep. Mauritius'!$J71*'Activity Data Rep. Mauritius'!$G71)/1000,"NA")</f>
        <v>NA</v>
      </c>
      <c r="AP72" s="39" t="str">
        <f>IFERROR(('Activity Data Rep. Mauritius'!Q71*'Activity Data Rep. Mauritius'!$J71*'Activity Data Rep. Mauritius'!$G71)/1000,"NA")</f>
        <v>NA</v>
      </c>
      <c r="AQ72" s="39" t="str">
        <f>IFERROR(('Activity Data Rep. Mauritius'!R71*'Activity Data Rep. Mauritius'!$J71*'Activity Data Rep. Mauritius'!$G71)/1000,"NA")</f>
        <v>NA</v>
      </c>
      <c r="AR72" s="39" t="str">
        <f>IFERROR(('Activity Data Rep. Mauritius'!S71*'Activity Data Rep. Mauritius'!$J71*'Activity Data Rep. Mauritius'!$G71)/1000,"NA")</f>
        <v>NA</v>
      </c>
      <c r="AS72" s="39" t="str">
        <f>IFERROR(('Activity Data Rep. Mauritius'!T71*'Activity Data Rep. Mauritius'!$J71*'Activity Data Rep. Mauritius'!$G71)/1000,"NA")</f>
        <v>NA</v>
      </c>
      <c r="AT72" s="39" t="str">
        <f>IFERROR(('Activity Data Rep. Mauritius'!U71*'Activity Data Rep. Mauritius'!$J71*'Activity Data Rep. Mauritius'!$G71)/1000,"NA")</f>
        <v>NA</v>
      </c>
      <c r="AU72" s="39" t="str">
        <f>IFERROR(('Activity Data Rep. Mauritius'!V71*'Activity Data Rep. Mauritius'!$J71*'Activity Data Rep. Mauritius'!$G71)/1000,"NA")</f>
        <v>NA</v>
      </c>
      <c r="AV72" s="39" t="str">
        <f>IFERROR(('Activity Data Rep. Mauritius'!W71*'Activity Data Rep. Mauritius'!$J71*'Activity Data Rep. Mauritius'!$G71)/1000,"NA")</f>
        <v>NA</v>
      </c>
      <c r="AW72" s="39" t="str">
        <f>IFERROR(('Activity Data Rep. Mauritius'!X71*'Activity Data Rep. Mauritius'!$J71*'Activity Data Rep. Mauritius'!$G71)/1000,"NA")</f>
        <v>NA</v>
      </c>
      <c r="AX72" s="39" t="str">
        <f>IFERROR(('Activity Data Rep. Mauritius'!Y71*'Activity Data Rep. Mauritius'!$J71*'Activity Data Rep. Mauritius'!$G71)/1000,"NA")</f>
        <v>NA</v>
      </c>
      <c r="AY72" s="39">
        <f>IFERROR(('Activity Data Rep. Mauritius'!Z71*'Activity Data Rep. Mauritius'!$J71*'Activity Data Rep. Mauritius'!$G71)/1000,"NA")</f>
        <v>1.2203400000000001E-3</v>
      </c>
      <c r="AZ72" s="39">
        <f>IFERROR(('Activity Data Rep. Mauritius'!AA71*'Activity Data Rep. Mauritius'!$J71*'Activity Data Rep. Mauritius'!$G71)/1000,"NA")</f>
        <v>1.2771000000000002E-3</v>
      </c>
      <c r="BA72" s="39">
        <f>IFERROR(('Activity Data Rep. Mauritius'!AB71*'Activity Data Rep. Mauritius'!$J71*'Activity Data Rep. Mauritius'!$G71)/1000,"NA")</f>
        <v>1.3480499999999997E-3</v>
      </c>
      <c r="BB72" s="86">
        <f>IFERROR(('Activity Data Rep. Mauritius'!AC71*'Activity Data Rep. Mauritius'!$J71*'Activity Data Rep. Mauritius'!$G71)/1000,"NA")</f>
        <v>1.38116E-3</v>
      </c>
      <c r="BC72" s="85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86"/>
    </row>
    <row r="73" spans="2:71" x14ac:dyDescent="0.35">
      <c r="B73" s="259" t="s">
        <v>7</v>
      </c>
      <c r="C73" s="364" t="s">
        <v>48</v>
      </c>
      <c r="D73" s="85">
        <f>IFERROR('Activity Data Rep. Mauritius'!M72*'Activity Data Rep. Mauritius'!$E72,"NA")</f>
        <v>2754.71</v>
      </c>
      <c r="E73" s="39">
        <f>IFERROR('Activity Data Rep. Mauritius'!N72*'Activity Data Rep. Mauritius'!$E72,"NA")</f>
        <v>2698.0699999999997</v>
      </c>
      <c r="F73" s="39">
        <f>IFERROR('Activity Data Rep. Mauritius'!O72*'Activity Data Rep. Mauritius'!$E72,"NA")</f>
        <v>2472.1</v>
      </c>
      <c r="G73" s="39">
        <f>IFERROR('Activity Data Rep. Mauritius'!P72*'Activity Data Rep. Mauritius'!$E72,"NA")</f>
        <v>2348.79</v>
      </c>
      <c r="H73" s="39">
        <f>IFERROR('Activity Data Rep. Mauritius'!Q72*'Activity Data Rep. Mauritius'!$E72,"NA")</f>
        <v>1916.9099999999999</v>
      </c>
      <c r="I73" s="39">
        <f>IFERROR('Activity Data Rep. Mauritius'!R72*'Activity Data Rep. Mauritius'!$E72,"NA")</f>
        <v>1970.6</v>
      </c>
      <c r="J73" s="39">
        <f>IFERROR('Activity Data Rep. Mauritius'!S72*'Activity Data Rep. Mauritius'!$E72,"NA")</f>
        <v>2035.5</v>
      </c>
      <c r="K73" s="39">
        <f>IFERROR('Activity Data Rep. Mauritius'!T72*'Activity Data Rep. Mauritius'!$E72,"NA")</f>
        <v>1440.1899999999998</v>
      </c>
      <c r="L73" s="39">
        <f>IFERROR('Activity Data Rep. Mauritius'!U72*'Activity Data Rep. Mauritius'!$E72,"NA")</f>
        <v>1362.31</v>
      </c>
      <c r="M73" s="39">
        <f>IFERROR('Activity Data Rep. Mauritius'!V72*'Activity Data Rep. Mauritius'!$E72,"NA")</f>
        <v>1945.82</v>
      </c>
      <c r="N73" s="39">
        <f>IFERROR('Activity Data Rep. Mauritius'!W72*'Activity Data Rep. Mauritius'!$E72,"NA")</f>
        <v>2155.8599999999997</v>
      </c>
      <c r="O73" s="39">
        <f>IFERROR('Activity Data Rep. Mauritius'!X72*'Activity Data Rep. Mauritius'!$E72,"NA")</f>
        <v>1365.85</v>
      </c>
      <c r="P73" s="39">
        <f>IFERROR('Activity Data Rep. Mauritius'!Y72*'Activity Data Rep. Mauritius'!$E72,"NA")</f>
        <v>1791.83</v>
      </c>
      <c r="Q73" s="39">
        <f>IFERROR('Activity Data Rep. Mauritius'!Z72*'Activity Data Rep. Mauritius'!$E72,"NA")</f>
        <v>1290.9199999999998</v>
      </c>
      <c r="R73" s="39">
        <f>IFERROR('Activity Data Rep. Mauritius'!AA72*'Activity Data Rep. Mauritius'!$E72,"NA")</f>
        <v>802.4</v>
      </c>
      <c r="S73" s="39">
        <f>IFERROR('Activity Data Rep. Mauritius'!AB72*'Activity Data Rep. Mauritius'!$E72,"NA")</f>
        <v>0</v>
      </c>
      <c r="T73" s="86">
        <f>IFERROR('Activity Data Rep. Mauritius'!AC72*'Activity Data Rep. Mauritius'!$E72,"NA")</f>
        <v>0</v>
      </c>
      <c r="U73" s="85">
        <f>IFERROR('Activity Data Rep. Mauritius'!M72*'Activity Data Rep. Mauritius'!$F72,"NA")</f>
        <v>0</v>
      </c>
      <c r="V73" s="39">
        <f>IFERROR('Activity Data Rep. Mauritius'!N72*'Activity Data Rep. Mauritius'!$F72,"NA")</f>
        <v>0</v>
      </c>
      <c r="W73" s="39">
        <f>IFERROR('Activity Data Rep. Mauritius'!O72*'Activity Data Rep. Mauritius'!$F72,"NA")</f>
        <v>0</v>
      </c>
      <c r="X73" s="39">
        <f>IFERROR('Activity Data Rep. Mauritius'!P72*'Activity Data Rep. Mauritius'!$F72,"NA")</f>
        <v>0</v>
      </c>
      <c r="Y73" s="39">
        <f>IFERROR('Activity Data Rep. Mauritius'!Q72*'Activity Data Rep. Mauritius'!$F72,"NA")</f>
        <v>0</v>
      </c>
      <c r="Z73" s="39">
        <f>IFERROR('Activity Data Rep. Mauritius'!R72*'Activity Data Rep. Mauritius'!$F72,"NA")</f>
        <v>0</v>
      </c>
      <c r="AA73" s="39">
        <f>IFERROR('Activity Data Rep. Mauritius'!S72*'Activity Data Rep. Mauritius'!$F72,"NA")</f>
        <v>0</v>
      </c>
      <c r="AB73" s="39">
        <f>IFERROR('Activity Data Rep. Mauritius'!T72*'Activity Data Rep. Mauritius'!$F72,"NA")</f>
        <v>0</v>
      </c>
      <c r="AC73" s="39">
        <f>IFERROR('Activity Data Rep. Mauritius'!U72*'Activity Data Rep. Mauritius'!$F72,"NA")</f>
        <v>0</v>
      </c>
      <c r="AD73" s="39">
        <f>IFERROR('Activity Data Rep. Mauritius'!V72*'Activity Data Rep. Mauritius'!$F72,"NA")</f>
        <v>0</v>
      </c>
      <c r="AE73" s="39">
        <f>IFERROR('Activity Data Rep. Mauritius'!W72*'Activity Data Rep. Mauritius'!$F72,"NA")</f>
        <v>0</v>
      </c>
      <c r="AF73" s="39">
        <f>IFERROR('Activity Data Rep. Mauritius'!X72*'Activity Data Rep. Mauritius'!$F72,"NA")</f>
        <v>0</v>
      </c>
      <c r="AG73" s="39">
        <f>IFERROR('Activity Data Rep. Mauritius'!Y72*'Activity Data Rep. Mauritius'!$F72,"NA")</f>
        <v>0</v>
      </c>
      <c r="AH73" s="39">
        <f>IFERROR('Activity Data Rep. Mauritius'!Z72*'Activity Data Rep. Mauritius'!$F72,"NA")</f>
        <v>0</v>
      </c>
      <c r="AI73" s="39">
        <f>IFERROR('Activity Data Rep. Mauritius'!AA72*'Activity Data Rep. Mauritius'!$F72,"NA")</f>
        <v>0</v>
      </c>
      <c r="AJ73" s="39">
        <f>IFERROR('Activity Data Rep. Mauritius'!AB72*'Activity Data Rep. Mauritius'!$F72,"NA")</f>
        <v>0</v>
      </c>
      <c r="AK73" s="86">
        <f>IFERROR('Activity Data Rep. Mauritius'!AC72*'Activity Data Rep. Mauritius'!$F72,"NA")</f>
        <v>0</v>
      </c>
      <c r="AL73" s="500">
        <f>IFERROR('Activity Data Rep. Mauritius'!M72*'Activity Data Rep. Mauritius'!$G72,"NA")</f>
        <v>0</v>
      </c>
      <c r="AM73" s="39">
        <f>IFERROR('Activity Data Rep. Mauritius'!N72*'Activity Data Rep. Mauritius'!$G72,"NA")</f>
        <v>0</v>
      </c>
      <c r="AN73" s="39">
        <f>IFERROR('Activity Data Rep. Mauritius'!O72*'Activity Data Rep. Mauritius'!$G72,"NA")</f>
        <v>0</v>
      </c>
      <c r="AO73" s="39">
        <f>IFERROR('Activity Data Rep. Mauritius'!P72*'Activity Data Rep. Mauritius'!$G72,"NA")</f>
        <v>0</v>
      </c>
      <c r="AP73" s="39">
        <f>IFERROR('Activity Data Rep. Mauritius'!Q72*'Activity Data Rep. Mauritius'!$G72,"NA")</f>
        <v>0</v>
      </c>
      <c r="AQ73" s="39">
        <f>IFERROR('Activity Data Rep. Mauritius'!R72*'Activity Data Rep. Mauritius'!$G72,"NA")</f>
        <v>0</v>
      </c>
      <c r="AR73" s="39">
        <f>IFERROR('Activity Data Rep. Mauritius'!S72*'Activity Data Rep. Mauritius'!$G72,"NA")</f>
        <v>0</v>
      </c>
      <c r="AS73" s="39">
        <f>IFERROR('Activity Data Rep. Mauritius'!T72*'Activity Data Rep. Mauritius'!$G72,"NA")</f>
        <v>0</v>
      </c>
      <c r="AT73" s="39">
        <f>IFERROR('Activity Data Rep. Mauritius'!U72*'Activity Data Rep. Mauritius'!$G72,"NA")</f>
        <v>0</v>
      </c>
      <c r="AU73" s="39">
        <f>IFERROR('Activity Data Rep. Mauritius'!V72*'Activity Data Rep. Mauritius'!$G72,"NA")</f>
        <v>0</v>
      </c>
      <c r="AV73" s="39">
        <f>IFERROR('Activity Data Rep. Mauritius'!W72*'Activity Data Rep. Mauritius'!$G72,"NA")</f>
        <v>0</v>
      </c>
      <c r="AW73" s="39">
        <f>IFERROR('Activity Data Rep. Mauritius'!X72*'Activity Data Rep. Mauritius'!$G72,"NA")</f>
        <v>0</v>
      </c>
      <c r="AX73" s="39">
        <f>IFERROR('Activity Data Rep. Mauritius'!Y72*'Activity Data Rep. Mauritius'!$G72,"NA")</f>
        <v>0</v>
      </c>
      <c r="AY73" s="39">
        <f>IFERROR('Activity Data Rep. Mauritius'!Z72*'Activity Data Rep. Mauritius'!$G72,"NA")</f>
        <v>0</v>
      </c>
      <c r="AZ73" s="39">
        <f>IFERROR('Activity Data Rep. Mauritius'!AA72*'Activity Data Rep. Mauritius'!$G72,"NA")</f>
        <v>0</v>
      </c>
      <c r="BA73" s="39">
        <f>IFERROR('Activity Data Rep. Mauritius'!AB72*'Activity Data Rep. Mauritius'!$G72,"NA")</f>
        <v>0</v>
      </c>
      <c r="BB73" s="86">
        <f>IFERROR('Activity Data Rep. Mauritius'!AC72*'Activity Data Rep. Mauritius'!$G72,"NA")</f>
        <v>0</v>
      </c>
      <c r="BC73" s="85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86"/>
    </row>
    <row r="74" spans="2:71" s="1" customFormat="1" ht="29" x14ac:dyDescent="0.35">
      <c r="B74" s="259" t="s">
        <v>8</v>
      </c>
      <c r="C74" s="364" t="s">
        <v>103</v>
      </c>
      <c r="D74" s="85">
        <f>IFERROR('Activity Data Rep. Mauritius'!M73*'Activity Data Rep. Mauritius'!$E73,"NA")</f>
        <v>19570.562830282946</v>
      </c>
      <c r="E74" s="39">
        <f>IFERROR('Activity Data Rep. Mauritius'!N73*'Activity Data Rep. Mauritius'!$E73,"NA")</f>
        <v>20223.877315103331</v>
      </c>
      <c r="F74" s="39">
        <f>IFERROR('Activity Data Rep. Mauritius'!O73*'Activity Data Rep. Mauritius'!$E73,"NA")</f>
        <v>20899.001076426266</v>
      </c>
      <c r="G74" s="39">
        <f>IFERROR('Activity Data Rep. Mauritius'!P73*'Activity Data Rep. Mauritius'!$E73,"NA")</f>
        <v>21574.124837749197</v>
      </c>
      <c r="H74" s="39">
        <f>IFERROR('Activity Data Rep. Mauritius'!Q73*'Activity Data Rep. Mauritius'!$E73,"NA")</f>
        <v>22249.248599072132</v>
      </c>
      <c r="I74" s="39">
        <f>IFERROR('Activity Data Rep. Mauritius'!R73*'Activity Data Rep. Mauritius'!$E73,"NA")</f>
        <v>22924.372360395068</v>
      </c>
      <c r="J74" s="39">
        <f>IFERROR('Activity Data Rep. Mauritius'!S73*'Activity Data Rep. Mauritius'!$E73,"NA")</f>
        <v>23599.496121718003</v>
      </c>
      <c r="K74" s="39">
        <f>IFERROR('Activity Data Rep. Mauritius'!T73*'Activity Data Rep. Mauritius'!$E73,"NA")</f>
        <v>24274.619883040934</v>
      </c>
      <c r="L74" s="39">
        <f>IFERROR('Activity Data Rep. Mauritius'!U73*'Activity Data Rep. Mauritius'!$E73,"NA")</f>
        <v>28567.309941520467</v>
      </c>
      <c r="M74" s="39">
        <f>IFERROR('Activity Data Rep. Mauritius'!V73*'Activity Data Rep. Mauritius'!$E73,"NA")</f>
        <v>32860</v>
      </c>
      <c r="N74" s="39">
        <f>IFERROR('Activity Data Rep. Mauritius'!W73*'Activity Data Rep. Mauritius'!$E73,"NA")</f>
        <v>34980</v>
      </c>
      <c r="O74" s="39">
        <f>IFERROR('Activity Data Rep. Mauritius'!X73*'Activity Data Rep. Mauritius'!$E73,"NA")</f>
        <v>37100</v>
      </c>
      <c r="P74" s="39">
        <f>IFERROR('Activity Data Rep. Mauritius'!Y73*'Activity Data Rep. Mauritius'!$E73,"NA")</f>
        <v>34132</v>
      </c>
      <c r="Q74" s="39">
        <f>IFERROR('Activity Data Rep. Mauritius'!Z73*'Activity Data Rep. Mauritius'!$E73,"NA")</f>
        <v>28302</v>
      </c>
      <c r="R74" s="39">
        <f>IFERROR('Activity Data Rep. Mauritius'!AA73*'Activity Data Rep. Mauritius'!$E73,"NA")</f>
        <v>26500</v>
      </c>
      <c r="S74" s="39">
        <f>IFERROR('Activity Data Rep. Mauritius'!AB73*'Activity Data Rep. Mauritius'!$E73,"NA")</f>
        <v>25440</v>
      </c>
      <c r="T74" s="86">
        <f>IFERROR('Activity Data Rep. Mauritius'!AC73*'Activity Data Rep. Mauritius'!$E73,"NA")</f>
        <v>21412</v>
      </c>
      <c r="U74" s="85">
        <f>IFERROR('Activity Data Rep. Mauritius'!M73*'Activity Data Rep. Mauritius'!$F73,"NA")</f>
        <v>0</v>
      </c>
      <c r="V74" s="39">
        <f>IFERROR('Activity Data Rep. Mauritius'!N73*'Activity Data Rep. Mauritius'!$F73,"NA")</f>
        <v>0</v>
      </c>
      <c r="W74" s="39">
        <f>IFERROR('Activity Data Rep. Mauritius'!O73*'Activity Data Rep. Mauritius'!$F73,"NA")</f>
        <v>0</v>
      </c>
      <c r="X74" s="39">
        <f>IFERROR('Activity Data Rep. Mauritius'!P73*'Activity Data Rep. Mauritius'!$F73,"NA")</f>
        <v>0</v>
      </c>
      <c r="Y74" s="39">
        <f>IFERROR('Activity Data Rep. Mauritius'!Q73*'Activity Data Rep. Mauritius'!$F73,"NA")</f>
        <v>0</v>
      </c>
      <c r="Z74" s="39">
        <f>IFERROR('Activity Data Rep. Mauritius'!R73*'Activity Data Rep. Mauritius'!$F73,"NA")</f>
        <v>0</v>
      </c>
      <c r="AA74" s="39">
        <f>IFERROR('Activity Data Rep. Mauritius'!S73*'Activity Data Rep. Mauritius'!$F73,"NA")</f>
        <v>0</v>
      </c>
      <c r="AB74" s="39">
        <f>IFERROR('Activity Data Rep. Mauritius'!T73*'Activity Data Rep. Mauritius'!$F73,"NA")</f>
        <v>0</v>
      </c>
      <c r="AC74" s="39">
        <f>IFERROR('Activity Data Rep. Mauritius'!U73*'Activity Data Rep. Mauritius'!$F73,"NA")</f>
        <v>0</v>
      </c>
      <c r="AD74" s="39">
        <f>IFERROR('Activity Data Rep. Mauritius'!V73*'Activity Data Rep. Mauritius'!$F73,"NA")</f>
        <v>0</v>
      </c>
      <c r="AE74" s="39">
        <f>IFERROR('Activity Data Rep. Mauritius'!W73*'Activity Data Rep. Mauritius'!$F73,"NA")</f>
        <v>0</v>
      </c>
      <c r="AF74" s="39">
        <f>IFERROR('Activity Data Rep. Mauritius'!X73*'Activity Data Rep. Mauritius'!$F73,"NA")</f>
        <v>0</v>
      </c>
      <c r="AG74" s="39">
        <f>IFERROR('Activity Data Rep. Mauritius'!Y73*'Activity Data Rep. Mauritius'!$F73,"NA")</f>
        <v>0</v>
      </c>
      <c r="AH74" s="39">
        <f>IFERROR('Activity Data Rep. Mauritius'!Z73*'Activity Data Rep. Mauritius'!$F73,"NA")</f>
        <v>0</v>
      </c>
      <c r="AI74" s="39">
        <f>IFERROR('Activity Data Rep. Mauritius'!AA73*'Activity Data Rep. Mauritius'!$F73,"NA")</f>
        <v>0</v>
      </c>
      <c r="AJ74" s="39">
        <f>IFERROR('Activity Data Rep. Mauritius'!AB73*'Activity Data Rep. Mauritius'!$F73,"NA")</f>
        <v>0</v>
      </c>
      <c r="AK74" s="86">
        <f>IFERROR('Activity Data Rep. Mauritius'!AC73*'Activity Data Rep. Mauritius'!$F73,"NA")</f>
        <v>0</v>
      </c>
      <c r="AL74" s="500">
        <f>IFERROR('Activity Data Rep. Mauritius'!M73*'Activity Data Rep. Mauritius'!$G73,"NA")</f>
        <v>0</v>
      </c>
      <c r="AM74" s="39">
        <f>IFERROR('Activity Data Rep. Mauritius'!N73*'Activity Data Rep. Mauritius'!$G73,"NA")</f>
        <v>0</v>
      </c>
      <c r="AN74" s="39">
        <f>IFERROR('Activity Data Rep. Mauritius'!O73*'Activity Data Rep. Mauritius'!$G73,"NA")</f>
        <v>0</v>
      </c>
      <c r="AO74" s="39">
        <f>IFERROR('Activity Data Rep. Mauritius'!P73*'Activity Data Rep. Mauritius'!$G73,"NA")</f>
        <v>0</v>
      </c>
      <c r="AP74" s="39">
        <f>IFERROR('Activity Data Rep. Mauritius'!Q73*'Activity Data Rep. Mauritius'!$G73,"NA")</f>
        <v>0</v>
      </c>
      <c r="AQ74" s="39">
        <f>IFERROR('Activity Data Rep. Mauritius'!R73*'Activity Data Rep. Mauritius'!$G73,"NA")</f>
        <v>0</v>
      </c>
      <c r="AR74" s="39">
        <f>IFERROR('Activity Data Rep. Mauritius'!S73*'Activity Data Rep. Mauritius'!$G73,"NA")</f>
        <v>0</v>
      </c>
      <c r="AS74" s="39">
        <f>IFERROR('Activity Data Rep. Mauritius'!T73*'Activity Data Rep. Mauritius'!$G73,"NA")</f>
        <v>0</v>
      </c>
      <c r="AT74" s="39">
        <f>IFERROR('Activity Data Rep. Mauritius'!U73*'Activity Data Rep. Mauritius'!$G73,"NA")</f>
        <v>0</v>
      </c>
      <c r="AU74" s="39">
        <f>IFERROR('Activity Data Rep. Mauritius'!V73*'Activity Data Rep. Mauritius'!$G73,"NA")</f>
        <v>0</v>
      </c>
      <c r="AV74" s="39">
        <f>IFERROR('Activity Data Rep. Mauritius'!W73*'Activity Data Rep. Mauritius'!$G73,"NA")</f>
        <v>0</v>
      </c>
      <c r="AW74" s="39">
        <f>IFERROR('Activity Data Rep. Mauritius'!X73*'Activity Data Rep. Mauritius'!$G73,"NA")</f>
        <v>0</v>
      </c>
      <c r="AX74" s="39">
        <f>IFERROR('Activity Data Rep. Mauritius'!Y73*'Activity Data Rep. Mauritius'!$G73,"NA")</f>
        <v>0</v>
      </c>
      <c r="AY74" s="39">
        <f>IFERROR('Activity Data Rep. Mauritius'!Z73*'Activity Data Rep. Mauritius'!$G73,"NA")</f>
        <v>0</v>
      </c>
      <c r="AZ74" s="39">
        <f>IFERROR('Activity Data Rep. Mauritius'!AA73*'Activity Data Rep. Mauritius'!$G73,"NA")</f>
        <v>0</v>
      </c>
      <c r="BA74" s="39">
        <f>IFERROR('Activity Data Rep. Mauritius'!AB73*'Activity Data Rep. Mauritius'!$G73,"NA")</f>
        <v>0</v>
      </c>
      <c r="BB74" s="86">
        <f>IFERROR('Activity Data Rep. Mauritius'!AC73*'Activity Data Rep. Mauritius'!$G73,"NA")</f>
        <v>0</v>
      </c>
      <c r="BC74" s="85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86"/>
    </row>
    <row r="75" spans="2:71" s="1" customFormat="1" x14ac:dyDescent="0.35">
      <c r="B75" s="491" t="s">
        <v>476</v>
      </c>
      <c r="C75" s="364" t="s">
        <v>477</v>
      </c>
      <c r="D75" s="85">
        <f>'Activity Data Rep. Mauritius'!M$74*'Activity Data Rep. Mauritius'!$J$74</f>
        <v>0</v>
      </c>
      <c r="E75" s="39">
        <f>'Activity Data Rep. Mauritius'!N$74*'Activity Data Rep. Mauritius'!$J$74</f>
        <v>0</v>
      </c>
      <c r="F75" s="39">
        <f>'Activity Data Rep. Mauritius'!O$74*'Activity Data Rep. Mauritius'!$J$74</f>
        <v>0</v>
      </c>
      <c r="G75" s="39">
        <f>'Activity Data Rep. Mauritius'!P$74*'Activity Data Rep. Mauritius'!$J$74</f>
        <v>0</v>
      </c>
      <c r="H75" s="39">
        <f>'Activity Data Rep. Mauritius'!Q$74*'Activity Data Rep. Mauritius'!$J$74</f>
        <v>0</v>
      </c>
      <c r="I75" s="39">
        <f>'Activity Data Rep. Mauritius'!R$74*'Activity Data Rep. Mauritius'!$J$74</f>
        <v>0</v>
      </c>
      <c r="J75" s="39">
        <f>'Activity Data Rep. Mauritius'!S$74*'Activity Data Rep. Mauritius'!$J$74</f>
        <v>0</v>
      </c>
      <c r="K75" s="39">
        <f>'Activity Data Rep. Mauritius'!T$74*'Activity Data Rep. Mauritius'!$J$74</f>
        <v>0</v>
      </c>
      <c r="L75" s="39">
        <f>'Activity Data Rep. Mauritius'!U$74*'Activity Data Rep. Mauritius'!$J$74</f>
        <v>0</v>
      </c>
      <c r="M75" s="39">
        <f>'Activity Data Rep. Mauritius'!V$74*'Activity Data Rep. Mauritius'!$J$74</f>
        <v>0</v>
      </c>
      <c r="N75" s="39">
        <f>'Activity Data Rep. Mauritius'!W$74*'Activity Data Rep. Mauritius'!$J$74</f>
        <v>0</v>
      </c>
      <c r="O75" s="39">
        <f>'Activity Data Rep. Mauritius'!X$74*'Activity Data Rep. Mauritius'!$J$74</f>
        <v>9433.6</v>
      </c>
      <c r="P75" s="39">
        <f>'Activity Data Rep. Mauritius'!Y$74*'Activity Data Rep. Mauritius'!$J$74</f>
        <v>10612.8</v>
      </c>
      <c r="Q75" s="39">
        <f>'Activity Data Rep. Mauritius'!Z$74*'Activity Data Rep. Mauritius'!$J$74</f>
        <v>10023.200000000001</v>
      </c>
      <c r="R75" s="39">
        <f>'Activity Data Rep. Mauritius'!AA$74*'Activity Data Rep. Mauritius'!$J$74</f>
        <v>8844</v>
      </c>
      <c r="S75" s="39">
        <f>'Activity Data Rep. Mauritius'!AB$74*'Activity Data Rep. Mauritius'!$J$74</f>
        <v>6485.6</v>
      </c>
      <c r="T75" s="86">
        <f>'Activity Data Rep. Mauritius'!AC$74*'Activity Data Rep. Mauritius'!$J$74</f>
        <v>7664.8</v>
      </c>
      <c r="U75" s="85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86"/>
      <c r="AL75" s="500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86"/>
      <c r="BC75" s="85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86"/>
    </row>
    <row r="76" spans="2:71" x14ac:dyDescent="0.35">
      <c r="B76" s="643" t="s">
        <v>9</v>
      </c>
      <c r="C76" s="364" t="s">
        <v>49</v>
      </c>
      <c r="D76" s="85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89"/>
      <c r="U76" s="85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89"/>
      <c r="AL76" s="500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89"/>
      <c r="BC76" s="85">
        <f ca="1">'Emissions GEI HFCs'!N47</f>
        <v>0</v>
      </c>
      <c r="BD76" s="39">
        <f ca="1">'Emissions GEI HFCs'!O47</f>
        <v>0</v>
      </c>
      <c r="BE76" s="39">
        <f ca="1">'Emissions GEI HFCs'!P47</f>
        <v>0</v>
      </c>
      <c r="BF76" s="39">
        <f ca="1">'Emissions GEI HFCs'!Q47</f>
        <v>0</v>
      </c>
      <c r="BG76" s="39">
        <f ca="1">'Emissions GEI HFCs'!R47</f>
        <v>0</v>
      </c>
      <c r="BH76" s="39">
        <f ca="1">'Emissions GEI HFCs'!S47</f>
        <v>0</v>
      </c>
      <c r="BI76" s="39">
        <f ca="1">'Emissions GEI HFCs'!T47</f>
        <v>0</v>
      </c>
      <c r="BJ76" s="39">
        <f ca="1">'Emissions GEI HFCs'!U47</f>
        <v>3.15E-2</v>
      </c>
      <c r="BK76" s="39">
        <f ca="1">'Emissions GEI HFCs'!V47</f>
        <v>2.6774999999999997E-2</v>
      </c>
      <c r="BL76" s="39">
        <f ca="1">'Emissions GEI HFCs'!W47</f>
        <v>2.2758749999999998E-2</v>
      </c>
      <c r="BM76" s="39">
        <f ca="1">'Emissions GEI HFCs'!X47</f>
        <v>1.9344937499999999E-2</v>
      </c>
      <c r="BN76" s="39">
        <f ca="1">'Emissions GEI HFCs'!Y47</f>
        <v>1.6443196875E-2</v>
      </c>
      <c r="BO76" s="39">
        <f ca="1">'Emissions GEI HFCs'!Z47</f>
        <v>2.1476717343750007E-2</v>
      </c>
      <c r="BP76" s="39">
        <f ca="1">'Emissions GEI HFCs'!AA47</f>
        <v>5.7255209742187507E-2</v>
      </c>
      <c r="BQ76" s="39">
        <f ca="1">'Emissions GEI HFCs'!AB47</f>
        <v>8.7666928280859382E-2</v>
      </c>
      <c r="BR76" s="39">
        <f ca="1">'Emissions GEI HFCs'!AC47</f>
        <v>7.451688903873048E-2</v>
      </c>
      <c r="BS76" s="86">
        <f ca="1">'Emissions GEI HFCs'!AD47</f>
        <v>7.6839355682920898E-2</v>
      </c>
    </row>
    <row r="77" spans="2:71" x14ac:dyDescent="0.35">
      <c r="B77" s="641"/>
      <c r="C77" s="364" t="s">
        <v>50</v>
      </c>
      <c r="D77" s="85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86"/>
      <c r="U77" s="85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86"/>
      <c r="AL77" s="500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86"/>
      <c r="BC77" s="85">
        <f ca="1">'Emissions GEI HFCs'!N48</f>
        <v>0.86068266826665119</v>
      </c>
      <c r="BD77" s="39">
        <f ca="1">'Emissions GEI HFCs'!O48</f>
        <v>0.91308026802665354</v>
      </c>
      <c r="BE77" s="39">
        <f ca="1">'Emissions GEI HFCs'!P48</f>
        <v>0.95911822782265566</v>
      </c>
      <c r="BF77" s="39">
        <f ca="1">'Emissions GEI HFCs'!Q48</f>
        <v>1.0057504936492572</v>
      </c>
      <c r="BG77" s="39">
        <f ca="1">'Emissions GEI HFCs'!R48</f>
        <v>1.0528879196018683</v>
      </c>
      <c r="BH77" s="39">
        <f ca="1">'Emissions GEI HFCs'!S48</f>
        <v>1.606854731661588</v>
      </c>
      <c r="BI77" s="39">
        <f ca="1">'Emissions GEI HFCs'!T48</f>
        <v>1.4986702719123497</v>
      </c>
      <c r="BJ77" s="39">
        <f ca="1">'Emissions GEI HFCs'!U48</f>
        <v>1.6906259811254969</v>
      </c>
      <c r="BK77" s="39">
        <f ca="1">'Emissions GEI HFCs'!V48</f>
        <v>1.982843796456673</v>
      </c>
      <c r="BL77" s="39">
        <f ca="1">'Emissions GEI HFCs'!W48</f>
        <v>3.9479727074569215</v>
      </c>
      <c r="BM77" s="39">
        <f ca="1">'Emissions GEI HFCs'!X48</f>
        <v>4.335746983369634</v>
      </c>
      <c r="BN77" s="39">
        <f ca="1">'Emissions GEI HFCs'!Y48</f>
        <v>5.6535871538032518</v>
      </c>
      <c r="BO77" s="39">
        <f ca="1">'Emissions GEI HFCs'!Z48</f>
        <v>7.2854622278318839</v>
      </c>
      <c r="BP77" s="39">
        <f ca="1">'Emissions GEI HFCs'!AA48</f>
        <v>7.9918654457204834</v>
      </c>
      <c r="BQ77" s="39">
        <f ca="1">'Emissions GEI HFCs'!AB48</f>
        <v>9.366816554265176</v>
      </c>
      <c r="BR77" s="39">
        <f ca="1">'Emissions GEI HFCs'!AC48</f>
        <v>11.334704959047667</v>
      </c>
      <c r="BS77" s="86">
        <f ca="1">'Emissions GEI HFCs'!AD48</f>
        <v>9.9654226144073323</v>
      </c>
    </row>
    <row r="78" spans="2:71" x14ac:dyDescent="0.35">
      <c r="B78" s="641"/>
      <c r="C78" s="364" t="s">
        <v>51</v>
      </c>
      <c r="D78" s="85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86"/>
      <c r="U78" s="85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86"/>
      <c r="AL78" s="500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86"/>
      <c r="BC78" s="85">
        <f ca="1">'Emissions GEI HFCs'!N49</f>
        <v>4.9071625327964918</v>
      </c>
      <c r="BD78" s="39">
        <f ca="1">'Emissions GEI HFCs'!O49</f>
        <v>5.2045881528770161</v>
      </c>
      <c r="BE78" s="39">
        <f ca="1">'Emissions GEI HFCs'!P49</f>
        <v>5.4663999299454638</v>
      </c>
      <c r="BF78" s="39">
        <f ca="1">'Emissions GEI HFCs'!Q49</f>
        <v>5.7339399404536451</v>
      </c>
      <c r="BG78" s="39">
        <f ca="1">'Emissions GEI HFCs'!R49</f>
        <v>6.0033489493855985</v>
      </c>
      <c r="BH78" s="39">
        <f ca="1">'Emissions GEI HFCs'!S49</f>
        <v>9.1552466069777587</v>
      </c>
      <c r="BI78" s="39">
        <f ca="1">'Emissions GEI HFCs'!T49</f>
        <v>8.5468846159310949</v>
      </c>
      <c r="BJ78" s="39">
        <f ca="1">'Emissions GEI HFCs'!U49</f>
        <v>9.2924956735414312</v>
      </c>
      <c r="BK78" s="39">
        <f ca="1">'Emissions GEI HFCs'!V49</f>
        <v>8.481286722510216</v>
      </c>
      <c r="BL78" s="39">
        <f ca="1">'Emissions GEI HFCs'!W49</f>
        <v>11.249860904758684</v>
      </c>
      <c r="BM78" s="39">
        <f ca="1">'Emissions GEI HFCs'!X49</f>
        <v>12.538390049513628</v>
      </c>
      <c r="BN78" s="39">
        <f ca="1">'Emissions GEI HFCs'!Y49</f>
        <v>17.726107530861587</v>
      </c>
      <c r="BO78" s="39">
        <f ca="1">'Emissions GEI HFCs'!Z49</f>
        <v>21.721161926549936</v>
      </c>
      <c r="BP78" s="39">
        <f ca="1">'Emissions GEI HFCs'!AA49</f>
        <v>26.342128741247809</v>
      </c>
      <c r="BQ78" s="39">
        <f ca="1">'Emissions GEI HFCs'!AB49</f>
        <v>31.953647627228023</v>
      </c>
      <c r="BR78" s="39">
        <f ca="1">'Emissions GEI HFCs'!AC49</f>
        <v>34.888082077706592</v>
      </c>
      <c r="BS78" s="86">
        <f ca="1">'Emissions GEI HFCs'!AD49</f>
        <v>39.246618584889994</v>
      </c>
    </row>
    <row r="79" spans="2:71" x14ac:dyDescent="0.35">
      <c r="B79" s="641"/>
      <c r="C79" s="364" t="s">
        <v>52</v>
      </c>
      <c r="D79" s="85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86"/>
      <c r="U79" s="85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86"/>
      <c r="AL79" s="500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86"/>
      <c r="BC79" s="85">
        <f ca="1">'Emissions GEI HFCs'!N50</f>
        <v>12.284965396304624</v>
      </c>
      <c r="BD79" s="39">
        <f ca="1">'Emissions GEI HFCs'!O50</f>
        <v>12.362220586858932</v>
      </c>
      <c r="BE79" s="39">
        <f ca="1">'Emissions GEI HFCs'!P50</f>
        <v>12.412887498830091</v>
      </c>
      <c r="BF79" s="39">
        <f ca="1">'Emissions GEI HFCs'!Q50</f>
        <v>12.43495437400558</v>
      </c>
      <c r="BG79" s="39">
        <f ca="1">'Emissions GEI HFCs'!R50</f>
        <v>12.441711217904741</v>
      </c>
      <c r="BH79" s="39">
        <f ca="1">'Emissions GEI HFCs'!S50</f>
        <v>20.176354535219026</v>
      </c>
      <c r="BI79" s="39">
        <f ca="1">'Emissions GEI HFCs'!T50</f>
        <v>18.541620104936175</v>
      </c>
      <c r="BJ79" s="39">
        <f ca="1">'Emissions GEI HFCs'!U50</f>
        <v>18.656520839195746</v>
      </c>
      <c r="BK79" s="39">
        <f ca="1">'Emissions GEI HFCs'!V50</f>
        <v>23.163297675816381</v>
      </c>
      <c r="BL79" s="39">
        <f ca="1">'Emissions GEI HFCs'!W50</f>
        <v>24.558535551787671</v>
      </c>
      <c r="BM79" s="39">
        <f ca="1">'Emissions GEI HFCs'!X50</f>
        <v>23.027569874488275</v>
      </c>
      <c r="BN79" s="39">
        <f ca="1">'Emissions GEI HFCs'!Y50</f>
        <v>26.036827572160345</v>
      </c>
      <c r="BO79" s="39">
        <f ca="1">'Emissions GEI HFCs'!Z50</f>
        <v>26.226020215472523</v>
      </c>
      <c r="BP79" s="39">
        <f ca="1">'Emissions GEI HFCs'!AA50</f>
        <v>25.61331320449607</v>
      </c>
      <c r="BQ79" s="39">
        <f ca="1">'Emissions GEI HFCs'!AB50</f>
        <v>25.266533746637851</v>
      </c>
      <c r="BR79" s="39">
        <f ca="1">'Emissions GEI HFCs'!AC50</f>
        <v>24.6999124238693</v>
      </c>
      <c r="BS79" s="86">
        <f ca="1">'Emissions GEI HFCs'!AD50</f>
        <v>26.916996230058526</v>
      </c>
    </row>
    <row r="80" spans="2:71" x14ac:dyDescent="0.35">
      <c r="B80" s="641"/>
      <c r="C80" s="364" t="s">
        <v>54</v>
      </c>
      <c r="D80" s="85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86"/>
      <c r="U80" s="85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86"/>
      <c r="AL80" s="500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86"/>
      <c r="BC80" s="85">
        <f ca="1">'Emissions GEI HFCs'!N51</f>
        <v>4.7647404795197223</v>
      </c>
      <c r="BD80" s="39">
        <f ca="1">'Emissions GEI HFCs'!O51</f>
        <v>5.0535294075917641</v>
      </c>
      <c r="BE80" s="39">
        <f ca="1">'Emissions GEI HFCs'!P51</f>
        <v>5.3079999964529989</v>
      </c>
      <c r="BF80" s="39">
        <f ca="1">'Emissions GEI HFCs'!Q51</f>
        <v>5.56779999698505</v>
      </c>
      <c r="BG80" s="39">
        <f ca="1">'Emissions GEI HFCs'!R51</f>
        <v>5.8291299974372928</v>
      </c>
      <c r="BH80" s="39">
        <f ca="1">'Emissions GEI HFCs'!S51</f>
        <v>8.8874604978216993</v>
      </c>
      <c r="BI80" s="39">
        <f ca="1">'Emissions GEI HFCs'!T51</f>
        <v>8.3033851731484454</v>
      </c>
      <c r="BJ80" s="39">
        <f ca="1">'Emissions GEI HFCs'!U51</f>
        <v>8.8173023971761761</v>
      </c>
      <c r="BK80" s="39">
        <f ca="1">'Emissions GEI HFCs'!V51</f>
        <v>7.525614050099751</v>
      </c>
      <c r="BL80" s="39">
        <f ca="1">'Emissions GEI HFCs'!W51</f>
        <v>8.3918806855535397</v>
      </c>
      <c r="BM80" s="39">
        <f ca="1">'Emissions GEI HFCs'!X51</f>
        <v>9.4645240858455075</v>
      </c>
      <c r="BN80" s="39">
        <f ca="1">'Emissions GEI HFCs'!Y51</f>
        <v>13.763093604520247</v>
      </c>
      <c r="BO80" s="39">
        <f ca="1">'Emissions GEI HFCs'!Z51</f>
        <v>16.571121113274138</v>
      </c>
      <c r="BP80" s="39">
        <f ca="1">'Emissions GEI HFCs'!AA51</f>
        <v>38.71337501694434</v>
      </c>
      <c r="BQ80" s="39">
        <f ca="1">'Emissions GEI HFCs'!AB51</f>
        <v>36.097013765351171</v>
      </c>
      <c r="BR80" s="39">
        <f ca="1">'Emissions GEI HFCs'!AC51</f>
        <v>35.554597427889654</v>
      </c>
      <c r="BS80" s="86">
        <f ca="1">'Emissions GEI HFCs'!AD51</f>
        <v>36.262477181253182</v>
      </c>
    </row>
    <row r="81" spans="2:71" x14ac:dyDescent="0.35">
      <c r="B81" s="641"/>
      <c r="C81" s="364" t="s">
        <v>55</v>
      </c>
      <c r="D81" s="85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86"/>
      <c r="U81" s="85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86"/>
      <c r="AL81" s="500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86"/>
      <c r="BC81" s="85">
        <f ca="1">'Emissions GEI HFCs'!N52</f>
        <v>0</v>
      </c>
      <c r="BD81" s="39">
        <f ca="1">'Emissions GEI HFCs'!O52</f>
        <v>0</v>
      </c>
      <c r="BE81" s="39">
        <f ca="1">'Emissions GEI HFCs'!P52</f>
        <v>0</v>
      </c>
      <c r="BF81" s="39">
        <f ca="1">'Emissions GEI HFCs'!Q52</f>
        <v>0</v>
      </c>
      <c r="BG81" s="39">
        <f ca="1">'Emissions GEI HFCs'!R52</f>
        <v>0</v>
      </c>
      <c r="BH81" s="39">
        <f ca="1">'Emissions GEI HFCs'!S52</f>
        <v>0</v>
      </c>
      <c r="BI81" s="39">
        <f ca="1">'Emissions GEI HFCs'!T52</f>
        <v>0</v>
      </c>
      <c r="BJ81" s="39">
        <f ca="1">'Emissions GEI HFCs'!U52</f>
        <v>0</v>
      </c>
      <c r="BK81" s="39">
        <f ca="1">'Emissions GEI HFCs'!V52</f>
        <v>0</v>
      </c>
      <c r="BL81" s="39">
        <f ca="1">'Emissions GEI HFCs'!W52</f>
        <v>0</v>
      </c>
      <c r="BM81" s="39">
        <f ca="1">'Emissions GEI HFCs'!X52</f>
        <v>0</v>
      </c>
      <c r="BN81" s="39">
        <f ca="1">'Emissions GEI HFCs'!Y52</f>
        <v>0</v>
      </c>
      <c r="BO81" s="39">
        <f ca="1">'Emissions GEI HFCs'!Z52</f>
        <v>0</v>
      </c>
      <c r="BP81" s="39">
        <f ca="1">'Emissions GEI HFCs'!AA52</f>
        <v>0.11699999999999999</v>
      </c>
      <c r="BQ81" s="39">
        <f ca="1">'Emissions GEI HFCs'!AB52</f>
        <v>9.9449999999999997E-2</v>
      </c>
      <c r="BR81" s="39">
        <f ca="1">'Emissions GEI HFCs'!AC52</f>
        <v>8.4532499999999997E-2</v>
      </c>
      <c r="BS81" s="86">
        <f ca="1">'Emissions GEI HFCs'!AD52</f>
        <v>7.1852625000000003E-2</v>
      </c>
    </row>
    <row r="82" spans="2:71" s="1" customFormat="1" ht="29.5" thickBot="1" x14ac:dyDescent="0.4">
      <c r="B82" s="282" t="s">
        <v>10</v>
      </c>
      <c r="C82" s="364" t="s">
        <v>52</v>
      </c>
      <c r="D82" s="229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8"/>
      <c r="U82" s="229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8"/>
      <c r="AL82" s="508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8"/>
      <c r="BC82" s="365">
        <f ca="1">'Emissions GEI HFCs'!N61</f>
        <v>0.33449999999999996</v>
      </c>
      <c r="BD82" s="366">
        <f ca="1">'Emissions GEI HFCs'!O61</f>
        <v>0.61882499999999996</v>
      </c>
      <c r="BE82" s="366">
        <f ca="1">'Emissions GEI HFCs'!P61</f>
        <v>0.87250125000000001</v>
      </c>
      <c r="BF82" s="366">
        <f ca="1">'Emissions GEI HFCs'!Q61</f>
        <v>1.1031260624999999</v>
      </c>
      <c r="BG82" s="366">
        <f ca="1">'Emissions GEI HFCs'!R61</f>
        <v>1.306657153125</v>
      </c>
      <c r="BH82" s="366">
        <f ca="1">'Emissions GEI HFCs'!S61</f>
        <v>1.4916585801562499</v>
      </c>
      <c r="BI82" s="366">
        <f ca="1">'Emissions GEI HFCs'!T61</f>
        <v>1.6564097931328126</v>
      </c>
      <c r="BJ82" s="366">
        <f ca="1">'Emissions GEI HFCs'!U61</f>
        <v>2.0754483241628905</v>
      </c>
      <c r="BK82" s="366">
        <f ca="1">'Emissions GEI HFCs'!V61</f>
        <v>4.3201310755384563</v>
      </c>
      <c r="BL82" s="366">
        <f ca="1">'Emissions GEI HFCs'!W61</f>
        <v>4.5631114142076878</v>
      </c>
      <c r="BM82" s="366">
        <f ca="1">'Emissions GEI HFCs'!X61</f>
        <v>4.6136447020765345</v>
      </c>
      <c r="BN82" s="366">
        <f ca="1">'Emissions GEI HFCs'!Y61</f>
        <v>5.3060979967650548</v>
      </c>
      <c r="BO82" s="366">
        <f ca="1">'Emissions GEI HFCs'!Z61</f>
        <v>5.3711832972502958</v>
      </c>
      <c r="BP82" s="366">
        <f ca="1">'Emissions GEI HFCs'!AA61</f>
        <v>5.3140058026627504</v>
      </c>
      <c r="BQ82" s="366">
        <f ca="1">'Emissions GEI HFCs'!AB61</f>
        <v>5.3344049322633387</v>
      </c>
      <c r="BR82" s="366">
        <f ca="1">'Emissions GEI HFCs'!AC61</f>
        <v>6.6720441924238383</v>
      </c>
      <c r="BS82" s="367">
        <f ca="1">'Emissions GEI HFCs'!AD61</f>
        <v>6.8826563135602612</v>
      </c>
    </row>
    <row r="83" spans="2:71" s="3" customFormat="1" ht="15" thickBot="1" x14ac:dyDescent="0.4">
      <c r="B83" s="675" t="s">
        <v>160</v>
      </c>
      <c r="C83" s="676"/>
      <c r="D83" s="188">
        <f>D84+D85+D86+D90+D94</f>
        <v>2282.7361821953632</v>
      </c>
      <c r="E83" s="101">
        <f t="shared" ref="E83" si="10">SUM(E84:E86)+E90</f>
        <v>2441.5138869373532</v>
      </c>
      <c r="F83" s="101">
        <f>SUM(F84:F86)+F90+F94</f>
        <v>2493.8794247820933</v>
      </c>
      <c r="G83" s="101">
        <f t="shared" ref="G83:T83" si="11">SUM(G84:G86)+G90+G94</f>
        <v>2628.1607667632961</v>
      </c>
      <c r="H83" s="101">
        <f t="shared" si="11"/>
        <v>2653.64049489733</v>
      </c>
      <c r="I83" s="101">
        <f t="shared" si="11"/>
        <v>2839.4263263593766</v>
      </c>
      <c r="J83" s="101">
        <f t="shared" si="11"/>
        <v>3202.13630462433</v>
      </c>
      <c r="K83" s="101">
        <f t="shared" si="11"/>
        <v>3370.5126644039137</v>
      </c>
      <c r="L83" s="101">
        <f t="shared" si="11"/>
        <v>3469.4127835731824</v>
      </c>
      <c r="M83" s="101">
        <f t="shared" si="11"/>
        <v>3418.9741764158125</v>
      </c>
      <c r="N83" s="101">
        <f t="shared" si="11"/>
        <v>3674.8669205281717</v>
      </c>
      <c r="O83" s="101">
        <f t="shared" si="11"/>
        <v>3687.0743471224687</v>
      </c>
      <c r="P83" s="101">
        <f t="shared" si="11"/>
        <v>3784.533526054146</v>
      </c>
      <c r="Q83" s="101">
        <f t="shared" si="11"/>
        <v>3892.7217443605373</v>
      </c>
      <c r="R83" s="101">
        <f t="shared" si="11"/>
        <v>3952.7106206104113</v>
      </c>
      <c r="S83" s="101">
        <f t="shared" si="11"/>
        <v>3999.4038312382772</v>
      </c>
      <c r="T83" s="102">
        <f t="shared" si="11"/>
        <v>4127.3114385786957</v>
      </c>
      <c r="U83" s="188">
        <f>U84+U85+U86+U90+U94</f>
        <v>0.19476724357045491</v>
      </c>
      <c r="V83" s="101">
        <f t="shared" ref="V83:AK83" si="12">V84+V85+V86+V90+V94</f>
        <v>0.20290337799103586</v>
      </c>
      <c r="W83" s="101">
        <f t="shared" si="12"/>
        <v>0.20875711157580998</v>
      </c>
      <c r="X83" s="101">
        <f t="shared" si="12"/>
        <v>0.22049955734905544</v>
      </c>
      <c r="Y83" s="101">
        <f t="shared" si="12"/>
        <v>0.22849163217030977</v>
      </c>
      <c r="Z83" s="101">
        <f t="shared" si="12"/>
        <v>0.23646610353472713</v>
      </c>
      <c r="AA83" s="101">
        <f t="shared" si="12"/>
        <v>0.2465615423722082</v>
      </c>
      <c r="AB83" s="101">
        <f t="shared" si="12"/>
        <v>0.25227373095664629</v>
      </c>
      <c r="AC83" s="101">
        <f t="shared" si="12"/>
        <v>0.26400172773636876</v>
      </c>
      <c r="AD83" s="101">
        <f t="shared" si="12"/>
        <v>0.26890144912747682</v>
      </c>
      <c r="AE83" s="101">
        <f t="shared" si="12"/>
        <v>0.28240918593265218</v>
      </c>
      <c r="AF83" s="101">
        <f t="shared" si="12"/>
        <v>0.29192059113754254</v>
      </c>
      <c r="AG83" s="101">
        <f t="shared" si="12"/>
        <v>0.30237120951726915</v>
      </c>
      <c r="AH83" s="101">
        <f t="shared" si="12"/>
        <v>0.31360283374620074</v>
      </c>
      <c r="AI83" s="101">
        <f t="shared" si="12"/>
        <v>0.29797949530206197</v>
      </c>
      <c r="AJ83" s="101">
        <f t="shared" si="12"/>
        <v>0.33991673877527767</v>
      </c>
      <c r="AK83" s="102">
        <f t="shared" si="12"/>
        <v>0.363373459610281</v>
      </c>
      <c r="AL83" s="509">
        <f>AL84+AL85+AL86+AL90+AL94</f>
        <v>4.4795909477482909E-2</v>
      </c>
      <c r="AM83" s="101">
        <f t="shared" ref="AM83:BB83" si="13">AM84+AM85+AM86+AM90+AM94</f>
        <v>4.7933685553603625E-2</v>
      </c>
      <c r="AN83" s="101">
        <f t="shared" si="13"/>
        <v>4.9695917734098795E-2</v>
      </c>
      <c r="AO83" s="101">
        <f t="shared" si="13"/>
        <v>5.1805446182652731E-2</v>
      </c>
      <c r="AP83" s="101">
        <f t="shared" si="13"/>
        <v>5.2796917069244532E-2</v>
      </c>
      <c r="AQ83" s="101">
        <f t="shared" si="13"/>
        <v>5.6800210557058334E-2</v>
      </c>
      <c r="AR83" s="101">
        <f t="shared" si="13"/>
        <v>6.3148188342748962E-2</v>
      </c>
      <c r="AS83" s="101">
        <f t="shared" si="13"/>
        <v>6.7591541422841614E-2</v>
      </c>
      <c r="AT83" s="101">
        <f t="shared" si="13"/>
        <v>7.1285488409399148E-2</v>
      </c>
      <c r="AU83" s="101">
        <f t="shared" si="13"/>
        <v>7.1041932159492838E-2</v>
      </c>
      <c r="AV83" s="101">
        <f t="shared" si="13"/>
        <v>7.6230469940926818E-2</v>
      </c>
      <c r="AW83" s="101">
        <f t="shared" si="13"/>
        <v>7.7432530596332177E-2</v>
      </c>
      <c r="AX83" s="101">
        <f t="shared" si="13"/>
        <v>8.0665201722086938E-2</v>
      </c>
      <c r="AY83" s="101">
        <f t="shared" si="13"/>
        <v>8.4079168560239434E-2</v>
      </c>
      <c r="AZ83" s="101">
        <f t="shared" si="13"/>
        <v>8.3575090067018507E-2</v>
      </c>
      <c r="BA83" s="101">
        <f t="shared" si="13"/>
        <v>8.653290533153804E-2</v>
      </c>
      <c r="BB83" s="102">
        <f t="shared" si="13"/>
        <v>9.1094651918214517E-2</v>
      </c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2"/>
    </row>
    <row r="84" spans="2:71" x14ac:dyDescent="0.35">
      <c r="B84" s="663" t="s">
        <v>150</v>
      </c>
      <c r="C84" s="664"/>
      <c r="D84" s="201">
        <f>IFERROR(SUM(D4:D7)/1000,"NA")</f>
        <v>1159.2564091559998</v>
      </c>
      <c r="E84" s="202">
        <f t="shared" ref="E84:T84" si="14">IFERROR(SUM(E4:E7)/1000,"NA")</f>
        <v>1268.8150482939998</v>
      </c>
      <c r="F84" s="202">
        <f t="shared" si="14"/>
        <v>1289.4180072520001</v>
      </c>
      <c r="G84" s="202">
        <f t="shared" si="14"/>
        <v>1381.1958847159999</v>
      </c>
      <c r="H84" s="202">
        <f t="shared" si="14"/>
        <v>1396.027794584</v>
      </c>
      <c r="I84" s="202">
        <f t="shared" si="14"/>
        <v>1567.1196631539999</v>
      </c>
      <c r="J84" s="202">
        <f t="shared" si="14"/>
        <v>1843.7890721439999</v>
      </c>
      <c r="K84" s="202">
        <f t="shared" si="14"/>
        <v>1985.1859191957278</v>
      </c>
      <c r="L84" s="202">
        <f t="shared" si="14"/>
        <v>2011.2768912173522</v>
      </c>
      <c r="M84" s="202">
        <f t="shared" si="14"/>
        <v>1994.8508959286808</v>
      </c>
      <c r="N84" s="202">
        <f t="shared" si="14"/>
        <v>2194.6872312669298</v>
      </c>
      <c r="O84" s="202">
        <f t="shared" si="14"/>
        <v>2180.1958094747838</v>
      </c>
      <c r="P84" s="202">
        <f t="shared" si="14"/>
        <v>2241.0750707048342</v>
      </c>
      <c r="Q84" s="202">
        <f t="shared" si="14"/>
        <v>2314.0973632978339</v>
      </c>
      <c r="R84" s="202">
        <f t="shared" si="14"/>
        <v>2394.0837004231335</v>
      </c>
      <c r="S84" s="202">
        <f t="shared" si="14"/>
        <v>2339.3397289062182</v>
      </c>
      <c r="T84" s="203">
        <f t="shared" si="14"/>
        <v>2397.3682304821773</v>
      </c>
      <c r="U84" s="201">
        <f t="shared" ref="U84:AL84" si="15">IFERROR(SUM(U4:U7)/1000,"NA")</f>
        <v>2.9150723769999998E-2</v>
      </c>
      <c r="V84" s="202">
        <f t="shared" ref="V84:AK84" si="16">IFERROR(SUM(V4:V7)/1000,"NA")</f>
        <v>3.0221395009999995E-2</v>
      </c>
      <c r="W84" s="202">
        <f t="shared" si="16"/>
        <v>3.0129302959999996E-2</v>
      </c>
      <c r="X84" s="202">
        <f t="shared" si="16"/>
        <v>3.3748903489999996E-2</v>
      </c>
      <c r="Y84" s="202">
        <f t="shared" si="16"/>
        <v>3.5942935409999995E-2</v>
      </c>
      <c r="Z84" s="202">
        <f t="shared" si="16"/>
        <v>3.7394975329999997E-2</v>
      </c>
      <c r="AA84" s="202">
        <f t="shared" si="16"/>
        <v>3.959264623E-2</v>
      </c>
      <c r="AB84" s="202">
        <f t="shared" si="16"/>
        <v>3.8827794421980005E-2</v>
      </c>
      <c r="AC84" s="202">
        <f t="shared" si="16"/>
        <v>3.6095544645406263E-2</v>
      </c>
      <c r="AD84" s="202">
        <f t="shared" si="16"/>
        <v>3.8318720287954099E-2</v>
      </c>
      <c r="AE84" s="202">
        <f t="shared" si="16"/>
        <v>4.0984418832017991E-2</v>
      </c>
      <c r="AF84" s="202">
        <f t="shared" si="16"/>
        <v>4.2112986960101809E-2</v>
      </c>
      <c r="AG84" s="202">
        <f t="shared" si="16"/>
        <v>4.2625977621944158E-2</v>
      </c>
      <c r="AH84" s="202">
        <f t="shared" si="16"/>
        <v>4.3333883207573705E-2</v>
      </c>
      <c r="AI84" s="202">
        <f t="shared" si="16"/>
        <v>4.4620550041562269E-2</v>
      </c>
      <c r="AJ84" s="202">
        <f t="shared" si="16"/>
        <v>4.4768283792355548E-2</v>
      </c>
      <c r="AK84" s="203">
        <f t="shared" si="16"/>
        <v>4.4892645649242342E-2</v>
      </c>
      <c r="AL84" s="510">
        <f t="shared" si="15"/>
        <v>1.3426378074E-2</v>
      </c>
      <c r="AM84" s="202">
        <f t="shared" ref="AM84:BB84" si="17">IFERROR(SUM(AM4:AM7)/1000,"NA")</f>
        <v>1.5113801178E-2</v>
      </c>
      <c r="AN84" s="202">
        <f t="shared" si="17"/>
        <v>1.5528672456000002E-2</v>
      </c>
      <c r="AO84" s="202">
        <f t="shared" si="17"/>
        <v>1.6243532082000002E-2</v>
      </c>
      <c r="AP84" s="202">
        <f t="shared" si="17"/>
        <v>1.5939666977999999E-2</v>
      </c>
      <c r="AQ84" s="202">
        <f t="shared" si="17"/>
        <v>1.8701510916000003E-2</v>
      </c>
      <c r="AR84" s="202">
        <f t="shared" si="17"/>
        <v>2.3139495005999999E-2</v>
      </c>
      <c r="AS84" s="202">
        <f t="shared" si="17"/>
        <v>2.5963278591419996E-2</v>
      </c>
      <c r="AT84" s="202">
        <f t="shared" si="17"/>
        <v>2.7205179158019399E-2</v>
      </c>
      <c r="AU84" s="202">
        <f t="shared" si="17"/>
        <v>2.6300188784371344E-2</v>
      </c>
      <c r="AV84" s="202">
        <f t="shared" si="17"/>
        <v>2.9259718848027E-2</v>
      </c>
      <c r="AW84" s="202">
        <f t="shared" si="17"/>
        <v>2.8667362179152715E-2</v>
      </c>
      <c r="AX84" s="202">
        <f t="shared" si="17"/>
        <v>2.9650902908916244E-2</v>
      </c>
      <c r="AY84" s="202">
        <f t="shared" si="17"/>
        <v>3.0791167121360572E-2</v>
      </c>
      <c r="AZ84" s="202">
        <f t="shared" si="17"/>
        <v>3.1913809301343403E-2</v>
      </c>
      <c r="BA84" s="202">
        <f t="shared" si="17"/>
        <v>3.0860420962283315E-2</v>
      </c>
      <c r="BB84" s="203">
        <f t="shared" si="17"/>
        <v>3.1898823038100169E-2</v>
      </c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3"/>
    </row>
    <row r="85" spans="2:71" x14ac:dyDescent="0.35">
      <c r="B85" s="659" t="s">
        <v>151</v>
      </c>
      <c r="C85" s="660"/>
      <c r="D85" s="90">
        <f>IFERROR(SUM(D34:D38)/1000,"NA")</f>
        <v>363.71313773466636</v>
      </c>
      <c r="E85" s="73">
        <f t="shared" ref="E85:T85" si="18">IFERROR(SUM(E34:E38)/1000,"NA")</f>
        <v>385.56745610712716</v>
      </c>
      <c r="F85" s="73">
        <f t="shared" si="18"/>
        <v>387.35834413015772</v>
      </c>
      <c r="G85" s="73">
        <f t="shared" si="18"/>
        <v>386.80742429105055</v>
      </c>
      <c r="H85" s="73">
        <f t="shared" si="18"/>
        <v>363.50440583011709</v>
      </c>
      <c r="I85" s="73">
        <f t="shared" si="18"/>
        <v>345.90989862096973</v>
      </c>
      <c r="J85" s="73">
        <f t="shared" si="18"/>
        <v>407.83223241143594</v>
      </c>
      <c r="K85" s="73">
        <f t="shared" si="18"/>
        <v>406.0376795319599</v>
      </c>
      <c r="L85" s="73">
        <f t="shared" si="18"/>
        <v>436.1125529445477</v>
      </c>
      <c r="M85" s="73">
        <f t="shared" si="18"/>
        <v>361.69323459028038</v>
      </c>
      <c r="N85" s="73">
        <f t="shared" si="18"/>
        <v>367.16979828698317</v>
      </c>
      <c r="O85" s="73">
        <f t="shared" si="18"/>
        <v>351.11199876498512</v>
      </c>
      <c r="P85" s="73">
        <f t="shared" si="18"/>
        <v>344.33532070293535</v>
      </c>
      <c r="Q85" s="73">
        <f t="shared" si="18"/>
        <v>329.85802923629831</v>
      </c>
      <c r="R85" s="73">
        <f t="shared" si="18"/>
        <v>345.33119163569205</v>
      </c>
      <c r="S85" s="73">
        <f t="shared" si="18"/>
        <v>348.23942435413068</v>
      </c>
      <c r="T85" s="91">
        <f t="shared" si="18"/>
        <v>336.61339452887489</v>
      </c>
      <c r="U85" s="90">
        <f t="shared" ref="U85:AL85" si="19">IFERROR(SUM(U34:U38)/1000,"NA")</f>
        <v>1.7781309458223999E-2</v>
      </c>
      <c r="V85" s="73">
        <f t="shared" ref="V85:AK85" si="20">IFERROR(SUM(V34:V38)/1000,"NA")</f>
        <v>1.9041513670283998E-2</v>
      </c>
      <c r="W85" s="73">
        <f t="shared" si="20"/>
        <v>1.9131216304374799E-2</v>
      </c>
      <c r="X85" s="73">
        <f t="shared" si="20"/>
        <v>1.9658019960443199E-2</v>
      </c>
      <c r="Y85" s="73">
        <f t="shared" si="20"/>
        <v>1.8012479969676476E-2</v>
      </c>
      <c r="Z85" s="73">
        <f t="shared" si="20"/>
        <v>1.7061768419212156E-2</v>
      </c>
      <c r="AA85" s="73">
        <f t="shared" si="20"/>
        <v>1.9263836188519994E-2</v>
      </c>
      <c r="AB85" s="73">
        <f t="shared" si="20"/>
        <v>1.8912453416658603E-2</v>
      </c>
      <c r="AC85" s="73">
        <f t="shared" si="20"/>
        <v>2.3427129543365923E-2</v>
      </c>
      <c r="AD85" s="73">
        <f t="shared" si="20"/>
        <v>1.7320838709362265E-2</v>
      </c>
      <c r="AE85" s="73">
        <f t="shared" si="20"/>
        <v>1.8067755112433338E-2</v>
      </c>
      <c r="AF85" s="73">
        <f t="shared" si="20"/>
        <v>1.7329650708743823E-2</v>
      </c>
      <c r="AG85" s="73">
        <f t="shared" si="20"/>
        <v>1.7234478780793927E-2</v>
      </c>
      <c r="AH85" s="73">
        <f t="shared" si="20"/>
        <v>1.6922683322164924E-2</v>
      </c>
      <c r="AI85" s="73">
        <f t="shared" si="20"/>
        <v>1.8097110047047147E-2</v>
      </c>
      <c r="AJ85" s="73">
        <f t="shared" si="20"/>
        <v>1.8949810420157618E-2</v>
      </c>
      <c r="AK85" s="91">
        <f t="shared" si="20"/>
        <v>1.8103799178561971E-2</v>
      </c>
      <c r="AL85" s="511">
        <f t="shared" si="19"/>
        <v>3.2256986818327989E-3</v>
      </c>
      <c r="AM85" s="73">
        <f t="shared" ref="AM85:BB85" si="21">IFERROR(SUM(AM34:AM38)/1000,"NA")</f>
        <v>3.4617377350567996E-3</v>
      </c>
      <c r="AN85" s="73">
        <f t="shared" si="21"/>
        <v>3.4795410174589592E-3</v>
      </c>
      <c r="AO85" s="73">
        <f t="shared" si="21"/>
        <v>3.5485744855766402E-3</v>
      </c>
      <c r="AP85" s="73">
        <f t="shared" si="21"/>
        <v>3.2817317106872954E-3</v>
      </c>
      <c r="AQ85" s="73">
        <f t="shared" si="21"/>
        <v>3.1000632918104314E-3</v>
      </c>
      <c r="AR85" s="73">
        <f t="shared" si="21"/>
        <v>3.5595703004839994E-3</v>
      </c>
      <c r="AS85" s="73">
        <f t="shared" si="21"/>
        <v>3.5100264497077197E-3</v>
      </c>
      <c r="AT85" s="73">
        <f t="shared" si="21"/>
        <v>4.1363464660381594E-3</v>
      </c>
      <c r="AU85" s="73">
        <f t="shared" si="21"/>
        <v>3.1707048073401274E-3</v>
      </c>
      <c r="AV85" s="73">
        <f t="shared" si="21"/>
        <v>3.2765966600406091E-3</v>
      </c>
      <c r="AW85" s="73">
        <f t="shared" si="21"/>
        <v>3.1354153431048097E-3</v>
      </c>
      <c r="AX85" s="73">
        <f t="shared" si="21"/>
        <v>3.0998852023200732E-3</v>
      </c>
      <c r="AY85" s="73">
        <f t="shared" si="21"/>
        <v>3.0161195028775806E-3</v>
      </c>
      <c r="AZ85" s="73">
        <f t="shared" si="21"/>
        <v>3.204744512027115E-3</v>
      </c>
      <c r="BA85" s="73">
        <f t="shared" si="21"/>
        <v>3.3140091259697174E-3</v>
      </c>
      <c r="BB85" s="91">
        <f t="shared" si="21"/>
        <v>3.1764597969662594E-3</v>
      </c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91"/>
    </row>
    <row r="86" spans="2:71" x14ac:dyDescent="0.35">
      <c r="B86" s="659" t="s">
        <v>152</v>
      </c>
      <c r="C86" s="660"/>
      <c r="D86" s="90">
        <f>SUM(D87:D89)</f>
        <v>563.95159126469719</v>
      </c>
      <c r="E86" s="73">
        <f t="shared" ref="E86:T86" si="22">SUM(E87:E89)</f>
        <v>588.99448176622616</v>
      </c>
      <c r="F86" s="73">
        <f t="shared" si="22"/>
        <v>618.85877852593535</v>
      </c>
      <c r="G86" s="73">
        <f t="shared" si="22"/>
        <v>644.84316868624558</v>
      </c>
      <c r="H86" s="73">
        <f t="shared" si="22"/>
        <v>676.10711063721283</v>
      </c>
      <c r="I86" s="73">
        <f t="shared" si="22"/>
        <v>701.99197395440729</v>
      </c>
      <c r="J86" s="73">
        <f t="shared" si="22"/>
        <v>734.21008308089426</v>
      </c>
      <c r="K86" s="73">
        <f t="shared" si="22"/>
        <v>771.15451258865085</v>
      </c>
      <c r="L86" s="73">
        <f t="shared" si="22"/>
        <v>803.77325435711316</v>
      </c>
      <c r="M86" s="73">
        <f t="shared" si="22"/>
        <v>834.41403321592838</v>
      </c>
      <c r="N86" s="73">
        <f t="shared" si="22"/>
        <v>879.69174570534221</v>
      </c>
      <c r="O86" s="73">
        <f t="shared" si="22"/>
        <v>920.0526831029764</v>
      </c>
      <c r="P86" s="73">
        <f t="shared" si="22"/>
        <v>968.24525450281965</v>
      </c>
      <c r="Q86" s="73">
        <f t="shared" si="22"/>
        <v>1017.271173834336</v>
      </c>
      <c r="R86" s="73">
        <f t="shared" si="22"/>
        <v>978.21087437949984</v>
      </c>
      <c r="S86" s="73">
        <f t="shared" si="22"/>
        <v>1066.4887079295295</v>
      </c>
      <c r="T86" s="91">
        <f t="shared" si="22"/>
        <v>1146.7278949475576</v>
      </c>
      <c r="U86" s="90">
        <f>SUM(U87:U89)</f>
        <v>0.12798697634223091</v>
      </c>
      <c r="V86" s="73">
        <f t="shared" ref="V86:AK86" si="23">SUM(V87:V89)</f>
        <v>0.13355041831075187</v>
      </c>
      <c r="W86" s="73">
        <f t="shared" si="23"/>
        <v>0.13961718271143517</v>
      </c>
      <c r="X86" s="73">
        <f t="shared" si="23"/>
        <v>0.14529116689861227</v>
      </c>
      <c r="Y86" s="73">
        <f t="shared" si="23"/>
        <v>0.15293096139063331</v>
      </c>
      <c r="Z86" s="73">
        <f t="shared" si="23"/>
        <v>0.15967341628551496</v>
      </c>
      <c r="AA86" s="73">
        <f t="shared" si="23"/>
        <v>0.16699178425368819</v>
      </c>
      <c r="AB86" s="73">
        <f t="shared" si="23"/>
        <v>0.17495872735808893</v>
      </c>
      <c r="AC86" s="73">
        <f t="shared" si="23"/>
        <v>0.18336665261625346</v>
      </c>
      <c r="AD86" s="73">
        <f t="shared" si="23"/>
        <v>0.19100354238057246</v>
      </c>
      <c r="AE86" s="73">
        <f t="shared" si="23"/>
        <v>0.20056821607416642</v>
      </c>
      <c r="AF86" s="73">
        <f t="shared" si="23"/>
        <v>0.20950788789676408</v>
      </c>
      <c r="AG86" s="73">
        <f t="shared" si="23"/>
        <v>0.22048580950382857</v>
      </c>
      <c r="AH86" s="73">
        <f t="shared" si="23"/>
        <v>0.23173869168328776</v>
      </c>
      <c r="AI86" s="73">
        <f t="shared" si="23"/>
        <v>0.21348420599011259</v>
      </c>
      <c r="AJ86" s="73">
        <f t="shared" si="23"/>
        <v>0.25345222056115491</v>
      </c>
      <c r="AK86" s="91">
        <f t="shared" si="23"/>
        <v>0.27770500335913667</v>
      </c>
      <c r="AL86" s="511">
        <f>SUM(AL87:AL89)</f>
        <v>2.7348934281650118E-2</v>
      </c>
      <c r="AM86" s="73">
        <f t="shared" ref="AM86:BB86" si="24">SUM(AM87:AM89)</f>
        <v>2.8552901580546828E-2</v>
      </c>
      <c r="AN86" s="73">
        <f t="shared" si="24"/>
        <v>2.9907225404639835E-2</v>
      </c>
      <c r="AO86" s="73">
        <f t="shared" si="24"/>
        <v>3.114332527507609E-2</v>
      </c>
      <c r="AP86" s="73">
        <f t="shared" si="24"/>
        <v>3.2744899936557235E-2</v>
      </c>
      <c r="AQ86" s="73">
        <f t="shared" si="24"/>
        <v>3.41332865992479E-2</v>
      </c>
      <c r="AR86" s="73">
        <f t="shared" si="24"/>
        <v>3.5708037594264962E-2</v>
      </c>
      <c r="AS86" s="73">
        <f t="shared" si="24"/>
        <v>3.7445272936118768E-2</v>
      </c>
      <c r="AT86" s="73">
        <f t="shared" si="24"/>
        <v>3.9173755209461002E-2</v>
      </c>
      <c r="AU86" s="73">
        <f t="shared" si="24"/>
        <v>4.0744599222806079E-2</v>
      </c>
      <c r="AV86" s="73">
        <f t="shared" si="24"/>
        <v>4.2846975318017136E-2</v>
      </c>
      <c r="AW86" s="73">
        <f t="shared" si="24"/>
        <v>4.4780363139758694E-2</v>
      </c>
      <c r="AX86" s="73">
        <f t="shared" si="24"/>
        <v>4.7134473614208472E-2</v>
      </c>
      <c r="AY86" s="73">
        <f t="shared" si="24"/>
        <v>4.9542109784010822E-2</v>
      </c>
      <c r="AZ86" s="73">
        <f t="shared" si="24"/>
        <v>4.7735149780247586E-2</v>
      </c>
      <c r="BA86" s="73">
        <f t="shared" si="24"/>
        <v>5.1603642223188431E-2</v>
      </c>
      <c r="BB86" s="91">
        <f t="shared" si="24"/>
        <v>5.5281800197747685E-2</v>
      </c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91"/>
    </row>
    <row r="87" spans="2:71" s="110" customFormat="1" x14ac:dyDescent="0.35">
      <c r="B87" s="665" t="s">
        <v>207</v>
      </c>
      <c r="C87" s="666"/>
      <c r="D87" s="90">
        <f>IFERROR(D42/1000,"NA")</f>
        <v>4.7709873671404468</v>
      </c>
      <c r="E87" s="73">
        <f t="shared" ref="E87:T87" si="25">IFERROR(E42/1000,"NA")</f>
        <v>5.0542634505609998</v>
      </c>
      <c r="F87" s="73">
        <f t="shared" si="25"/>
        <v>5.9126411616368575</v>
      </c>
      <c r="G87" s="73">
        <f t="shared" si="25"/>
        <v>6.2916434476400029</v>
      </c>
      <c r="H87" s="73">
        <f t="shared" si="25"/>
        <v>6.0138581386702157</v>
      </c>
      <c r="I87" s="73">
        <f t="shared" si="25"/>
        <v>5.3865961027862905</v>
      </c>
      <c r="J87" s="73">
        <f t="shared" si="25"/>
        <v>5.5872429388074529</v>
      </c>
      <c r="K87" s="73">
        <f t="shared" si="25"/>
        <v>6.2513878867581774</v>
      </c>
      <c r="L87" s="73">
        <f t="shared" si="25"/>
        <v>5.5904441392799997</v>
      </c>
      <c r="M87" s="73">
        <f t="shared" si="25"/>
        <v>4.252095087239999</v>
      </c>
      <c r="N87" s="73">
        <f t="shared" si="25"/>
        <v>5.8154662365799998</v>
      </c>
      <c r="O87" s="73">
        <f t="shared" si="25"/>
        <v>6.3385995723050002</v>
      </c>
      <c r="P87" s="73">
        <f t="shared" si="25"/>
        <v>6.7308451610399995</v>
      </c>
      <c r="Q87" s="73">
        <f t="shared" si="25"/>
        <v>6.9130276164949995</v>
      </c>
      <c r="R87" s="73">
        <f t="shared" si="25"/>
        <v>7.1420445095999998</v>
      </c>
      <c r="S87" s="73">
        <f t="shared" si="25"/>
        <v>8.4875956715549989</v>
      </c>
      <c r="T87" s="91">
        <f t="shared" si="25"/>
        <v>9.7073283006699995</v>
      </c>
      <c r="U87" s="90">
        <f t="shared" ref="U87:AL87" si="26">IFERROR(U42/1000,"NA")</f>
        <v>3.3363548021961163E-5</v>
      </c>
      <c r="V87" s="73">
        <f t="shared" ref="V87:AK87" si="27">IFERROR(V42/1000,"NA")</f>
        <v>3.5344499654272722E-5</v>
      </c>
      <c r="W87" s="73">
        <f t="shared" si="27"/>
        <v>4.134714099046754E-5</v>
      </c>
      <c r="X87" s="73">
        <f t="shared" si="27"/>
        <v>4.3997506626853167E-5</v>
      </c>
      <c r="Y87" s="73">
        <f t="shared" si="27"/>
        <v>4.2054952018672833E-5</v>
      </c>
      <c r="Z87" s="73">
        <f t="shared" si="27"/>
        <v>3.7668504215288743E-5</v>
      </c>
      <c r="AA87" s="73">
        <f t="shared" si="27"/>
        <v>3.9071628942709456E-5</v>
      </c>
      <c r="AB87" s="73">
        <f t="shared" si="27"/>
        <v>4.3715999208099133E-5</v>
      </c>
      <c r="AC87" s="73">
        <f t="shared" si="27"/>
        <v>3.909401495999999E-5</v>
      </c>
      <c r="AD87" s="73">
        <f t="shared" si="27"/>
        <v>2.9734930679999996E-5</v>
      </c>
      <c r="AE87" s="73">
        <f t="shared" si="27"/>
        <v>4.0667596059999991E-5</v>
      </c>
      <c r="AF87" s="73">
        <f t="shared" si="27"/>
        <v>4.4325871134999999E-5</v>
      </c>
      <c r="AG87" s="73">
        <f t="shared" si="27"/>
        <v>4.7068847279999996E-5</v>
      </c>
      <c r="AH87" s="73">
        <f t="shared" si="27"/>
        <v>4.8342850464999998E-5</v>
      </c>
      <c r="AI87" s="73">
        <f t="shared" si="27"/>
        <v>4.9944367199999995E-5</v>
      </c>
      <c r="AJ87" s="73">
        <f t="shared" si="27"/>
        <v>5.9353815884999988E-5</v>
      </c>
      <c r="AK87" s="91">
        <f t="shared" si="27"/>
        <v>6.7883414689999991E-5</v>
      </c>
      <c r="AL87" s="511">
        <f t="shared" si="26"/>
        <v>1.3345419208784465E-4</v>
      </c>
      <c r="AM87" s="73">
        <f t="shared" ref="AM87:BB87" si="28">IFERROR(AM42/1000,"NA")</f>
        <v>1.4137799861709089E-4</v>
      </c>
      <c r="AN87" s="73">
        <f t="shared" si="28"/>
        <v>1.6538856396187016E-4</v>
      </c>
      <c r="AO87" s="73">
        <f t="shared" si="28"/>
        <v>1.7599002650741267E-4</v>
      </c>
      <c r="AP87" s="73">
        <f t="shared" si="28"/>
        <v>1.6821980807469133E-4</v>
      </c>
      <c r="AQ87" s="73">
        <f t="shared" si="28"/>
        <v>1.5067401686115497E-4</v>
      </c>
      <c r="AR87" s="73">
        <f t="shared" si="28"/>
        <v>1.5628651577083782E-4</v>
      </c>
      <c r="AS87" s="73">
        <f t="shared" si="28"/>
        <v>1.7486399683239653E-4</v>
      </c>
      <c r="AT87" s="73">
        <f t="shared" si="28"/>
        <v>1.5637605983999996E-4</v>
      </c>
      <c r="AU87" s="73">
        <f t="shared" si="28"/>
        <v>1.1893972271999998E-4</v>
      </c>
      <c r="AV87" s="73">
        <f t="shared" si="28"/>
        <v>1.6267038423999997E-4</v>
      </c>
      <c r="AW87" s="73">
        <f t="shared" si="28"/>
        <v>1.7730348453999999E-4</v>
      </c>
      <c r="AX87" s="73">
        <f t="shared" si="28"/>
        <v>1.8827538911999998E-4</v>
      </c>
      <c r="AY87" s="73">
        <f t="shared" si="28"/>
        <v>1.9337140185999999E-4</v>
      </c>
      <c r="AZ87" s="73">
        <f t="shared" si="28"/>
        <v>1.9977746879999998E-4</v>
      </c>
      <c r="BA87" s="73">
        <f t="shared" si="28"/>
        <v>2.3741526353999995E-4</v>
      </c>
      <c r="BB87" s="91">
        <f t="shared" si="28"/>
        <v>2.7153365875999996E-4</v>
      </c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91"/>
    </row>
    <row r="88" spans="2:71" s="110" customFormat="1" x14ac:dyDescent="0.35">
      <c r="B88" s="665" t="s">
        <v>208</v>
      </c>
      <c r="C88" s="666"/>
      <c r="D88" s="90">
        <f>IFERROR(SUM(D43:D58)/1000,"NA")</f>
        <v>528.68942089369534</v>
      </c>
      <c r="E88" s="73">
        <f t="shared" ref="E88:T88" si="29">IFERROR(SUM(E43:E58)/1000,"NA")</f>
        <v>551.63862957489448</v>
      </c>
      <c r="F88" s="73">
        <f t="shared" si="29"/>
        <v>575.15869216221915</v>
      </c>
      <c r="G88" s="73">
        <f t="shared" si="29"/>
        <v>598.34189209677277</v>
      </c>
      <c r="H88" s="73">
        <f t="shared" si="29"/>
        <v>631.65893378112389</v>
      </c>
      <c r="I88" s="73">
        <f t="shared" si="29"/>
        <v>662.17986487098528</v>
      </c>
      <c r="J88" s="73">
        <f t="shared" si="29"/>
        <v>692.9150015283119</v>
      </c>
      <c r="K88" s="73">
        <f t="shared" si="29"/>
        <v>724.95076318526367</v>
      </c>
      <c r="L88" s="73">
        <f t="shared" si="29"/>
        <v>762.45451286419393</v>
      </c>
      <c r="M88" s="73">
        <f t="shared" si="29"/>
        <v>795.15433580653701</v>
      </c>
      <c r="N88" s="73">
        <f t="shared" si="29"/>
        <v>833.19964999821218</v>
      </c>
      <c r="O88" s="73">
        <f t="shared" si="29"/>
        <v>869.87224172477909</v>
      </c>
      <c r="P88" s="73">
        <f t="shared" si="29"/>
        <v>915.81181172583661</v>
      </c>
      <c r="Q88" s="73">
        <f t="shared" si="29"/>
        <v>963.14128611278113</v>
      </c>
      <c r="R88" s="73">
        <f t="shared" si="29"/>
        <v>923.99898073623774</v>
      </c>
      <c r="S88" s="73">
        <f t="shared" si="29"/>
        <v>1002.1936735094264</v>
      </c>
      <c r="T88" s="91">
        <f t="shared" si="29"/>
        <v>1072.1894691344712</v>
      </c>
      <c r="U88" s="90">
        <f>IFERROR(SUM(U43:U58)/1000,"NA")</f>
        <v>0.12488093883834832</v>
      </c>
      <c r="V88" s="73">
        <f t="shared" ref="V88:AK88" si="30">IFERROR(SUM(V43:V58)/1000,"NA")</f>
        <v>0.13025996067087872</v>
      </c>
      <c r="W88" s="73">
        <f t="shared" si="30"/>
        <v>0.13576789874109188</v>
      </c>
      <c r="X88" s="73">
        <f t="shared" si="30"/>
        <v>0.14119514253182802</v>
      </c>
      <c r="Y88" s="73">
        <f t="shared" si="30"/>
        <v>0.14901578252212688</v>
      </c>
      <c r="Z88" s="73">
        <f t="shared" si="30"/>
        <v>0.15616660140087399</v>
      </c>
      <c r="AA88" s="73">
        <f t="shared" si="30"/>
        <v>0.16335434303328927</v>
      </c>
      <c r="AB88" s="73">
        <f t="shared" si="30"/>
        <v>0.17088891041383947</v>
      </c>
      <c r="AC88" s="73">
        <f t="shared" si="30"/>
        <v>0.17972712733065796</v>
      </c>
      <c r="AD88" s="73">
        <f t="shared" si="30"/>
        <v>0.18744600244807344</v>
      </c>
      <c r="AE88" s="73">
        <f t="shared" si="30"/>
        <v>0.19642846121178012</v>
      </c>
      <c r="AF88" s="73">
        <f t="shared" si="30"/>
        <v>0.20504550827294693</v>
      </c>
      <c r="AG88" s="73">
        <f t="shared" si="30"/>
        <v>0.21583317381475356</v>
      </c>
      <c r="AH88" s="73">
        <f t="shared" si="30"/>
        <v>0.22693218591392386</v>
      </c>
      <c r="AI88" s="73">
        <f t="shared" si="30"/>
        <v>0.20869091337299467</v>
      </c>
      <c r="AJ88" s="73">
        <f t="shared" si="30"/>
        <v>0.24776900939725435</v>
      </c>
      <c r="AK88" s="91">
        <f t="shared" si="30"/>
        <v>0.27110392558360352</v>
      </c>
      <c r="AL88" s="511">
        <f>IFERROR(SUM(AL43:AL58)/1000,"NA")</f>
        <v>2.6337573245030662E-2</v>
      </c>
      <c r="AM88" s="73">
        <f t="shared" ref="AM88:BB88" si="31">IFERROR(SUM(AM43:AM58)/1000,"NA")</f>
        <v>2.7481491256152915E-2</v>
      </c>
      <c r="AN88" s="73">
        <f t="shared" si="31"/>
        <v>2.86538548894343E-2</v>
      </c>
      <c r="AO88" s="73">
        <f t="shared" si="31"/>
        <v>2.9809613288523707E-2</v>
      </c>
      <c r="AP88" s="73">
        <f t="shared" si="31"/>
        <v>3.1470073295200331E-2</v>
      </c>
      <c r="AQ88" s="73">
        <f t="shared" si="31"/>
        <v>3.2991427902265127E-2</v>
      </c>
      <c r="AR88" s="73">
        <f t="shared" si="31"/>
        <v>3.45236454809352E-2</v>
      </c>
      <c r="AS88" s="73">
        <f t="shared" si="31"/>
        <v>3.6120094383560265E-2</v>
      </c>
      <c r="AT88" s="73">
        <f t="shared" si="31"/>
        <v>3.7988684500868002E-2</v>
      </c>
      <c r="AU88" s="73">
        <f t="shared" si="31"/>
        <v>3.9617715213852073E-2</v>
      </c>
      <c r="AV88" s="73">
        <f t="shared" si="31"/>
        <v>4.1513137143398195E-2</v>
      </c>
      <c r="AW88" s="73">
        <f t="shared" si="31"/>
        <v>4.3340758583023796E-2</v>
      </c>
      <c r="AX88" s="73">
        <f t="shared" si="31"/>
        <v>4.563032198457561E-2</v>
      </c>
      <c r="AY88" s="73">
        <f t="shared" si="31"/>
        <v>4.7989263262465429E-2</v>
      </c>
      <c r="AZ88" s="73">
        <f t="shared" si="31"/>
        <v>4.6180129954328179E-2</v>
      </c>
      <c r="BA88" s="73">
        <f t="shared" si="31"/>
        <v>4.9759410574501131E-2</v>
      </c>
      <c r="BB88" s="91">
        <f t="shared" si="31"/>
        <v>5.3143639578746779E-2</v>
      </c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91"/>
    </row>
    <row r="89" spans="2:71" s="110" customFormat="1" x14ac:dyDescent="0.35">
      <c r="B89" s="665" t="s">
        <v>209</v>
      </c>
      <c r="C89" s="666"/>
      <c r="D89" s="90">
        <f>IFERROR(SUM(D61:D62)/1000,"NA")</f>
        <v>30.491183003861309</v>
      </c>
      <c r="E89" s="73">
        <f t="shared" ref="E89:T89" si="32">IFERROR(SUM(E61:E62)/1000,"NA")</f>
        <v>32.301588740770661</v>
      </c>
      <c r="F89" s="73">
        <f t="shared" si="32"/>
        <v>37.787445202079361</v>
      </c>
      <c r="G89" s="73">
        <f t="shared" si="32"/>
        <v>40.209633141832825</v>
      </c>
      <c r="H89" s="73">
        <f t="shared" si="32"/>
        <v>38.434318717418705</v>
      </c>
      <c r="I89" s="73">
        <f t="shared" si="32"/>
        <v>34.425512980635801</v>
      </c>
      <c r="J89" s="73">
        <f t="shared" si="32"/>
        <v>35.707838613774896</v>
      </c>
      <c r="K89" s="73">
        <f t="shared" si="32"/>
        <v>39.952361516629054</v>
      </c>
      <c r="L89" s="73">
        <f t="shared" si="32"/>
        <v>35.72829735363927</v>
      </c>
      <c r="M89" s="73">
        <f t="shared" si="32"/>
        <v>35.007602322151385</v>
      </c>
      <c r="N89" s="73">
        <f t="shared" si="32"/>
        <v>40.676629470550004</v>
      </c>
      <c r="O89" s="73">
        <f t="shared" si="32"/>
        <v>43.84184180589228</v>
      </c>
      <c r="P89" s="73">
        <f t="shared" si="32"/>
        <v>45.702597615943091</v>
      </c>
      <c r="Q89" s="73">
        <f t="shared" si="32"/>
        <v>47.216860105059766</v>
      </c>
      <c r="R89" s="73">
        <f t="shared" si="32"/>
        <v>47.069849133662089</v>
      </c>
      <c r="S89" s="73">
        <f t="shared" si="32"/>
        <v>55.807438748548144</v>
      </c>
      <c r="T89" s="91">
        <f t="shared" si="32"/>
        <v>64.831097512416321</v>
      </c>
      <c r="U89" s="90">
        <f t="shared" ref="U89:AL89" si="33">IFERROR(SUM(U61:U62)/1000,"NA")</f>
        <v>3.0726739558606447E-3</v>
      </c>
      <c r="V89" s="73">
        <f t="shared" ref="V89:AK89" si="34">IFERROR(SUM(V61:V62)/1000,"NA")</f>
        <v>3.2551131402188778E-3</v>
      </c>
      <c r="W89" s="73">
        <f t="shared" si="34"/>
        <v>3.8079368293528304E-3</v>
      </c>
      <c r="X89" s="73">
        <f t="shared" si="34"/>
        <v>4.0520268601573978E-3</v>
      </c>
      <c r="Y89" s="73">
        <f t="shared" si="34"/>
        <v>3.8731239164877412E-3</v>
      </c>
      <c r="Z89" s="73">
        <f t="shared" si="34"/>
        <v>3.4691463804256708E-3</v>
      </c>
      <c r="AA89" s="73">
        <f t="shared" si="34"/>
        <v>3.5983695914562183E-3</v>
      </c>
      <c r="AB89" s="73">
        <f t="shared" si="34"/>
        <v>4.0261009450413641E-3</v>
      </c>
      <c r="AC89" s="73">
        <f t="shared" si="34"/>
        <v>3.6004312706355074E-3</v>
      </c>
      <c r="AD89" s="73">
        <f t="shared" si="34"/>
        <v>3.5278050018190256E-3</v>
      </c>
      <c r="AE89" s="73">
        <f t="shared" si="34"/>
        <v>4.099087266326293E-3</v>
      </c>
      <c r="AF89" s="73">
        <f t="shared" si="34"/>
        <v>4.4180537526821492E-3</v>
      </c>
      <c r="AG89" s="73">
        <f t="shared" si="34"/>
        <v>4.6055668417950071E-3</v>
      </c>
      <c r="AH89" s="73">
        <f t="shared" si="34"/>
        <v>4.7581629188988804E-3</v>
      </c>
      <c r="AI89" s="73">
        <f t="shared" si="34"/>
        <v>4.7433482499179419E-3</v>
      </c>
      <c r="AJ89" s="73">
        <f t="shared" si="34"/>
        <v>5.6238573480155429E-3</v>
      </c>
      <c r="AK89" s="91">
        <f t="shared" si="34"/>
        <v>6.53319436084316E-3</v>
      </c>
      <c r="AL89" s="511">
        <f t="shared" si="33"/>
        <v>8.7790684453161274E-4</v>
      </c>
      <c r="AM89" s="73">
        <f t="shared" ref="AM89:BB89" si="35">IFERROR(SUM(AM61:AM62)/1000,"NA")</f>
        <v>9.300323257768222E-4</v>
      </c>
      <c r="AN89" s="73">
        <f t="shared" si="35"/>
        <v>1.0879819512436657E-3</v>
      </c>
      <c r="AO89" s="73">
        <f t="shared" si="35"/>
        <v>1.1577219600449706E-3</v>
      </c>
      <c r="AP89" s="73">
        <f t="shared" si="35"/>
        <v>1.1066068332822119E-3</v>
      </c>
      <c r="AQ89" s="73">
        <f t="shared" si="35"/>
        <v>9.9118468012162025E-4</v>
      </c>
      <c r="AR89" s="73">
        <f t="shared" si="35"/>
        <v>1.0281055975589195E-3</v>
      </c>
      <c r="AS89" s="73">
        <f t="shared" si="35"/>
        <v>1.150314555726104E-3</v>
      </c>
      <c r="AT89" s="73">
        <f t="shared" si="35"/>
        <v>1.028694648753002E-3</v>
      </c>
      <c r="AU89" s="73">
        <f t="shared" si="35"/>
        <v>1.0079442862340074E-3</v>
      </c>
      <c r="AV89" s="73">
        <f t="shared" si="35"/>
        <v>1.1711677903789408E-3</v>
      </c>
      <c r="AW89" s="73">
        <f t="shared" si="35"/>
        <v>1.2623010721948998E-3</v>
      </c>
      <c r="AX89" s="73">
        <f t="shared" si="35"/>
        <v>1.3158762405128595E-3</v>
      </c>
      <c r="AY89" s="73">
        <f t="shared" si="35"/>
        <v>1.3594751196853942E-3</v>
      </c>
      <c r="AZ89" s="73">
        <f t="shared" si="35"/>
        <v>1.3552423571194117E-3</v>
      </c>
      <c r="BA89" s="73">
        <f t="shared" si="35"/>
        <v>1.6068163851472978E-3</v>
      </c>
      <c r="BB89" s="91">
        <f t="shared" si="35"/>
        <v>1.8666269602409026E-3</v>
      </c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91"/>
    </row>
    <row r="90" spans="2:71" x14ac:dyDescent="0.35">
      <c r="B90" s="659" t="s">
        <v>153</v>
      </c>
      <c r="C90" s="660"/>
      <c r="D90" s="90">
        <f>IFERROR(SUM(D91:D93),"NA")</f>
        <v>195.81504403999998</v>
      </c>
      <c r="E90" s="73">
        <f t="shared" ref="E90:T90" si="36">IFERROR(SUM(E91:E93),"NA")</f>
        <v>198.13690077000001</v>
      </c>
      <c r="F90" s="73">
        <f t="shared" si="36"/>
        <v>198.24429487399999</v>
      </c>
      <c r="G90" s="73">
        <f t="shared" si="36"/>
        <v>215.31428907</v>
      </c>
      <c r="H90" s="73">
        <f t="shared" si="36"/>
        <v>218.001183846</v>
      </c>
      <c r="I90" s="73">
        <f t="shared" si="36"/>
        <v>224.40479062999998</v>
      </c>
      <c r="J90" s="73">
        <f t="shared" si="36"/>
        <v>216.30491698799997</v>
      </c>
      <c r="K90" s="73">
        <f t="shared" si="36"/>
        <v>208.1345530875752</v>
      </c>
      <c r="L90" s="73">
        <f t="shared" si="36"/>
        <v>218.25008505416929</v>
      </c>
      <c r="M90" s="73">
        <f t="shared" si="36"/>
        <v>228.01601268092338</v>
      </c>
      <c r="N90" s="73">
        <f t="shared" si="36"/>
        <v>233.31814526891623</v>
      </c>
      <c r="O90" s="73">
        <f t="shared" si="36"/>
        <v>235.71385577972319</v>
      </c>
      <c r="P90" s="73">
        <f t="shared" si="36"/>
        <v>230.87788014355709</v>
      </c>
      <c r="Q90" s="73">
        <f t="shared" si="36"/>
        <v>230.72514345206883</v>
      </c>
      <c r="R90" s="73">
        <f t="shared" si="36"/>
        <v>234.27900407208628</v>
      </c>
      <c r="S90" s="73">
        <f t="shared" si="36"/>
        <v>244.48535049839893</v>
      </c>
      <c r="T90" s="91">
        <f t="shared" si="36"/>
        <v>245.73040666008623</v>
      </c>
      <c r="U90" s="90">
        <f>IFERROR(SUM(U91:U93),"NA")</f>
        <v>1.9848234000000003E-2</v>
      </c>
      <c r="V90" s="73">
        <f t="shared" ref="V90:AK90" si="37">IFERROR(SUM(V91:V93),"NA")</f>
        <v>2.0090050999999998E-2</v>
      </c>
      <c r="W90" s="73">
        <f t="shared" si="37"/>
        <v>1.9879409600000002E-2</v>
      </c>
      <c r="X90" s="73">
        <f t="shared" si="37"/>
        <v>2.1801466999999998E-2</v>
      </c>
      <c r="Y90" s="73">
        <f t="shared" si="37"/>
        <v>2.1605255399999999E-2</v>
      </c>
      <c r="Z90" s="73">
        <f t="shared" si="37"/>
        <v>2.2335943500000004E-2</v>
      </c>
      <c r="AA90" s="73">
        <f t="shared" si="37"/>
        <v>2.0713275699999999E-2</v>
      </c>
      <c r="AB90" s="73">
        <f t="shared" si="37"/>
        <v>1.9574755759918745E-2</v>
      </c>
      <c r="AC90" s="73">
        <f t="shared" si="37"/>
        <v>2.1112400931343141E-2</v>
      </c>
      <c r="AD90" s="73">
        <f t="shared" si="37"/>
        <v>2.2258347749588021E-2</v>
      </c>
      <c r="AE90" s="73">
        <f t="shared" si="37"/>
        <v>2.2788795914034432E-2</v>
      </c>
      <c r="AF90" s="73">
        <f t="shared" si="37"/>
        <v>2.2970065571932839E-2</v>
      </c>
      <c r="AG90" s="73">
        <f t="shared" si="37"/>
        <v>2.2024943610702515E-2</v>
      </c>
      <c r="AH90" s="73">
        <f t="shared" si="37"/>
        <v>2.1546558533174338E-2</v>
      </c>
      <c r="AI90" s="73">
        <f t="shared" si="37"/>
        <v>2.1713774223340004E-2</v>
      </c>
      <c r="AJ90" s="73">
        <f t="shared" si="37"/>
        <v>2.2679021501609616E-2</v>
      </c>
      <c r="AK90" s="91">
        <f t="shared" si="37"/>
        <v>2.2602953423339997E-2</v>
      </c>
      <c r="AL90" s="511">
        <f>IFERROR(SUM(AL91:AL93),"NA")</f>
        <v>7.9489844000000002E-4</v>
      </c>
      <c r="AM90" s="73">
        <f t="shared" ref="AM90:BB90" si="38">IFERROR(SUM(AM91:AM93),"NA")</f>
        <v>8.0524505999999998E-4</v>
      </c>
      <c r="AN90" s="73">
        <f t="shared" si="38"/>
        <v>7.8047885599999997E-4</v>
      </c>
      <c r="AO90" s="73">
        <f t="shared" si="38"/>
        <v>8.7001433999999984E-4</v>
      </c>
      <c r="AP90" s="73">
        <f t="shared" si="38"/>
        <v>8.3061844399999994E-4</v>
      </c>
      <c r="AQ90" s="73">
        <f t="shared" si="38"/>
        <v>8.6534974999999989E-4</v>
      </c>
      <c r="AR90" s="73">
        <f t="shared" si="38"/>
        <v>7.410854419999998E-4</v>
      </c>
      <c r="AS90" s="73">
        <f t="shared" si="38"/>
        <v>6.7296344559512476E-4</v>
      </c>
      <c r="AT90" s="73">
        <f t="shared" si="38"/>
        <v>7.7020757588058841E-4</v>
      </c>
      <c r="AU90" s="73">
        <f t="shared" si="38"/>
        <v>8.2643934497528141E-4</v>
      </c>
      <c r="AV90" s="73">
        <f t="shared" si="38"/>
        <v>8.4717911484206575E-4</v>
      </c>
      <c r="AW90" s="73">
        <f t="shared" si="38"/>
        <v>8.4938993431597049E-4</v>
      </c>
      <c r="AX90" s="73">
        <f t="shared" si="38"/>
        <v>7.7993999664215108E-4</v>
      </c>
      <c r="AY90" s="73">
        <f t="shared" si="38"/>
        <v>7.2855181199046035E-4</v>
      </c>
      <c r="AZ90" s="73">
        <f t="shared" si="38"/>
        <v>7.2010937340040004E-4</v>
      </c>
      <c r="BA90" s="73">
        <f t="shared" si="38"/>
        <v>7.5348497009657697E-4</v>
      </c>
      <c r="BB90" s="91">
        <f t="shared" si="38"/>
        <v>7.3618772540040003E-4</v>
      </c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91"/>
    </row>
    <row r="91" spans="2:71" s="110" customFormat="1" x14ac:dyDescent="0.35">
      <c r="B91" s="665" t="s">
        <v>210</v>
      </c>
      <c r="C91" s="666"/>
      <c r="D91" s="90">
        <f>IFERROR(SUM(D63)/1000,"NA")</f>
        <v>12.386214500000001</v>
      </c>
      <c r="E91" s="73">
        <f t="shared" ref="E91:T91" si="39">IFERROR(SUM(E63)/1000,"NA")</f>
        <v>13.281603499999997</v>
      </c>
      <c r="F91" s="73">
        <f t="shared" si="39"/>
        <v>13.606928169999998</v>
      </c>
      <c r="G91" s="73">
        <f t="shared" si="39"/>
        <v>17.15863787</v>
      </c>
      <c r="H91" s="73">
        <f t="shared" si="39"/>
        <v>19.018062359999998</v>
      </c>
      <c r="I91" s="73">
        <f t="shared" si="39"/>
        <v>20.847640549999998</v>
      </c>
      <c r="J91" s="73">
        <f t="shared" si="39"/>
        <v>34.132228679999997</v>
      </c>
      <c r="K91" s="73">
        <f t="shared" si="39"/>
        <v>32.613052009999997</v>
      </c>
      <c r="L91" s="73">
        <f t="shared" si="39"/>
        <v>30.126855219999992</v>
      </c>
      <c r="M91" s="73">
        <f t="shared" si="39"/>
        <v>31.562462249999996</v>
      </c>
      <c r="N91" s="73">
        <f t="shared" si="39"/>
        <v>32.607082750000004</v>
      </c>
      <c r="O91" s="73">
        <f t="shared" si="39"/>
        <v>33.6069338</v>
      </c>
      <c r="P91" s="73">
        <f t="shared" si="39"/>
        <v>35.570820339999997</v>
      </c>
      <c r="Q91" s="73">
        <f t="shared" si="39"/>
        <v>39.650809549999998</v>
      </c>
      <c r="R91" s="73">
        <f t="shared" si="39"/>
        <v>41.868389640000004</v>
      </c>
      <c r="S91" s="73">
        <f t="shared" si="39"/>
        <v>45.064928369999997</v>
      </c>
      <c r="T91" s="91">
        <f t="shared" si="39"/>
        <v>48.001804289999995</v>
      </c>
      <c r="U91" s="90">
        <f t="shared" ref="U91" si="40">IFERROR(SUM(U63)/1000,"NA")</f>
        <v>9.814750000000001E-4</v>
      </c>
      <c r="V91" s="73">
        <f t="shared" ref="V91:AK91" si="41">IFERROR(SUM(V63)/1000,"NA")</f>
        <v>1.0524249999999998E-3</v>
      </c>
      <c r="W91" s="73">
        <f t="shared" si="41"/>
        <v>1.0782035E-3</v>
      </c>
      <c r="X91" s="73">
        <f t="shared" si="41"/>
        <v>1.3596384999999998E-3</v>
      </c>
      <c r="Y91" s="73">
        <f t="shared" si="41"/>
        <v>1.5069780000000002E-3</v>
      </c>
      <c r="Z91" s="73">
        <f t="shared" si="41"/>
        <v>1.6519524999999999E-3</v>
      </c>
      <c r="AA91" s="73">
        <f t="shared" si="41"/>
        <v>2.7046139999999993E-3</v>
      </c>
      <c r="AB91" s="73">
        <f t="shared" si="41"/>
        <v>2.5842354999999996E-3</v>
      </c>
      <c r="AC91" s="73">
        <f t="shared" si="41"/>
        <v>2.3872310000000001E-3</v>
      </c>
      <c r="AD91" s="73">
        <f t="shared" si="41"/>
        <v>2.5009874999999998E-3</v>
      </c>
      <c r="AE91" s="73">
        <f t="shared" si="41"/>
        <v>2.5837625E-3</v>
      </c>
      <c r="AF91" s="73">
        <f t="shared" si="41"/>
        <v>2.6629899999999996E-3</v>
      </c>
      <c r="AG91" s="73">
        <f t="shared" si="41"/>
        <v>2.8186069999999994E-3</v>
      </c>
      <c r="AH91" s="73">
        <f t="shared" si="41"/>
        <v>3.1419025E-3</v>
      </c>
      <c r="AI91" s="73">
        <f t="shared" si="41"/>
        <v>3.3176220000000005E-3</v>
      </c>
      <c r="AJ91" s="73">
        <f t="shared" si="41"/>
        <v>3.5709134999999995E-3</v>
      </c>
      <c r="AK91" s="91">
        <f t="shared" si="41"/>
        <v>3.8036294999999995E-3</v>
      </c>
      <c r="AL91" s="511">
        <f>IFERROR(SUM(AL63)/1000,"NA")</f>
        <v>1.9629500000000006E-5</v>
      </c>
      <c r="AM91" s="73">
        <f t="shared" ref="AM91:BB91" si="42">IFERROR(SUM(AM63)/1000,"NA")</f>
        <v>2.10485E-5</v>
      </c>
      <c r="AN91" s="73">
        <f t="shared" si="42"/>
        <v>2.156407E-5</v>
      </c>
      <c r="AO91" s="73">
        <f t="shared" si="42"/>
        <v>2.7192769999999996E-5</v>
      </c>
      <c r="AP91" s="73">
        <f t="shared" si="42"/>
        <v>3.0139560000000003E-5</v>
      </c>
      <c r="AQ91" s="73">
        <f t="shared" si="42"/>
        <v>3.3039049999999997E-5</v>
      </c>
      <c r="AR91" s="73">
        <f t="shared" si="42"/>
        <v>5.4092279999999996E-5</v>
      </c>
      <c r="AS91" s="73">
        <f t="shared" si="42"/>
        <v>5.1684709999999997E-5</v>
      </c>
      <c r="AT91" s="73">
        <f t="shared" si="42"/>
        <v>4.7744619999999991E-5</v>
      </c>
      <c r="AU91" s="73">
        <f t="shared" si="42"/>
        <v>5.0019749999999995E-5</v>
      </c>
      <c r="AV91" s="73">
        <f t="shared" si="42"/>
        <v>5.1675250000000006E-5</v>
      </c>
      <c r="AW91" s="73">
        <f t="shared" si="42"/>
        <v>5.3259799999999994E-5</v>
      </c>
      <c r="AX91" s="73">
        <f t="shared" si="42"/>
        <v>5.6372139999999991E-5</v>
      </c>
      <c r="AY91" s="73">
        <f t="shared" si="42"/>
        <v>6.2838050000000001E-5</v>
      </c>
      <c r="AZ91" s="73">
        <f t="shared" si="42"/>
        <v>6.6352439999999995E-5</v>
      </c>
      <c r="BA91" s="73">
        <f t="shared" si="42"/>
        <v>7.1418269999999991E-5</v>
      </c>
      <c r="BB91" s="91">
        <f t="shared" si="42"/>
        <v>7.607259E-5</v>
      </c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91"/>
    </row>
    <row r="92" spans="2:71" s="110" customFormat="1" x14ac:dyDescent="0.35">
      <c r="B92" s="665" t="s">
        <v>211</v>
      </c>
      <c r="C92" s="666"/>
      <c r="D92" s="90">
        <f>IFERROR((D65+D66)/1000,"NA")</f>
        <v>142.60344689999999</v>
      </c>
      <c r="E92" s="73">
        <f t="shared" ref="E92:T92" si="43">IFERROR((E65+E66)/1000,"NA")</f>
        <v>142.64563198000002</v>
      </c>
      <c r="F92" s="73">
        <f t="shared" si="43"/>
        <v>142.793809624</v>
      </c>
      <c r="G92" s="73">
        <f t="shared" si="43"/>
        <v>146.92740555999998</v>
      </c>
      <c r="H92" s="73">
        <f t="shared" si="43"/>
        <v>155.22627315600002</v>
      </c>
      <c r="I92" s="73">
        <f t="shared" si="43"/>
        <v>159.52351016999998</v>
      </c>
      <c r="J92" s="73">
        <f t="shared" si="43"/>
        <v>136.43867686799999</v>
      </c>
      <c r="K92" s="73">
        <f t="shared" si="43"/>
        <v>129.49269862799997</v>
      </c>
      <c r="L92" s="73">
        <f t="shared" si="43"/>
        <v>132.07769629199998</v>
      </c>
      <c r="M92" s="73">
        <f t="shared" si="43"/>
        <v>133.66710368599999</v>
      </c>
      <c r="N92" s="73">
        <f t="shared" si="43"/>
        <v>136.91875367599999</v>
      </c>
      <c r="O92" s="73">
        <f t="shared" si="43"/>
        <v>134.84610408999998</v>
      </c>
      <c r="P92" s="73">
        <f t="shared" si="43"/>
        <v>136.051011088</v>
      </c>
      <c r="Q92" s="73">
        <f t="shared" si="43"/>
        <v>138.99981305200001</v>
      </c>
      <c r="R92" s="73">
        <f t="shared" si="43"/>
        <v>142.457819578</v>
      </c>
      <c r="S92" s="73">
        <f t="shared" si="43"/>
        <v>146.93453949600001</v>
      </c>
      <c r="T92" s="91">
        <f t="shared" si="43"/>
        <v>147.82714399599996</v>
      </c>
      <c r="U92" s="90">
        <f t="shared" ref="U92:AL92" si="44">IFERROR((U65+U66)/1000,"NA")</f>
        <v>1.3098255000000001E-2</v>
      </c>
      <c r="V92" s="73">
        <f t="shared" ref="V92:AK92" si="45">IFERROR((V65+V66)/1000,"NA")</f>
        <v>1.3079116999999999E-2</v>
      </c>
      <c r="W92" s="73">
        <f t="shared" si="45"/>
        <v>1.2890218100000001E-2</v>
      </c>
      <c r="X92" s="73">
        <f t="shared" si="45"/>
        <v>1.31907845E-2</v>
      </c>
      <c r="Y92" s="73">
        <f t="shared" si="45"/>
        <v>1.3934744399999999E-2</v>
      </c>
      <c r="Z92" s="73">
        <f t="shared" si="45"/>
        <v>1.4469900000000003E-2</v>
      </c>
      <c r="AA92" s="73">
        <f t="shared" si="45"/>
        <v>1.15462377E-2</v>
      </c>
      <c r="AB92" s="73">
        <f t="shared" si="45"/>
        <v>1.0492837199999999E-2</v>
      </c>
      <c r="AC92" s="73">
        <f t="shared" si="45"/>
        <v>1.0797709799999999E-2</v>
      </c>
      <c r="AD92" s="73">
        <f t="shared" si="45"/>
        <v>1.0868200899999998E-2</v>
      </c>
      <c r="AE92" s="73">
        <f t="shared" si="45"/>
        <v>1.11736309E-2</v>
      </c>
      <c r="AF92" s="73">
        <f t="shared" si="45"/>
        <v>1.0781590999999998E-2</v>
      </c>
      <c r="AG92" s="73">
        <f t="shared" si="45"/>
        <v>1.0826110699999999E-2</v>
      </c>
      <c r="AH92" s="73">
        <f t="shared" si="45"/>
        <v>1.1052090799999999E-2</v>
      </c>
      <c r="AI92" s="73">
        <f t="shared" si="45"/>
        <v>1.13169212E-2</v>
      </c>
      <c r="AJ92" s="73">
        <f t="shared" si="45"/>
        <v>1.1667531900000002E-2</v>
      </c>
      <c r="AK92" s="91">
        <f t="shared" si="45"/>
        <v>1.1727020899999998E-2</v>
      </c>
      <c r="AL92" s="511">
        <f t="shared" si="44"/>
        <v>4.2915869999999998E-4</v>
      </c>
      <c r="AM92" s="73">
        <f t="shared" ref="AM92:BB92" si="46">IFERROR((AM65+AM66)/1000,"NA")</f>
        <v>4.2668601999999999E-4</v>
      </c>
      <c r="AN92" s="73">
        <f t="shared" si="46"/>
        <v>4.0425550600000005E-4</v>
      </c>
      <c r="AO92" s="73">
        <f t="shared" si="46"/>
        <v>4.0775892999999995E-4</v>
      </c>
      <c r="AP92" s="73">
        <f t="shared" si="46"/>
        <v>4.3066690400000003E-4</v>
      </c>
      <c r="AQ92" s="73">
        <f t="shared" si="46"/>
        <v>4.5946524000000001E-4</v>
      </c>
      <c r="AR92" s="73">
        <f t="shared" si="46"/>
        <v>2.9924772199999998E-4</v>
      </c>
      <c r="AS92" s="73">
        <f t="shared" si="46"/>
        <v>2.3141775199999999E-4</v>
      </c>
      <c r="AT92" s="73">
        <f t="shared" si="46"/>
        <v>2.4681534799999997E-4</v>
      </c>
      <c r="AU92" s="73">
        <f t="shared" si="46"/>
        <v>2.4307003399999999E-4</v>
      </c>
      <c r="AV92" s="73">
        <f t="shared" si="46"/>
        <v>2.5361971399999998E-4</v>
      </c>
      <c r="AW92" s="73">
        <f t="shared" si="46"/>
        <v>2.2460106000000003E-4</v>
      </c>
      <c r="AX92" s="73">
        <f t="shared" si="46"/>
        <v>2.2075430199999999E-4</v>
      </c>
      <c r="AY92" s="73">
        <f t="shared" si="46"/>
        <v>2.2455984800000002E-4</v>
      </c>
      <c r="AZ92" s="73">
        <f t="shared" si="46"/>
        <v>2.2900307199999999E-4</v>
      </c>
      <c r="BA92" s="73">
        <f t="shared" si="46"/>
        <v>2.35632134E-4</v>
      </c>
      <c r="BB92" s="91">
        <f t="shared" si="46"/>
        <v>2.3577695399999997E-4</v>
      </c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91"/>
    </row>
    <row r="93" spans="2:71" s="110" customFormat="1" x14ac:dyDescent="0.35">
      <c r="B93" s="665" t="s">
        <v>382</v>
      </c>
      <c r="C93" s="666"/>
      <c r="D93" s="90">
        <f>IFERROR(SUM(D69:D71)/1000,"NA")</f>
        <v>40.825382640000001</v>
      </c>
      <c r="E93" s="73">
        <f t="shared" ref="E93:T93" si="47">IFERROR(SUM(E69:E71)/1000,"NA")</f>
        <v>42.209665289999997</v>
      </c>
      <c r="F93" s="73">
        <f t="shared" si="47"/>
        <v>41.843557079999989</v>
      </c>
      <c r="G93" s="73">
        <f t="shared" si="47"/>
        <v>51.228245640000004</v>
      </c>
      <c r="H93" s="73">
        <f t="shared" si="47"/>
        <v>43.756848329999997</v>
      </c>
      <c r="I93" s="73">
        <f t="shared" si="47"/>
        <v>44.033639909999998</v>
      </c>
      <c r="J93" s="73">
        <f t="shared" si="47"/>
        <v>45.734011439999996</v>
      </c>
      <c r="K93" s="73">
        <f t="shared" si="47"/>
        <v>46.028802449575245</v>
      </c>
      <c r="L93" s="73">
        <f t="shared" si="47"/>
        <v>56.045533542169309</v>
      </c>
      <c r="M93" s="73">
        <f t="shared" si="47"/>
        <v>62.786446744923396</v>
      </c>
      <c r="N93" s="73">
        <f t="shared" si="47"/>
        <v>63.792308842916199</v>
      </c>
      <c r="O93" s="73">
        <f t="shared" si="47"/>
        <v>67.260817889723199</v>
      </c>
      <c r="P93" s="73">
        <f t="shared" si="47"/>
        <v>59.256048715557093</v>
      </c>
      <c r="Q93" s="73">
        <f t="shared" si="47"/>
        <v>52.074520850068851</v>
      </c>
      <c r="R93" s="73">
        <f t="shared" si="47"/>
        <v>49.952794854086278</v>
      </c>
      <c r="S93" s="73">
        <f t="shared" si="47"/>
        <v>52.485882632398933</v>
      </c>
      <c r="T93" s="91">
        <f t="shared" si="47"/>
        <v>49.901458374086282</v>
      </c>
      <c r="U93" s="90">
        <f t="shared" ref="U93:AL93" si="48">IFERROR(SUM(U69:U71)/1000,"NA")</f>
        <v>5.7685039999999998E-3</v>
      </c>
      <c r="V93" s="73">
        <f t="shared" ref="V93:AK93" si="49">IFERROR(SUM(V69:V71)/1000,"NA")</f>
        <v>5.9585089999999999E-3</v>
      </c>
      <c r="W93" s="73">
        <f t="shared" si="49"/>
        <v>5.9109879999999998E-3</v>
      </c>
      <c r="X93" s="73">
        <f t="shared" si="49"/>
        <v>7.251043999999999E-3</v>
      </c>
      <c r="Y93" s="73">
        <f t="shared" si="49"/>
        <v>6.1635329999999997E-3</v>
      </c>
      <c r="Z93" s="73">
        <f t="shared" si="49"/>
        <v>6.2140909999999997E-3</v>
      </c>
      <c r="AA93" s="73">
        <f t="shared" si="49"/>
        <v>6.4624239999999987E-3</v>
      </c>
      <c r="AB93" s="73">
        <f t="shared" si="49"/>
        <v>6.4976830599187459E-3</v>
      </c>
      <c r="AC93" s="73">
        <f t="shared" si="49"/>
        <v>7.927460131343142E-3</v>
      </c>
      <c r="AD93" s="73">
        <f t="shared" si="49"/>
        <v>8.8891593495880241E-3</v>
      </c>
      <c r="AE93" s="73">
        <f t="shared" si="49"/>
        <v>9.0314025140344305E-3</v>
      </c>
      <c r="AF93" s="73">
        <f t="shared" si="49"/>
        <v>9.5254845719328404E-3</v>
      </c>
      <c r="AG93" s="73">
        <f t="shared" si="49"/>
        <v>8.3802259107025184E-3</v>
      </c>
      <c r="AH93" s="73">
        <f t="shared" si="49"/>
        <v>7.3525652331743411E-3</v>
      </c>
      <c r="AI93" s="73">
        <f t="shared" si="49"/>
        <v>7.0792310233400019E-3</v>
      </c>
      <c r="AJ93" s="73">
        <f t="shared" si="49"/>
        <v>7.4405761016096156E-3</v>
      </c>
      <c r="AK93" s="91">
        <f t="shared" si="49"/>
        <v>7.0723030233400021E-3</v>
      </c>
      <c r="AL93" s="511">
        <f t="shared" si="48"/>
        <v>3.4611024000000002E-4</v>
      </c>
      <c r="AM93" s="73">
        <f t="shared" ref="AM93:BB93" si="50">IFERROR(SUM(AM69:AM71)/1000,"NA")</f>
        <v>3.5751053999999997E-4</v>
      </c>
      <c r="AN93" s="73">
        <f t="shared" si="50"/>
        <v>3.5465927999999992E-4</v>
      </c>
      <c r="AO93" s="73">
        <f t="shared" si="50"/>
        <v>4.3506263999999994E-4</v>
      </c>
      <c r="AP93" s="73">
        <f t="shared" si="50"/>
        <v>3.6981197999999999E-4</v>
      </c>
      <c r="AQ93" s="73">
        <f t="shared" si="50"/>
        <v>3.7284545999999996E-4</v>
      </c>
      <c r="AR93" s="73">
        <f t="shared" si="50"/>
        <v>3.8774543999999986E-4</v>
      </c>
      <c r="AS93" s="73">
        <f t="shared" si="50"/>
        <v>3.8986098359512474E-4</v>
      </c>
      <c r="AT93" s="73">
        <f t="shared" si="50"/>
        <v>4.7564760788058847E-4</v>
      </c>
      <c r="AU93" s="73">
        <f t="shared" si="50"/>
        <v>5.3334956097528144E-4</v>
      </c>
      <c r="AV93" s="73">
        <f t="shared" si="50"/>
        <v>5.418841508420658E-4</v>
      </c>
      <c r="AW93" s="73">
        <f t="shared" si="50"/>
        <v>5.7152907431597046E-4</v>
      </c>
      <c r="AX93" s="73">
        <f t="shared" si="50"/>
        <v>5.0281355464215107E-4</v>
      </c>
      <c r="AY93" s="73">
        <f t="shared" si="50"/>
        <v>4.4115391399046042E-4</v>
      </c>
      <c r="AZ93" s="73">
        <f t="shared" si="50"/>
        <v>4.2475386140040006E-4</v>
      </c>
      <c r="BA93" s="73">
        <f t="shared" si="50"/>
        <v>4.4643456609657695E-4</v>
      </c>
      <c r="BB93" s="91">
        <f t="shared" si="50"/>
        <v>4.2433818140040009E-4</v>
      </c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91"/>
    </row>
    <row r="94" spans="2:71" s="110" customFormat="1" ht="15" thickBot="1" x14ac:dyDescent="0.4">
      <c r="B94" s="659" t="s">
        <v>420</v>
      </c>
      <c r="C94" s="660"/>
      <c r="D94" s="189">
        <f>IFERROR(D72/1000,0)</f>
        <v>0</v>
      </c>
      <c r="E94" s="103">
        <f t="shared" ref="E94:T94" si="51">IFERROR(E72/1000,0)</f>
        <v>0</v>
      </c>
      <c r="F94" s="103">
        <f t="shared" si="51"/>
        <v>0</v>
      </c>
      <c r="G94" s="103">
        <f t="shared" si="51"/>
        <v>0</v>
      </c>
      <c r="H94" s="103">
        <f t="shared" si="51"/>
        <v>0</v>
      </c>
      <c r="I94" s="103">
        <f t="shared" si="51"/>
        <v>0</v>
      </c>
      <c r="J94" s="103">
        <f t="shared" si="51"/>
        <v>0</v>
      </c>
      <c r="K94" s="103">
        <f t="shared" si="51"/>
        <v>0</v>
      </c>
      <c r="L94" s="103">
        <f t="shared" si="51"/>
        <v>0</v>
      </c>
      <c r="M94" s="103">
        <f t="shared" si="51"/>
        <v>0</v>
      </c>
      <c r="N94" s="103">
        <f t="shared" si="51"/>
        <v>0</v>
      </c>
      <c r="O94" s="103">
        <f t="shared" si="51"/>
        <v>0</v>
      </c>
      <c r="P94" s="103">
        <f t="shared" si="51"/>
        <v>0</v>
      </c>
      <c r="Q94" s="103">
        <f t="shared" si="51"/>
        <v>0.77003454000000005</v>
      </c>
      <c r="R94" s="103">
        <f t="shared" si="51"/>
        <v>0.80585010000000012</v>
      </c>
      <c r="S94" s="103">
        <f t="shared" si="51"/>
        <v>0.85061954999999978</v>
      </c>
      <c r="T94" s="204">
        <f t="shared" si="51"/>
        <v>0.87151195999999997</v>
      </c>
      <c r="U94" s="189">
        <f t="shared" ref="U94:AL94" si="52">IFERROR(U72/1000,0)</f>
        <v>0</v>
      </c>
      <c r="V94" s="103">
        <f t="shared" ref="V94:AK94" si="53">IFERROR(V72/1000,0)</f>
        <v>0</v>
      </c>
      <c r="W94" s="103">
        <f t="shared" si="53"/>
        <v>0</v>
      </c>
      <c r="X94" s="103">
        <f t="shared" si="53"/>
        <v>0</v>
      </c>
      <c r="Y94" s="103">
        <f t="shared" si="53"/>
        <v>0</v>
      </c>
      <c r="Z94" s="103">
        <f t="shared" si="53"/>
        <v>0</v>
      </c>
      <c r="AA94" s="103">
        <f t="shared" si="53"/>
        <v>0</v>
      </c>
      <c r="AB94" s="103">
        <f t="shared" si="53"/>
        <v>0</v>
      </c>
      <c r="AC94" s="103">
        <f t="shared" si="53"/>
        <v>0</v>
      </c>
      <c r="AD94" s="103">
        <f t="shared" si="53"/>
        <v>0</v>
      </c>
      <c r="AE94" s="103">
        <f t="shared" si="53"/>
        <v>0</v>
      </c>
      <c r="AF94" s="103">
        <f t="shared" si="53"/>
        <v>0</v>
      </c>
      <c r="AG94" s="103">
        <f t="shared" si="53"/>
        <v>0</v>
      </c>
      <c r="AH94" s="103">
        <f t="shared" si="53"/>
        <v>6.1017000000000002E-5</v>
      </c>
      <c r="AI94" s="103">
        <f t="shared" si="53"/>
        <v>6.3855000000000004E-5</v>
      </c>
      <c r="AJ94" s="103">
        <f t="shared" si="53"/>
        <v>6.7402499999999984E-5</v>
      </c>
      <c r="AK94" s="204">
        <f t="shared" si="53"/>
        <v>6.9057999999999988E-5</v>
      </c>
      <c r="AL94" s="512">
        <f t="shared" si="52"/>
        <v>0</v>
      </c>
      <c r="AM94" s="103">
        <f t="shared" ref="AM94:BB94" si="54">IFERROR(AM72/1000,0)</f>
        <v>0</v>
      </c>
      <c r="AN94" s="103">
        <f t="shared" si="54"/>
        <v>0</v>
      </c>
      <c r="AO94" s="103">
        <f t="shared" si="54"/>
        <v>0</v>
      </c>
      <c r="AP94" s="103">
        <f t="shared" si="54"/>
        <v>0</v>
      </c>
      <c r="AQ94" s="103">
        <f t="shared" si="54"/>
        <v>0</v>
      </c>
      <c r="AR94" s="103">
        <f t="shared" si="54"/>
        <v>0</v>
      </c>
      <c r="AS94" s="103">
        <f t="shared" si="54"/>
        <v>0</v>
      </c>
      <c r="AT94" s="103">
        <f t="shared" si="54"/>
        <v>0</v>
      </c>
      <c r="AU94" s="103">
        <f t="shared" si="54"/>
        <v>0</v>
      </c>
      <c r="AV94" s="103">
        <f t="shared" si="54"/>
        <v>0</v>
      </c>
      <c r="AW94" s="103">
        <f t="shared" si="54"/>
        <v>0</v>
      </c>
      <c r="AX94" s="103">
        <f t="shared" si="54"/>
        <v>0</v>
      </c>
      <c r="AY94" s="103">
        <f t="shared" si="54"/>
        <v>1.22034E-6</v>
      </c>
      <c r="AZ94" s="103">
        <f t="shared" si="54"/>
        <v>1.2771000000000002E-6</v>
      </c>
      <c r="BA94" s="103">
        <f t="shared" si="54"/>
        <v>1.3480499999999997E-6</v>
      </c>
      <c r="BB94" s="204">
        <f t="shared" si="54"/>
        <v>1.38116E-6</v>
      </c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3"/>
      <c r="BO94" s="103"/>
      <c r="BP94" s="103"/>
      <c r="BQ94" s="103"/>
      <c r="BR94" s="103"/>
      <c r="BS94" s="204"/>
    </row>
    <row r="95" spans="2:71" s="3" customFormat="1" ht="15" thickBot="1" x14ac:dyDescent="0.4">
      <c r="B95" s="661" t="s">
        <v>161</v>
      </c>
      <c r="C95" s="662"/>
      <c r="D95" s="190">
        <f>D96+D98+D100</f>
        <v>22.325272830282945</v>
      </c>
      <c r="E95" s="104">
        <f t="shared" ref="E95:T95" si="55">E96+E98+E100</f>
        <v>22.921947315103331</v>
      </c>
      <c r="F95" s="104">
        <f t="shared" si="55"/>
        <v>23.371101076426267</v>
      </c>
      <c r="G95" s="104">
        <f t="shared" si="55"/>
        <v>23.9229148377492</v>
      </c>
      <c r="H95" s="104">
        <f t="shared" si="55"/>
        <v>24.166158599072133</v>
      </c>
      <c r="I95" s="104">
        <f t="shared" si="55"/>
        <v>24.894972360395069</v>
      </c>
      <c r="J95" s="104">
        <f t="shared" si="55"/>
        <v>25.634996121718</v>
      </c>
      <c r="K95" s="104">
        <f t="shared" si="55"/>
        <v>25.714809883040935</v>
      </c>
      <c r="L95" s="104">
        <f t="shared" si="55"/>
        <v>29.929619941520468</v>
      </c>
      <c r="M95" s="104">
        <f t="shared" si="55"/>
        <v>34.805819999999997</v>
      </c>
      <c r="N95" s="104">
        <f t="shared" si="55"/>
        <v>37.135859999999994</v>
      </c>
      <c r="O95" s="104">
        <f t="shared" si="55"/>
        <v>47.899450000000002</v>
      </c>
      <c r="P95" s="104">
        <f t="shared" si="55"/>
        <v>46.536629999999995</v>
      </c>
      <c r="Q95" s="104">
        <f t="shared" si="55"/>
        <v>39.616120000000002</v>
      </c>
      <c r="R95" s="104">
        <f t="shared" si="55"/>
        <v>36.1464</v>
      </c>
      <c r="S95" s="104">
        <f t="shared" si="55"/>
        <v>31.925600000000003</v>
      </c>
      <c r="T95" s="105">
        <f t="shared" si="55"/>
        <v>29.076799999999999</v>
      </c>
      <c r="U95" s="190">
        <f t="shared" ref="U95:AK95" si="56">U96+U98</f>
        <v>0</v>
      </c>
      <c r="V95" s="104">
        <f t="shared" si="56"/>
        <v>0</v>
      </c>
      <c r="W95" s="104">
        <f t="shared" si="56"/>
        <v>0</v>
      </c>
      <c r="X95" s="104">
        <f t="shared" si="56"/>
        <v>0</v>
      </c>
      <c r="Y95" s="104">
        <f t="shared" si="56"/>
        <v>0</v>
      </c>
      <c r="Z95" s="104">
        <f t="shared" si="56"/>
        <v>0</v>
      </c>
      <c r="AA95" s="104">
        <f t="shared" si="56"/>
        <v>0</v>
      </c>
      <c r="AB95" s="104">
        <f t="shared" si="56"/>
        <v>0</v>
      </c>
      <c r="AC95" s="104">
        <f t="shared" si="56"/>
        <v>0</v>
      </c>
      <c r="AD95" s="104">
        <f t="shared" si="56"/>
        <v>0</v>
      </c>
      <c r="AE95" s="104">
        <f t="shared" si="56"/>
        <v>0</v>
      </c>
      <c r="AF95" s="104">
        <f t="shared" si="56"/>
        <v>0</v>
      </c>
      <c r="AG95" s="104">
        <f t="shared" si="56"/>
        <v>0</v>
      </c>
      <c r="AH95" s="104">
        <f t="shared" si="56"/>
        <v>0</v>
      </c>
      <c r="AI95" s="104">
        <f t="shared" si="56"/>
        <v>0</v>
      </c>
      <c r="AJ95" s="104">
        <f t="shared" si="56"/>
        <v>0</v>
      </c>
      <c r="AK95" s="105">
        <f t="shared" si="56"/>
        <v>0</v>
      </c>
      <c r="AL95" s="513">
        <f t="shared" ref="AL95:BB95" si="57">AL96+AL98</f>
        <v>0</v>
      </c>
      <c r="AM95" s="104">
        <f t="shared" si="57"/>
        <v>0</v>
      </c>
      <c r="AN95" s="104">
        <f t="shared" si="57"/>
        <v>0</v>
      </c>
      <c r="AO95" s="104">
        <f t="shared" si="57"/>
        <v>0</v>
      </c>
      <c r="AP95" s="104">
        <f t="shared" si="57"/>
        <v>0</v>
      </c>
      <c r="AQ95" s="104">
        <f t="shared" si="57"/>
        <v>0</v>
      </c>
      <c r="AR95" s="104">
        <f t="shared" si="57"/>
        <v>0</v>
      </c>
      <c r="AS95" s="104">
        <f t="shared" si="57"/>
        <v>0</v>
      </c>
      <c r="AT95" s="104">
        <f t="shared" si="57"/>
        <v>0</v>
      </c>
      <c r="AU95" s="104">
        <f t="shared" si="57"/>
        <v>0</v>
      </c>
      <c r="AV95" s="104">
        <f t="shared" si="57"/>
        <v>0</v>
      </c>
      <c r="AW95" s="104">
        <f t="shared" si="57"/>
        <v>0</v>
      </c>
      <c r="AX95" s="104">
        <f t="shared" si="57"/>
        <v>0</v>
      </c>
      <c r="AY95" s="104">
        <f t="shared" si="57"/>
        <v>0</v>
      </c>
      <c r="AZ95" s="104">
        <f t="shared" si="57"/>
        <v>0</v>
      </c>
      <c r="BA95" s="104">
        <f t="shared" si="57"/>
        <v>0</v>
      </c>
      <c r="BB95" s="105">
        <f t="shared" si="57"/>
        <v>0</v>
      </c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5"/>
    </row>
    <row r="96" spans="2:71" x14ac:dyDescent="0.35">
      <c r="B96" s="663" t="s">
        <v>154</v>
      </c>
      <c r="C96" s="664"/>
      <c r="D96" s="205">
        <f t="shared" ref="D96:T96" si="58">D97</f>
        <v>2.7547100000000002</v>
      </c>
      <c r="E96" s="206">
        <f t="shared" si="58"/>
        <v>2.6980699999999995</v>
      </c>
      <c r="F96" s="206">
        <f t="shared" si="58"/>
        <v>2.4720999999999997</v>
      </c>
      <c r="G96" s="206">
        <f t="shared" si="58"/>
        <v>2.3487900000000002</v>
      </c>
      <c r="H96" s="206">
        <f t="shared" si="58"/>
        <v>1.9169099999999999</v>
      </c>
      <c r="I96" s="206">
        <f t="shared" si="58"/>
        <v>1.9705999999999999</v>
      </c>
      <c r="J96" s="206">
        <f t="shared" si="58"/>
        <v>2.0354999999999999</v>
      </c>
      <c r="K96" s="206">
        <f t="shared" si="58"/>
        <v>1.4401899999999999</v>
      </c>
      <c r="L96" s="206">
        <f t="shared" si="58"/>
        <v>1.3623099999999999</v>
      </c>
      <c r="M96" s="206">
        <f t="shared" si="58"/>
        <v>1.9458199999999999</v>
      </c>
      <c r="N96" s="206">
        <f t="shared" si="58"/>
        <v>2.1558599999999997</v>
      </c>
      <c r="O96" s="206">
        <f t="shared" si="58"/>
        <v>1.36585</v>
      </c>
      <c r="P96" s="206">
        <f t="shared" si="58"/>
        <v>1.79183</v>
      </c>
      <c r="Q96" s="206">
        <f t="shared" si="58"/>
        <v>1.2909199999999998</v>
      </c>
      <c r="R96" s="206">
        <f t="shared" si="58"/>
        <v>0.8024</v>
      </c>
      <c r="S96" s="206">
        <f t="shared" si="58"/>
        <v>0</v>
      </c>
      <c r="T96" s="629">
        <f t="shared" si="58"/>
        <v>0</v>
      </c>
      <c r="U96" s="630">
        <f t="shared" ref="U96:AK96" si="59">U97</f>
        <v>0</v>
      </c>
      <c r="V96" s="631">
        <f t="shared" si="59"/>
        <v>0</v>
      </c>
      <c r="W96" s="631">
        <f t="shared" si="59"/>
        <v>0</v>
      </c>
      <c r="X96" s="631">
        <f t="shared" si="59"/>
        <v>0</v>
      </c>
      <c r="Y96" s="631">
        <f t="shared" si="59"/>
        <v>0</v>
      </c>
      <c r="Z96" s="631">
        <f t="shared" si="59"/>
        <v>0</v>
      </c>
      <c r="AA96" s="631">
        <f t="shared" si="59"/>
        <v>0</v>
      </c>
      <c r="AB96" s="631">
        <f t="shared" si="59"/>
        <v>0</v>
      </c>
      <c r="AC96" s="631">
        <f t="shared" si="59"/>
        <v>0</v>
      </c>
      <c r="AD96" s="631">
        <f t="shared" si="59"/>
        <v>0</v>
      </c>
      <c r="AE96" s="631">
        <f t="shared" si="59"/>
        <v>0</v>
      </c>
      <c r="AF96" s="631">
        <f t="shared" si="59"/>
        <v>0</v>
      </c>
      <c r="AG96" s="631">
        <f t="shared" si="59"/>
        <v>0</v>
      </c>
      <c r="AH96" s="631">
        <f t="shared" si="59"/>
        <v>0</v>
      </c>
      <c r="AI96" s="631">
        <f t="shared" si="59"/>
        <v>0</v>
      </c>
      <c r="AJ96" s="631">
        <f t="shared" si="59"/>
        <v>0</v>
      </c>
      <c r="AK96" s="632">
        <f t="shared" si="59"/>
        <v>0</v>
      </c>
      <c r="AL96" s="630">
        <f t="shared" ref="AL96:BB96" si="60">AL97</f>
        <v>0</v>
      </c>
      <c r="AM96" s="631">
        <f t="shared" si="60"/>
        <v>0</v>
      </c>
      <c r="AN96" s="631">
        <f t="shared" si="60"/>
        <v>0</v>
      </c>
      <c r="AO96" s="631">
        <f t="shared" si="60"/>
        <v>0</v>
      </c>
      <c r="AP96" s="631">
        <f t="shared" si="60"/>
        <v>0</v>
      </c>
      <c r="AQ96" s="631">
        <f t="shared" si="60"/>
        <v>0</v>
      </c>
      <c r="AR96" s="631">
        <f t="shared" si="60"/>
        <v>0</v>
      </c>
      <c r="AS96" s="631">
        <f t="shared" si="60"/>
        <v>0</v>
      </c>
      <c r="AT96" s="631">
        <f t="shared" si="60"/>
        <v>0</v>
      </c>
      <c r="AU96" s="631">
        <f t="shared" si="60"/>
        <v>0</v>
      </c>
      <c r="AV96" s="631">
        <f t="shared" si="60"/>
        <v>0</v>
      </c>
      <c r="AW96" s="631">
        <f t="shared" si="60"/>
        <v>0</v>
      </c>
      <c r="AX96" s="631">
        <f t="shared" si="60"/>
        <v>0</v>
      </c>
      <c r="AY96" s="631">
        <f t="shared" si="60"/>
        <v>0</v>
      </c>
      <c r="AZ96" s="631">
        <f t="shared" si="60"/>
        <v>0</v>
      </c>
      <c r="BA96" s="631">
        <f t="shared" si="60"/>
        <v>0</v>
      </c>
      <c r="BB96" s="632">
        <f t="shared" si="60"/>
        <v>0</v>
      </c>
      <c r="BC96" s="505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7"/>
    </row>
    <row r="97" spans="2:71" x14ac:dyDescent="0.35">
      <c r="B97" s="665" t="s">
        <v>155</v>
      </c>
      <c r="C97" s="666"/>
      <c r="D97" s="90">
        <f t="shared" ref="D97:AI97" si="61">IFERROR(D73/1000,"NA")</f>
        <v>2.7547100000000002</v>
      </c>
      <c r="E97" s="73">
        <f t="shared" si="61"/>
        <v>2.6980699999999995</v>
      </c>
      <c r="F97" s="73">
        <f t="shared" si="61"/>
        <v>2.4720999999999997</v>
      </c>
      <c r="G97" s="73">
        <f t="shared" si="61"/>
        <v>2.3487900000000002</v>
      </c>
      <c r="H97" s="73">
        <f t="shared" si="61"/>
        <v>1.9169099999999999</v>
      </c>
      <c r="I97" s="73">
        <f t="shared" si="61"/>
        <v>1.9705999999999999</v>
      </c>
      <c r="J97" s="73">
        <f t="shared" si="61"/>
        <v>2.0354999999999999</v>
      </c>
      <c r="K97" s="73">
        <f t="shared" si="61"/>
        <v>1.4401899999999999</v>
      </c>
      <c r="L97" s="73">
        <f t="shared" si="61"/>
        <v>1.3623099999999999</v>
      </c>
      <c r="M97" s="73">
        <f t="shared" si="61"/>
        <v>1.9458199999999999</v>
      </c>
      <c r="N97" s="73">
        <f t="shared" si="61"/>
        <v>2.1558599999999997</v>
      </c>
      <c r="O97" s="73">
        <f t="shared" si="61"/>
        <v>1.36585</v>
      </c>
      <c r="P97" s="73">
        <f t="shared" si="61"/>
        <v>1.79183</v>
      </c>
      <c r="Q97" s="73">
        <f t="shared" si="61"/>
        <v>1.2909199999999998</v>
      </c>
      <c r="R97" s="73">
        <f t="shared" si="61"/>
        <v>0.8024</v>
      </c>
      <c r="S97" s="73">
        <f t="shared" si="61"/>
        <v>0</v>
      </c>
      <c r="T97" s="627">
        <f t="shared" si="61"/>
        <v>0</v>
      </c>
      <c r="U97" s="90">
        <f t="shared" si="61"/>
        <v>0</v>
      </c>
      <c r="V97" s="73">
        <f t="shared" si="61"/>
        <v>0</v>
      </c>
      <c r="W97" s="73">
        <f t="shared" si="61"/>
        <v>0</v>
      </c>
      <c r="X97" s="73">
        <f t="shared" si="61"/>
        <v>0</v>
      </c>
      <c r="Y97" s="73">
        <f t="shared" si="61"/>
        <v>0</v>
      </c>
      <c r="Z97" s="73">
        <f t="shared" si="61"/>
        <v>0</v>
      </c>
      <c r="AA97" s="73">
        <f t="shared" si="61"/>
        <v>0</v>
      </c>
      <c r="AB97" s="73">
        <f t="shared" si="61"/>
        <v>0</v>
      </c>
      <c r="AC97" s="73">
        <f t="shared" si="61"/>
        <v>0</v>
      </c>
      <c r="AD97" s="73">
        <f t="shared" si="61"/>
        <v>0</v>
      </c>
      <c r="AE97" s="73">
        <f t="shared" si="61"/>
        <v>0</v>
      </c>
      <c r="AF97" s="73">
        <f t="shared" si="61"/>
        <v>0</v>
      </c>
      <c r="AG97" s="73">
        <f t="shared" si="61"/>
        <v>0</v>
      </c>
      <c r="AH97" s="73">
        <f t="shared" si="61"/>
        <v>0</v>
      </c>
      <c r="AI97" s="73">
        <f t="shared" si="61"/>
        <v>0</v>
      </c>
      <c r="AJ97" s="73">
        <f t="shared" ref="AJ97:BB97" si="62">IFERROR(AJ73/1000,"NA")</f>
        <v>0</v>
      </c>
      <c r="AK97" s="91">
        <f t="shared" si="62"/>
        <v>0</v>
      </c>
      <c r="AL97" s="90">
        <f t="shared" si="62"/>
        <v>0</v>
      </c>
      <c r="AM97" s="73">
        <f t="shared" si="62"/>
        <v>0</v>
      </c>
      <c r="AN97" s="73">
        <f t="shared" si="62"/>
        <v>0</v>
      </c>
      <c r="AO97" s="73">
        <f t="shared" si="62"/>
        <v>0</v>
      </c>
      <c r="AP97" s="73">
        <f t="shared" si="62"/>
        <v>0</v>
      </c>
      <c r="AQ97" s="73">
        <f t="shared" si="62"/>
        <v>0</v>
      </c>
      <c r="AR97" s="73">
        <f t="shared" si="62"/>
        <v>0</v>
      </c>
      <c r="AS97" s="73">
        <f t="shared" si="62"/>
        <v>0</v>
      </c>
      <c r="AT97" s="73">
        <f t="shared" si="62"/>
        <v>0</v>
      </c>
      <c r="AU97" s="73">
        <f t="shared" si="62"/>
        <v>0</v>
      </c>
      <c r="AV97" s="73">
        <f t="shared" si="62"/>
        <v>0</v>
      </c>
      <c r="AW97" s="73">
        <f t="shared" si="62"/>
        <v>0</v>
      </c>
      <c r="AX97" s="73">
        <f t="shared" si="62"/>
        <v>0</v>
      </c>
      <c r="AY97" s="73">
        <f t="shared" si="62"/>
        <v>0</v>
      </c>
      <c r="AZ97" s="73">
        <f t="shared" si="62"/>
        <v>0</v>
      </c>
      <c r="BA97" s="73">
        <f t="shared" si="62"/>
        <v>0</v>
      </c>
      <c r="BB97" s="91">
        <f t="shared" si="62"/>
        <v>0</v>
      </c>
      <c r="BC97" s="511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91"/>
    </row>
    <row r="98" spans="2:71" x14ac:dyDescent="0.35">
      <c r="B98" s="667" t="s">
        <v>156</v>
      </c>
      <c r="C98" s="668"/>
      <c r="D98" s="90">
        <f t="shared" ref="D98:T98" si="63">D99</f>
        <v>19.570562830282945</v>
      </c>
      <c r="E98" s="73">
        <f t="shared" si="63"/>
        <v>20.22387731510333</v>
      </c>
      <c r="F98" s="73">
        <f t="shared" si="63"/>
        <v>20.899001076426266</v>
      </c>
      <c r="G98" s="73">
        <f t="shared" si="63"/>
        <v>21.574124837749199</v>
      </c>
      <c r="H98" s="73">
        <f t="shared" si="63"/>
        <v>22.249248599072132</v>
      </c>
      <c r="I98" s="73">
        <f t="shared" si="63"/>
        <v>22.924372360395068</v>
      </c>
      <c r="J98" s="73">
        <f t="shared" si="63"/>
        <v>23.599496121718001</v>
      </c>
      <c r="K98" s="73">
        <f t="shared" si="63"/>
        <v>24.274619883040934</v>
      </c>
      <c r="L98" s="73">
        <f t="shared" si="63"/>
        <v>28.567309941520467</v>
      </c>
      <c r="M98" s="73">
        <f t="shared" si="63"/>
        <v>32.86</v>
      </c>
      <c r="N98" s="73">
        <f t="shared" si="63"/>
        <v>34.979999999999997</v>
      </c>
      <c r="O98" s="73">
        <f t="shared" si="63"/>
        <v>37.1</v>
      </c>
      <c r="P98" s="73">
        <f t="shared" si="63"/>
        <v>34.131999999999998</v>
      </c>
      <c r="Q98" s="73">
        <f t="shared" si="63"/>
        <v>28.302</v>
      </c>
      <c r="R98" s="73">
        <f t="shared" si="63"/>
        <v>26.5</v>
      </c>
      <c r="S98" s="73">
        <f t="shared" si="63"/>
        <v>25.44</v>
      </c>
      <c r="T98" s="627">
        <f t="shared" si="63"/>
        <v>21.411999999999999</v>
      </c>
      <c r="U98" s="90">
        <f t="shared" ref="U98:AK98" si="64">U99</f>
        <v>0</v>
      </c>
      <c r="V98" s="73">
        <f t="shared" si="64"/>
        <v>0</v>
      </c>
      <c r="W98" s="73">
        <f t="shared" si="64"/>
        <v>0</v>
      </c>
      <c r="X98" s="73">
        <f t="shared" si="64"/>
        <v>0</v>
      </c>
      <c r="Y98" s="73">
        <f t="shared" si="64"/>
        <v>0</v>
      </c>
      <c r="Z98" s="73">
        <f t="shared" si="64"/>
        <v>0</v>
      </c>
      <c r="AA98" s="73">
        <f t="shared" si="64"/>
        <v>0</v>
      </c>
      <c r="AB98" s="73">
        <f t="shared" si="64"/>
        <v>0</v>
      </c>
      <c r="AC98" s="73">
        <f t="shared" si="64"/>
        <v>0</v>
      </c>
      <c r="AD98" s="73">
        <f t="shared" si="64"/>
        <v>0</v>
      </c>
      <c r="AE98" s="73">
        <f t="shared" si="64"/>
        <v>0</v>
      </c>
      <c r="AF98" s="73">
        <f t="shared" si="64"/>
        <v>0</v>
      </c>
      <c r="AG98" s="73">
        <f t="shared" si="64"/>
        <v>0</v>
      </c>
      <c r="AH98" s="73">
        <f t="shared" si="64"/>
        <v>0</v>
      </c>
      <c r="AI98" s="73">
        <f t="shared" si="64"/>
        <v>0</v>
      </c>
      <c r="AJ98" s="73">
        <f t="shared" si="64"/>
        <v>0</v>
      </c>
      <c r="AK98" s="91">
        <f t="shared" si="64"/>
        <v>0</v>
      </c>
      <c r="AL98" s="90">
        <f t="shared" ref="AL98:BB98" si="65">AL99</f>
        <v>0</v>
      </c>
      <c r="AM98" s="73">
        <f t="shared" si="65"/>
        <v>0</v>
      </c>
      <c r="AN98" s="73">
        <f t="shared" si="65"/>
        <v>0</v>
      </c>
      <c r="AO98" s="73">
        <f t="shared" si="65"/>
        <v>0</v>
      </c>
      <c r="AP98" s="73">
        <f t="shared" si="65"/>
        <v>0</v>
      </c>
      <c r="AQ98" s="73">
        <f t="shared" si="65"/>
        <v>0</v>
      </c>
      <c r="AR98" s="73">
        <f t="shared" si="65"/>
        <v>0</v>
      </c>
      <c r="AS98" s="73">
        <f t="shared" si="65"/>
        <v>0</v>
      </c>
      <c r="AT98" s="73">
        <f t="shared" si="65"/>
        <v>0</v>
      </c>
      <c r="AU98" s="73">
        <f t="shared" si="65"/>
        <v>0</v>
      </c>
      <c r="AV98" s="73">
        <f t="shared" si="65"/>
        <v>0</v>
      </c>
      <c r="AW98" s="73">
        <f t="shared" si="65"/>
        <v>0</v>
      </c>
      <c r="AX98" s="73">
        <f t="shared" si="65"/>
        <v>0</v>
      </c>
      <c r="AY98" s="73">
        <f t="shared" si="65"/>
        <v>0</v>
      </c>
      <c r="AZ98" s="73">
        <f t="shared" si="65"/>
        <v>0</v>
      </c>
      <c r="BA98" s="73">
        <f t="shared" si="65"/>
        <v>0</v>
      </c>
      <c r="BB98" s="91">
        <f t="shared" si="65"/>
        <v>0</v>
      </c>
      <c r="BC98" s="511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91"/>
    </row>
    <row r="99" spans="2:71" ht="15" thickBot="1" x14ac:dyDescent="0.4">
      <c r="B99" s="655" t="s">
        <v>157</v>
      </c>
      <c r="C99" s="656"/>
      <c r="D99" s="189">
        <f t="shared" ref="D99:T99" si="66">IFERROR(D74/1000,"NA")</f>
        <v>19.570562830282945</v>
      </c>
      <c r="E99" s="103">
        <f t="shared" si="66"/>
        <v>20.22387731510333</v>
      </c>
      <c r="F99" s="103">
        <f t="shared" si="66"/>
        <v>20.899001076426266</v>
      </c>
      <c r="G99" s="103">
        <f t="shared" si="66"/>
        <v>21.574124837749199</v>
      </c>
      <c r="H99" s="103">
        <f t="shared" si="66"/>
        <v>22.249248599072132</v>
      </c>
      <c r="I99" s="103">
        <f t="shared" si="66"/>
        <v>22.924372360395068</v>
      </c>
      <c r="J99" s="103">
        <f t="shared" si="66"/>
        <v>23.599496121718001</v>
      </c>
      <c r="K99" s="103">
        <f t="shared" si="66"/>
        <v>24.274619883040934</v>
      </c>
      <c r="L99" s="103">
        <f t="shared" si="66"/>
        <v>28.567309941520467</v>
      </c>
      <c r="M99" s="103">
        <f t="shared" si="66"/>
        <v>32.86</v>
      </c>
      <c r="N99" s="103">
        <f t="shared" si="66"/>
        <v>34.979999999999997</v>
      </c>
      <c r="O99" s="103">
        <f t="shared" si="66"/>
        <v>37.1</v>
      </c>
      <c r="P99" s="103">
        <f t="shared" si="66"/>
        <v>34.131999999999998</v>
      </c>
      <c r="Q99" s="103">
        <f t="shared" si="66"/>
        <v>28.302</v>
      </c>
      <c r="R99" s="103">
        <f t="shared" si="66"/>
        <v>26.5</v>
      </c>
      <c r="S99" s="103">
        <f t="shared" si="66"/>
        <v>25.44</v>
      </c>
      <c r="T99" s="628">
        <f t="shared" si="66"/>
        <v>21.411999999999999</v>
      </c>
      <c r="U99" s="189">
        <f t="shared" ref="U99:AK99" si="67">IFERROR(U74/1000,"NA")</f>
        <v>0</v>
      </c>
      <c r="V99" s="103">
        <f t="shared" si="67"/>
        <v>0</v>
      </c>
      <c r="W99" s="103">
        <f t="shared" si="67"/>
        <v>0</v>
      </c>
      <c r="X99" s="103">
        <f t="shared" si="67"/>
        <v>0</v>
      </c>
      <c r="Y99" s="103">
        <f t="shared" si="67"/>
        <v>0</v>
      </c>
      <c r="Z99" s="103">
        <f t="shared" si="67"/>
        <v>0</v>
      </c>
      <c r="AA99" s="103">
        <f t="shared" si="67"/>
        <v>0</v>
      </c>
      <c r="AB99" s="103">
        <f t="shared" si="67"/>
        <v>0</v>
      </c>
      <c r="AC99" s="103">
        <f t="shared" si="67"/>
        <v>0</v>
      </c>
      <c r="AD99" s="103">
        <f t="shared" si="67"/>
        <v>0</v>
      </c>
      <c r="AE99" s="103">
        <f t="shared" si="67"/>
        <v>0</v>
      </c>
      <c r="AF99" s="103">
        <f t="shared" si="67"/>
        <v>0</v>
      </c>
      <c r="AG99" s="103">
        <f t="shared" si="67"/>
        <v>0</v>
      </c>
      <c r="AH99" s="103">
        <f t="shared" si="67"/>
        <v>0</v>
      </c>
      <c r="AI99" s="103">
        <f t="shared" si="67"/>
        <v>0</v>
      </c>
      <c r="AJ99" s="103">
        <f t="shared" si="67"/>
        <v>0</v>
      </c>
      <c r="AK99" s="204">
        <f t="shared" si="67"/>
        <v>0</v>
      </c>
      <c r="AL99" s="189">
        <f t="shared" ref="AL99:BB99" si="68">IFERROR(AL74/1000,"NA")</f>
        <v>0</v>
      </c>
      <c r="AM99" s="103">
        <f t="shared" si="68"/>
        <v>0</v>
      </c>
      <c r="AN99" s="103">
        <f t="shared" si="68"/>
        <v>0</v>
      </c>
      <c r="AO99" s="103">
        <f t="shared" si="68"/>
        <v>0</v>
      </c>
      <c r="AP99" s="103">
        <f t="shared" si="68"/>
        <v>0</v>
      </c>
      <c r="AQ99" s="103">
        <f t="shared" si="68"/>
        <v>0</v>
      </c>
      <c r="AR99" s="103">
        <f t="shared" si="68"/>
        <v>0</v>
      </c>
      <c r="AS99" s="103">
        <f t="shared" si="68"/>
        <v>0</v>
      </c>
      <c r="AT99" s="103">
        <f t="shared" si="68"/>
        <v>0</v>
      </c>
      <c r="AU99" s="103">
        <f t="shared" si="68"/>
        <v>0</v>
      </c>
      <c r="AV99" s="103">
        <f t="shared" si="68"/>
        <v>0</v>
      </c>
      <c r="AW99" s="103">
        <f t="shared" si="68"/>
        <v>0</v>
      </c>
      <c r="AX99" s="103">
        <f t="shared" si="68"/>
        <v>0</v>
      </c>
      <c r="AY99" s="103">
        <f t="shared" si="68"/>
        <v>0</v>
      </c>
      <c r="AZ99" s="103">
        <f t="shared" si="68"/>
        <v>0</v>
      </c>
      <c r="BA99" s="103">
        <f t="shared" si="68"/>
        <v>0</v>
      </c>
      <c r="BB99" s="204">
        <f t="shared" si="68"/>
        <v>0</v>
      </c>
      <c r="BC99" s="506"/>
      <c r="BD99" s="280"/>
      <c r="BE99" s="280"/>
      <c r="BF99" s="280"/>
      <c r="BG99" s="280"/>
      <c r="BH99" s="280"/>
      <c r="BI99" s="280"/>
      <c r="BJ99" s="280"/>
      <c r="BK99" s="280"/>
      <c r="BL99" s="280"/>
      <c r="BM99" s="280"/>
      <c r="BN99" s="280"/>
      <c r="BO99" s="280"/>
      <c r="BP99" s="280"/>
      <c r="BQ99" s="280"/>
      <c r="BR99" s="280"/>
      <c r="BS99" s="281"/>
    </row>
    <row r="100" spans="2:71" s="110" customFormat="1" x14ac:dyDescent="0.35">
      <c r="B100" s="667" t="s">
        <v>482</v>
      </c>
      <c r="C100" s="668"/>
      <c r="D100" s="90">
        <f>D101</f>
        <v>0</v>
      </c>
      <c r="E100" s="73">
        <f t="shared" ref="E100:T100" si="69">E101</f>
        <v>0</v>
      </c>
      <c r="F100" s="73">
        <f t="shared" si="69"/>
        <v>0</v>
      </c>
      <c r="G100" s="73">
        <f t="shared" si="69"/>
        <v>0</v>
      </c>
      <c r="H100" s="73">
        <f t="shared" si="69"/>
        <v>0</v>
      </c>
      <c r="I100" s="73">
        <f t="shared" si="69"/>
        <v>0</v>
      </c>
      <c r="J100" s="73">
        <f t="shared" si="69"/>
        <v>0</v>
      </c>
      <c r="K100" s="73">
        <f t="shared" si="69"/>
        <v>0</v>
      </c>
      <c r="L100" s="73">
        <f t="shared" si="69"/>
        <v>0</v>
      </c>
      <c r="M100" s="73">
        <f t="shared" si="69"/>
        <v>0</v>
      </c>
      <c r="N100" s="73">
        <f t="shared" si="69"/>
        <v>0</v>
      </c>
      <c r="O100" s="73">
        <f t="shared" si="69"/>
        <v>9.4336000000000002</v>
      </c>
      <c r="P100" s="73">
        <f t="shared" si="69"/>
        <v>10.6128</v>
      </c>
      <c r="Q100" s="73">
        <f t="shared" si="69"/>
        <v>10.023200000000001</v>
      </c>
      <c r="R100" s="73">
        <f t="shared" si="69"/>
        <v>8.8439999999999994</v>
      </c>
      <c r="S100" s="73">
        <f t="shared" si="69"/>
        <v>6.4856000000000007</v>
      </c>
      <c r="T100" s="627">
        <f t="shared" si="69"/>
        <v>7.6648000000000005</v>
      </c>
      <c r="U100" s="90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91"/>
      <c r="AL100" s="90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91"/>
      <c r="BC100" s="502"/>
      <c r="BD100" s="502"/>
      <c r="BE100" s="502"/>
      <c r="BF100" s="502"/>
      <c r="BG100" s="502"/>
      <c r="BH100" s="502"/>
      <c r="BI100" s="502"/>
      <c r="BJ100" s="502"/>
      <c r="BK100" s="502"/>
      <c r="BL100" s="502"/>
      <c r="BM100" s="502"/>
      <c r="BN100" s="502"/>
      <c r="BO100" s="502"/>
      <c r="BP100" s="502"/>
      <c r="BQ100" s="502"/>
      <c r="BR100" s="502"/>
      <c r="BS100" s="502"/>
    </row>
    <row r="101" spans="2:71" s="110" customFormat="1" ht="15" thickBot="1" x14ac:dyDescent="0.4">
      <c r="B101" s="655" t="s">
        <v>483</v>
      </c>
      <c r="C101" s="656"/>
      <c r="D101" s="189">
        <f>IFERROR(D75/1000,"NA")</f>
        <v>0</v>
      </c>
      <c r="E101" s="103">
        <f t="shared" ref="E101:T101" si="70">IFERROR(E75/1000,"NA")</f>
        <v>0</v>
      </c>
      <c r="F101" s="103">
        <f t="shared" si="70"/>
        <v>0</v>
      </c>
      <c r="G101" s="103">
        <f t="shared" si="70"/>
        <v>0</v>
      </c>
      <c r="H101" s="103">
        <f t="shared" si="70"/>
        <v>0</v>
      </c>
      <c r="I101" s="103">
        <f t="shared" si="70"/>
        <v>0</v>
      </c>
      <c r="J101" s="103">
        <f t="shared" si="70"/>
        <v>0</v>
      </c>
      <c r="K101" s="103">
        <f t="shared" si="70"/>
        <v>0</v>
      </c>
      <c r="L101" s="103">
        <f t="shared" si="70"/>
        <v>0</v>
      </c>
      <c r="M101" s="103">
        <f t="shared" si="70"/>
        <v>0</v>
      </c>
      <c r="N101" s="103">
        <f t="shared" si="70"/>
        <v>0</v>
      </c>
      <c r="O101" s="103">
        <f t="shared" si="70"/>
        <v>9.4336000000000002</v>
      </c>
      <c r="P101" s="103">
        <f t="shared" si="70"/>
        <v>10.6128</v>
      </c>
      <c r="Q101" s="103">
        <f t="shared" si="70"/>
        <v>10.023200000000001</v>
      </c>
      <c r="R101" s="103">
        <f t="shared" si="70"/>
        <v>8.8439999999999994</v>
      </c>
      <c r="S101" s="103">
        <f t="shared" si="70"/>
        <v>6.4856000000000007</v>
      </c>
      <c r="T101" s="628">
        <f t="shared" si="70"/>
        <v>7.6648000000000005</v>
      </c>
      <c r="U101" s="189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204"/>
      <c r="AL101" s="189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204"/>
      <c r="BC101" s="502"/>
      <c r="BD101" s="502"/>
      <c r="BE101" s="502"/>
      <c r="BF101" s="502"/>
      <c r="BG101" s="502"/>
      <c r="BH101" s="502"/>
      <c r="BI101" s="502"/>
      <c r="BJ101" s="502"/>
      <c r="BK101" s="502"/>
      <c r="BL101" s="502"/>
      <c r="BM101" s="502"/>
      <c r="BN101" s="502"/>
      <c r="BO101" s="502"/>
      <c r="BP101" s="502"/>
      <c r="BQ101" s="502"/>
      <c r="BR101" s="502"/>
      <c r="BS101" s="502"/>
    </row>
    <row r="102" spans="2:71" s="3" customFormat="1" ht="15" thickBot="1" x14ac:dyDescent="0.4">
      <c r="B102" s="649" t="s">
        <v>456</v>
      </c>
      <c r="C102" s="650"/>
      <c r="D102" s="190">
        <f>D103+D104</f>
        <v>1296.5764799999999</v>
      </c>
      <c r="E102" s="104">
        <f t="shared" ref="E102:BB102" si="71">E103+E104</f>
        <v>1255.85274</v>
      </c>
      <c r="F102" s="104">
        <f t="shared" si="71"/>
        <v>1151.64732</v>
      </c>
      <c r="G102" s="104">
        <f t="shared" si="71"/>
        <v>1080.7093500000001</v>
      </c>
      <c r="H102" s="104">
        <f t="shared" si="71"/>
        <v>1156.48605</v>
      </c>
      <c r="I102" s="104">
        <f t="shared" si="71"/>
        <v>1324.2046500000001</v>
      </c>
      <c r="J102" s="104">
        <f t="shared" si="71"/>
        <v>1286.0930400000002</v>
      </c>
      <c r="K102" s="104">
        <f t="shared" si="71"/>
        <v>1401.91986</v>
      </c>
      <c r="L102" s="104">
        <f t="shared" si="71"/>
        <v>1467.57906</v>
      </c>
      <c r="M102" s="104">
        <f t="shared" si="71"/>
        <v>1340.8735799999999</v>
      </c>
      <c r="N102" s="104">
        <f t="shared" si="71"/>
        <v>1466.7393299999999</v>
      </c>
      <c r="O102" s="104">
        <f t="shared" si="71"/>
        <v>1660.1799000000001</v>
      </c>
      <c r="P102" s="104">
        <f t="shared" si="71"/>
        <v>1623.01773</v>
      </c>
      <c r="Q102" s="104">
        <f t="shared" si="71"/>
        <v>1576.26846</v>
      </c>
      <c r="R102" s="104">
        <f t="shared" si="71"/>
        <v>1670.5695599999999</v>
      </c>
      <c r="S102" s="104">
        <f t="shared" si="71"/>
        <v>1708.4789700000001</v>
      </c>
      <c r="T102" s="633">
        <f t="shared" si="71"/>
        <v>1978.4729699999998</v>
      </c>
      <c r="U102" s="190">
        <f t="shared" si="71"/>
        <v>6.8795999999999996E-2</v>
      </c>
      <c r="V102" s="104">
        <f t="shared" si="71"/>
        <v>6.4021999999999996E-2</v>
      </c>
      <c r="W102" s="104">
        <f t="shared" si="71"/>
        <v>5.3840499999999993E-2</v>
      </c>
      <c r="X102" s="104">
        <f t="shared" si="71"/>
        <v>4.4004450000000001E-2</v>
      </c>
      <c r="Y102" s="104">
        <f t="shared" si="71"/>
        <v>4.7790050000000001E-2</v>
      </c>
      <c r="Z102" s="104">
        <f t="shared" si="71"/>
        <v>6.123845E-2</v>
      </c>
      <c r="AA102" s="104">
        <f t="shared" si="71"/>
        <v>5.5782999999999999E-2</v>
      </c>
      <c r="AB102" s="104">
        <f t="shared" si="71"/>
        <v>6.2523300000000004E-2</v>
      </c>
      <c r="AC102" s="104">
        <f t="shared" si="71"/>
        <v>6.7922399999999994E-2</v>
      </c>
      <c r="AD102" s="104">
        <f t="shared" si="71"/>
        <v>6.7937800000000007E-2</v>
      </c>
      <c r="AE102" s="104">
        <f t="shared" si="71"/>
        <v>7.3846849999999992E-2</v>
      </c>
      <c r="AF102" s="104">
        <f t="shared" si="71"/>
        <v>8.7754100000000002E-2</v>
      </c>
      <c r="AG102" s="104">
        <f t="shared" si="71"/>
        <v>8.2589849999999992E-2</v>
      </c>
      <c r="AH102" s="104">
        <f t="shared" si="71"/>
        <v>8.3502300000000015E-2</v>
      </c>
      <c r="AI102" s="104">
        <f t="shared" si="71"/>
        <v>8.8911899999999988E-2</v>
      </c>
      <c r="AJ102" s="104">
        <f t="shared" si="71"/>
        <v>8.7854550000000003E-2</v>
      </c>
      <c r="AK102" s="105">
        <f t="shared" si="71"/>
        <v>0.10390414999999997</v>
      </c>
      <c r="AL102" s="190">
        <f t="shared" si="71"/>
        <v>3.5380800000000004E-2</v>
      </c>
      <c r="AM102" s="104">
        <f t="shared" si="71"/>
        <v>3.4344400000000004E-2</v>
      </c>
      <c r="AN102" s="104">
        <f t="shared" si="71"/>
        <v>3.1599200000000001E-2</v>
      </c>
      <c r="AO102" s="104">
        <f t="shared" si="71"/>
        <v>2.9689799999999995E-2</v>
      </c>
      <c r="AP102" s="104">
        <f t="shared" si="71"/>
        <v>3.1754200000000003E-2</v>
      </c>
      <c r="AQ102" s="104">
        <f t="shared" si="71"/>
        <v>3.6251800000000001E-2</v>
      </c>
      <c r="AR102" s="104">
        <f t="shared" si="71"/>
        <v>3.5266400000000003E-2</v>
      </c>
      <c r="AS102" s="104">
        <f t="shared" si="71"/>
        <v>3.8338800000000006E-2</v>
      </c>
      <c r="AT102" s="104">
        <f t="shared" si="71"/>
        <v>4.0045200000000003E-2</v>
      </c>
      <c r="AU102" s="104">
        <f t="shared" si="71"/>
        <v>3.6445999999999999E-2</v>
      </c>
      <c r="AV102" s="104">
        <f t="shared" si="71"/>
        <v>3.9854199999999999E-2</v>
      </c>
      <c r="AW102" s="104">
        <f t="shared" si="71"/>
        <v>4.4892399999999999E-2</v>
      </c>
      <c r="AX102" s="104">
        <f t="shared" si="71"/>
        <v>4.3990199999999993E-2</v>
      </c>
      <c r="AY102" s="104">
        <f t="shared" si="71"/>
        <v>4.2694800000000005E-2</v>
      </c>
      <c r="AZ102" s="104">
        <f t="shared" si="71"/>
        <v>4.5223199999999998E-2</v>
      </c>
      <c r="BA102" s="104">
        <f t="shared" si="71"/>
        <v>4.6313399999999998E-2</v>
      </c>
      <c r="BB102" s="105">
        <f t="shared" si="71"/>
        <v>5.3519799999999999E-2</v>
      </c>
      <c r="BC102" s="525"/>
      <c r="BD102" s="525"/>
      <c r="BE102" s="525"/>
      <c r="BF102" s="525"/>
      <c r="BG102" s="525"/>
      <c r="BH102" s="525"/>
      <c r="BI102" s="525"/>
      <c r="BJ102" s="525"/>
      <c r="BK102" s="525"/>
      <c r="BL102" s="525"/>
      <c r="BM102" s="525"/>
      <c r="BN102" s="525"/>
      <c r="BO102" s="525"/>
      <c r="BP102" s="525"/>
      <c r="BQ102" s="525"/>
      <c r="BR102" s="525"/>
      <c r="BS102" s="525"/>
    </row>
    <row r="103" spans="2:71" s="110" customFormat="1" x14ac:dyDescent="0.35">
      <c r="B103" s="669" t="s">
        <v>464</v>
      </c>
      <c r="C103" s="670"/>
      <c r="D103" s="205">
        <f>D41/1000</f>
        <v>605.40480000000002</v>
      </c>
      <c r="E103" s="206">
        <f t="shared" ref="E103:BB103" si="72">E41/1000</f>
        <v>618.01740000000007</v>
      </c>
      <c r="F103" s="206">
        <f t="shared" si="72"/>
        <v>624.32370000000003</v>
      </c>
      <c r="G103" s="206">
        <f t="shared" si="72"/>
        <v>659.00834999999995</v>
      </c>
      <c r="H103" s="206">
        <f t="shared" si="72"/>
        <v>696.84615000000008</v>
      </c>
      <c r="I103" s="206">
        <f t="shared" si="72"/>
        <v>722.07134999999994</v>
      </c>
      <c r="J103" s="206">
        <f t="shared" si="72"/>
        <v>744.14340000000004</v>
      </c>
      <c r="K103" s="206">
        <f t="shared" si="72"/>
        <v>788.28750000000002</v>
      </c>
      <c r="L103" s="206">
        <f t="shared" si="72"/>
        <v>794.5938000000001</v>
      </c>
      <c r="M103" s="206">
        <f t="shared" si="72"/>
        <v>655.85520000000008</v>
      </c>
      <c r="N103" s="206">
        <f t="shared" si="72"/>
        <v>722.07134999999994</v>
      </c>
      <c r="O103" s="206">
        <f t="shared" si="72"/>
        <v>763.06230000000005</v>
      </c>
      <c r="P103" s="206">
        <f t="shared" si="72"/>
        <v>785.13434999999993</v>
      </c>
      <c r="Q103" s="206">
        <f t="shared" si="72"/>
        <v>725.22450000000003</v>
      </c>
      <c r="R103" s="206">
        <f t="shared" si="72"/>
        <v>763.06230000000005</v>
      </c>
      <c r="S103" s="206">
        <f t="shared" si="72"/>
        <v>816.66584999999998</v>
      </c>
      <c r="T103" s="207">
        <f t="shared" si="72"/>
        <v>917.56664999999998</v>
      </c>
      <c r="U103" s="205">
        <f t="shared" si="72"/>
        <v>4.2335999999999997E-3</v>
      </c>
      <c r="V103" s="206">
        <f t="shared" si="72"/>
        <v>4.3218000000000006E-3</v>
      </c>
      <c r="W103" s="206">
        <f t="shared" si="72"/>
        <v>4.3659000000000007E-3</v>
      </c>
      <c r="X103" s="206">
        <f t="shared" si="72"/>
        <v>4.6084499999999992E-3</v>
      </c>
      <c r="Y103" s="206">
        <f t="shared" si="72"/>
        <v>4.8730500000000003E-3</v>
      </c>
      <c r="Z103" s="206">
        <f t="shared" si="72"/>
        <v>5.0494500000000005E-3</v>
      </c>
      <c r="AA103" s="206">
        <f t="shared" si="72"/>
        <v>5.2038000000000006E-3</v>
      </c>
      <c r="AB103" s="206">
        <f t="shared" si="72"/>
        <v>5.5125E-3</v>
      </c>
      <c r="AC103" s="206">
        <f t="shared" si="72"/>
        <v>5.5566000000000001E-3</v>
      </c>
      <c r="AD103" s="206">
        <f t="shared" si="72"/>
        <v>4.5864E-3</v>
      </c>
      <c r="AE103" s="206">
        <f t="shared" si="72"/>
        <v>5.0494500000000005E-3</v>
      </c>
      <c r="AF103" s="206">
        <f t="shared" si="72"/>
        <v>5.3360999999999999E-3</v>
      </c>
      <c r="AG103" s="206">
        <f t="shared" si="72"/>
        <v>5.49045E-3</v>
      </c>
      <c r="AH103" s="206">
        <f t="shared" si="72"/>
        <v>5.0715000000000005E-3</v>
      </c>
      <c r="AI103" s="206">
        <f t="shared" si="72"/>
        <v>5.3360999999999999E-3</v>
      </c>
      <c r="AJ103" s="206">
        <f t="shared" si="72"/>
        <v>5.7109499999999994E-3</v>
      </c>
      <c r="AK103" s="207">
        <f t="shared" si="72"/>
        <v>6.41655E-3</v>
      </c>
      <c r="AL103" s="505">
        <f t="shared" si="72"/>
        <v>1.6934399999999999E-2</v>
      </c>
      <c r="AM103" s="206">
        <f t="shared" si="72"/>
        <v>1.7287200000000003E-2</v>
      </c>
      <c r="AN103" s="206">
        <f t="shared" si="72"/>
        <v>1.7463600000000003E-2</v>
      </c>
      <c r="AO103" s="206">
        <f t="shared" si="72"/>
        <v>1.8433799999999997E-2</v>
      </c>
      <c r="AP103" s="206">
        <f t="shared" si="72"/>
        <v>1.9492200000000001E-2</v>
      </c>
      <c r="AQ103" s="206">
        <f t="shared" si="72"/>
        <v>2.0197800000000002E-2</v>
      </c>
      <c r="AR103" s="206">
        <f t="shared" si="72"/>
        <v>2.0815200000000002E-2</v>
      </c>
      <c r="AS103" s="206">
        <f t="shared" si="72"/>
        <v>2.205E-2</v>
      </c>
      <c r="AT103" s="206">
        <f t="shared" si="72"/>
        <v>2.22264E-2</v>
      </c>
      <c r="AU103" s="206">
        <f t="shared" si="72"/>
        <v>1.83456E-2</v>
      </c>
      <c r="AV103" s="206">
        <f t="shared" si="72"/>
        <v>2.0197800000000002E-2</v>
      </c>
      <c r="AW103" s="206">
        <f t="shared" si="72"/>
        <v>2.1344399999999999E-2</v>
      </c>
      <c r="AX103" s="206">
        <f t="shared" si="72"/>
        <v>2.19618E-2</v>
      </c>
      <c r="AY103" s="206">
        <f t="shared" si="72"/>
        <v>2.0286000000000002E-2</v>
      </c>
      <c r="AZ103" s="206">
        <f t="shared" si="72"/>
        <v>2.1344399999999999E-2</v>
      </c>
      <c r="BA103" s="206">
        <f t="shared" si="72"/>
        <v>2.2843799999999997E-2</v>
      </c>
      <c r="BB103" s="207">
        <f t="shared" si="72"/>
        <v>2.56662E-2</v>
      </c>
      <c r="BC103" s="502"/>
      <c r="BD103" s="502"/>
      <c r="BE103" s="502"/>
      <c r="BF103" s="502"/>
      <c r="BG103" s="502"/>
      <c r="BH103" s="502"/>
      <c r="BI103" s="502"/>
      <c r="BJ103" s="502"/>
      <c r="BK103" s="502"/>
      <c r="BL103" s="502"/>
      <c r="BM103" s="502"/>
      <c r="BN103" s="502"/>
      <c r="BO103" s="502"/>
      <c r="BP103" s="502"/>
      <c r="BQ103" s="502"/>
      <c r="BR103" s="502"/>
      <c r="BS103" s="502"/>
    </row>
    <row r="104" spans="2:71" s="110" customFormat="1" ht="15" thickBot="1" x14ac:dyDescent="0.4">
      <c r="B104" s="671" t="s">
        <v>465</v>
      </c>
      <c r="C104" s="672"/>
      <c r="D104" s="279">
        <f>SUM(D59:D60)/1000</f>
        <v>691.17167999999992</v>
      </c>
      <c r="E104" s="280">
        <f t="shared" ref="E104:BB104" si="73">SUM(E59:E60)/1000</f>
        <v>637.83533999999997</v>
      </c>
      <c r="F104" s="280">
        <f t="shared" si="73"/>
        <v>527.32362000000001</v>
      </c>
      <c r="G104" s="280">
        <f t="shared" si="73"/>
        <v>421.70100000000002</v>
      </c>
      <c r="H104" s="280">
        <f t="shared" si="73"/>
        <v>459.63990000000001</v>
      </c>
      <c r="I104" s="280">
        <f t="shared" si="73"/>
        <v>602.13330000000008</v>
      </c>
      <c r="J104" s="280">
        <f t="shared" si="73"/>
        <v>541.94964000000004</v>
      </c>
      <c r="K104" s="280">
        <f t="shared" si="73"/>
        <v>613.63235999999995</v>
      </c>
      <c r="L104" s="280">
        <f t="shared" si="73"/>
        <v>672.98526000000004</v>
      </c>
      <c r="M104" s="280">
        <f t="shared" si="73"/>
        <v>685.01837999999998</v>
      </c>
      <c r="N104" s="280">
        <f t="shared" si="73"/>
        <v>744.66797999999994</v>
      </c>
      <c r="O104" s="280">
        <f t="shared" si="73"/>
        <v>897.11759999999992</v>
      </c>
      <c r="P104" s="280">
        <f t="shared" si="73"/>
        <v>837.88337999999999</v>
      </c>
      <c r="Q104" s="280">
        <f t="shared" si="73"/>
        <v>851.04395999999997</v>
      </c>
      <c r="R104" s="280">
        <f t="shared" si="73"/>
        <v>907.50725999999997</v>
      </c>
      <c r="S104" s="280">
        <f t="shared" si="73"/>
        <v>891.81312000000003</v>
      </c>
      <c r="T104" s="281">
        <f t="shared" si="73"/>
        <v>1060.9063199999998</v>
      </c>
      <c r="U104" s="279">
        <f t="shared" si="73"/>
        <v>6.4562399999999992E-2</v>
      </c>
      <c r="V104" s="280">
        <f t="shared" si="73"/>
        <v>5.9700199999999995E-2</v>
      </c>
      <c r="W104" s="280">
        <f t="shared" si="73"/>
        <v>4.9474599999999994E-2</v>
      </c>
      <c r="X104" s="280">
        <f t="shared" si="73"/>
        <v>3.9396E-2</v>
      </c>
      <c r="Y104" s="280">
        <f t="shared" si="73"/>
        <v>4.2917000000000004E-2</v>
      </c>
      <c r="Z104" s="280">
        <f t="shared" si="73"/>
        <v>5.6189000000000003E-2</v>
      </c>
      <c r="AA104" s="280">
        <f t="shared" si="73"/>
        <v>5.0579199999999998E-2</v>
      </c>
      <c r="AB104" s="280">
        <f t="shared" si="73"/>
        <v>5.70108E-2</v>
      </c>
      <c r="AC104" s="280">
        <f t="shared" si="73"/>
        <v>6.2365799999999992E-2</v>
      </c>
      <c r="AD104" s="280">
        <f t="shared" si="73"/>
        <v>6.3351400000000002E-2</v>
      </c>
      <c r="AE104" s="280">
        <f t="shared" si="73"/>
        <v>6.8797399999999995E-2</v>
      </c>
      <c r="AF104" s="280">
        <f t="shared" si="73"/>
        <v>8.2418000000000005E-2</v>
      </c>
      <c r="AG104" s="280">
        <f t="shared" si="73"/>
        <v>7.7099399999999998E-2</v>
      </c>
      <c r="AH104" s="280">
        <f t="shared" si="73"/>
        <v>7.8430800000000009E-2</v>
      </c>
      <c r="AI104" s="280">
        <f t="shared" si="73"/>
        <v>8.3575799999999992E-2</v>
      </c>
      <c r="AJ104" s="280">
        <f t="shared" si="73"/>
        <v>8.2143599999999997E-2</v>
      </c>
      <c r="AK104" s="281">
        <f t="shared" si="73"/>
        <v>9.748759999999998E-2</v>
      </c>
      <c r="AL104" s="506">
        <f t="shared" si="73"/>
        <v>1.8446400000000002E-2</v>
      </c>
      <c r="AM104" s="280">
        <f t="shared" si="73"/>
        <v>1.7057200000000002E-2</v>
      </c>
      <c r="AN104" s="280">
        <f t="shared" si="73"/>
        <v>1.41356E-2</v>
      </c>
      <c r="AO104" s="280">
        <f t="shared" si="73"/>
        <v>1.1256E-2</v>
      </c>
      <c r="AP104" s="280">
        <f t="shared" si="73"/>
        <v>1.2262E-2</v>
      </c>
      <c r="AQ104" s="280">
        <f t="shared" si="73"/>
        <v>1.6053999999999999E-2</v>
      </c>
      <c r="AR104" s="280">
        <f t="shared" si="73"/>
        <v>1.4451200000000001E-2</v>
      </c>
      <c r="AS104" s="280">
        <f t="shared" si="73"/>
        <v>1.6288800000000003E-2</v>
      </c>
      <c r="AT104" s="280">
        <f t="shared" si="73"/>
        <v>1.7818799999999999E-2</v>
      </c>
      <c r="AU104" s="280">
        <f t="shared" si="73"/>
        <v>1.8100399999999999E-2</v>
      </c>
      <c r="AV104" s="280">
        <f t="shared" si="73"/>
        <v>1.9656399999999997E-2</v>
      </c>
      <c r="AW104" s="280">
        <f t="shared" si="73"/>
        <v>2.3548000000000003E-2</v>
      </c>
      <c r="AX104" s="280">
        <f t="shared" si="73"/>
        <v>2.2028399999999997E-2</v>
      </c>
      <c r="AY104" s="280">
        <f t="shared" si="73"/>
        <v>2.24088E-2</v>
      </c>
      <c r="AZ104" s="280">
        <f t="shared" si="73"/>
        <v>2.3878799999999999E-2</v>
      </c>
      <c r="BA104" s="280">
        <f t="shared" si="73"/>
        <v>2.34696E-2</v>
      </c>
      <c r="BB104" s="281">
        <f t="shared" si="73"/>
        <v>2.7853599999999999E-2</v>
      </c>
      <c r="BC104" s="502"/>
      <c r="BD104" s="502"/>
      <c r="BE104" s="502"/>
      <c r="BF104" s="502"/>
      <c r="BG104" s="502"/>
      <c r="BH104" s="502"/>
      <c r="BI104" s="502"/>
      <c r="BJ104" s="502"/>
      <c r="BK104" s="502"/>
      <c r="BL104" s="502"/>
      <c r="BM104" s="502"/>
      <c r="BN104" s="502"/>
      <c r="BO104" s="502"/>
      <c r="BP104" s="502"/>
      <c r="BQ104" s="502"/>
      <c r="BR104" s="502"/>
      <c r="BS104" s="502"/>
    </row>
    <row r="105" spans="2:71" ht="15" thickBot="1" x14ac:dyDescent="0.4">
      <c r="B105" s="657" t="s">
        <v>212</v>
      </c>
      <c r="C105" s="658"/>
      <c r="D105" s="503">
        <f t="shared" ref="D105:T105" si="74">(D8+D39+D40+D67+D64+D68)/1000</f>
        <v>1136.4591</v>
      </c>
      <c r="E105" s="503">
        <f t="shared" si="74"/>
        <v>1218.7522000000001</v>
      </c>
      <c r="F105" s="503">
        <f t="shared" si="74"/>
        <v>1197.9554020000003</v>
      </c>
      <c r="G105" s="503">
        <f t="shared" si="74"/>
        <v>1134.0230320000001</v>
      </c>
      <c r="H105" s="503">
        <f t="shared" si="74"/>
        <v>1171.0283899999999</v>
      </c>
      <c r="I105" s="503">
        <f t="shared" si="74"/>
        <v>1114.5794480000002</v>
      </c>
      <c r="J105" s="503">
        <f t="shared" si="74"/>
        <v>1092.3369546000001</v>
      </c>
      <c r="K105" s="503">
        <f t="shared" si="74"/>
        <v>968.11026729872015</v>
      </c>
      <c r="L105" s="503">
        <f t="shared" si="74"/>
        <v>1139.8768331003657</v>
      </c>
      <c r="M105" s="503">
        <f t="shared" si="74"/>
        <v>1019.2268496916827</v>
      </c>
      <c r="N105" s="503">
        <f t="shared" si="74"/>
        <v>1053.2010649195397</v>
      </c>
      <c r="O105" s="503">
        <f t="shared" si="74"/>
        <v>984.50758025103892</v>
      </c>
      <c r="P105" s="503">
        <f t="shared" si="74"/>
        <v>940.61641624989261</v>
      </c>
      <c r="Q105" s="503">
        <f t="shared" si="74"/>
        <v>943.81026203925524</v>
      </c>
      <c r="R105" s="503">
        <f t="shared" si="74"/>
        <v>902.81359975741589</v>
      </c>
      <c r="S105" s="503">
        <f t="shared" si="74"/>
        <v>987.22743863844084</v>
      </c>
      <c r="T105" s="504">
        <f t="shared" si="74"/>
        <v>891.62604002566627</v>
      </c>
    </row>
  </sheetData>
  <mergeCells count="42">
    <mergeCell ref="BC2:BS2"/>
    <mergeCell ref="B94:C94"/>
    <mergeCell ref="B92:C92"/>
    <mergeCell ref="B93:C93"/>
    <mergeCell ref="B87:C87"/>
    <mergeCell ref="B88:C88"/>
    <mergeCell ref="B89:C89"/>
    <mergeCell ref="B91:C91"/>
    <mergeCell ref="B83:C83"/>
    <mergeCell ref="B84:C84"/>
    <mergeCell ref="B85:C85"/>
    <mergeCell ref="B86:C86"/>
    <mergeCell ref="D2:T2"/>
    <mergeCell ref="U2:AK2"/>
    <mergeCell ref="AL2:BB2"/>
    <mergeCell ref="B76:B81"/>
    <mergeCell ref="B99:C99"/>
    <mergeCell ref="B105:C105"/>
    <mergeCell ref="B90:C90"/>
    <mergeCell ref="B95:C95"/>
    <mergeCell ref="B96:C96"/>
    <mergeCell ref="B97:C97"/>
    <mergeCell ref="B98:C98"/>
    <mergeCell ref="B102:C102"/>
    <mergeCell ref="B103:C103"/>
    <mergeCell ref="B104:C104"/>
    <mergeCell ref="B100:C100"/>
    <mergeCell ref="B101:C101"/>
    <mergeCell ref="B70:B71"/>
    <mergeCell ref="B65:B68"/>
    <mergeCell ref="B61:B62"/>
    <mergeCell ref="B4:B8"/>
    <mergeCell ref="B34:B40"/>
    <mergeCell ref="B63:B64"/>
    <mergeCell ref="B9:B10"/>
    <mergeCell ref="B11:B14"/>
    <mergeCell ref="B16:B19"/>
    <mergeCell ref="B20:B23"/>
    <mergeCell ref="B24:B27"/>
    <mergeCell ref="B28:B33"/>
    <mergeCell ref="B59:B60"/>
    <mergeCell ref="B43:B58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6747F-A3CC-4C4D-AFA3-F37D6FCB1A91}">
  <sheetPr>
    <tabColor theme="4" tint="-0.249977111117893"/>
  </sheetPr>
  <dimension ref="B1:Y118"/>
  <sheetViews>
    <sheetView showGridLines="0" tabSelected="1" zoomScale="25" zoomScaleNormal="25" workbookViewId="0">
      <pane xSplit="3" ySplit="3" topLeftCell="D199" activePane="bottomRight" state="frozen"/>
      <selection activeCell="H265" sqref="H265"/>
      <selection pane="topRight" activeCell="H265" sqref="H265"/>
      <selection pane="bottomLeft" activeCell="H265" sqref="H265"/>
      <selection pane="bottomRight" activeCell="X176" sqref="X176"/>
    </sheetView>
  </sheetViews>
  <sheetFormatPr baseColWidth="10" defaultRowHeight="14.5" x14ac:dyDescent="0.35"/>
  <cols>
    <col min="1" max="1" width="3.7265625" customWidth="1"/>
    <col min="2" max="2" width="26.81640625" customWidth="1"/>
    <col min="3" max="3" width="45.1796875" customWidth="1"/>
    <col min="4" max="17" width="14.7265625" customWidth="1"/>
    <col min="18" max="20" width="14.7265625" style="3" customWidth="1"/>
  </cols>
  <sheetData>
    <row r="1" spans="2:20" ht="15" thickBot="1" x14ac:dyDescent="0.4"/>
    <row r="2" spans="2:20" ht="15" thickBot="1" x14ac:dyDescent="0.4">
      <c r="D2" s="652" t="s">
        <v>383</v>
      </c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4"/>
    </row>
    <row r="3" spans="2:20" s="52" customFormat="1" ht="15" thickBot="1" x14ac:dyDescent="0.4">
      <c r="B3" s="94" t="s">
        <v>11</v>
      </c>
      <c r="C3" s="107" t="s">
        <v>12</v>
      </c>
      <c r="D3" s="95">
        <v>2000</v>
      </c>
      <c r="E3" s="95">
        <v>2001</v>
      </c>
      <c r="F3" s="95">
        <v>2002</v>
      </c>
      <c r="G3" s="95">
        <v>2003</v>
      </c>
      <c r="H3" s="95">
        <v>2004</v>
      </c>
      <c r="I3" s="95">
        <v>2005</v>
      </c>
      <c r="J3" s="95">
        <v>2006</v>
      </c>
      <c r="K3" s="95">
        <v>2007</v>
      </c>
      <c r="L3" s="95">
        <v>2008</v>
      </c>
      <c r="M3" s="95">
        <v>2009</v>
      </c>
      <c r="N3" s="95">
        <v>2010</v>
      </c>
      <c r="O3" s="95">
        <v>2011</v>
      </c>
      <c r="P3" s="95">
        <v>2012</v>
      </c>
      <c r="Q3" s="95">
        <v>2013</v>
      </c>
      <c r="R3" s="95">
        <v>2014</v>
      </c>
      <c r="S3" s="95">
        <v>2015</v>
      </c>
      <c r="T3" s="96">
        <v>2016</v>
      </c>
    </row>
    <row r="4" spans="2:20" x14ac:dyDescent="0.35">
      <c r="B4" s="701" t="s">
        <v>0</v>
      </c>
      <c r="C4" s="182" t="s">
        <v>14</v>
      </c>
      <c r="D4" s="92">
        <f>IFERROR((('Emissions GEI'!D4*'Global Warming Potential GWP'!$E$6+'Emissions GEI'!U4*'Global Warming Potential GWP'!$E$7+'Emissions GEI'!AL4*'Global Warming Potential GWP'!$E$8)/1000),"NA")</f>
        <v>41.092227744259993</v>
      </c>
      <c r="E4" s="92">
        <f>IFERROR((('Emissions GEI'!E4*'Global Warming Potential GWP'!$E$6+'Emissions GEI'!V4*'Global Warming Potential GWP'!$E$7+'Emissions GEI'!AM4*'Global Warming Potential GWP'!$E$8)/1000),"NA")</f>
        <v>11.811541649600001</v>
      </c>
      <c r="F4" s="92">
        <f>IFERROR((('Emissions GEI'!F4*'Global Warming Potential GWP'!$E$6+'Emissions GEI'!W4*'Global Warming Potential GWP'!$E$7+'Emissions GEI'!AN4*'Global Warming Potential GWP'!$E$8)/1000),"NA")</f>
        <v>17.098463084780001</v>
      </c>
      <c r="G4" s="92">
        <f>IFERROR((('Emissions GEI'!G4*'Global Warming Potential GWP'!$E$6+'Emissions GEI'!X4*'Global Warming Potential GWP'!$E$7+'Emissions GEI'!AO4*'Global Warming Potential GWP'!$E$8)/1000),"NA")</f>
        <v>30.986448625440008</v>
      </c>
      <c r="H4" s="92">
        <f>IFERROR((('Emissions GEI'!H4*'Global Warming Potential GWP'!$E$6+'Emissions GEI'!Y4*'Global Warming Potential GWP'!$E$7+'Emissions GEI'!AP4*'Global Warming Potential GWP'!$E$8)/1000),"NA")</f>
        <v>52.005338300299996</v>
      </c>
      <c r="I4" s="92">
        <f>IFERROR((('Emissions GEI'!I4*'Global Warming Potential GWP'!$E$6+'Emissions GEI'!Z4*'Global Warming Potential GWP'!$E$7+'Emissions GEI'!AQ4*'Global Warming Potential GWP'!$E$8)/1000),"NA")</f>
        <v>55.699586433260002</v>
      </c>
      <c r="J4" s="92">
        <f>IFERROR((('Emissions GEI'!J4*'Global Warming Potential GWP'!$E$6+'Emissions GEI'!AA4*'Global Warming Potential GWP'!$E$7+'Emissions GEI'!AR4*'Global Warming Potential GWP'!$E$8)/1000),"NA")</f>
        <v>5.8052470660799997</v>
      </c>
      <c r="K4" s="92">
        <f>IFERROR((('Emissions GEI'!K4*'Global Warming Potential GWP'!$E$6+'Emissions GEI'!AB4*'Global Warming Potential GWP'!$E$7+'Emissions GEI'!AS4*'Global Warming Potential GWP'!$E$8)/1000),"NA")</f>
        <v>3.3507081875343996</v>
      </c>
      <c r="L4" s="92">
        <f>IFERROR((('Emissions GEI'!L4*'Global Warming Potential GWP'!$E$6+'Emissions GEI'!AC4*'Global Warming Potential GWP'!$E$7+'Emissions GEI'!AT4*'Global Warming Potential GWP'!$E$8)/1000),"NA")</f>
        <v>6.5821700662872002</v>
      </c>
      <c r="M4" s="92">
        <f>IFERROR((('Emissions GEI'!M4*'Global Warming Potential GWP'!$E$6+'Emissions GEI'!AD4*'Global Warming Potential GWP'!$E$7+'Emissions GEI'!AU4*'Global Warming Potential GWP'!$E$8)/1000),"NA")</f>
        <v>15.467750963986859</v>
      </c>
      <c r="N4" s="92">
        <f>IFERROR((('Emissions GEI'!N4*'Global Warming Potential GWP'!$E$6+'Emissions GEI'!AE4*'Global Warming Potential GWP'!$E$7+'Emissions GEI'!AV4*'Global Warming Potential GWP'!$E$8)/1000),"NA")</f>
        <v>18.873335699680002</v>
      </c>
      <c r="O4" s="92">
        <f>IFERROR((('Emissions GEI'!O4*'Global Warming Potential GWP'!$E$6+'Emissions GEI'!AF4*'Global Warming Potential GWP'!$E$7+'Emissions GEI'!AW4*'Global Warming Potential GWP'!$E$8)/1000),"NA")</f>
        <v>11.494263536139998</v>
      </c>
      <c r="P4" s="92">
        <f>IFERROR((('Emissions GEI'!P4*'Global Warming Potential GWP'!$E$6+'Emissions GEI'!AG4*'Global Warming Potential GWP'!$E$7+'Emissions GEI'!AX4*'Global Warming Potential GWP'!$E$8)/1000),"NA")</f>
        <v>10.796879960019998</v>
      </c>
      <c r="Q4" s="92">
        <f>IFERROR((('Emissions GEI'!Q4*'Global Warming Potential GWP'!$E$6+'Emissions GEI'!AH4*'Global Warming Potential GWP'!$E$7+'Emissions GEI'!AY4*'Global Warming Potential GWP'!$E$8)/1000),"NA")</f>
        <v>2.0261820117</v>
      </c>
      <c r="R4" s="92">
        <f>IFERROR((('Emissions GEI'!R4*'Global Warming Potential GWP'!$E$6+'Emissions GEI'!AI4*'Global Warming Potential GWP'!$E$7+'Emissions GEI'!AZ4*'Global Warming Potential GWP'!$E$8)/1000),"NA")</f>
        <v>2.1392712402600003</v>
      </c>
      <c r="S4" s="92">
        <f>IFERROR((('Emissions GEI'!S4*'Global Warming Potential GWP'!$E$6+'Emissions GEI'!AJ4*'Global Warming Potential GWP'!$E$7+'Emissions GEI'!BA4*'Global Warming Potential GWP'!$E$8)/1000),"NA")</f>
        <v>2.3286328707487995</v>
      </c>
      <c r="T4" s="93">
        <f>IFERROR((('Emissions GEI'!T4*'Global Warming Potential GWP'!$E$6+'Emissions GEI'!AK4*'Global Warming Potential GWP'!$E$7+'Emissions GEI'!BB4*'Global Warming Potential GWP'!$E$8)/1000),"NA")</f>
        <v>2.2893530855044051</v>
      </c>
    </row>
    <row r="5" spans="2:20" x14ac:dyDescent="0.35">
      <c r="B5" s="698"/>
      <c r="C5" s="97" t="s">
        <v>62</v>
      </c>
      <c r="D5" s="39">
        <f>IFERROR((('Emissions GEI'!D5*'Global Warming Potential GWP'!$E$6+'Emissions GEI'!U5*'Global Warming Potential GWP'!$E$7+'Emissions GEI'!AL5*'Global Warming Potential GWP'!$E$8)/1000),"NA")</f>
        <v>547.73199660464979</v>
      </c>
      <c r="E5" s="39">
        <f>IFERROR((('Emissions GEI'!E5*'Global Warming Potential GWP'!$E$6+'Emissions GEI'!V5*'Global Warming Potential GWP'!$E$7+'Emissions GEI'!AM5*'Global Warming Potential GWP'!$E$8)/1000),"NA")</f>
        <v>578.38364273546995</v>
      </c>
      <c r="F5" s="39">
        <f>IFERROR((('Emissions GEI'!F5*'Global Warming Potential GWP'!$E$6+'Emissions GEI'!W5*'Global Warming Potential GWP'!$E$7+'Emissions GEI'!AN5*'Global Warming Potential GWP'!$E$8)/1000),"NA")</f>
        <v>560.53004188896</v>
      </c>
      <c r="G5" s="39">
        <f>IFERROR((('Emissions GEI'!G5*'Global Warming Potential GWP'!$E$6+'Emissions GEI'!X5*'Global Warming Potential GWP'!$E$7+'Emissions GEI'!AO5*'Global Warming Potential GWP'!$E$8)/1000),"NA")</f>
        <v>638.05792264928994</v>
      </c>
      <c r="H5" s="39">
        <f>IFERROR((('Emissions GEI'!H5*'Global Warming Potential GWP'!$E$6+'Emissions GEI'!Y5*'Global Warming Potential GWP'!$E$7+'Emissions GEI'!AP5*'Global Warming Potential GWP'!$E$8)/1000),"NA")</f>
        <v>686.76601599177013</v>
      </c>
      <c r="I5" s="39">
        <f>IFERROR((('Emissions GEI'!I5*'Global Warming Potential GWP'!$E$6+'Emissions GEI'!Z5*'Global Warming Potential GWP'!$E$7+'Emissions GEI'!AQ5*'Global Warming Potential GWP'!$E$8)/1000),"NA")</f>
        <v>677.36018607542985</v>
      </c>
      <c r="J5" s="39">
        <f>IFERROR((('Emissions GEI'!J5*'Global Warming Potential GWP'!$E$6+'Emissions GEI'!AA5*'Global Warming Potential GWP'!$E$7+'Emissions GEI'!AR5*'Global Warming Potential GWP'!$E$8)/1000),"NA")</f>
        <v>706.96951396070995</v>
      </c>
      <c r="K5" s="39">
        <f>IFERROR((('Emissions GEI'!K5*'Global Warming Potential GWP'!$E$6+'Emissions GEI'!AB5*'Global Warming Potential GWP'!$E$7+'Emissions GEI'!AS5*'Global Warming Potential GWP'!$E$8)/1000),"NA")</f>
        <v>629.82301557399512</v>
      </c>
      <c r="L5" s="39">
        <f>IFERROR((('Emissions GEI'!L5*'Global Warming Potential GWP'!$E$6+'Emissions GEI'!AC5*'Global Warming Potential GWP'!$E$7+'Emissions GEI'!AT5*'Global Warming Potential GWP'!$E$8)/1000),"NA")</f>
        <v>522.86418690118467</v>
      </c>
      <c r="M5" s="39">
        <f>IFERROR((('Emissions GEI'!M5*'Global Warming Potential GWP'!$E$6+'Emissions GEI'!AD5*'Global Warming Potential GWP'!$E$7+'Emissions GEI'!AU5*'Global Warming Potential GWP'!$E$8)/1000),"NA")</f>
        <v>594.82115687915848</v>
      </c>
      <c r="N5" s="39">
        <f>IFERROR((('Emissions GEI'!N5*'Global Warming Potential GWP'!$E$6+'Emissions GEI'!AE5*'Global Warming Potential GWP'!$E$7+'Emissions GEI'!AV5*'Global Warming Potential GWP'!$E$8)/1000),"NA")</f>
        <v>614.41227789942002</v>
      </c>
      <c r="O5" s="39">
        <f>IFERROR((('Emissions GEI'!O5*'Global Warming Potential GWP'!$E$6+'Emissions GEI'!AF5*'Global Warming Potential GWP'!$E$7+'Emissions GEI'!AW5*'Global Warming Potential GWP'!$E$8)/1000),"NA")</f>
        <v>669.44605712126986</v>
      </c>
      <c r="P5" s="39">
        <f>IFERROR((('Emissions GEI'!P5*'Global Warming Potential GWP'!$E$6+'Emissions GEI'!AG5*'Global Warming Potential GWP'!$E$7+'Emissions GEI'!AX5*'Global Warming Potential GWP'!$E$8)/1000),"NA")</f>
        <v>664.81179785592008</v>
      </c>
      <c r="Q5" s="39">
        <f>IFERROR((('Emissions GEI'!Q5*'Global Warming Potential GWP'!$E$6+'Emissions GEI'!AH5*'Global Warming Potential GWP'!$E$7+'Emissions GEI'!AY5*'Global Warming Potential GWP'!$E$8)/1000),"NA")</f>
        <v>674.66701048890002</v>
      </c>
      <c r="R5" s="39">
        <f>IFERROR((('Emissions GEI'!R5*'Global Warming Potential GWP'!$E$6+'Emissions GEI'!AI5*'Global Warming Potential GWP'!$E$7+'Emissions GEI'!AZ5*'Global Warming Potential GWP'!$E$8)/1000),"NA")</f>
        <v>690.75428760194995</v>
      </c>
      <c r="S5" s="39">
        <f>IFERROR((('Emissions GEI'!S5*'Global Warming Potential GWP'!$E$6+'Emissions GEI'!AJ5*'Global Warming Potential GWP'!$E$7+'Emissions GEI'!BA5*'Global Warming Potential GWP'!$E$8)/1000),"NA")</f>
        <v>716.4233092406248</v>
      </c>
      <c r="T5" s="86">
        <f>IFERROR((('Emissions GEI'!T5*'Global Warming Potential GWP'!$E$6+'Emissions GEI'!AK5*'Global Warming Potential GWP'!$E$7+'Emissions GEI'!BB5*'Global Warming Potential GWP'!$E$8)/1000),"NA")</f>
        <v>699.70279836988266</v>
      </c>
    </row>
    <row r="6" spans="2:20" x14ac:dyDescent="0.35">
      <c r="B6" s="698"/>
      <c r="C6" s="97" t="s">
        <v>63</v>
      </c>
      <c r="D6" s="39">
        <f>IFERROR((('Emissions GEI'!D6*'Global Warming Potential GWP'!$E$6+'Emissions GEI'!U6*'Global Warming Potential GWP'!$E$7+'Emissions GEI'!AL6*'Global Warming Potential GWP'!$E$8)/1000),"NA")</f>
        <v>10.829764558799999</v>
      </c>
      <c r="E6" s="39">
        <f>IFERROR((('Emissions GEI'!E6*'Global Warming Potential GWP'!$E$6+'Emissions GEI'!V6*'Global Warming Potential GWP'!$E$7+'Emissions GEI'!AM6*'Global Warming Potential GWP'!$E$8)/1000),"NA")</f>
        <v>10.1022001146</v>
      </c>
      <c r="F6" s="39">
        <f>IFERROR((('Emissions GEI'!F6*'Global Warming Potential GWP'!$E$6+'Emissions GEI'!W6*'Global Warming Potential GWP'!$E$7+'Emissions GEI'!AN6*'Global Warming Potential GWP'!$E$8)/1000),"NA")</f>
        <v>11.206424027699997</v>
      </c>
      <c r="G6" s="39">
        <f>IFERROR((('Emissions GEI'!G6*'Global Warming Potential GWP'!$E$6+'Emissions GEI'!X6*'Global Warming Potential GWP'!$E$7+'Emissions GEI'!AO6*'Global Warming Potential GWP'!$E$8)/1000),"NA")</f>
        <v>12.5392190715</v>
      </c>
      <c r="H6" s="39">
        <f>IFERROR((('Emissions GEI'!H6*'Global Warming Potential GWP'!$E$6+'Emissions GEI'!Y6*'Global Warming Potential GWP'!$E$7+'Emissions GEI'!AP6*'Global Warming Potential GWP'!$E$8)/1000),"NA")</f>
        <v>12.7742288256</v>
      </c>
      <c r="I6" s="39">
        <f>IFERROR((('Emissions GEI'!I6*'Global Warming Potential GWP'!$E$6+'Emissions GEI'!Z6*'Global Warming Potential GWP'!$E$7+'Emissions GEI'!AQ6*'Global Warming Potential GWP'!$E$8)/1000),"NA")</f>
        <v>6.8442566741999995</v>
      </c>
      <c r="J6" s="39">
        <f>IFERROR((('Emissions GEI'!J6*'Global Warming Potential GWP'!$E$6+'Emissions GEI'!AA6*'Global Warming Potential GWP'!$E$7+'Emissions GEI'!AR6*'Global Warming Potential GWP'!$E$8)/1000),"NA")</f>
        <v>8.1480779126999998</v>
      </c>
      <c r="K6" s="39">
        <f>IFERROR((('Emissions GEI'!K6*'Global Warming Potential GWP'!$E$6+'Emissions GEI'!AB6*'Global Warming Potential GWP'!$E$7+'Emissions GEI'!AS6*'Global Warming Potential GWP'!$E$8)/1000),"NA")</f>
        <v>8.8416142322309987</v>
      </c>
      <c r="L6" s="39">
        <f>IFERROR((('Emissions GEI'!L6*'Global Warming Potential GWP'!$E$6+'Emissions GEI'!AC6*'Global Warming Potential GWP'!$E$7+'Emissions GEI'!AT6*'Global Warming Potential GWP'!$E$8)/1000),"NA")</f>
        <v>6.1186238170199987</v>
      </c>
      <c r="M6" s="39">
        <f>IFERROR((('Emissions GEI'!M6*'Global Warming Potential GWP'!$E$6+'Emissions GEI'!AD6*'Global Warming Potential GWP'!$E$7+'Emissions GEI'!AU6*'Global Warming Potential GWP'!$E$8)/1000),"NA")</f>
        <v>8.8892394417961178</v>
      </c>
      <c r="N6" s="39">
        <f>IFERROR((('Emissions GEI'!N6*'Global Warming Potential GWP'!$E$6+'Emissions GEI'!AE6*'Global Warming Potential GWP'!$E$7+'Emissions GEI'!AV6*'Global Warming Potential GWP'!$E$8)/1000),"NA")</f>
        <v>6.4289654648999992</v>
      </c>
      <c r="O6" s="39">
        <f>IFERROR((('Emissions GEI'!O6*'Global Warming Potential GWP'!$E$6+'Emissions GEI'!AF6*'Global Warming Potential GWP'!$E$7+'Emissions GEI'!AW6*'Global Warming Potential GWP'!$E$8)/1000),"NA")</f>
        <v>4.9030117191000002</v>
      </c>
      <c r="P6" s="39">
        <f>IFERROR((('Emissions GEI'!P6*'Global Warming Potential GWP'!$E$6+'Emissions GEI'!AG6*'Global Warming Potential GWP'!$E$7+'Emissions GEI'!AX6*'Global Warming Potential GWP'!$E$8)/1000),"NA")</f>
        <v>5.9782618269000007</v>
      </c>
      <c r="Q6" s="39">
        <f>IFERROR((('Emissions GEI'!Q6*'Global Warming Potential GWP'!$E$6+'Emissions GEI'!AH6*'Global Warming Potential GWP'!$E$7+'Emissions GEI'!AY6*'Global Warming Potential GWP'!$E$8)/1000),"NA")</f>
        <v>4.0853065473000001</v>
      </c>
      <c r="R6" s="39">
        <f>IFERROR((('Emissions GEI'!R6*'Global Warming Potential GWP'!$E$6+'Emissions GEI'!AI6*'Global Warming Potential GWP'!$E$7+'Emissions GEI'!AZ6*'Global Warming Potential GWP'!$E$8)/1000),"NA")</f>
        <v>3.9565340792999999</v>
      </c>
      <c r="S6" s="39">
        <f>IFERROR((('Emissions GEI'!S6*'Global Warming Potential GWP'!$E$6+'Emissions GEI'!AJ6*'Global Warming Potential GWP'!$E$7+'Emissions GEI'!BA6*'Global Warming Potential GWP'!$E$8)/1000),"NA")</f>
        <v>3.4894763378639997</v>
      </c>
      <c r="T6" s="86">
        <f>IFERROR((('Emissions GEI'!T6*'Global Warming Potential GWP'!$E$6+'Emissions GEI'!AK6*'Global Warming Potential GWP'!$E$7+'Emissions GEI'!BB6*'Global Warming Potential GWP'!$E$8)/1000),"NA")</f>
        <v>3.3001463253903989</v>
      </c>
    </row>
    <row r="7" spans="2:20" x14ac:dyDescent="0.35">
      <c r="B7" s="698"/>
      <c r="C7" s="97" t="s">
        <v>19</v>
      </c>
      <c r="D7" s="39">
        <f>IFERROR((('Emissions GEI'!D7*'Global Warming Potential GWP'!$E$6+'Emissions GEI'!U7*'Global Warming Potential GWP'!$E$7+'Emissions GEI'!AL7*'Global Warming Potential GWP'!$E$8)/1000),"NA")</f>
        <v>564.3767626504</v>
      </c>
      <c r="E7" s="39">
        <f>IFERROR((('Emissions GEI'!E7*'Global Warming Potential GWP'!$E$6+'Emissions GEI'!V7*'Global Warming Potential GWP'!$E$7+'Emissions GEI'!AM7*'Global Warming Potential GWP'!$E$8)/1000),"NA")</f>
        <v>673.83759145471981</v>
      </c>
      <c r="F7" s="39">
        <f>IFERROR((('Emissions GEI'!F7*'Global Warming Potential GWP'!$E$6+'Emissions GEI'!W7*'Global Warming Potential GWP'!$E$7+'Emissions GEI'!AN7*'Global Warming Potential GWP'!$E$8)/1000),"NA")</f>
        <v>706.02968207408003</v>
      </c>
      <c r="G7" s="39">
        <f>IFERROR((('Emissions GEI'!G7*'Global Warming Potential GWP'!$E$6+'Emissions GEI'!X7*'Global Warming Potential GWP'!$E$7+'Emissions GEI'!AO7*'Global Warming Potential GWP'!$E$8)/1000),"NA")</f>
        <v>705.35651628847995</v>
      </c>
      <c r="H7" s="39">
        <f>IFERROR((('Emissions GEI'!H7*'Global Warming Potential GWP'!$E$6+'Emissions GEI'!Y7*'Global Warming Potential GWP'!$E$7+'Emissions GEI'!AP7*'Global Warming Potential GWP'!$E$8)/1000),"NA")</f>
        <v>650.17830987311993</v>
      </c>
      <c r="I7" s="39">
        <f>IFERROR((('Emissions GEI'!I7*'Global Warming Potential GWP'!$E$6+'Emissions GEI'!Z7*'Global Warming Potential GWP'!$E$7+'Emissions GEI'!AQ7*'Global Warming Potential GWP'!$E$8)/1000),"NA")</f>
        <v>833.79839683700004</v>
      </c>
      <c r="J7" s="39">
        <f>IFERROR((('Emissions GEI'!J7*'Global Warming Potential GWP'!$E$6+'Emissions GEI'!AA7*'Global Warming Potential GWP'!$E$7+'Emissions GEI'!AR7*'Global Warming Potential GWP'!$E$8)/1000),"NA")</f>
        <v>1130.8709222272</v>
      </c>
      <c r="K7" s="39">
        <f>IFERROR((('Emissions GEI'!K7*'Global Warming Potential GWP'!$E$6+'Emissions GEI'!AB7*'Global Warming Potential GWP'!$E$7+'Emissions GEI'!AS7*'Global Warming Potential GWP'!$E$8)/1000),"NA")</f>
        <v>1352.0345812481694</v>
      </c>
      <c r="L7" s="39">
        <f>IFERROR((('Emissions GEI'!L7*'Global Warming Potential GWP'!$E$6+'Emissions GEI'!AC7*'Global Warming Potential GWP'!$E$7+'Emissions GEI'!AT7*'Global Warming Potential GWP'!$E$8)/1000),"NA")</f>
        <v>1484.9035224093998</v>
      </c>
      <c r="M7" s="39">
        <f>IFERROR((('Emissions GEI'!M7*'Global Warming Potential GWP'!$E$6+'Emissions GEI'!AD7*'Global Warming Potential GWP'!$E$7+'Emissions GEI'!AU7*'Global Warming Potential GWP'!$E$8)/1000),"NA")</f>
        <v>1384.6305002929412</v>
      </c>
      <c r="N7" s="39">
        <f>IFERROR((('Emissions GEI'!N7*'Global Warming Potential GWP'!$E$6+'Emissions GEI'!AE7*'Global Warming Potential GWP'!$E$7+'Emissions GEI'!AV7*'Global Warming Potential GWP'!$E$8)/1000),"NA")</f>
        <v>1564.9038378412902</v>
      </c>
      <c r="O7" s="39">
        <f>IFERROR((('Emissions GEI'!O7*'Global Warming Potential GWP'!$E$6+'Emissions GEI'!AF7*'Global Warming Potential GWP'!$E$7+'Emissions GEI'!AW7*'Global Warming Potential GWP'!$E$8)/1000),"NA")</f>
        <v>1504.1237320999733</v>
      </c>
      <c r="P7" s="39">
        <f>IFERROR((('Emissions GEI'!P7*'Global Warming Potential GWP'!$E$6+'Emissions GEI'!AG7*'Global Warming Potential GWP'!$E$7+'Emissions GEI'!AX7*'Global Warming Potential GWP'!$E$8)/1000),"NA")</f>
        <v>1569.5750564938189</v>
      </c>
      <c r="Q7" s="39">
        <f>IFERROR((('Emissions GEI'!Q7*'Global Warming Potential GWP'!$E$6+'Emissions GEI'!AH7*'Global Warming Potential GWP'!$E$7+'Emissions GEI'!AY7*'Global Warming Potential GWP'!$E$8)/1000),"NA")</f>
        <v>1643.7741376049148</v>
      </c>
      <c r="R7" s="39">
        <f>IFERROR((('Emissions GEI'!R7*'Global Warming Potential GWP'!$E$6+'Emissions GEI'!AI7*'Global Warming Potential GWP'!$E$7+'Emissions GEI'!AZ7*'Global Warming Potential GWP'!$E$8)/1000),"NA")</f>
        <v>1708.063919935913</v>
      </c>
      <c r="S7" s="39">
        <f>IFERROR((('Emissions GEI'!S7*'Global Warming Potential GWP'!$E$6+'Emissions GEI'!AJ7*'Global Warming Potential GWP'!$E$7+'Emissions GEI'!BA7*'Global Warming Potential GWP'!$E$8)/1000),"NA")</f>
        <v>1627.6051749149274</v>
      </c>
      <c r="T7" s="86">
        <f>IFERROR((('Emissions GEI'!T7*'Global Warming Potential GWP'!$E$6+'Emissions GEI'!AK7*'Global Warming Potential GWP'!$E$7+'Emissions GEI'!BB7*'Global Warming Potential GWP'!$E$8)/1000),"NA")</f>
        <v>1702.9073134018449</v>
      </c>
    </row>
    <row r="8" spans="2:20" ht="15" thickBot="1" x14ac:dyDescent="0.4">
      <c r="B8" s="699"/>
      <c r="C8" s="416" t="s">
        <v>16</v>
      </c>
      <c r="D8" s="417">
        <f>IFERROR(('Emissions GEI'!W8*'Global Warming Potential GWP'!$E$7+'Emissions GEI'!AL8*'Global Warming Potential GWP'!$E$8)/1000,"NA")</f>
        <v>14.3753548032</v>
      </c>
      <c r="E8" s="417">
        <f>IFERROR(('Emissions GEI'!X8*'Global Warming Potential GWP'!$E$7+'Emissions GEI'!AM8*'Global Warming Potential GWP'!$E$8)/1000,"NA")</f>
        <v>14.727689957600003</v>
      </c>
      <c r="F8" s="417">
        <f>IFERROR(('Emissions GEI'!Y8*'Global Warming Potential GWP'!$E$7+'Emissions GEI'!AN8*'Global Warming Potential GWP'!$E$8)/1000,"NA")</f>
        <v>15.435890117899998</v>
      </c>
      <c r="G8" s="417">
        <f>IFERROR(('Emissions GEI'!Z8*'Global Warming Potential GWP'!$E$7+'Emissions GEI'!AO8*'Global Warming Potential GWP'!$E$8)/1000,"NA")</f>
        <v>13.8857431524</v>
      </c>
      <c r="H8" s="417">
        <f>IFERROR(('Emissions GEI'!AA8*'Global Warming Potential GWP'!$E$7+'Emissions GEI'!AP8*'Global Warming Potential GWP'!$E$8)/1000,"NA")</f>
        <v>14.1846106934</v>
      </c>
      <c r="I8" s="417">
        <f>IFERROR(('Emissions GEI'!AB8*'Global Warming Potential GWP'!$E$7+'Emissions GEI'!AQ8*'Global Warming Potential GWP'!$E$8)/1000,"NA")</f>
        <v>13.487271820904329</v>
      </c>
      <c r="J8" s="417">
        <f>IFERROR(('Emissions GEI'!AC8*'Global Warming Potential GWP'!$E$7+'Emissions GEI'!AR8*'Global Warming Potential GWP'!$E$8)/1000,"NA")</f>
        <v>14.949276193260314</v>
      </c>
      <c r="K8" s="417">
        <f>IFERROR(('Emissions GEI'!AD8*'Global Warming Potential GWP'!$E$7+'Emissions GEI'!AS8*'Global Warming Potential GWP'!$E$8)/1000,"NA")</f>
        <v>13.532142205533761</v>
      </c>
      <c r="L8" s="417">
        <f>IFERROR(('Emissions GEI'!AE8*'Global Warming Potential GWP'!$E$7+'Emissions GEI'!AT8*'Global Warming Potential GWP'!$E$8)/1000,"NA")</f>
        <v>16.797506775281814</v>
      </c>
      <c r="M8" s="417">
        <f>IFERROR(('Emissions GEI'!AF8*'Global Warming Potential GWP'!$E$7+'Emissions GEI'!AU8*'Global Warming Potential GWP'!$E$8)/1000,"NA")</f>
        <v>15.110466302808577</v>
      </c>
      <c r="N8" s="417">
        <f>IFERROR(('Emissions GEI'!AG8*'Global Warming Potential GWP'!$E$7+'Emissions GEI'!AV8*'Global Warming Potential GWP'!$E$8)/1000,"NA")</f>
        <v>15.031380547978229</v>
      </c>
      <c r="O8" s="417">
        <f>IFERROR(('Emissions GEI'!AH8*'Global Warming Potential GWP'!$E$7+'Emissions GEI'!AW8*'Global Warming Potential GWP'!$E$8)/1000,"NA")</f>
        <v>14.500352486166895</v>
      </c>
      <c r="P8" s="417">
        <f>IFERROR(('Emissions GEI'!AI8*'Global Warming Potential GWP'!$E$7+'Emissions GEI'!AX8*'Global Warming Potential GWP'!$E$8)/1000,"NA")</f>
        <v>14.093445739970866</v>
      </c>
      <c r="Q8" s="417">
        <f>IFERROR(('Emissions GEI'!AJ8*'Global Warming Potential GWP'!$E$7+'Emissions GEI'!AY8*'Global Warming Potential GWP'!$E$8)/1000,"NA")</f>
        <v>14.691143949173741</v>
      </c>
      <c r="R8" s="417">
        <f>IFERROR(('Emissions GEI'!AK8*'Global Warming Potential GWP'!$E$7+'Emissions GEI'!AZ8*'Global Warming Potential GWP'!$E$8)/1000,"NA")</f>
        <v>14.00586614034553</v>
      </c>
      <c r="S8" s="417">
        <f>IFERROR(('Emissions GEI'!AL8*'Global Warming Potential GWP'!$E$7+'Emissions GEI'!BA8*'Global Warming Potential GWP'!$E$8)/1000,"NA")</f>
        <v>10.870814009105047</v>
      </c>
      <c r="T8" s="418">
        <f>IFERROR(('Emissions GEI'!AM8*'Global Warming Potential GWP'!$E$7+'Emissions GEI'!BB8*'Global Warming Potential GWP'!$E$8)/1000,"NA")</f>
        <v>10.077373271298075</v>
      </c>
    </row>
    <row r="9" spans="2:20" x14ac:dyDescent="0.35">
      <c r="B9" s="701" t="s">
        <v>124</v>
      </c>
      <c r="C9" s="421" t="s">
        <v>17</v>
      </c>
      <c r="D9" s="130">
        <f>IFERROR(('Emissions GEI'!D34*'Global Warming Potential GWP'!$E$6+'Emissions GEI'!U34*'Global Warming Potential GWP'!$E$7+'Emissions GEI'!AL34*'Global Warming Potential GWP'!$E$8)/1000,"NA")</f>
        <v>133.92336671999999</v>
      </c>
      <c r="E9" s="131">
        <f>IFERROR(('Emissions GEI'!E34*'Global Warming Potential GWP'!$E$6+'Emissions GEI'!V34*'Global Warming Potential GWP'!$E$7+'Emissions GEI'!AM34*'Global Warming Potential GWP'!$E$8)/1000,"NA")</f>
        <v>120.83042603610001</v>
      </c>
      <c r="F9" s="131">
        <f>IFERROR(('Emissions GEI'!F34*'Global Warming Potential GWP'!$E$6+'Emissions GEI'!W34*'Global Warming Potential GWP'!$E$7+'Emissions GEI'!AN34*'Global Warming Potential GWP'!$E$8)/1000,"NA")</f>
        <v>120.43123138530001</v>
      </c>
      <c r="G9" s="131">
        <f>IFERROR(('Emissions GEI'!G34*'Global Warming Potential GWP'!$E$6+'Emissions GEI'!X34*'Global Warming Potential GWP'!$E$7+'Emissions GEI'!AO34*'Global Warming Potential GWP'!$E$8)/1000,"NA")</f>
        <v>132.87065179410001</v>
      </c>
      <c r="H9" s="131">
        <f>IFERROR(('Emissions GEI'!H34*'Global Warming Potential GWP'!$E$6+'Emissions GEI'!Y34*'Global Warming Potential GWP'!$E$7+'Emissions GEI'!AP34*'Global Warming Potential GWP'!$E$8)/1000,"NA")</f>
        <v>139.62798705239996</v>
      </c>
      <c r="I9" s="131">
        <f>IFERROR(('Emissions GEI'!I34*'Global Warming Potential GWP'!$E$6+'Emissions GEI'!Z34*'Global Warming Potential GWP'!$E$7+'Emissions GEI'!AQ34*'Global Warming Potential GWP'!$E$8)/1000,"NA")</f>
        <v>132.4006322859</v>
      </c>
      <c r="J9" s="131">
        <f>IFERROR(('Emissions GEI'!J34*'Global Warming Potential GWP'!$E$6+'Emissions GEI'!AA34*'Global Warming Potential GWP'!$E$7+'Emissions GEI'!AR34*'Global Warming Potential GWP'!$E$8)/1000,"NA")</f>
        <v>160.21548537390001</v>
      </c>
      <c r="K9" s="131">
        <f>IFERROR(('Emissions GEI'!K34*'Global Warming Potential GWP'!$E$6+'Emissions GEI'!AB34*'Global Warming Potential GWP'!$E$7+'Emissions GEI'!AS34*'Global Warming Potential GWP'!$E$8)/1000,"NA")</f>
        <v>155.60865033119998</v>
      </c>
      <c r="L9" s="131">
        <f>IFERROR(('Emissions GEI'!L34*'Global Warming Potential GWP'!$E$6+'Emissions GEI'!AC34*'Global Warming Potential GWP'!$E$7+'Emissions GEI'!AT34*'Global Warming Potential GWP'!$E$8)/1000,"NA")</f>
        <v>149.05735102169999</v>
      </c>
      <c r="M9" s="131">
        <f>IFERROR(('Emissions GEI'!M34*'Global Warming Potential GWP'!$E$6+'Emissions GEI'!AD34*'Global Warming Potential GWP'!$E$7+'Emissions GEI'!AU34*'Global Warming Potential GWP'!$E$8)/1000,"NA")</f>
        <v>147.70845941939999</v>
      </c>
      <c r="N9" s="131">
        <f>IFERROR(('Emissions GEI'!N34*'Global Warming Potential GWP'!$E$6+'Emissions GEI'!AE34*'Global Warming Potential GWP'!$E$7+'Emissions GEI'!AV34*'Global Warming Potential GWP'!$E$8)/1000,"NA")</f>
        <v>149.83642445310005</v>
      </c>
      <c r="O9" s="131">
        <f>IFERROR(('Emissions GEI'!O34*'Global Warming Potential GWP'!$E$6+'Emissions GEI'!AF34*'Global Warming Potential GWP'!$E$7+'Emissions GEI'!AW34*'Global Warming Potential GWP'!$E$8)/1000,"NA")</f>
        <v>138.73301839979999</v>
      </c>
      <c r="P9" s="131">
        <f>IFERROR(('Emissions GEI'!P34*'Global Warming Potential GWP'!$E$6+'Emissions GEI'!AG34*'Global Warming Potential GWP'!$E$7+'Emissions GEI'!AX34*'Global Warming Potential GWP'!$E$8)/1000,"NA")</f>
        <v>132.98976632699998</v>
      </c>
      <c r="Q9" s="131">
        <f>IFERROR(('Emissions GEI'!Q34*'Global Warming Potential GWP'!$E$6+'Emissions GEI'!AH34*'Global Warming Potential GWP'!$E$7+'Emissions GEI'!AY34*'Global Warming Potential GWP'!$E$8)/1000,"NA")</f>
        <v>114.1020645831</v>
      </c>
      <c r="R9" s="131">
        <f>IFERROR(('Emissions GEI'!R34*'Global Warming Potential GWP'!$E$6+'Emissions GEI'!AI34*'Global Warming Potential GWP'!$E$7+'Emissions GEI'!AZ34*'Global Warming Potential GWP'!$E$8)/1000,"NA")</f>
        <v>116.20427512319998</v>
      </c>
      <c r="S9" s="131">
        <f>IFERROR(('Emissions GEI'!S34*'Global Warming Potential GWP'!$E$6+'Emissions GEI'!AJ34*'Global Warming Potential GWP'!$E$7+'Emissions GEI'!BA34*'Global Warming Potential GWP'!$E$8)/1000,"NA")</f>
        <v>117.80105372639999</v>
      </c>
      <c r="T9" s="132">
        <f>IFERROR(('Emissions GEI'!T34*'Global Warming Potential GWP'!$E$6+'Emissions GEI'!AK34*'Global Warming Potential GWP'!$E$7+'Emissions GEI'!BB34*'Global Warming Potential GWP'!$E$8)/1000,"NA")</f>
        <v>113.65779956850001</v>
      </c>
    </row>
    <row r="10" spans="2:20" x14ac:dyDescent="0.35">
      <c r="B10" s="698"/>
      <c r="C10" s="360" t="s">
        <v>18</v>
      </c>
      <c r="D10" s="85">
        <f>IFERROR(('Emissions GEI'!D35*'Global Warming Potential GWP'!$E$6+'Emissions GEI'!U35*'Global Warming Potential GWP'!$E$7+'Emissions GEI'!AL35*'Global Warming Potential GWP'!$E$8)/1000,"NA")</f>
        <v>139.70874396496421</v>
      </c>
      <c r="E10" s="39">
        <f>IFERROR(('Emissions GEI'!E35*'Global Warming Potential GWP'!$E$6+'Emissions GEI'!V35*'Global Warming Potential GWP'!$E$7+'Emissions GEI'!AM35*'Global Warming Potential GWP'!$E$8)/1000,"NA")</f>
        <v>175.2318807763865</v>
      </c>
      <c r="F10" s="39">
        <f>IFERROR(('Emissions GEI'!F35*'Global Warming Potential GWP'!$E$6+'Emissions GEI'!W35*'Global Warming Potential GWP'!$E$7+'Emissions GEI'!AN35*'Global Warming Potential GWP'!$E$8)/1000,"NA")</f>
        <v>177.55852361458054</v>
      </c>
      <c r="G10" s="39">
        <f>IFERROR(('Emissions GEI'!G35*'Global Warming Potential GWP'!$E$6+'Emissions GEI'!X35*'Global Warming Potential GWP'!$E$7+'Emissions GEI'!AO35*'Global Warming Potential GWP'!$E$8)/1000,"NA")</f>
        <v>159.8473262548562</v>
      </c>
      <c r="H10" s="39">
        <f>IFERROR(('Emissions GEI'!H35*'Global Warming Potential GWP'!$E$6+'Emissions GEI'!Y35*'Global Warming Potential GWP'!$E$7+'Emissions GEI'!AP35*'Global Warming Potential GWP'!$E$8)/1000,"NA")</f>
        <v>143.30360662811333</v>
      </c>
      <c r="I10" s="39">
        <f>IFERROR(('Emissions GEI'!I35*'Global Warming Potential GWP'!$E$6+'Emissions GEI'!Z35*'Global Warming Potential GWP'!$E$7+'Emissions GEI'!AQ35*'Global Warming Potential GWP'!$E$8)/1000,"NA")</f>
        <v>133.02843134598089</v>
      </c>
      <c r="J10" s="39">
        <f>IFERROR(('Emissions GEI'!J35*'Global Warming Potential GWP'!$E$6+'Emissions GEI'!AA35*'Global Warming Potential GWP'!$E$7+'Emissions GEI'!AR35*'Global Warming Potential GWP'!$E$8)/1000,"NA")</f>
        <v>167.94863410050436</v>
      </c>
      <c r="K10" s="39">
        <f>IFERROR(('Emissions GEI'!K35*'Global Warming Potential GWP'!$E$6+'Emissions GEI'!AB35*'Global Warming Potential GWP'!$E$7+'Emissions GEI'!AS35*'Global Warming Potential GWP'!$E$8)/1000,"NA")</f>
        <v>174.1294326206872</v>
      </c>
      <c r="L10" s="39">
        <f>IFERROR(('Emissions GEI'!L35*'Global Warming Potential GWP'!$E$6+'Emissions GEI'!AC35*'Global Warming Potential GWP'!$E$7+'Emissions GEI'!AT35*'Global Warming Potential GWP'!$E$8)/1000,"NA")</f>
        <v>157.15969320578995</v>
      </c>
      <c r="M10" s="39">
        <f>IFERROR(('Emissions GEI'!M35*'Global Warming Potential GWP'!$E$6+'Emissions GEI'!AD35*'Global Warming Potential GWP'!$E$7+'Emissions GEI'!AU35*'Global Warming Potential GWP'!$E$8)/1000,"NA")</f>
        <v>134.72748223473789</v>
      </c>
      <c r="N10" s="39">
        <f>IFERROR(('Emissions GEI'!N35*'Global Warming Potential GWP'!$E$6+'Emissions GEI'!AE35*'Global Warming Potential GWP'!$E$7+'Emissions GEI'!AV35*'Global Warming Potential GWP'!$E$8)/1000,"NA")</f>
        <v>129.72209990177149</v>
      </c>
      <c r="O10" s="39">
        <f>IFERROR(('Emissions GEI'!O35*'Global Warming Potential GWP'!$E$6+'Emissions GEI'!AF35*'Global Warming Potential GWP'!$E$7+'Emissions GEI'!AW35*'Global Warming Potential GWP'!$E$8)/1000,"NA")</f>
        <v>126.12134676232604</v>
      </c>
      <c r="P10" s="39">
        <f>IFERROR(('Emissions GEI'!P35*'Global Warming Potential GWP'!$E$6+'Emissions GEI'!AG35*'Global Warming Potential GWP'!$E$7+'Emissions GEI'!AX35*'Global Warming Potential GWP'!$E$8)/1000,"NA")</f>
        <v>121.88098758593203</v>
      </c>
      <c r="Q10" s="39">
        <f>IFERROR(('Emissions GEI'!Q35*'Global Warming Potential GWP'!$E$6+'Emissions GEI'!AH35*'Global Warming Potential GWP'!$E$7+'Emissions GEI'!AY35*'Global Warming Potential GWP'!$E$8)/1000,"NA")</f>
        <v>122.58919076874446</v>
      </c>
      <c r="R10" s="39">
        <f>IFERROR(('Emissions GEI'!R35*'Global Warming Potential GWP'!$E$6+'Emissions GEI'!AI35*'Global Warming Potential GWP'!$E$7+'Emissions GEI'!AZ35*'Global Warming Potential GWP'!$E$8)/1000,"NA")</f>
        <v>126.63172626664031</v>
      </c>
      <c r="S10" s="39">
        <f>IFERROR(('Emissions GEI'!S35*'Global Warming Potential GWP'!$E$6+'Emissions GEI'!AJ35*'Global Warming Potential GWP'!$E$7+'Emissions GEI'!BA35*'Global Warming Potential GWP'!$E$8)/1000,"NA")</f>
        <v>116.43197560726952</v>
      </c>
      <c r="T10" s="86">
        <f>IFERROR(('Emissions GEI'!T35*'Global Warming Potential GWP'!$E$6+'Emissions GEI'!AK35*'Global Warming Potential GWP'!$E$7+'Emissions GEI'!BB35*'Global Warming Potential GWP'!$E$8)/1000,"NA")</f>
        <v>115.13584346304215</v>
      </c>
    </row>
    <row r="11" spans="2:20" x14ac:dyDescent="0.35">
      <c r="B11" s="698"/>
      <c r="C11" s="360" t="s">
        <v>125</v>
      </c>
      <c r="D11" s="85">
        <f>IFERROR(('Emissions GEI'!D36*'Global Warming Potential GWP'!$E$6+'Emissions GEI'!U36*'Global Warming Potential GWP'!$E$7+'Emissions GEI'!AL36*'Global Warming Potential GWP'!$E$8)/1000,"NA")</f>
        <v>12.834012658879995</v>
      </c>
      <c r="E11" s="39">
        <f>IFERROR(('Emissions GEI'!E36*'Global Warming Potential GWP'!$E$6+'Emissions GEI'!V36*'Global Warming Potential GWP'!$E$7+'Emissions GEI'!AM36*'Global Warming Potential GWP'!$E$8)/1000,"NA")</f>
        <v>12.540109017382397</v>
      </c>
      <c r="F11" s="39">
        <f>IFERROR(('Emissions GEI'!F36*'Global Warming Potential GWP'!$E$6+'Emissions GEI'!W36*'Global Warming Potential GWP'!$E$7+'Emissions GEI'!AN36*'Global Warming Potential GWP'!$E$8)/1000,"NA")</f>
        <v>12.092610736115198</v>
      </c>
      <c r="G11" s="39">
        <f>IFERROR(('Emissions GEI'!G36*'Global Warming Potential GWP'!$E$6+'Emissions GEI'!X36*'Global Warming Potential GWP'!$E$7+'Emissions GEI'!AO36*'Global Warming Potential GWP'!$E$8)/1000,"NA")</f>
        <v>10.654108588454399</v>
      </c>
      <c r="H11" s="39">
        <f>IFERROR(('Emissions GEI'!H36*'Global Warming Potential GWP'!$E$6+'Emissions GEI'!Y36*'Global Warming Potential GWP'!$E$7+'Emissions GEI'!AP36*'Global Warming Potential GWP'!$E$8)/1000,"NA")</f>
        <v>10.124354709401597</v>
      </c>
      <c r="I11" s="39">
        <f>IFERROR(('Emissions GEI'!I36*'Global Warming Potential GWP'!$E$6+'Emissions GEI'!Z36*'Global Warming Potential GWP'!$E$7+'Emissions GEI'!AQ36*'Global Warming Potential GWP'!$E$8)/1000,"NA")</f>
        <v>13.4556041270656</v>
      </c>
      <c r="J11" s="39">
        <f>IFERROR(('Emissions GEI'!J36*'Global Warming Potential GWP'!$E$6+'Emissions GEI'!AA36*'Global Warming Potential GWP'!$E$7+'Emissions GEI'!AR36*'Global Warming Potential GWP'!$E$8)/1000,"NA")</f>
        <v>14.014703180057595</v>
      </c>
      <c r="K11" s="39">
        <f>IFERROR(('Emissions GEI'!K36*'Global Warming Potential GWP'!$E$6+'Emissions GEI'!AB36*'Global Warming Potential GWP'!$E$7+'Emissions GEI'!AS36*'Global Warming Potential GWP'!$E$8)/1000,"NA")</f>
        <v>14.259951567820799</v>
      </c>
      <c r="L11" s="39">
        <f>IFERROR(('Emissions GEI'!L36*'Global Warming Potential GWP'!$E$6+'Emissions GEI'!AC36*'Global Warming Potential GWP'!$E$7+'Emissions GEI'!AT36*'Global Warming Potential GWP'!$E$8)/1000,"NA")</f>
        <v>16.716182901772797</v>
      </c>
      <c r="M11" s="39">
        <f>IFERROR(('Emissions GEI'!M36*'Global Warming Potential GWP'!$E$6+'Emissions GEI'!AD36*'Global Warming Potential GWP'!$E$7+'Emissions GEI'!AU36*'Global Warming Potential GWP'!$E$8)/1000,"NA")</f>
        <v>16.957782442329599</v>
      </c>
      <c r="N11" s="39">
        <f>IFERROR(('Emissions GEI'!N36*'Global Warming Potential GWP'!$E$6+'Emissions GEI'!AE36*'Global Warming Potential GWP'!$E$7+'Emissions GEI'!AV36*'Global Warming Potential GWP'!$E$8)/1000,"NA")</f>
        <v>17.330131315110396</v>
      </c>
      <c r="O11" s="39">
        <f>IFERROR(('Emissions GEI'!O36*'Global Warming Potential GWP'!$E$6+'Emissions GEI'!AF36*'Global Warming Potential GWP'!$E$7+'Emissions GEI'!AW36*'Global Warming Potential GWP'!$E$8)/1000,"NA")</f>
        <v>17.526184421683197</v>
      </c>
      <c r="P11" s="39">
        <f>IFERROR(('Emissions GEI'!P36*'Global Warming Potential GWP'!$E$6+'Emissions GEI'!AG36*'Global Warming Potential GWP'!$E$7+'Emissions GEI'!AX36*'Global Warming Potential GWP'!$E$8)/1000,"NA")</f>
        <v>18.120459480768002</v>
      </c>
      <c r="Q11" s="39">
        <f>IFERROR(('Emissions GEI'!Q36*'Global Warming Potential GWP'!$E$6+'Emissions GEI'!AH36*'Global Warming Potential GWP'!$E$7+'Emissions GEI'!AY36*'Global Warming Potential GWP'!$E$8)/1000,"NA")</f>
        <v>17.535954438630398</v>
      </c>
      <c r="R11" s="39">
        <f>IFERROR(('Emissions GEI'!R36*'Global Warming Potential GWP'!$E$6+'Emissions GEI'!AI36*'Global Warming Potential GWP'!$E$7+'Emissions GEI'!AZ36*'Global Warming Potential GWP'!$E$8)/1000,"NA")</f>
        <v>17.785483668748796</v>
      </c>
      <c r="S11" s="39">
        <f>IFERROR(('Emissions GEI'!S36*'Global Warming Potential GWP'!$E$6+'Emissions GEI'!AJ36*'Global Warming Potential GWP'!$E$7+'Emissions GEI'!BA36*'Global Warming Potential GWP'!$E$8)/1000,"NA")</f>
        <v>18.538956702617597</v>
      </c>
      <c r="T11" s="86">
        <f>IFERROR(('Emissions GEI'!T36*'Global Warming Potential GWP'!$E$6+'Emissions GEI'!AK36*'Global Warming Potential GWP'!$E$7+'Emissions GEI'!BB36*'Global Warming Potential GWP'!$E$8)/1000,"NA")</f>
        <v>18.270732943103997</v>
      </c>
    </row>
    <row r="12" spans="2:20" x14ac:dyDescent="0.35">
      <c r="B12" s="698"/>
      <c r="C12" s="360" t="s">
        <v>15</v>
      </c>
      <c r="D12" s="85">
        <f>IFERROR(('Emissions GEI'!D37*'Global Warming Potential GWP'!$E$6+'Emissions GEI'!U37*'Global Warming Potential GWP'!$E$7+'Emissions GEI'!AL37*'Global Warming Potential GWP'!$E$8)/1000,"NA")</f>
        <v>76.922280096813026</v>
      </c>
      <c r="E12" s="39">
        <f>IFERROR(('Emissions GEI'!E37*'Global Warming Potential GWP'!$E$6+'Emissions GEI'!V37*'Global Warming Potential GWP'!$E$7+'Emissions GEI'!AM37*'Global Warming Potential GWP'!$E$8)/1000,"NA")</f>
        <v>76.73994237820186</v>
      </c>
      <c r="F12" s="39">
        <f>IFERROR(('Emissions GEI'!F37*'Global Warming Potential GWP'!$E$6+'Emissions GEI'!W37*'Global Warming Potential GWP'!$E$7+'Emissions GEI'!AN37*'Global Warming Potential GWP'!$E$8)/1000,"NA")</f>
        <v>77.058283267966218</v>
      </c>
      <c r="G12" s="39">
        <f>IFERROR(('Emissions GEI'!G37*'Global Warming Potential GWP'!$E$6+'Emissions GEI'!X37*'Global Warming Potential GWP'!$E$7+'Emissions GEI'!AO37*'Global Warming Potential GWP'!$E$8)/1000,"NA")</f>
        <v>83.250105779337957</v>
      </c>
      <c r="H12" s="39">
        <f>IFERROR(('Emissions GEI'!H37*'Global Warming Potential GWP'!$E$6+'Emissions GEI'!Y37*'Global Warming Potential GWP'!$E$7+'Emissions GEI'!AP37*'Global Warming Potential GWP'!$E$8)/1000,"NA")</f>
        <v>70.145947965878491</v>
      </c>
      <c r="I12" s="39">
        <f>IFERROR(('Emissions GEI'!I37*'Global Warming Potential GWP'!$E$6+'Emissions GEI'!Z37*'Global Warming Potential GWP'!$E$7+'Emissions GEI'!AQ37*'Global Warming Potential GWP'!$E$8)/1000,"NA")</f>
        <v>66.646439235287872</v>
      </c>
      <c r="J12" s="39">
        <f>IFERROR(('Emissions GEI'!J37*'Global Warming Potential GWP'!$E$6+'Emissions GEI'!AA37*'Global Warming Potential GWP'!$E$7+'Emissions GEI'!AR37*'Global Warming Potential GWP'!$E$8)/1000,"NA")</f>
        <v>65.463308726082943</v>
      </c>
      <c r="K12" s="39">
        <f>IFERROR(('Emissions GEI'!K37*'Global Warming Potential GWP'!$E$6+'Emissions GEI'!AB37*'Global Warming Potential GWP'!$E$7+'Emissions GEI'!AS37*'Global Warming Potential GWP'!$E$8)/1000,"NA")</f>
        <v>61.826806349411093</v>
      </c>
      <c r="L12" s="39">
        <f>IFERROR(('Emissions GEI'!L37*'Global Warming Potential GWP'!$E$6+'Emissions GEI'!AC37*'Global Warming Potential GWP'!$E$7+'Emissions GEI'!AT37*'Global Warming Potential GWP'!$E$8)/1000,"NA")</f>
        <v>113.25545455616748</v>
      </c>
      <c r="M12" s="39">
        <f>IFERROR(('Emissions GEI'!M37*'Global Warming Potential GWP'!$E$6+'Emissions GEI'!AD37*'Global Warming Potential GWP'!$E$7+'Emissions GEI'!AU37*'Global Warming Potential GWP'!$E$8)/1000,"NA")</f>
        <v>61.94805821298494</v>
      </c>
      <c r="N12" s="39">
        <f>IFERROR(('Emissions GEI'!N37*'Global Warming Potential GWP'!$E$6+'Emissions GEI'!AE37*'Global Warming Potential GWP'!$E$7+'Emissions GEI'!AV37*'Global Warming Potential GWP'!$E$8)/1000,"NA")</f>
        <v>69.978202054975014</v>
      </c>
      <c r="O12" s="39">
        <f>IFERROR(('Emissions GEI'!O37*'Global Warming Potential GWP'!$E$6+'Emissions GEI'!AF37*'Global Warming Potential GWP'!$E$7+'Emissions GEI'!AW37*'Global Warming Potential GWP'!$E$8)/1000,"NA")</f>
        <v>68.369242218422045</v>
      </c>
      <c r="P12" s="39">
        <f>IFERROR(('Emissions GEI'!P37*'Global Warming Potential GWP'!$E$6+'Emissions GEI'!AG37*'Global Warming Potential GWP'!$E$7+'Emissions GEI'!AX37*'Global Warming Potential GWP'!$E$8)/1000,"NA")</f>
        <v>70.968887392351292</v>
      </c>
      <c r="Q12" s="39">
        <f>IFERROR(('Emissions GEI'!Q37*'Global Warming Potential GWP'!$E$6+'Emissions GEI'!AH37*'Global Warming Potential GWP'!$E$7+'Emissions GEI'!AY37*'Global Warming Potential GWP'!$E$8)/1000,"NA")</f>
        <v>75.223084457480994</v>
      </c>
      <c r="R12" s="39">
        <f>IFERROR(('Emissions GEI'!R37*'Global Warming Potential GWP'!$E$6+'Emissions GEI'!AI37*'Global Warming Potential GWP'!$E$7+'Emissions GEI'!AZ37*'Global Warming Potential GWP'!$E$8)/1000,"NA")</f>
        <v>84.385108302819347</v>
      </c>
      <c r="S12" s="39">
        <f>IFERROR(('Emissions GEI'!S37*'Global Warming Potential GWP'!$E$6+'Emissions GEI'!AJ37*'Global Warming Potential GWP'!$E$7+'Emissions GEI'!BA37*'Global Warming Potential GWP'!$E$8)/1000,"NA")</f>
        <v>95.191502986517492</v>
      </c>
      <c r="T12" s="86">
        <f>IFERROR(('Emissions GEI'!T37*'Global Warming Potential GWP'!$E$6+'Emissions GEI'!AK37*'Global Warming Potential GWP'!$E$7+'Emissions GEI'!BB37*'Global Warming Potential GWP'!$E$8)/1000,"NA")</f>
        <v>89.212676694838066</v>
      </c>
    </row>
    <row r="13" spans="2:20" s="110" customFormat="1" x14ac:dyDescent="0.35">
      <c r="B13" s="698"/>
      <c r="C13" s="360" t="s">
        <v>136</v>
      </c>
      <c r="D13" s="85">
        <f>IFERROR(('Emissions GEI'!D38*'Global Warming Potential GWP'!$E$6+'Emissions GEI'!U38*'Global Warming Potential GWP'!$E$7+'Emissions GEI'!AL38*'Global Warming Potential GWP'!$E$8)/1000,"NA")</f>
        <v>1.6981083839999997</v>
      </c>
      <c r="E13" s="39">
        <f>IFERROR(('Emissions GEI'!E38*'Global Warming Potential GWP'!$E$6+'Emissions GEI'!V38*'Global Warming Potential GWP'!$E$7+'Emissions GEI'!AM38*'Global Warming Potential GWP'!$E$8)/1000,"NA")</f>
        <v>1.6981083839999997</v>
      </c>
      <c r="F13" s="39">
        <f>IFERROR(('Emissions GEI'!F38*'Global Warming Potential GWP'!$E$6+'Emissions GEI'!W38*'Global Warming Potential GWP'!$E$7+'Emissions GEI'!AN38*'Global Warming Potential GWP'!$E$8)/1000,"NA")</f>
        <v>1.6981083839999997</v>
      </c>
      <c r="G13" s="39">
        <f>IFERROR(('Emissions GEI'!G38*'Global Warming Potential GWP'!$E$6+'Emissions GEI'!X38*'Global Warming Potential GWP'!$E$7+'Emissions GEI'!AO38*'Global Warming Potential GWP'!$E$8)/1000,"NA")</f>
        <v>1.6981083839999997</v>
      </c>
      <c r="H13" s="39">
        <f>IFERROR(('Emissions GEI'!H38*'Global Warming Potential GWP'!$E$6+'Emissions GEI'!Y38*'Global Warming Potential GWP'!$E$7+'Emissions GEI'!AP38*'Global Warming Potential GWP'!$E$8)/1000,"NA")</f>
        <v>1.6981083839999997</v>
      </c>
      <c r="I13" s="39">
        <f>IFERROR(('Emissions GEI'!I38*'Global Warming Potential GWP'!$E$6+'Emissions GEI'!Z38*'Global Warming Potential GWP'!$E$7+'Emissions GEI'!AQ38*'Global Warming Potential GWP'!$E$8)/1000,"NA")</f>
        <v>1.6981083839999997</v>
      </c>
      <c r="J13" s="39">
        <f>IFERROR(('Emissions GEI'!J38*'Global Warming Potential GWP'!$E$6+'Emissions GEI'!AA38*'Global Warming Potential GWP'!$E$7+'Emissions GEI'!AR38*'Global Warming Potential GWP'!$E$8)/1000,"NA")</f>
        <v>1.6981083839999997</v>
      </c>
      <c r="K13" s="39">
        <f>IFERROR(('Emissions GEI'!K38*'Global Warming Potential GWP'!$E$6+'Emissions GEI'!AB38*'Global Warming Potential GWP'!$E$7+'Emissions GEI'!AS38*'Global Warming Potential GWP'!$E$8)/1000,"NA")</f>
        <v>1.6981083839999997</v>
      </c>
      <c r="L13" s="39">
        <f>IFERROR(('Emissions GEI'!L38*'Global Warming Potential GWP'!$E$6+'Emissions GEI'!AC38*'Global Warming Potential GWP'!$E$7+'Emissions GEI'!AT38*'Global Warming Potential GWP'!$E$8)/1000,"NA")</f>
        <v>1.6981083839999997</v>
      </c>
      <c r="M13" s="39">
        <f>IFERROR(('Emissions GEI'!M38*'Global Warming Potential GWP'!$E$6+'Emissions GEI'!AD38*'Global Warming Potential GWP'!$E$7+'Emissions GEI'!AU38*'Global Warming Potential GWP'!$E$8)/1000,"NA")</f>
        <v>1.6981083839999997</v>
      </c>
      <c r="N13" s="39">
        <f>IFERROR(('Emissions GEI'!N38*'Global Warming Potential GWP'!$E$6+'Emissions GEI'!AE38*'Global Warming Potential GWP'!$E$7+'Emissions GEI'!AV38*'Global Warming Potential GWP'!$E$8)/1000,"NA")</f>
        <v>1.6981083839999997</v>
      </c>
      <c r="O13" s="39">
        <f>IFERROR(('Emissions GEI'!O38*'Global Warming Potential GWP'!$E$6+'Emissions GEI'!AF38*'Global Warming Potential GWP'!$E$7+'Emissions GEI'!AW38*'Global Warming Potential GWP'!$E$8)/1000,"NA")</f>
        <v>1.6981083839999997</v>
      </c>
      <c r="P13" s="39">
        <f>IFERROR(('Emissions GEI'!P38*'Global Warming Potential GWP'!$E$6+'Emissions GEI'!AG38*'Global Warming Potential GWP'!$E$7+'Emissions GEI'!AX38*'Global Warming Potential GWP'!$E$8)/1000,"NA")</f>
        <v>1.6981083839999997</v>
      </c>
      <c r="Q13" s="39">
        <f>IFERROR(('Emissions GEI'!Q38*'Global Warming Potential GWP'!$E$6+'Emissions GEI'!AH38*'Global Warming Potential GWP'!$E$7+'Emissions GEI'!AY38*'Global Warming Potential GWP'!$E$8)/1000,"NA")</f>
        <v>1.6981083839999997</v>
      </c>
      <c r="R13" s="39">
        <f>IFERROR(('Emissions GEI'!R38*'Global Warming Potential GWP'!$E$6+'Emissions GEI'!AI38*'Global Warming Potential GWP'!$E$7+'Emissions GEI'!AZ38*'Global Warming Potential GWP'!$E$8)/1000,"NA")</f>
        <v>1.6981083839999997</v>
      </c>
      <c r="S13" s="39">
        <f>IFERROR(('Emissions GEI'!S38*'Global Warming Potential GWP'!$E$6+'Emissions GEI'!AJ38*'Global Warming Potential GWP'!$E$7+'Emissions GEI'!BA38*'Global Warming Potential GWP'!$E$8)/1000,"NA")</f>
        <v>1.7012241791999998</v>
      </c>
      <c r="T13" s="86">
        <f>IFERROR(('Emissions GEI'!T38*'Global Warming Potential GWP'!$E$6+'Emissions GEI'!AK38*'Global Warming Potential GWP'!$E$7+'Emissions GEI'!BB38*'Global Warming Potential GWP'!$E$8)/1000,"NA")</f>
        <v>1.7012241791999998</v>
      </c>
    </row>
    <row r="14" spans="2:20" x14ac:dyDescent="0.35">
      <c r="B14" s="698"/>
      <c r="C14" s="360" t="s">
        <v>126</v>
      </c>
      <c r="D14" s="85">
        <f>IFERROR(('Emissions GEI'!U39*'Global Warming Potential GWP'!$E$7+'Emissions GEI'!AL39*'Global Warming Potential GWP'!$E$8)/1000,"NA")</f>
        <v>4.3757999999999998E-2</v>
      </c>
      <c r="E14" s="39">
        <f>IFERROR(('Emissions GEI'!V39*'Global Warming Potential GWP'!$E$7+'Emissions GEI'!AM39*'Global Warming Potential GWP'!$E$8)/1000,"NA")</f>
        <v>4.3757999999999998E-2</v>
      </c>
      <c r="F14" s="39">
        <f>IFERROR(('Emissions GEI'!W39*'Global Warming Potential GWP'!$E$7+'Emissions GEI'!AN39*'Global Warming Potential GWP'!$E$8)/1000,"NA")</f>
        <v>4.2299400000000001E-2</v>
      </c>
      <c r="G14" s="39">
        <f>IFERROR(('Emissions GEI'!X39*'Global Warming Potential GWP'!$E$7+'Emissions GEI'!AO39*'Global Warming Potential GWP'!$E$8)/1000,"NA")</f>
        <v>4.1715960000000003E-2</v>
      </c>
      <c r="H14" s="39">
        <f>IFERROR(('Emissions GEI'!Y39*'Global Warming Potential GWP'!$E$7+'Emissions GEI'!AP39*'Global Warming Potential GWP'!$E$8)/1000,"NA")</f>
        <v>4.1278380000000003E-2</v>
      </c>
      <c r="I14" s="39">
        <f>IFERROR(('Emissions GEI'!Z39*'Global Warming Potential GWP'!$E$7+'Emissions GEI'!AQ39*'Global Warming Potential GWP'!$E$8)/1000,"NA")</f>
        <v>4.0840799999999997E-2</v>
      </c>
      <c r="J14" s="39">
        <f>IFERROR(('Emissions GEI'!AA39*'Global Warming Potential GWP'!$E$7+'Emissions GEI'!AR39*'Global Warming Potential GWP'!$E$8)/1000,"NA")</f>
        <v>4.1570099999999999E-2</v>
      </c>
      <c r="K14" s="39">
        <f>IFERROR(('Emissions GEI'!AB39*'Global Warming Potential GWP'!$E$7+'Emissions GEI'!AS39*'Global Warming Potential GWP'!$E$8)/1000,"NA")</f>
        <v>4.1570099999999999E-2</v>
      </c>
      <c r="L14" s="39">
        <f>IFERROR(('Emissions GEI'!AC39*'Global Warming Potential GWP'!$E$7+'Emissions GEI'!AT39*'Global Warming Potential GWP'!$E$8)/1000,"NA")</f>
        <v>4.1570099999999999E-2</v>
      </c>
      <c r="M14" s="39">
        <f>IFERROR(('Emissions GEI'!AD39*'Global Warming Potential GWP'!$E$7+'Emissions GEI'!AU39*'Global Warming Potential GWP'!$E$8)/1000,"NA")</f>
        <v>4.1599272E-2</v>
      </c>
      <c r="N14" s="39">
        <f>IFERROR(('Emissions GEI'!AE39*'Global Warming Potential GWP'!$E$7+'Emissions GEI'!AV39*'Global Warming Potential GWP'!$E$8)/1000,"NA")</f>
        <v>4.1599272E-2</v>
      </c>
      <c r="O14" s="39">
        <f>IFERROR(('Emissions GEI'!AF39*'Global Warming Potential GWP'!$E$7+'Emissions GEI'!AW39*'Global Warming Potential GWP'!$E$8)/1000,"NA")</f>
        <v>4.1570099999999999E-2</v>
      </c>
      <c r="P14" s="39">
        <f>IFERROR(('Emissions GEI'!AG39*'Global Warming Potential GWP'!$E$7+'Emissions GEI'!AX39*'Global Warming Potential GWP'!$E$8)/1000,"NA")</f>
        <v>4.1132519999999999E-2</v>
      </c>
      <c r="Q14" s="39">
        <f>IFERROR(('Emissions GEI'!AH39*'Global Warming Potential GWP'!$E$7+'Emissions GEI'!AY39*'Global Warming Potential GWP'!$E$8)/1000,"NA")</f>
        <v>4.040321999999999E-2</v>
      </c>
      <c r="R14" s="39">
        <f>IFERROR(('Emissions GEI'!AI39*'Global Warming Potential GWP'!$E$7+'Emissions GEI'!AZ39*'Global Warming Potential GWP'!$E$8)/1000,"NA")</f>
        <v>3.9177995999999993E-2</v>
      </c>
      <c r="S14" s="39">
        <f>IFERROR(('Emissions GEI'!AJ39*'Global Warming Potential GWP'!$E$7+'Emissions GEI'!BA39*'Global Warming Potential GWP'!$E$8)/1000,"NA")</f>
        <v>3.7923599999999995E-2</v>
      </c>
      <c r="T14" s="86">
        <f>IFERROR(('Emissions GEI'!AK39*'Global Warming Potential GWP'!$E$7+'Emissions GEI'!BB39*'Global Warming Potential GWP'!$E$8)/1000,"NA")</f>
        <v>3.6785891999999987E-2</v>
      </c>
    </row>
    <row r="15" spans="2:20" ht="15" thickBot="1" x14ac:dyDescent="0.4">
      <c r="B15" s="702"/>
      <c r="C15" s="422" t="s">
        <v>16</v>
      </c>
      <c r="D15" s="423">
        <f>IFERROR(('Emissions GEI'!U40*'Global Warming Potential GWP'!$E$7+'Emissions GEI'!AL40*'Global Warming Potential GWP'!$E$8)/1000,"NA")</f>
        <v>7.0706532600000003</v>
      </c>
      <c r="E15" s="419">
        <f>IFERROR(('Emissions GEI'!V40*'Global Warming Potential GWP'!$E$7+'Emissions GEI'!AM40*'Global Warming Potential GWP'!$E$8)/1000,"NA")</f>
        <v>7.0235329999999996</v>
      </c>
      <c r="F15" s="419">
        <f>IFERROR(('Emissions GEI'!W40*'Global Warming Potential GWP'!$E$7+'Emissions GEI'!AN40*'Global Warming Potential GWP'!$E$8)/1000,"NA")</f>
        <v>5.8697410926</v>
      </c>
      <c r="G15" s="419">
        <f>IFERROR(('Emissions GEI'!X40*'Global Warming Potential GWP'!$E$7+'Emissions GEI'!AO40*'Global Warming Potential GWP'!$E$8)/1000,"NA")</f>
        <v>6.7554529415999989</v>
      </c>
      <c r="H15" s="419">
        <f>IFERROR(('Emissions GEI'!Y40*'Global Warming Potential GWP'!$E$7+'Emissions GEI'!AP40*'Global Warming Potential GWP'!$E$8)/1000,"NA")</f>
        <v>6.853436921100001</v>
      </c>
      <c r="I15" s="419">
        <f>IFERROR(('Emissions GEI'!Z40*'Global Warming Potential GWP'!$E$7+'Emissions GEI'!AQ40*'Global Warming Potential GWP'!$E$8)/1000,"NA")</f>
        <v>6.2868612355999982</v>
      </c>
      <c r="J15" s="419">
        <f>IFERROR(('Emissions GEI'!AA40*'Global Warming Potential GWP'!$E$7+'Emissions GEI'!AR40*'Global Warming Potential GWP'!$E$8)/1000,"NA")</f>
        <v>6.1113828104999994</v>
      </c>
      <c r="K15" s="419">
        <f>IFERROR(('Emissions GEI'!AB40*'Global Warming Potential GWP'!$E$7+'Emissions GEI'!AS40*'Global Warming Potential GWP'!$E$8)/1000,"NA")</f>
        <v>4.8526050616963934</v>
      </c>
      <c r="L15" s="419">
        <f>IFERROR(('Emissions GEI'!AC40*'Global Warming Potential GWP'!$E$7+'Emissions GEI'!AT40*'Global Warming Potential GWP'!$E$8)/1000,"NA")</f>
        <v>3.2141202524625725</v>
      </c>
      <c r="M15" s="419">
        <f>IFERROR(('Emissions GEI'!AD40*'Global Warming Potential GWP'!$E$7+'Emissions GEI'!AU40*'Global Warming Potential GWP'!$E$8)/1000,"NA")</f>
        <v>3.0685560495885316</v>
      </c>
      <c r="N15" s="419">
        <f>IFERROR(('Emissions GEI'!AE40*'Global Warming Potential GWP'!$E$7+'Emissions GEI'!AV40*'Global Warming Potential GWP'!$E$8)/1000,"NA")</f>
        <v>3.6068482049057056</v>
      </c>
      <c r="O15" s="419">
        <f>IFERROR(('Emissions GEI'!AF40*'Global Warming Potential GWP'!$E$7+'Emissions GEI'!AW40*'Global Warming Potential GWP'!$E$8)/1000,"NA")</f>
        <v>3.1883917561219111</v>
      </c>
      <c r="P15" s="419">
        <f>IFERROR(('Emissions GEI'!AG40*'Global Warming Potential GWP'!$E$7+'Emissions GEI'!AX40*'Global Warming Potential GWP'!$E$8)/1000,"NA")</f>
        <v>2.8040228460976326</v>
      </c>
      <c r="Q15" s="419">
        <f>IFERROR(('Emissions GEI'!AH40*'Global Warming Potential GWP'!$E$7+'Emissions GEI'!AY40*'Global Warming Potential GWP'!$E$8)/1000,"NA")</f>
        <v>2.768505213576971</v>
      </c>
      <c r="R15" s="419">
        <f>IFERROR(('Emissions GEI'!AI40*'Global Warming Potential GWP'!$E$7+'Emissions GEI'!AZ40*'Global Warming Potential GWP'!$E$8)/1000,"NA")</f>
        <v>2.4043624999283209</v>
      </c>
      <c r="S15" s="419">
        <f>IFERROR(('Emissions GEI'!AJ40*'Global Warming Potential GWP'!$E$7+'Emissions GEI'!BA40*'Global Warming Potential GWP'!$E$8)/1000,"NA")</f>
        <v>2.4658080068917152</v>
      </c>
      <c r="T15" s="420">
        <f>IFERROR(('Emissions GEI'!AK40*'Global Warming Potential GWP'!$E$7+'Emissions GEI'!BB40*'Global Warming Potential GWP'!$E$8)/1000,"NA")</f>
        <v>1.9874623986997955</v>
      </c>
    </row>
    <row r="16" spans="2:20" s="110" customFormat="1" x14ac:dyDescent="0.35">
      <c r="B16" s="640" t="s">
        <v>364</v>
      </c>
      <c r="C16" s="421" t="s">
        <v>63</v>
      </c>
      <c r="D16" s="130">
        <f>IFERROR((('Emissions GEI'!D9*'Global Warming Potential GWP'!$E$6+'Emissions GEI'!U9*'Global Warming Potential GWP'!$E$7+'Emissions GEI'!AL9*'Global Warming Potential GWP'!$E$8)/1000),"NA")</f>
        <v>8.0482792499999997E-2</v>
      </c>
      <c r="E16" s="131">
        <f>IFERROR((('Emissions GEI'!E9*'Global Warming Potential GWP'!$E$6+'Emissions GEI'!V9*'Global Warming Potential GWP'!$E$7+'Emissions GEI'!AM9*'Global Warming Potential GWP'!$E$8)/1000),"NA")</f>
        <v>8.0482792499999997E-2</v>
      </c>
      <c r="F16" s="131">
        <f>IFERROR((('Emissions GEI'!F9*'Global Warming Potential GWP'!$E$6+'Emissions GEI'!W9*'Global Warming Potential GWP'!$E$7+'Emissions GEI'!AN9*'Global Warming Potential GWP'!$E$8)/1000),"NA")</f>
        <v>8.0482792499999997E-2</v>
      </c>
      <c r="G16" s="131">
        <f>IFERROR((('Emissions GEI'!G9*'Global Warming Potential GWP'!$E$6+'Emissions GEI'!X9*'Global Warming Potential GWP'!$E$7+'Emissions GEI'!AO9*'Global Warming Potential GWP'!$E$8)/1000),"NA")</f>
        <v>8.0482792499999997E-2</v>
      </c>
      <c r="H16" s="131">
        <f>IFERROR((('Emissions GEI'!H9*'Global Warming Potential GWP'!$E$6+'Emissions GEI'!Y9*'Global Warming Potential GWP'!$E$7+'Emissions GEI'!AP9*'Global Warming Potential GWP'!$E$8)/1000),"NA")</f>
        <v>8.0482792499999997E-2</v>
      </c>
      <c r="I16" s="131">
        <f>IFERROR((('Emissions GEI'!I9*'Global Warming Potential GWP'!$E$6+'Emissions GEI'!Z9*'Global Warming Potential GWP'!$E$7+'Emissions GEI'!AQ9*'Global Warming Potential GWP'!$E$8)/1000),"NA")</f>
        <v>8.0482792499999997E-2</v>
      </c>
      <c r="J16" s="131">
        <f>IFERROR((('Emissions GEI'!J9*'Global Warming Potential GWP'!$E$6+'Emissions GEI'!AA9*'Global Warming Potential GWP'!$E$7+'Emissions GEI'!AR9*'Global Warming Potential GWP'!$E$8)/1000),"NA")</f>
        <v>8.0482792499999997E-2</v>
      </c>
      <c r="K16" s="131">
        <f>IFERROR((('Emissions GEI'!K9*'Global Warming Potential GWP'!$E$6+'Emissions GEI'!AB9*'Global Warming Potential GWP'!$E$7+'Emissions GEI'!AS9*'Global Warming Potential GWP'!$E$8)/1000),"NA")</f>
        <v>8.0482792499999997E-2</v>
      </c>
      <c r="L16" s="131">
        <f>IFERROR((('Emissions GEI'!L9*'Global Warming Potential GWP'!$E$6+'Emissions GEI'!AC9*'Global Warming Potential GWP'!$E$7+'Emissions GEI'!AT9*'Global Warming Potential GWP'!$E$8)/1000),"NA")</f>
        <v>8.0482792499999997E-2</v>
      </c>
      <c r="M16" s="131">
        <f>IFERROR((('Emissions GEI'!M9*'Global Warming Potential GWP'!$E$6+'Emissions GEI'!AD9*'Global Warming Potential GWP'!$E$7+'Emissions GEI'!AU9*'Global Warming Potential GWP'!$E$8)/1000),"NA")</f>
        <v>8.0482792499999997E-2</v>
      </c>
      <c r="N16" s="131">
        <f>IFERROR((('Emissions GEI'!N9*'Global Warming Potential GWP'!$E$6+'Emissions GEI'!AE9*'Global Warming Potential GWP'!$E$7+'Emissions GEI'!AV9*'Global Warming Potential GWP'!$E$8)/1000),"NA")</f>
        <v>8.0482792499999997E-2</v>
      </c>
      <c r="O16" s="131">
        <f>IFERROR((('Emissions GEI'!O9*'Global Warming Potential GWP'!$E$6+'Emissions GEI'!AF9*'Global Warming Potential GWP'!$E$7+'Emissions GEI'!AW9*'Global Warming Potential GWP'!$E$8)/1000),"NA")</f>
        <v>8.0482792499999997E-2</v>
      </c>
      <c r="P16" s="131">
        <f>IFERROR((('Emissions GEI'!P9*'Global Warming Potential GWP'!$E$6+'Emissions GEI'!AG9*'Global Warming Potential GWP'!$E$7+'Emissions GEI'!AX9*'Global Warming Potential GWP'!$E$8)/1000),"NA")</f>
        <v>8.0482792499999997E-2</v>
      </c>
      <c r="Q16" s="131">
        <f>IFERROR((('Emissions GEI'!Q9*'Global Warming Potential GWP'!$E$6+'Emissions GEI'!AH9*'Global Warming Potential GWP'!$E$7+'Emissions GEI'!AY9*'Global Warming Potential GWP'!$E$8)/1000),"NA")</f>
        <v>8.0482792499999997E-2</v>
      </c>
      <c r="R16" s="131">
        <f>IFERROR((('Emissions GEI'!R9*'Global Warming Potential GWP'!$E$6+'Emissions GEI'!AI9*'Global Warming Potential GWP'!$E$7+'Emissions GEI'!AZ9*'Global Warming Potential GWP'!$E$8)/1000),"NA")</f>
        <v>8.3702104199999974E-2</v>
      </c>
      <c r="S16" s="131">
        <f>IFERROR((('Emissions GEI'!S9*'Global Warming Potential GWP'!$E$6+'Emissions GEI'!AJ9*'Global Warming Potential GWP'!$E$7+'Emissions GEI'!BA9*'Global Warming Potential GWP'!$E$8)/1000),"NA")</f>
        <v>8.3702104199999974E-2</v>
      </c>
      <c r="T16" s="132">
        <f>IFERROR((('Emissions GEI'!T9*'Global Warming Potential GWP'!$E$6+'Emissions GEI'!AK9*'Global Warming Potential GWP'!$E$7+'Emissions GEI'!BB9*'Global Warming Potential GWP'!$E$8)/1000),"NA")</f>
        <v>8.3702104199999974E-2</v>
      </c>
    </row>
    <row r="17" spans="2:20" s="110" customFormat="1" x14ac:dyDescent="0.35">
      <c r="B17" s="638"/>
      <c r="C17" s="432" t="s">
        <v>136</v>
      </c>
      <c r="D17" s="85">
        <f>IFERROR((('Emissions GEI'!D10*'Global Warming Potential GWP'!$E$6+'Emissions GEI'!U10*'Global Warming Potential GWP'!$E$7+'Emissions GEI'!AL10*'Global Warming Potential GWP'!$E$8)/1000),"NA")</f>
        <v>1.6981083839999997</v>
      </c>
      <c r="E17" s="39">
        <f>IFERROR((('Emissions GEI'!E10*'Global Warming Potential GWP'!$E$6+'Emissions GEI'!V10*'Global Warming Potential GWP'!$E$7+'Emissions GEI'!AM10*'Global Warming Potential GWP'!$E$8)/1000),"NA")</f>
        <v>1.6981083839999997</v>
      </c>
      <c r="F17" s="39">
        <f>IFERROR((('Emissions GEI'!F10*'Global Warming Potential GWP'!$E$6+'Emissions GEI'!W10*'Global Warming Potential GWP'!$E$7+'Emissions GEI'!AN10*'Global Warming Potential GWP'!$E$8)/1000),"NA")</f>
        <v>1.6981083839999997</v>
      </c>
      <c r="G17" s="39">
        <f>IFERROR((('Emissions GEI'!G10*'Global Warming Potential GWP'!$E$6+'Emissions GEI'!X10*'Global Warming Potential GWP'!$E$7+'Emissions GEI'!AO10*'Global Warming Potential GWP'!$E$8)/1000),"NA")</f>
        <v>1.6981083839999997</v>
      </c>
      <c r="H17" s="39">
        <f>IFERROR((('Emissions GEI'!H10*'Global Warming Potential GWP'!$E$6+'Emissions GEI'!Y10*'Global Warming Potential GWP'!$E$7+'Emissions GEI'!AP10*'Global Warming Potential GWP'!$E$8)/1000),"NA")</f>
        <v>1.6981083839999997</v>
      </c>
      <c r="I17" s="39">
        <f>IFERROR((('Emissions GEI'!I10*'Global Warming Potential GWP'!$E$6+'Emissions GEI'!Z10*'Global Warming Potential GWP'!$E$7+'Emissions GEI'!AQ10*'Global Warming Potential GWP'!$E$8)/1000),"NA")</f>
        <v>1.6981083839999997</v>
      </c>
      <c r="J17" s="39">
        <f>IFERROR((('Emissions GEI'!J10*'Global Warming Potential GWP'!$E$6+'Emissions GEI'!AA10*'Global Warming Potential GWP'!$E$7+'Emissions GEI'!AR10*'Global Warming Potential GWP'!$E$8)/1000),"NA")</f>
        <v>1.6981083839999997</v>
      </c>
      <c r="K17" s="39">
        <f>IFERROR((('Emissions GEI'!K10*'Global Warming Potential GWP'!$E$6+'Emissions GEI'!AB10*'Global Warming Potential GWP'!$E$7+'Emissions GEI'!AS10*'Global Warming Potential GWP'!$E$8)/1000),"NA")</f>
        <v>1.6981083839999997</v>
      </c>
      <c r="L17" s="39">
        <f>IFERROR((('Emissions GEI'!L10*'Global Warming Potential GWP'!$E$6+'Emissions GEI'!AC10*'Global Warming Potential GWP'!$E$7+'Emissions GEI'!AT10*'Global Warming Potential GWP'!$E$8)/1000),"NA")</f>
        <v>1.6981083839999997</v>
      </c>
      <c r="M17" s="39">
        <f>IFERROR((('Emissions GEI'!M10*'Global Warming Potential GWP'!$E$6+'Emissions GEI'!AD10*'Global Warming Potential GWP'!$E$7+'Emissions GEI'!AU10*'Global Warming Potential GWP'!$E$8)/1000),"NA")</f>
        <v>1.6981083839999997</v>
      </c>
      <c r="N17" s="39">
        <f>IFERROR((('Emissions GEI'!N10*'Global Warming Potential GWP'!$E$6+'Emissions GEI'!AE10*'Global Warming Potential GWP'!$E$7+'Emissions GEI'!AV10*'Global Warming Potential GWP'!$E$8)/1000),"NA")</f>
        <v>1.6981083839999997</v>
      </c>
      <c r="O17" s="39">
        <f>IFERROR((('Emissions GEI'!O10*'Global Warming Potential GWP'!$E$6+'Emissions GEI'!AF10*'Global Warming Potential GWP'!$E$7+'Emissions GEI'!AW10*'Global Warming Potential GWP'!$E$8)/1000),"NA")</f>
        <v>1.6981083839999997</v>
      </c>
      <c r="P17" s="39">
        <f>IFERROR((('Emissions GEI'!P10*'Global Warming Potential GWP'!$E$6+'Emissions GEI'!AG10*'Global Warming Potential GWP'!$E$7+'Emissions GEI'!AX10*'Global Warming Potential GWP'!$E$8)/1000),"NA")</f>
        <v>1.6981083839999997</v>
      </c>
      <c r="Q17" s="39">
        <f>IFERROR((('Emissions GEI'!Q10*'Global Warming Potential GWP'!$E$6+'Emissions GEI'!AH10*'Global Warming Potential GWP'!$E$7+'Emissions GEI'!AY10*'Global Warming Potential GWP'!$E$8)/1000),"NA")</f>
        <v>1.6981083839999997</v>
      </c>
      <c r="R17" s="39">
        <f>IFERROR((('Emissions GEI'!R10*'Global Warming Potential GWP'!$E$6+'Emissions GEI'!AI10*'Global Warming Potential GWP'!$E$7+'Emissions GEI'!AZ10*'Global Warming Potential GWP'!$E$8)/1000),"NA")</f>
        <v>1.6981083839999997</v>
      </c>
      <c r="S17" s="39">
        <f>IFERROR((('Emissions GEI'!S10*'Global Warming Potential GWP'!$E$6+'Emissions GEI'!AJ10*'Global Warming Potential GWP'!$E$7+'Emissions GEI'!BA10*'Global Warming Potential GWP'!$E$8)/1000),"NA")</f>
        <v>1.7012241791999998</v>
      </c>
      <c r="T17" s="86">
        <f>IFERROR((('Emissions GEI'!T10*'Global Warming Potential GWP'!$E$6+'Emissions GEI'!AK10*'Global Warming Potential GWP'!$E$7+'Emissions GEI'!BB10*'Global Warming Potential GWP'!$E$8)/1000),"NA")</f>
        <v>1.7012241791999998</v>
      </c>
    </row>
    <row r="18" spans="2:20" s="110" customFormat="1" x14ac:dyDescent="0.35">
      <c r="B18" s="643" t="s">
        <v>365</v>
      </c>
      <c r="C18" s="360" t="s">
        <v>63</v>
      </c>
      <c r="D18" s="85">
        <f>IFERROR((('Emissions GEI'!D11*'Global Warming Potential GWP'!$E$6+'Emissions GEI'!U11*'Global Warming Potential GWP'!$E$7+'Emissions GEI'!AL11*'Global Warming Potential GWP'!$E$8)/1000),"NA")</f>
        <v>8.458317898105264</v>
      </c>
      <c r="E18" s="39">
        <f>IFERROR((('Emissions GEI'!E11*'Global Warming Potential GWP'!$E$6+'Emissions GEI'!V11*'Global Warming Potential GWP'!$E$7+'Emissions GEI'!AM11*'Global Warming Potential GWP'!$E$8)/1000),"NA")</f>
        <v>7.6313953285957883</v>
      </c>
      <c r="F18" s="39">
        <f>IFERROR((('Emissions GEI'!F11*'Global Warming Potential GWP'!$E$6+'Emissions GEI'!W11*'Global Warming Potential GWP'!$E$7+'Emissions GEI'!AN11*'Global Warming Potential GWP'!$E$8)/1000),"NA")</f>
        <v>7.6061830348610533</v>
      </c>
      <c r="G18" s="39">
        <f>IFERROR((('Emissions GEI'!G11*'Global Warming Potential GWP'!$E$6+'Emissions GEI'!X11*'Global Warming Potential GWP'!$E$7+'Emissions GEI'!AO11*'Global Warming Potential GWP'!$E$8)/1000),"NA")</f>
        <v>8.3918306396273668</v>
      </c>
      <c r="H18" s="39">
        <f>IFERROR((('Emissions GEI'!H11*'Global Warming Potential GWP'!$E$6+'Emissions GEI'!Y11*'Global Warming Potential GWP'!$E$7+'Emissions GEI'!AP11*'Global Warming Potential GWP'!$E$8)/1000),"NA")</f>
        <v>8.8186097085726303</v>
      </c>
      <c r="I18" s="39">
        <f>IFERROR((('Emissions GEI'!I11*'Global Warming Potential GWP'!$E$6+'Emissions GEI'!Z11*'Global Warming Potential GWP'!$E$7+'Emissions GEI'!AQ11*'Global Warming Potential GWP'!$E$8)/1000),"NA")</f>
        <v>8.3621451970042102</v>
      </c>
      <c r="J18" s="39">
        <f>IFERROR((('Emissions GEI'!J11*'Global Warming Potential GWP'!$E$6+'Emissions GEI'!AA11*'Global Warming Potential GWP'!$E$7+'Emissions GEI'!AR11*'Global Warming Potential GWP'!$E$8)/1000),"NA")</f>
        <v>10.118872760456844</v>
      </c>
      <c r="K18" s="39">
        <f>IFERROR((('Emissions GEI'!K11*'Global Warming Potential GWP'!$E$6+'Emissions GEI'!AB11*'Global Warming Potential GWP'!$E$7+'Emissions GEI'!AS11*'Global Warming Potential GWP'!$E$8)/1000),"NA")</f>
        <v>9.8279147577600021</v>
      </c>
      <c r="L18" s="39">
        <f>IFERROR((('Emissions GEI'!L11*'Global Warming Potential GWP'!$E$6+'Emissions GEI'!AC11*'Global Warming Potential GWP'!$E$7+'Emissions GEI'!AT11*'Global Warming Potential GWP'!$E$8)/1000),"NA")</f>
        <v>9.41414848558105</v>
      </c>
      <c r="M18" s="39">
        <f>IFERROR((('Emissions GEI'!M11*'Global Warming Potential GWP'!$E$6+'Emissions GEI'!AD11*'Global Warming Potential GWP'!$E$7+'Emissions GEI'!AU11*'Global Warming Potential GWP'!$E$8)/1000),"NA")</f>
        <v>9.3289553317515779</v>
      </c>
      <c r="N18" s="39">
        <f>IFERROR((('Emissions GEI'!N11*'Global Warming Potential GWP'!$E$6+'Emissions GEI'!AE11*'Global Warming Potential GWP'!$E$7+'Emissions GEI'!AV11*'Global Warming Potential GWP'!$E$8)/1000),"NA")</f>
        <v>9.4633531233536825</v>
      </c>
      <c r="O18" s="39">
        <f>IFERROR((('Emissions GEI'!O11*'Global Warming Potential GWP'!$E$6+'Emissions GEI'!AF11*'Global Warming Potential GWP'!$E$7+'Emissions GEI'!AW11*'Global Warming Potential GWP'!$E$8)/1000),"NA")</f>
        <v>8.7620853726189463</v>
      </c>
      <c r="P18" s="39">
        <f>IFERROR((('Emissions GEI'!P11*'Global Warming Potential GWP'!$E$6+'Emissions GEI'!AG11*'Global Warming Potential GWP'!$E$7+'Emissions GEI'!AX11*'Global Warming Potential GWP'!$E$8)/1000),"NA")</f>
        <v>8.3993536627578944</v>
      </c>
      <c r="Q18" s="39">
        <f>IFERROR((('Emissions GEI'!Q11*'Global Warming Potential GWP'!$E$6+'Emissions GEI'!AH11*'Global Warming Potential GWP'!$E$7+'Emissions GEI'!AY11*'Global Warming Potential GWP'!$E$8)/1000),"NA")</f>
        <v>7.206446184195789</v>
      </c>
      <c r="R18" s="39">
        <f>IFERROR((('Emissions GEI'!R11*'Global Warming Potential GWP'!$E$6+'Emissions GEI'!AI11*'Global Warming Potential GWP'!$E$7+'Emissions GEI'!AZ11*'Global Warming Potential GWP'!$E$8)/1000),"NA")</f>
        <v>7.3392173762021047</v>
      </c>
      <c r="S18" s="39">
        <f>IFERROR((('Emissions GEI'!S11*'Global Warming Potential GWP'!$E$6+'Emissions GEI'!AJ11*'Global Warming Potential GWP'!$E$7+'Emissions GEI'!BA11*'Global Warming Potential GWP'!$E$8)/1000),"NA")</f>
        <v>7.4400665511410526</v>
      </c>
      <c r="T18" s="86">
        <f>IFERROR((('Emissions GEI'!T11*'Global Warming Potential GWP'!$E$6+'Emissions GEI'!AK11*'Global Warming Potential GWP'!$E$7+'Emissions GEI'!BB11*'Global Warming Potential GWP'!$E$8)/1000),"NA")</f>
        <v>7.1783873411684196</v>
      </c>
    </row>
    <row r="19" spans="2:20" s="110" customFormat="1" x14ac:dyDescent="0.35">
      <c r="B19" s="641"/>
      <c r="C19" s="360" t="s">
        <v>125</v>
      </c>
      <c r="D19" s="85">
        <f>IFERROR((('Emissions GEI'!D12*'Global Warming Potential GWP'!$E$6+'Emissions GEI'!U12*'Global Warming Potential GWP'!$E$7+'Emissions GEI'!AL12*'Global Warming Potential GWP'!$E$8)/1000),"NA")</f>
        <v>0.42382205901538456</v>
      </c>
      <c r="E19" s="39">
        <f>IFERROR((('Emissions GEI'!E12*'Global Warming Potential GWP'!$E$6+'Emissions GEI'!V12*'Global Warming Potential GWP'!$E$7+'Emissions GEI'!AM12*'Global Warming Potential GWP'!$E$8)/1000),"NA")</f>
        <v>0.41934142461538454</v>
      </c>
      <c r="F19" s="39">
        <f>IFERROR((('Emissions GEI'!F12*'Global Warming Potential GWP'!$E$6+'Emissions GEI'!W12*'Global Warming Potential GWP'!$E$7+'Emissions GEI'!AN12*'Global Warming Potential GWP'!$E$8)/1000),"NA")</f>
        <v>0.40233799150769234</v>
      </c>
      <c r="G19" s="39">
        <f>IFERROR((('Emissions GEI'!G12*'Global Warming Potential GWP'!$E$6+'Emissions GEI'!X12*'Global Warming Potential GWP'!$E$7+'Emissions GEI'!AO12*'Global Warming Potential GWP'!$E$8)/1000),"NA")</f>
        <v>0.34052821440000003</v>
      </c>
      <c r="H19" s="39">
        <f>IFERROR((('Emissions GEI'!H12*'Global Warming Potential GWP'!$E$6+'Emissions GEI'!Y12*'Global Warming Potential GWP'!$E$7+'Emissions GEI'!AP12*'Global Warming Potential GWP'!$E$8)/1000),"NA")</f>
        <v>0.31663149759999992</v>
      </c>
      <c r="I19" s="39">
        <f>IFERROR((('Emissions GEI'!I12*'Global Warming Potential GWP'!$E$6+'Emissions GEI'!Z12*'Global Warming Potential GWP'!$E$7+'Emissions GEI'!AQ12*'Global Warming Potential GWP'!$E$8)/1000),"NA")</f>
        <v>0.44852299224615383</v>
      </c>
      <c r="J19" s="39">
        <f>IFERROR((('Emissions GEI'!J12*'Global Warming Potential GWP'!$E$6+'Emissions GEI'!AA12*'Global Warming Potential GWP'!$E$7+'Emissions GEI'!AR12*'Global Warming Potential GWP'!$E$8)/1000),"NA")</f>
        <v>0.45553116399999993</v>
      </c>
      <c r="K19" s="39">
        <f>IFERROR((('Emissions GEI'!K12*'Global Warming Potential GWP'!$E$6+'Emissions GEI'!AB12*'Global Warming Potential GWP'!$E$7+'Emissions GEI'!AS12*'Global Warming Potential GWP'!$E$8)/1000),"NA")</f>
        <v>0.46736463433846154</v>
      </c>
      <c r="L19" s="39">
        <f>IFERROR((('Emissions GEI'!L12*'Global Warming Potential GWP'!$E$6+'Emissions GEI'!AC12*'Global Warming Potential GWP'!$E$7+'Emissions GEI'!AT12*'Global Warming Potential GWP'!$E$8)/1000),"NA")</f>
        <v>0.56524926276923093</v>
      </c>
      <c r="M19" s="39">
        <f>IFERROR((('Emissions GEI'!M12*'Global Warming Potential GWP'!$E$6+'Emissions GEI'!AD12*'Global Warming Potential GWP'!$E$7+'Emissions GEI'!AU12*'Global Warming Potential GWP'!$E$8)/1000),"NA")</f>
        <v>0.57524452412307703</v>
      </c>
      <c r="N19" s="39">
        <f>IFERROR((('Emissions GEI'!N12*'Global Warming Potential GWP'!$E$6+'Emissions GEI'!AE12*'Global Warming Potential GWP'!$E$7+'Emissions GEI'!AV12*'Global Warming Potential GWP'!$E$8)/1000),"NA")</f>
        <v>0.5884566511999999</v>
      </c>
      <c r="O19" s="39">
        <f>IFERROR((('Emissions GEI'!O12*'Global Warming Potential GWP'!$E$6+'Emissions GEI'!AF12*'Global Warming Potential GWP'!$E$7+'Emissions GEI'!AW12*'Global Warming Potential GWP'!$E$8)/1000),"NA")</f>
        <v>0.60178366633846159</v>
      </c>
      <c r="P19" s="39">
        <f>IFERROR((('Emissions GEI'!P12*'Global Warming Potential GWP'!$E$6+'Emissions GEI'!AG12*'Global Warming Potential GWP'!$E$7+'Emissions GEI'!AX12*'Global Warming Potential GWP'!$E$8)/1000),"NA")</f>
        <v>0.62763348018461518</v>
      </c>
      <c r="Q19" s="39">
        <f>IFERROR((('Emissions GEI'!Q12*'Global Warming Potential GWP'!$E$6+'Emissions GEI'!AH12*'Global Warming Potential GWP'!$E$7+'Emissions GEI'!AY12*'Global Warming Potential GWP'!$E$8)/1000),"NA")</f>
        <v>0.61499579341538468</v>
      </c>
      <c r="R19" s="39">
        <f>IFERROR((('Emissions GEI'!R12*'Global Warming Potential GWP'!$E$6+'Emissions GEI'!AI12*'Global Warming Potential GWP'!$E$7+'Emissions GEI'!AZ12*'Global Warming Potential GWP'!$E$8)/1000),"NA")</f>
        <v>0.62349750996923081</v>
      </c>
      <c r="S19" s="39">
        <f>IFERROR((('Emissions GEI'!S12*'Global Warming Potential GWP'!$E$6+'Emissions GEI'!AJ12*'Global Warming Potential GWP'!$E$7+'Emissions GEI'!BA12*'Global Warming Potential GWP'!$E$8)/1000),"NA")</f>
        <v>0.65164508504615382</v>
      </c>
      <c r="T19" s="86">
        <f>IFERROR((('Emissions GEI'!T12*'Global Warming Potential GWP'!$E$6+'Emissions GEI'!AK12*'Global Warming Potential GWP'!$E$7+'Emissions GEI'!BB12*'Global Warming Potential GWP'!$E$8)/1000),"NA")</f>
        <v>0.64348803267692312</v>
      </c>
    </row>
    <row r="20" spans="2:20" s="110" customFormat="1" x14ac:dyDescent="0.35">
      <c r="B20" s="641"/>
      <c r="C20" s="360" t="s">
        <v>18</v>
      </c>
      <c r="D20" s="85">
        <f>IFERROR((('Emissions GEI'!D13*'Global Warming Potential GWP'!$E$6+'Emissions GEI'!U13*'Global Warming Potential GWP'!$E$7+'Emissions GEI'!AL13*'Global Warming Potential GWP'!$E$8)/1000),"NA")</f>
        <v>5.041907141338192</v>
      </c>
      <c r="E20" s="39">
        <f>IFERROR((('Emissions GEI'!E13*'Global Warming Potential GWP'!$E$6+'Emissions GEI'!V13*'Global Warming Potential GWP'!$E$7+'Emissions GEI'!AM13*'Global Warming Potential GWP'!$E$8)/1000),"NA")</f>
        <v>6.3259584717976782</v>
      </c>
      <c r="F20" s="39">
        <f>IFERROR((('Emissions GEI'!F13*'Global Warming Potential GWP'!$E$6+'Emissions GEI'!W13*'Global Warming Potential GWP'!$E$7+'Emissions GEI'!AN13*'Global Warming Potential GWP'!$E$8)/1000),"NA")</f>
        <v>6.4103671870159591</v>
      </c>
      <c r="G20" s="39">
        <f>IFERROR((('Emissions GEI'!G13*'Global Warming Potential GWP'!$E$6+'Emissions GEI'!X13*'Global Warming Potential GWP'!$E$7+'Emissions GEI'!AO13*'Global Warming Potential GWP'!$E$8)/1000),"NA")</f>
        <v>5.7713419184384813</v>
      </c>
      <c r="H20" s="39">
        <f>IFERROR((('Emissions GEI'!H13*'Global Warming Potential GWP'!$E$6+'Emissions GEI'!Y13*'Global Warming Potential GWP'!$E$7+'Emissions GEI'!AP13*'Global Warming Potential GWP'!$E$8)/1000),"NA")</f>
        <v>5.1738163090458942</v>
      </c>
      <c r="I20" s="39">
        <f>IFERROR((('Emissions GEI'!I13*'Global Warming Potential GWP'!$E$6+'Emissions GEI'!Z13*'Global Warming Potential GWP'!$E$7+'Emissions GEI'!AQ13*'Global Warming Potential GWP'!$E$8)/1000),"NA")</f>
        <v>4.7999950853903242</v>
      </c>
      <c r="J20" s="39">
        <f>IFERROR((('Emissions GEI'!J13*'Global Warming Potential GWP'!$E$6+'Emissions GEI'!AA13*'Global Warming Potential GWP'!$E$7+'Emissions GEI'!AR13*'Global Warming Potential GWP'!$E$8)/1000),"NA")</f>
        <v>6.0620420031083135</v>
      </c>
      <c r="K20" s="39">
        <f>IFERROR((('Emissions GEI'!K13*'Global Warming Potential GWP'!$E$6+'Emissions GEI'!AB13*'Global Warming Potential GWP'!$E$7+'Emissions GEI'!AS13*'Global Warming Potential GWP'!$E$8)/1000),"NA")</f>
        <v>6.2852263952901835</v>
      </c>
      <c r="L20" s="39">
        <f>IFERROR((('Emissions GEI'!L13*'Global Warming Potential GWP'!$E$6+'Emissions GEI'!AC13*'Global Warming Potential GWP'!$E$7+'Emissions GEI'!AT13*'Global Warming Potential GWP'!$E$8)/1000),"NA")</f>
        <v>5.6700593559572088</v>
      </c>
      <c r="M20" s="39">
        <f>IFERROR((('Emissions GEI'!M13*'Global Warming Potential GWP'!$E$6+'Emissions GEI'!AD13*'Global Warming Potential GWP'!$E$7+'Emissions GEI'!AU13*'Global Warming Potential GWP'!$E$8)/1000),"NA")</f>
        <v>4.8590724442859576</v>
      </c>
      <c r="N20" s="39">
        <f>IFERROR((('Emissions GEI'!N13*'Global Warming Potential GWP'!$E$6+'Emissions GEI'!AE13*'Global Warming Potential GWP'!$E$7+'Emissions GEI'!AV13*'Global Warming Potential GWP'!$E$8)/1000),"NA")</f>
        <v>4.6779116527344575</v>
      </c>
      <c r="O20" s="39">
        <f>IFERROR((('Emissions GEI'!O13*'Global Warming Potential GWP'!$E$6+'Emissions GEI'!AF13*'Global Warming Potential GWP'!$E$7+'Emissions GEI'!AW13*'Global Warming Potential GWP'!$E$8)/1000),"NA")</f>
        <v>4.5475184749142166</v>
      </c>
      <c r="P20" s="39">
        <f>IFERROR((('Emissions GEI'!P13*'Global Warming Potential GWP'!$E$6+'Emissions GEI'!AG13*'Global Warming Potential GWP'!$E$7+'Emissions GEI'!AX13*'Global Warming Potential GWP'!$E$8)/1000),"NA")</f>
        <v>4.3937763457022871</v>
      </c>
      <c r="Q20" s="39">
        <f>IFERROR((('Emissions GEI'!Q13*'Global Warming Potential GWP'!$E$6+'Emissions GEI'!AH13*'Global Warming Potential GWP'!$E$7+'Emissions GEI'!AY13*'Global Warming Potential GWP'!$E$8)/1000),"NA")</f>
        <v>4.4196068281597585</v>
      </c>
      <c r="R20" s="39">
        <f>IFERROR((('Emissions GEI'!R13*'Global Warming Potential GWP'!$E$6+'Emissions GEI'!AI13*'Global Warming Potential GWP'!$E$7+'Emissions GEI'!AZ13*'Global Warming Potential GWP'!$E$8)/1000),"NA")</f>
        <v>4.5655659735744578</v>
      </c>
      <c r="S20" s="39">
        <f>IFERROR((('Emissions GEI'!S13*'Global Warming Potential GWP'!$E$6+'Emissions GEI'!AJ13*'Global Warming Potential GWP'!$E$7+'Emissions GEI'!BA13*'Global Warming Potential GWP'!$E$8)/1000),"NA")</f>
        <v>4.1963818291059036</v>
      </c>
      <c r="T20" s="86">
        <f>IFERROR((('Emissions GEI'!T13*'Global Warming Potential GWP'!$E$6+'Emissions GEI'!AK13*'Global Warming Potential GWP'!$E$7+'Emissions GEI'!BB13*'Global Warming Potential GWP'!$E$8)/1000),"NA")</f>
        <v>4.1496839263225285</v>
      </c>
    </row>
    <row r="21" spans="2:20" s="110" customFormat="1" x14ac:dyDescent="0.35">
      <c r="B21" s="638"/>
      <c r="C21" s="406" t="s">
        <v>15</v>
      </c>
      <c r="D21" s="85">
        <f>IFERROR((('Emissions GEI'!D14*'Global Warming Potential GWP'!$E$6+'Emissions GEI'!U14*'Global Warming Potential GWP'!$E$7+'Emissions GEI'!AL14*'Global Warming Potential GWP'!$E$8)/1000),"NA")</f>
        <v>8.6481524360000002</v>
      </c>
      <c r="E21" s="39">
        <f>IFERROR((('Emissions GEI'!E14*'Global Warming Potential GWP'!$E$6+'Emissions GEI'!V14*'Global Warming Potential GWP'!$E$7+'Emissions GEI'!AM14*'Global Warming Potential GWP'!$E$8)/1000),"NA")</f>
        <v>9.0958024742199992</v>
      </c>
      <c r="F21" s="39">
        <f>IFERROR((('Emissions GEI'!F14*'Global Warming Potential GWP'!$E$6+'Emissions GEI'!W14*'Global Warming Potential GWP'!$E$7+'Emissions GEI'!AN14*'Global Warming Potential GWP'!$E$8)/1000),"NA")</f>
        <v>9.1193327679999996</v>
      </c>
      <c r="G21" s="39">
        <f>IFERROR((('Emissions GEI'!G14*'Global Warming Potential GWP'!$E$6+'Emissions GEI'!X14*'Global Warming Potential GWP'!$E$7+'Emissions GEI'!AO14*'Global Warming Potential GWP'!$E$8)/1000),"NA")</f>
        <v>10.195522749999997</v>
      </c>
      <c r="H21" s="39">
        <f>IFERROR((('Emissions GEI'!H14*'Global Warming Potential GWP'!$E$6+'Emissions GEI'!Y14*'Global Warming Potential GWP'!$E$7+'Emissions GEI'!AP14*'Global Warming Potential GWP'!$E$8)/1000),"NA")</f>
        <v>8.5016256849999987</v>
      </c>
      <c r="I21" s="39">
        <f>IFERROR((('Emissions GEI'!I14*'Global Warming Potential GWP'!$E$6+'Emissions GEI'!Z14*'Global Warming Potential GWP'!$E$7+'Emissions GEI'!AQ14*'Global Warming Potential GWP'!$E$8)/1000),"NA")</f>
        <v>8.1142392310000009</v>
      </c>
      <c r="J21" s="39">
        <f>IFERROR((('Emissions GEI'!J14*'Global Warming Potential GWP'!$E$6+'Emissions GEI'!AA14*'Global Warming Potential GWP'!$E$7+'Emissions GEI'!AR14*'Global Warming Potential GWP'!$E$8)/1000),"NA")</f>
        <v>7.578170984999999</v>
      </c>
      <c r="K21" s="39">
        <f>IFERROR((('Emissions GEI'!K14*'Global Warming Potential GWP'!$E$6+'Emissions GEI'!AB14*'Global Warming Potential GWP'!$E$7+'Emissions GEI'!AS14*'Global Warming Potential GWP'!$E$8)/1000),"NA")</f>
        <v>6.9911768993220003</v>
      </c>
      <c r="L21" s="39">
        <f>IFERROR((('Emissions GEI'!L14*'Global Warming Potential GWP'!$E$6+'Emissions GEI'!AC14*'Global Warming Potential GWP'!$E$7+'Emissions GEI'!AT14*'Global Warming Potential GWP'!$E$8)/1000),"NA")</f>
        <v>14.525975037954439</v>
      </c>
      <c r="M21" s="39">
        <f>IFERROR((('Emissions GEI'!M14*'Global Warming Potential GWP'!$E$6+'Emissions GEI'!AD14*'Global Warming Potential GWP'!$E$7+'Emissions GEI'!AU14*'Global Warming Potential GWP'!$E$8)/1000),"NA")</f>
        <v>7.4465773236853812</v>
      </c>
      <c r="N21" s="39">
        <f>IFERROR((('Emissions GEI'!N14*'Global Warming Potential GWP'!$E$6+'Emissions GEI'!AE14*'Global Warming Potential GWP'!$E$7+'Emissions GEI'!AV14*'Global Warming Potential GWP'!$E$8)/1000),"NA")</f>
        <v>8.6337802997371185</v>
      </c>
      <c r="O21" s="39">
        <f>IFERROR((('Emissions GEI'!O14*'Global Warming Potential GWP'!$E$6+'Emissions GEI'!AF14*'Global Warming Potential GWP'!$E$7+'Emissions GEI'!AW14*'Global Warming Potential GWP'!$E$8)/1000),"NA")</f>
        <v>8.4402580069697581</v>
      </c>
      <c r="P21" s="39">
        <f>IFERROR((('Emissions GEI'!P14*'Global Warming Potential GWP'!$E$6+'Emissions GEI'!AG14*'Global Warming Potential GWP'!$E$7+'Emissions GEI'!AX14*'Global Warming Potential GWP'!$E$8)/1000),"NA")</f>
        <v>8.8663623659597945</v>
      </c>
      <c r="Q21" s="39">
        <f>IFERROR((('Emissions GEI'!Q14*'Global Warming Potential GWP'!$E$6+'Emissions GEI'!AH14*'Global Warming Potential GWP'!$E$7+'Emissions GEI'!AY14*'Global Warming Potential GWP'!$E$8)/1000),"NA")</f>
        <v>9.4729233357083373</v>
      </c>
      <c r="R21" s="39">
        <f>IFERROR((('Emissions GEI'!R14*'Global Warming Potential GWP'!$E$6+'Emissions GEI'!AI14*'Global Warming Potential GWP'!$E$7+'Emissions GEI'!AZ14*'Global Warming Potential GWP'!$E$8)/1000),"NA")</f>
        <v>10.742153878483563</v>
      </c>
      <c r="S21" s="39">
        <f>IFERROR((('Emissions GEI'!S14*'Global Warming Potential GWP'!$E$6+'Emissions GEI'!AJ14*'Global Warming Potential GWP'!$E$7+'Emissions GEI'!BA14*'Global Warming Potential GWP'!$E$8)/1000),"NA")</f>
        <v>12.403750136602522</v>
      </c>
      <c r="T21" s="86">
        <f>IFERROR((('Emissions GEI'!T14*'Global Warming Potential GWP'!$E$6+'Emissions GEI'!AK14*'Global Warming Potential GWP'!$E$7+'Emissions GEI'!BB14*'Global Warming Potential GWP'!$E$8)/1000),"NA")</f>
        <v>11.53801461673442</v>
      </c>
    </row>
    <row r="22" spans="2:20" s="110" customFormat="1" ht="29" x14ac:dyDescent="0.35">
      <c r="B22" s="368" t="s">
        <v>366</v>
      </c>
      <c r="C22" s="364" t="s">
        <v>18</v>
      </c>
      <c r="D22" s="85">
        <f>IFERROR((('Emissions GEI'!D15*'Global Warming Potential GWP'!$E$6+'Emissions GEI'!U15*'Global Warming Potential GWP'!$E$7+'Emissions GEI'!AL15*'Global Warming Potential GWP'!$E$8)/1000),"NA")</f>
        <v>1.6806357137793975</v>
      </c>
      <c r="E22" s="39">
        <f>IFERROR((('Emissions GEI'!E15*'Global Warming Potential GWP'!$E$6+'Emissions GEI'!V15*'Global Warming Potential GWP'!$E$7+'Emissions GEI'!AM15*'Global Warming Potential GWP'!$E$8)/1000),"NA")</f>
        <v>2.1086528239325601</v>
      </c>
      <c r="F22" s="39">
        <f>IFERROR((('Emissions GEI'!F15*'Global Warming Potential GWP'!$E$6+'Emissions GEI'!W15*'Global Warming Potential GWP'!$E$7+'Emissions GEI'!AN15*'Global Warming Potential GWP'!$E$8)/1000),"NA")</f>
        <v>2.1367890623386532</v>
      </c>
      <c r="G22" s="39">
        <f>IFERROR((('Emissions GEI'!G15*'Global Warming Potential GWP'!$E$6+'Emissions GEI'!X15*'Global Warming Potential GWP'!$E$7+'Emissions GEI'!AO15*'Global Warming Potential GWP'!$E$8)/1000),"NA")</f>
        <v>1.9237806394794938</v>
      </c>
      <c r="H22" s="39">
        <f>IFERROR((('Emissions GEI'!H15*'Global Warming Potential GWP'!$E$6+'Emissions GEI'!Y15*'Global Warming Potential GWP'!$E$7+'Emissions GEI'!AP15*'Global Warming Potential GWP'!$E$8)/1000),"NA")</f>
        <v>1.7246054363486307</v>
      </c>
      <c r="I22" s="39">
        <f>IFERROR((('Emissions GEI'!I15*'Global Warming Potential GWP'!$E$6+'Emissions GEI'!Z15*'Global Warming Potential GWP'!$E$7+'Emissions GEI'!AQ15*'Global Warming Potential GWP'!$E$8)/1000),"NA")</f>
        <v>1.5999983617967743</v>
      </c>
      <c r="J22" s="39">
        <f>IFERROR((('Emissions GEI'!J15*'Global Warming Potential GWP'!$E$6+'Emissions GEI'!AA15*'Global Warming Potential GWP'!$E$7+'Emissions GEI'!AR15*'Global Warming Potential GWP'!$E$8)/1000),"NA")</f>
        <v>2.0206806677027704</v>
      </c>
      <c r="K22" s="39">
        <f>IFERROR((('Emissions GEI'!K15*'Global Warming Potential GWP'!$E$6+'Emissions GEI'!AB15*'Global Warming Potential GWP'!$E$7+'Emissions GEI'!AS15*'Global Warming Potential GWP'!$E$8)/1000),"NA")</f>
        <v>2.0950754650967278</v>
      </c>
      <c r="L22" s="39">
        <f>IFERROR((('Emissions GEI'!L15*'Global Warming Potential GWP'!$E$6+'Emissions GEI'!AC15*'Global Warming Potential GWP'!$E$7+'Emissions GEI'!AT15*'Global Warming Potential GWP'!$E$8)/1000),"NA")</f>
        <v>1.8900197853190697</v>
      </c>
      <c r="M22" s="39">
        <f>IFERROR((('Emissions GEI'!M15*'Global Warming Potential GWP'!$E$6+'Emissions GEI'!AD15*'Global Warming Potential GWP'!$E$7+'Emissions GEI'!AU15*'Global Warming Potential GWP'!$E$8)/1000),"NA")</f>
        <v>1.6196908147619853</v>
      </c>
      <c r="N22" s="39">
        <f>IFERROR((('Emissions GEI'!N15*'Global Warming Potential GWP'!$E$6+'Emissions GEI'!AE15*'Global Warming Potential GWP'!$E$7+'Emissions GEI'!AV15*'Global Warming Potential GWP'!$E$8)/1000),"NA")</f>
        <v>1.559303884244819</v>
      </c>
      <c r="O22" s="39">
        <f>IFERROR((('Emissions GEI'!O15*'Global Warming Potential GWP'!$E$6+'Emissions GEI'!AF15*'Global Warming Potential GWP'!$E$7+'Emissions GEI'!AW15*'Global Warming Potential GWP'!$E$8)/1000),"NA")</f>
        <v>1.5158394916380722</v>
      </c>
      <c r="P22" s="39">
        <f>IFERROR((('Emissions GEI'!P15*'Global Warming Potential GWP'!$E$6+'Emissions GEI'!AG15*'Global Warming Potential GWP'!$E$7+'Emissions GEI'!AX15*'Global Warming Potential GWP'!$E$8)/1000),"NA")</f>
        <v>1.4645921152340964</v>
      </c>
      <c r="Q22" s="39">
        <f>IFERROR((('Emissions GEI'!Q15*'Global Warming Potential GWP'!$E$6+'Emissions GEI'!AH15*'Global Warming Potential GWP'!$E$7+'Emissions GEI'!AY15*'Global Warming Potential GWP'!$E$8)/1000),"NA")</f>
        <v>1.473202276053253</v>
      </c>
      <c r="R22" s="39">
        <f>IFERROR((('Emissions GEI'!R15*'Global Warming Potential GWP'!$E$6+'Emissions GEI'!AI15*'Global Warming Potential GWP'!$E$7+'Emissions GEI'!AZ15*'Global Warming Potential GWP'!$E$8)/1000),"NA")</f>
        <v>1.5218553245248192</v>
      </c>
      <c r="S22" s="39">
        <f>IFERROR((('Emissions GEI'!S15*'Global Warming Potential GWP'!$E$6+'Emissions GEI'!AJ15*'Global Warming Potential GWP'!$E$7+'Emissions GEI'!BA15*'Global Warming Potential GWP'!$E$8)/1000),"NA")</f>
        <v>1.3987939430353011</v>
      </c>
      <c r="T22" s="86">
        <f>IFERROR((('Emissions GEI'!T15*'Global Warming Potential GWP'!$E$6+'Emissions GEI'!AK15*'Global Warming Potential GWP'!$E$7+'Emissions GEI'!BB15*'Global Warming Potential GWP'!$E$8)/1000),"NA")</f>
        <v>1.383227975440843</v>
      </c>
    </row>
    <row r="23" spans="2:20" s="110" customFormat="1" x14ac:dyDescent="0.35">
      <c r="B23" s="643" t="s">
        <v>367</v>
      </c>
      <c r="C23" s="360" t="s">
        <v>63</v>
      </c>
      <c r="D23" s="85">
        <f>IFERROR((('Emissions GEI'!D16*'Global Warming Potential GWP'!$E$6+'Emissions GEI'!U16*'Global Warming Potential GWP'!$E$7+'Emissions GEI'!AL16*'Global Warming Potential GWP'!$E$8)/1000),"NA")</f>
        <v>28.194392993684215</v>
      </c>
      <c r="E23" s="39">
        <f>IFERROR((('Emissions GEI'!E16*'Global Warming Potential GWP'!$E$6+'Emissions GEI'!V16*'Global Warming Potential GWP'!$E$7+'Emissions GEI'!AM16*'Global Warming Potential GWP'!$E$8)/1000),"NA")</f>
        <v>25.437984428652634</v>
      </c>
      <c r="F23" s="39">
        <f>IFERROR((('Emissions GEI'!F16*'Global Warming Potential GWP'!$E$6+'Emissions GEI'!W16*'Global Warming Potential GWP'!$E$7+'Emissions GEI'!AN16*'Global Warming Potential GWP'!$E$8)/1000),"NA")</f>
        <v>25.353943449536843</v>
      </c>
      <c r="G23" s="39">
        <f>IFERROR((('Emissions GEI'!G16*'Global Warming Potential GWP'!$E$6+'Emissions GEI'!X16*'Global Warming Potential GWP'!$E$7+'Emissions GEI'!AO16*'Global Warming Potential GWP'!$E$8)/1000),"NA")</f>
        <v>27.972768798757894</v>
      </c>
      <c r="H23" s="39">
        <f>IFERROR((('Emissions GEI'!H16*'Global Warming Potential GWP'!$E$6+'Emissions GEI'!Y16*'Global Warming Potential GWP'!$E$7+'Emissions GEI'!AP16*'Global Warming Potential GWP'!$E$8)/1000),"NA")</f>
        <v>29.395365695242102</v>
      </c>
      <c r="I23" s="39">
        <f>IFERROR((('Emissions GEI'!I16*'Global Warming Potential GWP'!$E$6+'Emissions GEI'!Z16*'Global Warming Potential GWP'!$E$7+'Emissions GEI'!AQ16*'Global Warming Potential GWP'!$E$8)/1000),"NA")</f>
        <v>27.873817323347367</v>
      </c>
      <c r="J23" s="39">
        <f>IFERROR((('Emissions GEI'!J16*'Global Warming Potential GWP'!$E$6+'Emissions GEI'!AA16*'Global Warming Potential GWP'!$E$7+'Emissions GEI'!AR16*'Global Warming Potential GWP'!$E$8)/1000),"NA")</f>
        <v>33.729575868189471</v>
      </c>
      <c r="K23" s="39">
        <f>IFERROR((('Emissions GEI'!K16*'Global Warming Potential GWP'!$E$6+'Emissions GEI'!AB16*'Global Warming Potential GWP'!$E$7+'Emissions GEI'!AS16*'Global Warming Potential GWP'!$E$8)/1000),"NA")</f>
        <v>32.759715859199993</v>
      </c>
      <c r="L23" s="39">
        <f>IFERROR((('Emissions GEI'!L16*'Global Warming Potential GWP'!$E$6+'Emissions GEI'!AC16*'Global Warming Potential GWP'!$E$7+'Emissions GEI'!AT16*'Global Warming Potential GWP'!$E$8)/1000),"NA")</f>
        <v>31.380494951936839</v>
      </c>
      <c r="M23" s="39">
        <f>IFERROR((('Emissions GEI'!M16*'Global Warming Potential GWP'!$E$6+'Emissions GEI'!AD16*'Global Warming Potential GWP'!$E$7+'Emissions GEI'!AU16*'Global Warming Potential GWP'!$E$8)/1000),"NA")</f>
        <v>31.096517772505255</v>
      </c>
      <c r="N23" s="39">
        <f>IFERROR((('Emissions GEI'!N16*'Global Warming Potential GWP'!$E$6+'Emissions GEI'!AE16*'Global Warming Potential GWP'!$E$7+'Emissions GEI'!AV16*'Global Warming Potential GWP'!$E$8)/1000),"NA")</f>
        <v>31.544510411178951</v>
      </c>
      <c r="O23" s="39">
        <f>IFERROR((('Emissions GEI'!O16*'Global Warming Potential GWP'!$E$6+'Emissions GEI'!AF16*'Global Warming Potential GWP'!$E$7+'Emissions GEI'!AW16*'Global Warming Potential GWP'!$E$8)/1000),"NA")</f>
        <v>29.206951242063159</v>
      </c>
      <c r="P23" s="39">
        <f>IFERROR((('Emissions GEI'!P16*'Global Warming Potential GWP'!$E$6+'Emissions GEI'!AG16*'Global Warming Potential GWP'!$E$7+'Emissions GEI'!AX16*'Global Warming Potential GWP'!$E$8)/1000),"NA")</f>
        <v>27.997845542526314</v>
      </c>
      <c r="Q23" s="39">
        <f>IFERROR((('Emissions GEI'!Q16*'Global Warming Potential GWP'!$E$6+'Emissions GEI'!AH16*'Global Warming Potential GWP'!$E$7+'Emissions GEI'!AY16*'Global Warming Potential GWP'!$E$8)/1000),"NA")</f>
        <v>24.021487280652636</v>
      </c>
      <c r="R23" s="39">
        <f>IFERROR((('Emissions GEI'!R16*'Global Warming Potential GWP'!$E$6+'Emissions GEI'!AI16*'Global Warming Potential GWP'!$E$7+'Emissions GEI'!AZ16*'Global Warming Potential GWP'!$E$8)/1000),"NA")</f>
        <v>24.464057920673685</v>
      </c>
      <c r="S23" s="39">
        <f>IFERROR((('Emissions GEI'!S16*'Global Warming Potential GWP'!$E$6+'Emissions GEI'!AJ16*'Global Warming Potential GWP'!$E$7+'Emissions GEI'!BA16*'Global Warming Potential GWP'!$E$8)/1000),"NA")</f>
        <v>24.800221837136839</v>
      </c>
      <c r="T23" s="86">
        <f>IFERROR((('Emissions GEI'!T16*'Global Warming Potential GWP'!$E$6+'Emissions GEI'!AK16*'Global Warming Potential GWP'!$E$7+'Emissions GEI'!BB16*'Global Warming Potential GWP'!$E$8)/1000),"NA")</f>
        <v>23.927957803894735</v>
      </c>
    </row>
    <row r="24" spans="2:20" s="110" customFormat="1" x14ac:dyDescent="0.35">
      <c r="B24" s="641"/>
      <c r="C24" s="406" t="s">
        <v>125</v>
      </c>
      <c r="D24" s="85">
        <f>IFERROR((('Emissions GEI'!D17*'Global Warming Potential GWP'!$E$6+'Emissions GEI'!U17*'Global Warming Potential GWP'!$E$7+'Emissions GEI'!AL17*'Global Warming Potential GWP'!$E$8)/1000),"NA")</f>
        <v>0.63573308852307686</v>
      </c>
      <c r="E24" s="39">
        <f>IFERROR((('Emissions GEI'!E17*'Global Warming Potential GWP'!$E$6+'Emissions GEI'!V17*'Global Warming Potential GWP'!$E$7+'Emissions GEI'!AM17*'Global Warming Potential GWP'!$E$8)/1000),"NA")</f>
        <v>0.62901213692307678</v>
      </c>
      <c r="F24" s="39">
        <f>IFERROR((('Emissions GEI'!F17*'Global Warming Potential GWP'!$E$6+'Emissions GEI'!W17*'Global Warming Potential GWP'!$E$7+'Emissions GEI'!AN17*'Global Warming Potential GWP'!$E$8)/1000),"NA")</f>
        <v>0.6035069872615384</v>
      </c>
      <c r="G24" s="39">
        <f>IFERROR((('Emissions GEI'!G17*'Global Warming Potential GWP'!$E$6+'Emissions GEI'!X17*'Global Warming Potential GWP'!$E$7+'Emissions GEI'!AO17*'Global Warming Potential GWP'!$E$8)/1000),"NA")</f>
        <v>0.51079232159999999</v>
      </c>
      <c r="H24" s="39">
        <f>IFERROR((('Emissions GEI'!H17*'Global Warming Potential GWP'!$E$6+'Emissions GEI'!Y17*'Global Warming Potential GWP'!$E$7+'Emissions GEI'!AP17*'Global Warming Potential GWP'!$E$8)/1000),"NA")</f>
        <v>0.47494724639999991</v>
      </c>
      <c r="I24" s="39">
        <f>IFERROR((('Emissions GEI'!I17*'Global Warming Potential GWP'!$E$6+'Emissions GEI'!Z17*'Global Warming Potential GWP'!$E$7+'Emissions GEI'!AQ17*'Global Warming Potential GWP'!$E$8)/1000),"NA")</f>
        <v>0.67278448836923077</v>
      </c>
      <c r="J24" s="39">
        <f>IFERROR((('Emissions GEI'!J17*'Global Warming Potential GWP'!$E$6+'Emissions GEI'!AA17*'Global Warming Potential GWP'!$E$7+'Emissions GEI'!AR17*'Global Warming Potential GWP'!$E$8)/1000),"NA")</f>
        <v>0.68329674600000001</v>
      </c>
      <c r="K24" s="39">
        <f>IFERROR((('Emissions GEI'!K17*'Global Warming Potential GWP'!$E$6+'Emissions GEI'!AB17*'Global Warming Potential GWP'!$E$7+'Emissions GEI'!AS17*'Global Warming Potential GWP'!$E$8)/1000),"NA")</f>
        <v>0.70104695150769225</v>
      </c>
      <c r="L24" s="39">
        <f>IFERROR((('Emissions GEI'!L17*'Global Warming Potential GWP'!$E$6+'Emissions GEI'!AC17*'Global Warming Potential GWP'!$E$7+'Emissions GEI'!AT17*'Global Warming Potential GWP'!$E$8)/1000),"NA")</f>
        <v>0.84787389415384584</v>
      </c>
      <c r="M24" s="39">
        <f>IFERROR((('Emissions GEI'!M17*'Global Warming Potential GWP'!$E$6+'Emissions GEI'!AD17*'Global Warming Potential GWP'!$E$7+'Emissions GEI'!AU17*'Global Warming Potential GWP'!$E$8)/1000),"NA")</f>
        <v>0.86286678618461532</v>
      </c>
      <c r="N24" s="39">
        <f>IFERROR((('Emissions GEI'!N17*'Global Warming Potential GWP'!$E$6+'Emissions GEI'!AE17*'Global Warming Potential GWP'!$E$7+'Emissions GEI'!AV17*'Global Warming Potential GWP'!$E$8)/1000),"NA")</f>
        <v>0.8826849767999998</v>
      </c>
      <c r="O24" s="39">
        <f>IFERROR((('Emissions GEI'!O17*'Global Warming Potential GWP'!$E$6+'Emissions GEI'!AF17*'Global Warming Potential GWP'!$E$7+'Emissions GEI'!AW17*'Global Warming Potential GWP'!$E$8)/1000),"NA")</f>
        <v>0.90267549950769255</v>
      </c>
      <c r="P24" s="39">
        <f>IFERROR((('Emissions GEI'!P17*'Global Warming Potential GWP'!$E$6+'Emissions GEI'!AG17*'Global Warming Potential GWP'!$E$7+'Emissions GEI'!AX17*'Global Warming Potential GWP'!$E$8)/1000),"NA")</f>
        <v>0.94145022027692316</v>
      </c>
      <c r="Q24" s="39">
        <f>IFERROR((('Emissions GEI'!Q17*'Global Warming Potential GWP'!$E$6+'Emissions GEI'!AH17*'Global Warming Potential GWP'!$E$7+'Emissions GEI'!AY17*'Global Warming Potential GWP'!$E$8)/1000),"NA")</f>
        <v>0.9224936901230768</v>
      </c>
      <c r="R24" s="39">
        <f>IFERROR((('Emissions GEI'!R17*'Global Warming Potential GWP'!$E$6+'Emissions GEI'!AI17*'Global Warming Potential GWP'!$E$7+'Emissions GEI'!AZ17*'Global Warming Potential GWP'!$E$8)/1000),"NA")</f>
        <v>0.93524626495384588</v>
      </c>
      <c r="S24" s="39">
        <f>IFERROR((('Emissions GEI'!S17*'Global Warming Potential GWP'!$E$6+'Emissions GEI'!AJ17*'Global Warming Potential GWP'!$E$7+'Emissions GEI'!BA17*'Global Warming Potential GWP'!$E$8)/1000),"NA")</f>
        <v>0.97746762756923067</v>
      </c>
      <c r="T24" s="86">
        <f>IFERROR((('Emissions GEI'!T17*'Global Warming Potential GWP'!$E$6+'Emissions GEI'!AK17*'Global Warming Potential GWP'!$E$7+'Emissions GEI'!BB17*'Global Warming Potential GWP'!$E$8)/1000),"NA")</f>
        <v>0.9652320490153844</v>
      </c>
    </row>
    <row r="25" spans="2:20" s="110" customFormat="1" x14ac:dyDescent="0.35">
      <c r="B25" s="641"/>
      <c r="C25" s="406" t="s">
        <v>18</v>
      </c>
      <c r="D25" s="85">
        <f>IFERROR((('Emissions GEI'!D18*'Global Warming Potential GWP'!$E$6+'Emissions GEI'!U18*'Global Warming Potential GWP'!$E$7+'Emissions GEI'!AL18*'Global Warming Potential GWP'!$E$8)/1000),"NA")</f>
        <v>18.486992851573365</v>
      </c>
      <c r="E25" s="39">
        <f>IFERROR((('Emissions GEI'!E18*'Global Warming Potential GWP'!$E$6+'Emissions GEI'!V18*'Global Warming Potential GWP'!$E$7+'Emissions GEI'!AM18*'Global Warming Potential GWP'!$E$8)/1000),"NA")</f>
        <v>23.195181063258161</v>
      </c>
      <c r="F25" s="39">
        <f>IFERROR((('Emissions GEI'!F18*'Global Warming Potential GWP'!$E$6+'Emissions GEI'!W18*'Global Warming Potential GWP'!$E$7+'Emissions GEI'!AN18*'Global Warming Potential GWP'!$E$8)/1000),"NA")</f>
        <v>23.504679685725183</v>
      </c>
      <c r="G25" s="39">
        <f>IFERROR((('Emissions GEI'!G18*'Global Warming Potential GWP'!$E$6+'Emissions GEI'!X18*'Global Warming Potential GWP'!$E$7+'Emissions GEI'!AO18*'Global Warming Potential GWP'!$E$8)/1000),"NA")</f>
        <v>21.161587034274429</v>
      </c>
      <c r="H25" s="39">
        <f>IFERROR((('Emissions GEI'!H18*'Global Warming Potential GWP'!$E$6+'Emissions GEI'!Y18*'Global Warming Potential GWP'!$E$7+'Emissions GEI'!AP18*'Global Warming Potential GWP'!$E$8)/1000),"NA")</f>
        <v>18.970659799834941</v>
      </c>
      <c r="I25" s="39">
        <f>IFERROR((('Emissions GEI'!I18*'Global Warming Potential GWP'!$E$6+'Emissions GEI'!Z18*'Global Warming Potential GWP'!$E$7+'Emissions GEI'!AQ18*'Global Warming Potential GWP'!$E$8)/1000),"NA")</f>
        <v>17.599981979764518</v>
      </c>
      <c r="J25" s="39">
        <f>IFERROR((('Emissions GEI'!J18*'Global Warming Potential GWP'!$E$6+'Emissions GEI'!AA18*'Global Warming Potential GWP'!$E$7+'Emissions GEI'!AR18*'Global Warming Potential GWP'!$E$8)/1000),"NA")</f>
        <v>22.227487344730473</v>
      </c>
      <c r="K25" s="39">
        <f>IFERROR((('Emissions GEI'!K18*'Global Warming Potential GWP'!$E$6+'Emissions GEI'!AB18*'Global Warming Potential GWP'!$E$7+'Emissions GEI'!AS18*'Global Warming Potential GWP'!$E$8)/1000),"NA")</f>
        <v>23.045830116064</v>
      </c>
      <c r="L25" s="39">
        <f>IFERROR((('Emissions GEI'!L18*'Global Warming Potential GWP'!$E$6+'Emissions GEI'!AC18*'Global Warming Potential GWP'!$E$7+'Emissions GEI'!AT18*'Global Warming Potential GWP'!$E$8)/1000),"NA")</f>
        <v>20.790217638509766</v>
      </c>
      <c r="M25" s="39">
        <f>IFERROR((('Emissions GEI'!M18*'Global Warming Potential GWP'!$E$6+'Emissions GEI'!AD18*'Global Warming Potential GWP'!$E$7+'Emissions GEI'!AU18*'Global Warming Potential GWP'!$E$8)/1000),"NA")</f>
        <v>17.816598962381839</v>
      </c>
      <c r="N25" s="39">
        <f>IFERROR((('Emissions GEI'!N18*'Global Warming Potential GWP'!$E$6+'Emissions GEI'!AE18*'Global Warming Potential GWP'!$E$7+'Emissions GEI'!AV18*'Global Warming Potential GWP'!$E$8)/1000),"NA")</f>
        <v>17.152342726693007</v>
      </c>
      <c r="O25" s="39">
        <f>IFERROR((('Emissions GEI'!O18*'Global Warming Potential GWP'!$E$6+'Emissions GEI'!AF18*'Global Warming Potential GWP'!$E$7+'Emissions GEI'!AW18*'Global Warming Potential GWP'!$E$8)/1000),"NA")</f>
        <v>16.674234408018791</v>
      </c>
      <c r="P25" s="39">
        <f>IFERROR((('Emissions GEI'!P18*'Global Warming Potential GWP'!$E$6+'Emissions GEI'!AG18*'Global Warming Potential GWP'!$E$7+'Emissions GEI'!AX18*'Global Warming Potential GWP'!$E$8)/1000),"NA")</f>
        <v>16.110513267575058</v>
      </c>
      <c r="Q25" s="39">
        <f>IFERROR((('Emissions GEI'!Q18*'Global Warming Potential GWP'!$E$6+'Emissions GEI'!AH18*'Global Warming Potential GWP'!$E$7+'Emissions GEI'!AY18*'Global Warming Potential GWP'!$E$8)/1000),"NA")</f>
        <v>16.205225036585784</v>
      </c>
      <c r="R25" s="39">
        <f>IFERROR((('Emissions GEI'!R18*'Global Warming Potential GWP'!$E$6+'Emissions GEI'!AI18*'Global Warming Potential GWP'!$E$7+'Emissions GEI'!AZ18*'Global Warming Potential GWP'!$E$8)/1000),"NA")</f>
        <v>16.740408569773003</v>
      </c>
      <c r="S25" s="39">
        <f>IFERROR((('Emissions GEI'!S18*'Global Warming Potential GWP'!$E$6+'Emissions GEI'!AJ18*'Global Warming Potential GWP'!$E$7+'Emissions GEI'!BA18*'Global Warming Potential GWP'!$E$8)/1000),"NA")</f>
        <v>15.386733373388312</v>
      </c>
      <c r="T25" s="86">
        <f>IFERROR((('Emissions GEI'!T18*'Global Warming Potential GWP'!$E$6+'Emissions GEI'!AK18*'Global Warming Potential GWP'!$E$7+'Emissions GEI'!BB18*'Global Warming Potential GWP'!$E$8)/1000),"NA")</f>
        <v>15.215507729849273</v>
      </c>
    </row>
    <row r="26" spans="2:20" s="110" customFormat="1" x14ac:dyDescent="0.35">
      <c r="B26" s="638"/>
      <c r="C26" s="406" t="s">
        <v>15</v>
      </c>
      <c r="D26" s="85">
        <f>IFERROR((('Emissions GEI'!D19*'Global Warming Potential GWP'!$E$6+'Emissions GEI'!U19*'Global Warming Potential GWP'!$E$7+'Emissions GEI'!AL19*'Global Warming Potential GWP'!$E$8)/1000),"NA")</f>
        <v>8.6481524360000002</v>
      </c>
      <c r="E26" s="39">
        <f>IFERROR((('Emissions GEI'!E19*'Global Warming Potential GWP'!$E$6+'Emissions GEI'!V19*'Global Warming Potential GWP'!$E$7+'Emissions GEI'!AM19*'Global Warming Potential GWP'!$E$8)/1000),"NA")</f>
        <v>9.0958024742199992</v>
      </c>
      <c r="F26" s="39">
        <f>IFERROR((('Emissions GEI'!F19*'Global Warming Potential GWP'!$E$6+'Emissions GEI'!W19*'Global Warming Potential GWP'!$E$7+'Emissions GEI'!AN19*'Global Warming Potential GWP'!$E$8)/1000),"NA")</f>
        <v>9.1193327679999996</v>
      </c>
      <c r="G26" s="39">
        <f>IFERROR((('Emissions GEI'!G19*'Global Warming Potential GWP'!$E$6+'Emissions GEI'!X19*'Global Warming Potential GWP'!$E$7+'Emissions GEI'!AO19*'Global Warming Potential GWP'!$E$8)/1000),"NA")</f>
        <v>10.195522749999997</v>
      </c>
      <c r="H26" s="39">
        <f>IFERROR((('Emissions GEI'!H19*'Global Warming Potential GWP'!$E$6+'Emissions GEI'!Y19*'Global Warming Potential GWP'!$E$7+'Emissions GEI'!AP19*'Global Warming Potential GWP'!$E$8)/1000),"NA")</f>
        <v>8.5016256849999987</v>
      </c>
      <c r="I26" s="39">
        <f>IFERROR((('Emissions GEI'!I19*'Global Warming Potential GWP'!$E$6+'Emissions GEI'!Z19*'Global Warming Potential GWP'!$E$7+'Emissions GEI'!AQ19*'Global Warming Potential GWP'!$E$8)/1000),"NA")</f>
        <v>8.1142392310000009</v>
      </c>
      <c r="J26" s="39">
        <f>IFERROR((('Emissions GEI'!J19*'Global Warming Potential GWP'!$E$6+'Emissions GEI'!AA19*'Global Warming Potential GWP'!$E$7+'Emissions GEI'!AR19*'Global Warming Potential GWP'!$E$8)/1000),"NA")</f>
        <v>7.578170984999999</v>
      </c>
      <c r="K26" s="39">
        <f>IFERROR((('Emissions GEI'!K19*'Global Warming Potential GWP'!$E$6+'Emissions GEI'!AB19*'Global Warming Potential GWP'!$E$7+'Emissions GEI'!AS19*'Global Warming Potential GWP'!$E$8)/1000),"NA")</f>
        <v>6.9911768993220003</v>
      </c>
      <c r="L26" s="39">
        <f>IFERROR((('Emissions GEI'!L19*'Global Warming Potential GWP'!$E$6+'Emissions GEI'!AC19*'Global Warming Potential GWP'!$E$7+'Emissions GEI'!AT19*'Global Warming Potential GWP'!$E$8)/1000),"NA")</f>
        <v>14.525975037954439</v>
      </c>
      <c r="M26" s="39">
        <f>IFERROR((('Emissions GEI'!M19*'Global Warming Potential GWP'!$E$6+'Emissions GEI'!AD19*'Global Warming Potential GWP'!$E$7+'Emissions GEI'!AU19*'Global Warming Potential GWP'!$E$8)/1000),"NA")</f>
        <v>7.4465773236853812</v>
      </c>
      <c r="N26" s="39">
        <f>IFERROR((('Emissions GEI'!N19*'Global Warming Potential GWP'!$E$6+'Emissions GEI'!AE19*'Global Warming Potential GWP'!$E$7+'Emissions GEI'!AV19*'Global Warming Potential GWP'!$E$8)/1000),"NA")</f>
        <v>8.6337802997371185</v>
      </c>
      <c r="O26" s="39">
        <f>IFERROR((('Emissions GEI'!O19*'Global Warming Potential GWP'!$E$6+'Emissions GEI'!AF19*'Global Warming Potential GWP'!$E$7+'Emissions GEI'!AW19*'Global Warming Potential GWP'!$E$8)/1000),"NA")</f>
        <v>8.4402580069697581</v>
      </c>
      <c r="P26" s="39">
        <f>IFERROR((('Emissions GEI'!P19*'Global Warming Potential GWP'!$E$6+'Emissions GEI'!AG19*'Global Warming Potential GWP'!$E$7+'Emissions GEI'!AX19*'Global Warming Potential GWP'!$E$8)/1000),"NA")</f>
        <v>8.8663623659597945</v>
      </c>
      <c r="Q26" s="39">
        <f>IFERROR((('Emissions GEI'!Q19*'Global Warming Potential GWP'!$E$6+'Emissions GEI'!AH19*'Global Warming Potential GWP'!$E$7+'Emissions GEI'!AY19*'Global Warming Potential GWP'!$E$8)/1000),"NA")</f>
        <v>9.4729233357083373</v>
      </c>
      <c r="R26" s="39">
        <f>IFERROR((('Emissions GEI'!R19*'Global Warming Potential GWP'!$E$6+'Emissions GEI'!AI19*'Global Warming Potential GWP'!$E$7+'Emissions GEI'!AZ19*'Global Warming Potential GWP'!$E$8)/1000),"NA")</f>
        <v>10.742153878483563</v>
      </c>
      <c r="S26" s="39">
        <f>IFERROR((('Emissions GEI'!S19*'Global Warming Potential GWP'!$E$6+'Emissions GEI'!AJ19*'Global Warming Potential GWP'!$E$7+'Emissions GEI'!BA19*'Global Warming Potential GWP'!$E$8)/1000),"NA")</f>
        <v>12.403750136602522</v>
      </c>
      <c r="T26" s="86">
        <f>IFERROR((('Emissions GEI'!T19*'Global Warming Potential GWP'!$E$6+'Emissions GEI'!AK19*'Global Warming Potential GWP'!$E$7+'Emissions GEI'!BB19*'Global Warming Potential GWP'!$E$8)/1000),"NA")</f>
        <v>11.53801461673442</v>
      </c>
    </row>
    <row r="27" spans="2:20" s="110" customFormat="1" x14ac:dyDescent="0.35">
      <c r="B27" s="643" t="s">
        <v>368</v>
      </c>
      <c r="C27" s="360" t="s">
        <v>63</v>
      </c>
      <c r="D27" s="85">
        <f>IFERROR((('Emissions GEI'!D20*'Global Warming Potential GWP'!$E$6+'Emissions GEI'!U20*'Global Warming Potential GWP'!$E$7+'Emissions GEI'!AL20*'Global Warming Potential GWP'!$E$8)/1000),"NA")</f>
        <v>64.058941828832204</v>
      </c>
      <c r="E27" s="39">
        <f>IFERROR((('Emissions GEI'!E20*'Global Warming Potential GWP'!$E$6+'Emissions GEI'!V20*'Global Warming Potential GWP'!$E$7+'Emissions GEI'!AM20*'Global Warming Potential GWP'!$E$8)/1000),"NA")</f>
        <v>57.788387984241879</v>
      </c>
      <c r="F27" s="39">
        <f>IFERROR((('Emissions GEI'!F20*'Global Warming Potential GWP'!$E$6+'Emissions GEI'!W20*'Global Warming Potential GWP'!$E$7+'Emissions GEI'!AN20*'Global Warming Potential GWP'!$E$8)/1000),"NA")</f>
        <v>57.597203160851365</v>
      </c>
      <c r="G27" s="39">
        <f>IFERROR((('Emissions GEI'!G20*'Global Warming Potential GWP'!$E$6+'Emissions GEI'!X20*'Global Warming Potential GWP'!$E$7+'Emissions GEI'!AO20*'Global Warming Potential GWP'!$E$8)/1000),"NA")</f>
        <v>63.554768947794344</v>
      </c>
      <c r="H27" s="39">
        <f>IFERROR((('Emissions GEI'!H20*'Global Warming Potential GWP'!$E$6+'Emissions GEI'!Y20*'Global Warming Potential GWP'!$E$7+'Emissions GEI'!AP20*'Global Warming Potential GWP'!$E$8)/1000),"NA")</f>
        <v>66.791034627606265</v>
      </c>
      <c r="I27" s="39">
        <f>IFERROR((('Emissions GEI'!I20*'Global Warming Potential GWP'!$E$6+'Emissions GEI'!Z20*'Global Warming Potential GWP'!$E$7+'Emissions GEI'!AQ20*'Global Warming Potential GWP'!$E$8)/1000),"NA")</f>
        <v>63.329664236382932</v>
      </c>
      <c r="J27" s="39">
        <f>IFERROR((('Emissions GEI'!J20*'Global Warming Potential GWP'!$E$6+'Emissions GEI'!AA20*'Global Warming Potential GWP'!$E$7+'Emissions GEI'!AR20*'Global Warming Potential GWP'!$E$8)/1000),"NA")</f>
        <v>76.650929350044223</v>
      </c>
      <c r="K27" s="39">
        <f>IFERROR((('Emissions GEI'!K20*'Global Warming Potential GWP'!$E$6+'Emissions GEI'!AB20*'Global Warming Potential GWP'!$E$7+'Emissions GEI'!AS20*'Global Warming Potential GWP'!$E$8)/1000),"NA")</f>
        <v>74.444594815594087</v>
      </c>
      <c r="L27" s="39">
        <f>IFERROR((('Emissions GEI'!L20*'Global Warming Potential GWP'!$E$6+'Emissions GEI'!AC20*'Global Warming Potential GWP'!$E$7+'Emissions GEI'!AT20*'Global Warming Potential GWP'!$E$8)/1000),"NA")</f>
        <v>71.307005173661096</v>
      </c>
      <c r="M27" s="39">
        <f>IFERROR((('Emissions GEI'!M20*'Global Warming Potential GWP'!$E$6+'Emissions GEI'!AD20*'Global Warming Potential GWP'!$E$7+'Emissions GEI'!AU20*'Global Warming Potential GWP'!$E$8)/1000),"NA")</f>
        <v>70.66098548817223</v>
      </c>
      <c r="N27" s="39">
        <f>IFERROR((('Emissions GEI'!N20*'Global Warming Potential GWP'!$E$6+'Emissions GEI'!AE20*'Global Warming Potential GWP'!$E$7+'Emissions GEI'!AV20*'Global Warming Potential GWP'!$E$8)/1000),"NA")</f>
        <v>71.680123941890997</v>
      </c>
      <c r="O27" s="39">
        <f>IFERROR((('Emissions GEI'!O20*'Global Warming Potential GWP'!$E$6+'Emissions GEI'!AF20*'Global Warming Potential GWP'!$E$7+'Emissions GEI'!AW20*'Global Warming Potential GWP'!$E$8)/1000),"NA")</f>
        <v>66.36241058806948</v>
      </c>
      <c r="P27" s="39">
        <f>IFERROR((('Emissions GEI'!P20*'Global Warming Potential GWP'!$E$6+'Emissions GEI'!AG20*'Global Warming Potential GWP'!$E$7+'Emissions GEI'!AX20*'Global Warming Potential GWP'!$E$8)/1000),"NA")</f>
        <v>63.611816032193104</v>
      </c>
      <c r="Q27" s="39">
        <f>IFERROR((('Emissions GEI'!Q20*'Global Warming Potential GWP'!$E$6+'Emissions GEI'!AH20*'Global Warming Potential GWP'!$E$7+'Emissions GEI'!AY20*'Global Warming Potential GWP'!$E$8)/1000),"NA")</f>
        <v>54.565998622256679</v>
      </c>
      <c r="R27" s="39">
        <f>IFERROR((('Emissions GEI'!R20*'Global Warming Potential GWP'!$E$6+'Emissions GEI'!AI20*'Global Warming Potential GWP'!$E$7+'Emissions GEI'!AZ20*'Global Warming Potential GWP'!$E$8)/1000),"NA")</f>
        <v>55.569583259540558</v>
      </c>
      <c r="S27" s="39">
        <f>IFERROR((('Emissions GEI'!S20*'Global Warming Potential GWP'!$E$6+'Emissions GEI'!AJ20*'Global Warming Potential GWP'!$E$7+'Emissions GEI'!BA20*'Global Warming Potential GWP'!$E$8)/1000),"NA")</f>
        <v>56.334322553102602</v>
      </c>
      <c r="T27" s="86">
        <f>IFERROR((('Emissions GEI'!T20*'Global Warming Potential GWP'!$E$6+'Emissions GEI'!AK20*'Global Warming Potential GWP'!$E$7+'Emissions GEI'!BB20*'Global Warming Potential GWP'!$E$8)/1000),"NA")</f>
        <v>54.350009103880154</v>
      </c>
    </row>
    <row r="28" spans="2:20" s="110" customFormat="1" x14ac:dyDescent="0.35">
      <c r="B28" s="641"/>
      <c r="C28" s="406" t="s">
        <v>125</v>
      </c>
      <c r="D28" s="85">
        <f>IFERROR((('Emissions GEI'!D21*'Global Warming Potential GWP'!$E$6+'Emissions GEI'!U21*'Global Warming Potential GWP'!$E$7+'Emissions GEI'!AL21*'Global Warming Potential GWP'!$E$8)/1000),"NA")</f>
        <v>7.416886032769229</v>
      </c>
      <c r="E28" s="39">
        <f>IFERROR((('Emissions GEI'!E21*'Global Warming Potential GWP'!$E$6+'Emissions GEI'!V21*'Global Warming Potential GWP'!$E$7+'Emissions GEI'!AM21*'Global Warming Potential GWP'!$E$8)/1000),"NA")</f>
        <v>7.3384749307692303</v>
      </c>
      <c r="F28" s="39">
        <f>IFERROR((('Emissions GEI'!F21*'Global Warming Potential GWP'!$E$6+'Emissions GEI'!W21*'Global Warming Potential GWP'!$E$7+'Emissions GEI'!AN21*'Global Warming Potential GWP'!$E$8)/1000),"NA")</f>
        <v>7.0409148513846143</v>
      </c>
      <c r="G28" s="39">
        <f>IFERROR((('Emissions GEI'!G21*'Global Warming Potential GWP'!$E$6+'Emissions GEI'!X21*'Global Warming Potential GWP'!$E$7+'Emissions GEI'!AO21*'Global Warming Potential GWP'!$E$8)/1000),"NA")</f>
        <v>5.9592437519999981</v>
      </c>
      <c r="H28" s="39">
        <f>IFERROR((('Emissions GEI'!H21*'Global Warming Potential GWP'!$E$6+'Emissions GEI'!Y21*'Global Warming Potential GWP'!$E$7+'Emissions GEI'!AP21*'Global Warming Potential GWP'!$E$8)/1000),"NA")</f>
        <v>5.5410512079999998</v>
      </c>
      <c r="I28" s="39">
        <f>IFERROR((('Emissions GEI'!I21*'Global Warming Potential GWP'!$E$6+'Emissions GEI'!Z21*'Global Warming Potential GWP'!$E$7+'Emissions GEI'!AQ21*'Global Warming Potential GWP'!$E$8)/1000),"NA")</f>
        <v>7.8491523643076935</v>
      </c>
      <c r="J28" s="39">
        <f>IFERROR((('Emissions GEI'!J21*'Global Warming Potential GWP'!$E$6+'Emissions GEI'!AA21*'Global Warming Potential GWP'!$E$7+'Emissions GEI'!AR21*'Global Warming Potential GWP'!$E$8)/1000),"NA")</f>
        <v>7.9717953699999979</v>
      </c>
      <c r="K28" s="39">
        <f>IFERROR((('Emissions GEI'!K21*'Global Warming Potential GWP'!$E$6+'Emissions GEI'!AB21*'Global Warming Potential GWP'!$E$7+'Emissions GEI'!AS21*'Global Warming Potential GWP'!$E$8)/1000),"NA")</f>
        <v>8.1788811009230766</v>
      </c>
      <c r="L28" s="39">
        <f>IFERROR((('Emissions GEI'!L21*'Global Warming Potential GWP'!$E$6+'Emissions GEI'!AC21*'Global Warming Potential GWP'!$E$7+'Emissions GEI'!AT21*'Global Warming Potential GWP'!$E$8)/1000),"NA")</f>
        <v>9.8918620984615373</v>
      </c>
      <c r="M28" s="39">
        <f>IFERROR((('Emissions GEI'!M21*'Global Warming Potential GWP'!$E$6+'Emissions GEI'!AD21*'Global Warming Potential GWP'!$E$7+'Emissions GEI'!AU21*'Global Warming Potential GWP'!$E$8)/1000),"NA")</f>
        <v>10.066779172153845</v>
      </c>
      <c r="N28" s="39">
        <f>IFERROR((('Emissions GEI'!N21*'Global Warming Potential GWP'!$E$6+'Emissions GEI'!AE21*'Global Warming Potential GWP'!$E$7+'Emissions GEI'!AV21*'Global Warming Potential GWP'!$E$8)/1000),"NA")</f>
        <v>10.297991395999999</v>
      </c>
      <c r="O28" s="39">
        <f>IFERROR((('Emissions GEI'!O21*'Global Warming Potential GWP'!$E$6+'Emissions GEI'!AF21*'Global Warming Potential GWP'!$E$7+'Emissions GEI'!AW21*'Global Warming Potential GWP'!$E$8)/1000),"NA")</f>
        <v>10.531214160923074</v>
      </c>
      <c r="P28" s="39">
        <f>IFERROR((('Emissions GEI'!P21*'Global Warming Potential GWP'!$E$6+'Emissions GEI'!AG21*'Global Warming Potential GWP'!$E$7+'Emissions GEI'!AX21*'Global Warming Potential GWP'!$E$8)/1000),"NA")</f>
        <v>10.983585903230766</v>
      </c>
      <c r="Q28" s="39">
        <f>IFERROR((('Emissions GEI'!Q21*'Global Warming Potential GWP'!$E$6+'Emissions GEI'!AH21*'Global Warming Potential GWP'!$E$7+'Emissions GEI'!AY21*'Global Warming Potential GWP'!$E$8)/1000),"NA")</f>
        <v>10.762426384769228</v>
      </c>
      <c r="R28" s="39">
        <f>IFERROR((('Emissions GEI'!R21*'Global Warming Potential GWP'!$E$6+'Emissions GEI'!AI21*'Global Warming Potential GWP'!$E$7+'Emissions GEI'!AZ21*'Global Warming Potential GWP'!$E$8)/1000),"NA")</f>
        <v>10.911206424461536</v>
      </c>
      <c r="S28" s="39">
        <f>IFERROR((('Emissions GEI'!S21*'Global Warming Potential GWP'!$E$6+'Emissions GEI'!AJ21*'Global Warming Potential GWP'!$E$7+'Emissions GEI'!BA21*'Global Warming Potential GWP'!$E$8)/1000),"NA")</f>
        <v>11.403788988307692</v>
      </c>
      <c r="T28" s="86">
        <f>IFERROR((('Emissions GEI'!T21*'Global Warming Potential GWP'!$E$6+'Emissions GEI'!AK21*'Global Warming Potential GWP'!$E$7+'Emissions GEI'!BB21*'Global Warming Potential GWP'!$E$8)/1000),"NA")</f>
        <v>11.261040571846152</v>
      </c>
    </row>
    <row r="29" spans="2:20" s="110" customFormat="1" x14ac:dyDescent="0.35">
      <c r="B29" s="641"/>
      <c r="C29" s="406" t="s">
        <v>18</v>
      </c>
      <c r="D29" s="85">
        <f>IFERROR((('Emissions GEI'!D22*'Global Warming Potential GWP'!$E$6+'Emissions GEI'!U22*'Global Warming Potential GWP'!$E$7+'Emissions GEI'!AL22*'Global Warming Potential GWP'!$E$8)/1000),"NA")</f>
        <v>102.51877854054324</v>
      </c>
      <c r="E29" s="39">
        <f>IFERROR((('Emissions GEI'!E22*'Global Warming Potential GWP'!$E$6+'Emissions GEI'!V22*'Global Warming Potential GWP'!$E$7+'Emissions GEI'!AM22*'Global Warming Potential GWP'!$E$8)/1000),"NA")</f>
        <v>128.62782225988616</v>
      </c>
      <c r="F29" s="39">
        <f>IFERROR((('Emissions GEI'!F22*'Global Warming Potential GWP'!$E$6+'Emissions GEI'!W22*'Global Warming Potential GWP'!$E$7+'Emissions GEI'!AN22*'Global Warming Potential GWP'!$E$8)/1000),"NA")</f>
        <v>130.34413280265787</v>
      </c>
      <c r="G29" s="39">
        <f>IFERROR((('Emissions GEI'!G22*'Global Warming Potential GWP'!$E$6+'Emissions GEI'!X22*'Global Warming Potential GWP'!$E$7+'Emissions GEI'!AO22*'Global Warming Potential GWP'!$E$8)/1000),"NA")</f>
        <v>117.3506190082491</v>
      </c>
      <c r="H29" s="39">
        <f>IFERROR((('Emissions GEI'!H22*'Global Warming Potential GWP'!$E$6+'Emissions GEI'!Y22*'Global Warming Potential GWP'!$E$7+'Emissions GEI'!AP22*'Global Warming Potential GWP'!$E$8)/1000),"NA")</f>
        <v>105.20093161726652</v>
      </c>
      <c r="I29" s="39">
        <f>IFERROR((('Emissions GEI'!I22*'Global Warming Potential GWP'!$E$6+'Emissions GEI'!Z22*'Global Warming Potential GWP'!$E$7+'Emissions GEI'!AQ22*'Global Warming Potential GWP'!$E$8)/1000),"NA")</f>
        <v>97.599900069603251</v>
      </c>
      <c r="J29" s="39">
        <f>IFERROR((('Emissions GEI'!J22*'Global Warming Potential GWP'!$E$6+'Emissions GEI'!AA22*'Global Warming Potential GWP'!$E$7+'Emissions GEI'!AR22*'Global Warming Potential GWP'!$E$8)/1000),"NA")</f>
        <v>123.26152072986902</v>
      </c>
      <c r="K29" s="39">
        <f>IFERROR((('Emissions GEI'!K22*'Global Warming Potential GWP'!$E$6+'Emissions GEI'!AB22*'Global Warming Potential GWP'!$E$7+'Emissions GEI'!AS22*'Global Warming Potential GWP'!$E$8)/1000),"NA")</f>
        <v>127.79960337090036</v>
      </c>
      <c r="L29" s="39">
        <f>IFERROR((('Emissions GEI'!L22*'Global Warming Potential GWP'!$E$6+'Emissions GEI'!AC22*'Global Warming Potential GWP'!$E$7+'Emissions GEI'!AT22*'Global Warming Potential GWP'!$E$8)/1000),"NA")</f>
        <v>115.29120690446325</v>
      </c>
      <c r="M29" s="39">
        <f>IFERROR((('Emissions GEI'!M22*'Global Warming Potential GWP'!$E$6+'Emissions GEI'!AD22*'Global Warming Potential GWP'!$E$7+'Emissions GEI'!AU22*'Global Warming Potential GWP'!$E$8)/1000),"NA")</f>
        <v>98.801139700481116</v>
      </c>
      <c r="N29" s="39">
        <f>IFERROR((('Emissions GEI'!N22*'Global Warming Potential GWP'!$E$6+'Emissions GEI'!AE22*'Global Warming Potential GWP'!$E$7+'Emissions GEI'!AV22*'Global Warming Potential GWP'!$E$8)/1000),"NA")</f>
        <v>95.117536938933966</v>
      </c>
      <c r="O29" s="39">
        <f>IFERROR((('Emissions GEI'!O22*'Global Warming Potential GWP'!$E$6+'Emissions GEI'!AF22*'Global Warming Potential GWP'!$E$7+'Emissions GEI'!AW22*'Global Warming Potential GWP'!$E$8)/1000),"NA")</f>
        <v>92.466208989922379</v>
      </c>
      <c r="P29" s="39">
        <f>IFERROR((('Emissions GEI'!P22*'Global Warming Potential GWP'!$E$6+'Emissions GEI'!AG22*'Global Warming Potential GWP'!$E$7+'Emissions GEI'!AX22*'Global Warming Potential GWP'!$E$8)/1000),"NA")</f>
        <v>89.340119029279862</v>
      </c>
      <c r="Q29" s="39">
        <f>IFERROR((('Emissions GEI'!Q22*'Global Warming Potential GWP'!$E$6+'Emissions GEI'!AH22*'Global Warming Potential GWP'!$E$7+'Emissions GEI'!AY22*'Global Warming Potential GWP'!$E$8)/1000),"NA")</f>
        <v>89.865338839248423</v>
      </c>
      <c r="R29" s="39">
        <f>IFERROR((('Emissions GEI'!R22*'Global Warming Potential GWP'!$E$6+'Emissions GEI'!AI22*'Global Warming Potential GWP'!$E$7+'Emissions GEI'!AZ22*'Global Warming Potential GWP'!$E$8)/1000),"NA")</f>
        <v>92.833174796013964</v>
      </c>
      <c r="S29" s="39">
        <f>IFERROR((('Emissions GEI'!S22*'Global Warming Potential GWP'!$E$6+'Emissions GEI'!AJ22*'Global Warming Potential GWP'!$E$7+'Emissions GEI'!BA22*'Global Warming Potential GWP'!$E$8)/1000),"NA")</f>
        <v>85.32643052515337</v>
      </c>
      <c r="T29" s="86">
        <f>IFERROR((('Emissions GEI'!T22*'Global Warming Potential GWP'!$E$6+'Emissions GEI'!AK22*'Global Warming Potential GWP'!$E$7+'Emissions GEI'!BB22*'Global Warming Potential GWP'!$E$8)/1000),"NA")</f>
        <v>84.37690650189144</v>
      </c>
    </row>
    <row r="30" spans="2:20" s="110" customFormat="1" x14ac:dyDescent="0.35">
      <c r="B30" s="638"/>
      <c r="C30" s="406" t="s">
        <v>15</v>
      </c>
      <c r="D30" s="85">
        <f>IFERROR((('Emissions GEI'!D23*'Global Warming Potential GWP'!$E$6+'Emissions GEI'!U23*'Global Warming Potential GWP'!$E$7+'Emissions GEI'!AL23*'Global Warming Potential GWP'!$E$8)/1000),"NA")</f>
        <v>25.944457307999997</v>
      </c>
      <c r="E30" s="39">
        <f>IFERROR((('Emissions GEI'!E23*'Global Warming Potential GWP'!$E$6+'Emissions GEI'!V23*'Global Warming Potential GWP'!$E$7+'Emissions GEI'!AM23*'Global Warming Potential GWP'!$E$8)/1000),"NA")</f>
        <v>27.287407422659996</v>
      </c>
      <c r="F30" s="39">
        <f>IFERROR((('Emissions GEI'!F23*'Global Warming Potential GWP'!$E$6+'Emissions GEI'!W23*'Global Warming Potential GWP'!$E$7+'Emissions GEI'!AN23*'Global Warming Potential GWP'!$E$8)/1000),"NA")</f>
        <v>27.357998304000002</v>
      </c>
      <c r="G30" s="39">
        <f>IFERROR((('Emissions GEI'!G23*'Global Warming Potential GWP'!$E$6+'Emissions GEI'!X23*'Global Warming Potential GWP'!$E$7+'Emissions GEI'!AO23*'Global Warming Potential GWP'!$E$8)/1000),"NA")</f>
        <v>30.586568249999992</v>
      </c>
      <c r="H30" s="39">
        <f>IFERROR((('Emissions GEI'!H23*'Global Warming Potential GWP'!$E$6+'Emissions GEI'!Y23*'Global Warming Potential GWP'!$E$7+'Emissions GEI'!AP23*'Global Warming Potential GWP'!$E$8)/1000),"NA")</f>
        <v>25.504877055000001</v>
      </c>
      <c r="I30" s="39">
        <f>IFERROR((('Emissions GEI'!I23*'Global Warming Potential GWP'!$E$6+'Emissions GEI'!Z23*'Global Warming Potential GWP'!$E$7+'Emissions GEI'!AQ23*'Global Warming Potential GWP'!$E$8)/1000),"NA")</f>
        <v>24.342717692999997</v>
      </c>
      <c r="J30" s="39">
        <f>IFERROR((('Emissions GEI'!J23*'Global Warming Potential GWP'!$E$6+'Emissions GEI'!AA23*'Global Warming Potential GWP'!$E$7+'Emissions GEI'!AR23*'Global Warming Potential GWP'!$E$8)/1000),"NA")</f>
        <v>22.734512954999996</v>
      </c>
      <c r="K30" s="39">
        <f>IFERROR((('Emissions GEI'!K23*'Global Warming Potential GWP'!$E$6+'Emissions GEI'!AB23*'Global Warming Potential GWP'!$E$7+'Emissions GEI'!AS23*'Global Warming Potential GWP'!$E$8)/1000),"NA")</f>
        <v>20.973530697966002</v>
      </c>
      <c r="L30" s="39">
        <f>IFERROR((('Emissions GEI'!L23*'Global Warming Potential GWP'!$E$6+'Emissions GEI'!AC23*'Global Warming Potential GWP'!$E$7+'Emissions GEI'!AT23*'Global Warming Potential GWP'!$E$8)/1000),"NA")</f>
        <v>43.577925113863337</v>
      </c>
      <c r="M30" s="39">
        <f>IFERROR((('Emissions GEI'!M23*'Global Warming Potential GWP'!$E$6+'Emissions GEI'!AD23*'Global Warming Potential GWP'!$E$7+'Emissions GEI'!AU23*'Global Warming Potential GWP'!$E$8)/1000),"NA")</f>
        <v>22.339731971056146</v>
      </c>
      <c r="N30" s="39">
        <f>IFERROR((('Emissions GEI'!N23*'Global Warming Potential GWP'!$E$6+'Emissions GEI'!AE23*'Global Warming Potential GWP'!$E$7+'Emissions GEI'!AV23*'Global Warming Potential GWP'!$E$8)/1000),"NA")</f>
        <v>25.901340899211355</v>
      </c>
      <c r="O30" s="39">
        <f>IFERROR((('Emissions GEI'!O23*'Global Warming Potential GWP'!$E$6+'Emissions GEI'!AF23*'Global Warming Potential GWP'!$E$7+'Emissions GEI'!AW23*'Global Warming Potential GWP'!$E$8)/1000),"NA")</f>
        <v>25.320774020909273</v>
      </c>
      <c r="P30" s="39">
        <f>IFERROR((('Emissions GEI'!P23*'Global Warming Potential GWP'!$E$6+'Emissions GEI'!AG23*'Global Warming Potential GWP'!$E$7+'Emissions GEI'!AX23*'Global Warming Potential GWP'!$E$8)/1000),"NA")</f>
        <v>26.599087097879387</v>
      </c>
      <c r="Q30" s="39">
        <f>IFERROR((('Emissions GEI'!Q23*'Global Warming Potential GWP'!$E$6+'Emissions GEI'!AH23*'Global Warming Potential GWP'!$E$7+'Emissions GEI'!AY23*'Global Warming Potential GWP'!$E$8)/1000),"NA")</f>
        <v>28.418770007125016</v>
      </c>
      <c r="R30" s="39">
        <f>IFERROR((('Emissions GEI'!R23*'Global Warming Potential GWP'!$E$6+'Emissions GEI'!AI23*'Global Warming Potential GWP'!$E$7+'Emissions GEI'!AZ23*'Global Warming Potential GWP'!$E$8)/1000),"NA")</f>
        <v>32.226461635450683</v>
      </c>
      <c r="S30" s="39">
        <f>IFERROR((('Emissions GEI'!S23*'Global Warming Potential GWP'!$E$6+'Emissions GEI'!AJ23*'Global Warming Potential GWP'!$E$7+'Emissions GEI'!BA23*'Global Warming Potential GWP'!$E$8)/1000),"NA")</f>
        <v>37.211250409807569</v>
      </c>
      <c r="T30" s="86">
        <f>IFERROR((('Emissions GEI'!T23*'Global Warming Potential GWP'!$E$6+'Emissions GEI'!AK23*'Global Warming Potential GWP'!$E$7+'Emissions GEI'!BB23*'Global Warming Potential GWP'!$E$8)/1000),"NA")</f>
        <v>34.614043850203274</v>
      </c>
    </row>
    <row r="31" spans="2:20" s="110" customFormat="1" x14ac:dyDescent="0.35">
      <c r="B31" s="643" t="s">
        <v>369</v>
      </c>
      <c r="C31" s="360" t="s">
        <v>63</v>
      </c>
      <c r="D31" s="85">
        <f>IFERROR((('Emissions GEI'!D24*'Global Warming Potential GWP'!$E$6+'Emissions GEI'!U24*'Global Warming Potential GWP'!$E$7+'Emissions GEI'!AL24*'Global Warming Potential GWP'!$E$8)/1000),"NA")</f>
        <v>17.624315060352</v>
      </c>
      <c r="E31" s="39">
        <f>IFERROR((('Emissions GEI'!E24*'Global Warming Potential GWP'!$E$6+'Emissions GEI'!V24*'Global Warming Potential GWP'!$E$7+'Emissions GEI'!AM24*'Global Warming Potential GWP'!$E$8)/1000),"NA")</f>
        <v>15.901284066350758</v>
      </c>
      <c r="F31" s="39">
        <f>IFERROR((('Emissions GEI'!F24*'Global Warming Potential GWP'!$E$6+'Emissions GEI'!W24*'Global Warming Potential GWP'!$E$7+'Emissions GEI'!AN24*'Global Warming Potential GWP'!$E$8)/1000),"NA")</f>
        <v>15.848750050305481</v>
      </c>
      <c r="G31" s="39">
        <f>IFERROR((('Emissions GEI'!G24*'Global Warming Potential GWP'!$E$6+'Emissions GEI'!X24*'Global Warming Potential GWP'!$E$7+'Emissions GEI'!AO24*'Global Warming Potential GWP'!$E$8)/1000),"NA")</f>
        <v>17.485777776103557</v>
      </c>
      <c r="H31" s="39">
        <f>IFERROR((('Emissions GEI'!H24*'Global Warming Potential GWP'!$E$6+'Emissions GEI'!Y24*'Global Warming Potential GWP'!$E$7+'Emissions GEI'!AP24*'Global Warming Potential GWP'!$E$8)/1000),"NA")</f>
        <v>18.375043096095833</v>
      </c>
      <c r="I31" s="39">
        <f>IFERROR((('Emissions GEI'!I24*'Global Warming Potential GWP'!$E$6+'Emissions GEI'!Z24*'Global Warming Potential GWP'!$E$7+'Emissions GEI'!AQ24*'Global Warming Potential GWP'!$E$8)/1000),"NA")</f>
        <v>17.423923208824441</v>
      </c>
      <c r="J31" s="39">
        <f>IFERROR((('Emissions GEI'!J24*'Global Warming Potential GWP'!$E$6+'Emissions GEI'!AA24*'Global Warming Potential GWP'!$E$7+'Emissions GEI'!AR24*'Global Warming Potential GWP'!$E$8)/1000),"NA")</f>
        <v>21.084357875205239</v>
      </c>
      <c r="K31" s="39">
        <f>IFERROR((('Emissions GEI'!K24*'Global Warming Potential GWP'!$E$6+'Emissions GEI'!AB24*'Global Warming Potential GWP'!$E$7+'Emissions GEI'!AS24*'Global Warming Potential GWP'!$E$8)/1000),"NA")</f>
        <v>20.478098383585927</v>
      </c>
      <c r="L31" s="39">
        <f>IFERROR((('Emissions GEI'!L24*'Global Warming Potential GWP'!$E$6+'Emissions GEI'!AC24*'Global Warming Potential GWP'!$E$7+'Emissions GEI'!AT24*'Global Warming Potential GWP'!$E$8)/1000),"NA")</f>
        <v>19.61594739445572</v>
      </c>
      <c r="M31" s="39">
        <f>IFERROR((('Emissions GEI'!M24*'Global Warming Potential GWP'!$E$6+'Emissions GEI'!AD24*'Global Warming Potential GWP'!$E$7+'Emissions GEI'!AU24*'Global Warming Potential GWP'!$E$8)/1000),"NA")</f>
        <v>19.438433259593044</v>
      </c>
      <c r="N31" s="39">
        <f>IFERROR((('Emissions GEI'!N24*'Global Warming Potential GWP'!$E$6+'Emissions GEI'!AE24*'Global Warming Potential GWP'!$E$7+'Emissions GEI'!AV24*'Global Warming Potential GWP'!$E$8)/1000),"NA")</f>
        <v>19.718473458027962</v>
      </c>
      <c r="O31" s="39">
        <f>IFERROR((('Emissions GEI'!O24*'Global Warming Potential GWP'!$E$6+'Emissions GEI'!AF24*'Global Warming Potential GWP'!$E$7+'Emissions GEI'!AW24*'Global Warming Potential GWP'!$E$8)/1000),"NA")</f>
        <v>18.257265221413675</v>
      </c>
      <c r="P31" s="39">
        <f>IFERROR((('Emissions GEI'!P24*'Global Warming Potential GWP'!$E$6+'Emissions GEI'!AG24*'Global Warming Potential GWP'!$E$7+'Emissions GEI'!AX24*'Global Warming Potential GWP'!$E$8)/1000),"NA")</f>
        <v>17.501453248633201</v>
      </c>
      <c r="Q31" s="39">
        <f>IFERROR((('Emissions GEI'!Q24*'Global Warming Potential GWP'!$E$6+'Emissions GEI'!AH24*'Global Warming Potential GWP'!$E$7+'Emissions GEI'!AY24*'Global Warming Potential GWP'!$E$8)/1000),"NA")</f>
        <v>15.015831699135958</v>
      </c>
      <c r="R31" s="39">
        <f>IFERROR((('Emissions GEI'!R24*'Global Warming Potential GWP'!$E$6+'Emissions GEI'!AI24*'Global Warming Potential GWP'!$E$7+'Emissions GEI'!AZ24*'Global Warming Potential GWP'!$E$8)/1000),"NA")</f>
        <v>15.292482606213119</v>
      </c>
      <c r="S31" s="39">
        <f>IFERROR((('Emissions GEI'!S24*'Global Warming Potential GWP'!$E$6+'Emissions GEI'!AJ24*'Global Warming Potential GWP'!$E$7+'Emissions GEI'!BA24*'Global Warming Potential GWP'!$E$8)/1000),"NA")</f>
        <v>15.502618670394238</v>
      </c>
      <c r="T31" s="86">
        <f>IFERROR((('Emissions GEI'!T24*'Global Warming Potential GWP'!$E$6+'Emissions GEI'!AK24*'Global Warming Potential GWP'!$E$7+'Emissions GEI'!BB24*'Global Warming Potential GWP'!$E$8)/1000),"NA")</f>
        <v>14.957366423214598</v>
      </c>
    </row>
    <row r="32" spans="2:20" s="110" customFormat="1" x14ac:dyDescent="0.35">
      <c r="B32" s="641"/>
      <c r="C32" s="406" t="s">
        <v>125</v>
      </c>
      <c r="D32" s="85">
        <f>IFERROR((('Emissions GEI'!D25*'Global Warming Potential GWP'!$E$6+'Emissions GEI'!U25*'Global Warming Potential GWP'!$E$7+'Emissions GEI'!AL25*'Global Warming Potential GWP'!$E$8)/1000),"NA")</f>
        <v>1.8146391244799998</v>
      </c>
      <c r="E32" s="39">
        <f>IFERROR((('Emissions GEI'!E25*'Global Warming Potential GWP'!$E$6+'Emissions GEI'!V25*'Global Warming Potential GWP'!$E$7+'Emissions GEI'!AM25*'Global Warming Potential GWP'!$E$8)/1000),"NA")</f>
        <v>1.6372319773823998</v>
      </c>
      <c r="F32" s="39">
        <f>IFERROR((('Emissions GEI'!F25*'Global Warming Potential GWP'!$E$6+'Emissions GEI'!W25*'Global Warming Potential GWP'!$E$7+'Emissions GEI'!AN25*'Global Warming Potential GWP'!$E$8)/1000),"NA")</f>
        <v>1.6318229569152001</v>
      </c>
      <c r="G32" s="39">
        <f>IFERROR((('Emissions GEI'!G25*'Global Warming Potential GWP'!$E$6+'Emissions GEI'!X25*'Global Warming Potential GWP'!$E$7+'Emissions GEI'!AO25*'Global Warming Potential GWP'!$E$8)/1000),"NA")</f>
        <v>1.8003750140543999</v>
      </c>
      <c r="H32" s="39">
        <f>IFERROR((('Emissions GEI'!H25*'Global Warming Potential GWP'!$E$6+'Emissions GEI'!Y25*'Global Warming Potential GWP'!$E$7+'Emissions GEI'!AP25*'Global Warming Potential GWP'!$E$8)/1000),"NA")</f>
        <v>1.8919357718015999</v>
      </c>
      <c r="I32" s="39">
        <f>IFERROR((('Emissions GEI'!I25*'Global Warming Potential GWP'!$E$6+'Emissions GEI'!Z25*'Global Warming Potential GWP'!$E$7+'Emissions GEI'!AQ25*'Global Warming Potential GWP'!$E$8)/1000),"NA")</f>
        <v>1.7940063286655994</v>
      </c>
      <c r="J32" s="39">
        <f>IFERROR((('Emissions GEI'!J25*'Global Warming Potential GWP'!$E$6+'Emissions GEI'!AA25*'Global Warming Potential GWP'!$E$7+'Emissions GEI'!AR25*'Global Warming Potential GWP'!$E$8)/1000),"NA")</f>
        <v>2.1708929160575994</v>
      </c>
      <c r="K32" s="39">
        <f>IFERROR((('Emissions GEI'!K25*'Global Warming Potential GWP'!$E$6+'Emissions GEI'!AB25*'Global Warming Potential GWP'!$E$7+'Emissions GEI'!AS25*'Global Warming Potential GWP'!$E$8)/1000),"NA")</f>
        <v>2.1084710750207996</v>
      </c>
      <c r="L32" s="39">
        <f>IFERROR((('Emissions GEI'!L25*'Global Warming Potential GWP'!$E$6+'Emissions GEI'!AC25*'Global Warming Potential GWP'!$E$7+'Emissions GEI'!AT25*'Global Warming Potential GWP'!$E$8)/1000),"NA")</f>
        <v>2.0197020697727996</v>
      </c>
      <c r="M32" s="39">
        <f>IFERROR((('Emissions GEI'!M25*'Global Warming Potential GWP'!$E$6+'Emissions GEI'!AD25*'Global Warming Potential GWP'!$E$7+'Emissions GEI'!AU25*'Global Warming Potential GWP'!$E$8)/1000),"NA")</f>
        <v>2.0014248151295995</v>
      </c>
      <c r="N32" s="39">
        <f>IFERROR((('Emissions GEI'!N25*'Global Warming Potential GWP'!$E$6+'Emissions GEI'!AE25*'Global Warming Potential GWP'!$E$7+'Emissions GEI'!AV25*'Global Warming Potential GWP'!$E$8)/1000),"NA")</f>
        <v>2.0302583839103998</v>
      </c>
      <c r="O32" s="39">
        <f>IFERROR((('Emissions GEI'!O25*'Global Warming Potential GWP'!$E$6+'Emissions GEI'!AF25*'Global Warming Potential GWP'!$E$7+'Emissions GEI'!AW25*'Global Warming Potential GWP'!$E$8)/1000),"NA")</f>
        <v>1.8798090968831997</v>
      </c>
      <c r="P32" s="39">
        <f>IFERROR((('Emissions GEI'!P25*'Global Warming Potential GWP'!$E$6+'Emissions GEI'!AG25*'Global Warming Potential GWP'!$E$7+'Emissions GEI'!AX25*'Global Warming Potential GWP'!$E$8)/1000),"NA")</f>
        <v>1.8019889959679998</v>
      </c>
      <c r="Q32" s="39">
        <f>IFERROR((('Emissions GEI'!Q25*'Global Warming Potential GWP'!$E$6+'Emissions GEI'!AH25*'Global Warming Potential GWP'!$E$7+'Emissions GEI'!AY25*'Global Warming Potential GWP'!$E$8)/1000),"NA")</f>
        <v>1.5460638098304</v>
      </c>
      <c r="R32" s="39">
        <f>IFERROR((('Emissions GEI'!R25*'Global Warming Potential GWP'!$E$6+'Emissions GEI'!AI25*'Global Warming Potential GWP'!$E$7+'Emissions GEI'!AZ25*'Global Warming Potential GWP'!$E$8)/1000),"NA")</f>
        <v>1.5745484095487996</v>
      </c>
      <c r="S32" s="39">
        <f>IFERROR((('Emissions GEI'!S25*'Global Warming Potential GWP'!$E$6+'Emissions GEI'!AJ25*'Global Warming Potential GWP'!$E$7+'Emissions GEI'!BA25*'Global Warming Potential GWP'!$E$8)/1000),"NA")</f>
        <v>1.5961844914175998</v>
      </c>
      <c r="T32" s="86">
        <f>IFERROR((('Emissions GEI'!T25*'Global Warming Potential GWP'!$E$6+'Emissions GEI'!AK25*'Global Warming Potential GWP'!$E$7+'Emissions GEI'!BB25*'Global Warming Potential GWP'!$E$8)/1000),"NA")</f>
        <v>1.5400440935039998</v>
      </c>
    </row>
    <row r="33" spans="2:20" s="110" customFormat="1" x14ac:dyDescent="0.35">
      <c r="B33" s="641"/>
      <c r="C33" s="406" t="s">
        <v>18</v>
      </c>
      <c r="D33" s="85">
        <f>IFERROR((('Emissions GEI'!D26*'Global Warming Potential GWP'!$E$6+'Emissions GEI'!U26*'Global Warming Potential GWP'!$E$7+'Emissions GEI'!AL26*'Global Warming Potential GWP'!$E$8)/1000),"NA")</f>
        <v>0.21597972127423998</v>
      </c>
      <c r="E33" s="39">
        <f>IFERROR((('Emissions GEI'!E26*'Global Warming Potential GWP'!$E$6+'Emissions GEI'!V26*'Global Warming Potential GWP'!$E$7+'Emissions GEI'!AM26*'Global Warming Potential GWP'!$E$8)/1000),"NA")</f>
        <v>0.21369638998399995</v>
      </c>
      <c r="F33" s="39">
        <f>IFERROR((('Emissions GEI'!F26*'Global Warming Potential GWP'!$E$6+'Emissions GEI'!W26*'Global Warming Potential GWP'!$E$7+'Emissions GEI'!AN26*'Global Warming Potential GWP'!$E$8)/1000),"NA")</f>
        <v>0.20503144047231997</v>
      </c>
      <c r="G33" s="39">
        <f>IFERROR((('Emissions GEI'!G26*'Global Warming Potential GWP'!$E$6+'Emissions GEI'!X26*'Global Warming Potential GWP'!$E$7+'Emissions GEI'!AO26*'Global Warming Potential GWP'!$E$8)/1000),"NA")</f>
        <v>0.17353317805823995</v>
      </c>
      <c r="H33" s="39">
        <f>IFERROR((('Emissions GEI'!H26*'Global Warming Potential GWP'!$E$6+'Emissions GEI'!Y26*'Global Warming Potential GWP'!$E$7+'Emissions GEI'!AP26*'Global Warming Potential GWP'!$E$8)/1000),"NA")</f>
        <v>0.16135541117696001</v>
      </c>
      <c r="I33" s="39">
        <f>IFERROR((('Emissions GEI'!I26*'Global Warming Potential GWP'!$E$6+'Emissions GEI'!Z26*'Global Warming Potential GWP'!$E$7+'Emissions GEI'!AQ26*'Global Warming Potential GWP'!$E$8)/1000),"NA")</f>
        <v>0.22856731684863998</v>
      </c>
      <c r="J33" s="39">
        <f>IFERROR((('Emissions GEI'!J26*'Global Warming Potential GWP'!$E$6+'Emissions GEI'!AA26*'Global Warming Potential GWP'!$E$7+'Emissions GEI'!AR26*'Global Warming Potential GWP'!$E$8)/1000),"NA")</f>
        <v>0.23213868117440004</v>
      </c>
      <c r="K33" s="39">
        <f>IFERROR((('Emissions GEI'!K26*'Global Warming Potential GWP'!$E$6+'Emissions GEI'!AB26*'Global Warming Potential GWP'!$E$7+'Emissions GEI'!AS26*'Global Warming Potential GWP'!$E$8)/1000),"NA")</f>
        <v>0.23816901765887988</v>
      </c>
      <c r="L33" s="39">
        <f>IFERROR((('Emissions GEI'!L26*'Global Warming Potential GWP'!$E$6+'Emissions GEI'!AC26*'Global Warming Potential GWP'!$E$7+'Emissions GEI'!AT26*'Global Warming Potential GWP'!$E$8)/1000),"NA")</f>
        <v>0.28805102430719992</v>
      </c>
      <c r="M33" s="39">
        <f>IFERROR((('Emissions GEI'!M26*'Global Warming Potential GWP'!$E$6+'Emissions GEI'!AD26*'Global Warming Potential GWP'!$E$7+'Emissions GEI'!AU26*'Global Warming Potential GWP'!$E$8)/1000),"NA")</f>
        <v>0.29314460949311988</v>
      </c>
      <c r="N33" s="39">
        <f>IFERROR((('Emissions GEI'!N26*'Global Warming Potential GWP'!$E$6+'Emissions GEI'!AE26*'Global Warming Potential GWP'!$E$7+'Emissions GEI'!AV26*'Global Warming Potential GWP'!$E$8)/1000),"NA")</f>
        <v>0.29987750945151992</v>
      </c>
      <c r="O33" s="39">
        <f>IFERROR((('Emissions GEI'!O26*'Global Warming Potential GWP'!$E$6+'Emissions GEI'!AF26*'Global Warming Potential GWP'!$E$7+'Emissions GEI'!AW26*'Global Warming Potential GWP'!$E$8)/1000),"NA")</f>
        <v>0.30666895636607999</v>
      </c>
      <c r="P33" s="39">
        <f>IFERROR((('Emissions GEI'!P26*'Global Warming Potential GWP'!$E$6+'Emissions GEI'!AG26*'Global Warming Potential GWP'!$E$7+'Emissions GEI'!AX26*'Global Warming Potential GWP'!$E$8)/1000),"NA")</f>
        <v>0.31984202150207991</v>
      </c>
      <c r="Q33" s="39">
        <f>IFERROR((('Emissions GEI'!Q26*'Global Warming Potential GWP'!$E$6+'Emissions GEI'!AH26*'Global Warming Potential GWP'!$E$7+'Emissions GEI'!AY26*'Global Warming Potential GWP'!$E$8)/1000),"NA")</f>
        <v>0.31340185632447998</v>
      </c>
      <c r="R33" s="39">
        <f>IFERROR((('Emissions GEI'!R26*'Global Warming Potential GWP'!$E$6+'Emissions GEI'!AI26*'Global Warming Potential GWP'!$E$7+'Emissions GEI'!AZ26*'Global Warming Potential GWP'!$E$8)/1000),"NA")</f>
        <v>0.3177343310803199</v>
      </c>
      <c r="S33" s="39">
        <f>IFERROR((('Emissions GEI'!S26*'Global Warming Potential GWP'!$E$6+'Emissions GEI'!AJ26*'Global Warming Potential GWP'!$E$7+'Emissions GEI'!BA26*'Global Warming Potential GWP'!$E$8)/1000),"NA")</f>
        <v>0.33207833533951991</v>
      </c>
      <c r="T33" s="86">
        <f>IFERROR((('Emissions GEI'!T26*'Global Warming Potential GWP'!$E$6+'Emissions GEI'!AK26*'Global Warming Potential GWP'!$E$7+'Emissions GEI'!BB26*'Global Warming Potential GWP'!$E$8)/1000),"NA")</f>
        <v>0.32792150145215992</v>
      </c>
    </row>
    <row r="34" spans="2:20" s="110" customFormat="1" x14ac:dyDescent="0.35">
      <c r="B34" s="638"/>
      <c r="C34" s="406" t="s">
        <v>15</v>
      </c>
      <c r="D34" s="85">
        <f>IFERROR((('Emissions GEI'!D27*'Global Warming Potential GWP'!$E$6+'Emissions GEI'!U27*'Global Warming Potential GWP'!$E$7+'Emissions GEI'!AL27*'Global Warming Potential GWP'!$E$8)/1000),"NA")</f>
        <v>16.385213044813032</v>
      </c>
      <c r="E34" s="39">
        <f>IFERROR((('Emissions GEI'!E27*'Global Warming Potential GWP'!$E$6+'Emissions GEI'!V27*'Global Warming Potential GWP'!$E$7+'Emissions GEI'!AM27*'Global Warming Potential GWP'!$E$8)/1000),"NA")</f>
        <v>13.069325058661871</v>
      </c>
      <c r="F34" s="39">
        <f>IFERROR((('Emissions GEI'!F27*'Global Warming Potential GWP'!$E$6+'Emissions GEI'!W27*'Global Warming Potential GWP'!$E$7+'Emissions GEI'!AN27*'Global Warming Potential GWP'!$E$8)/1000),"NA")</f>
        <v>13.222953891966217</v>
      </c>
      <c r="G34" s="39">
        <f>IFERROR((('Emissions GEI'!G27*'Global Warming Potential GWP'!$E$6+'Emissions GEI'!X27*'Global Warming Potential GWP'!$E$7+'Emissions GEI'!AO27*'Global Warming Potential GWP'!$E$8)/1000),"NA")</f>
        <v>11.881446529337985</v>
      </c>
      <c r="H34" s="39">
        <f>IFERROR((('Emissions GEI'!H27*'Global Warming Potential GWP'!$E$6+'Emissions GEI'!Y27*'Global Warming Potential GWP'!$E$7+'Emissions GEI'!AP27*'Global Warming Potential GWP'!$E$8)/1000),"NA")</f>
        <v>10.634568170878492</v>
      </c>
      <c r="I34" s="39">
        <f>IFERROR((('Emissions GEI'!I27*'Global Warming Potential GWP'!$E$6+'Emissions GEI'!Z27*'Global Warming Potential GWP'!$E$7+'Emissions GEI'!AQ27*'Global Warming Potential GWP'!$E$8)/1000),"NA")</f>
        <v>9.8467646182878781</v>
      </c>
      <c r="J34" s="39">
        <f>IFERROR((('Emissions GEI'!J27*'Global Warming Potential GWP'!$E$6+'Emissions GEI'!AA27*'Global Warming Potential GWP'!$E$7+'Emissions GEI'!AR27*'Global Warming Potential GWP'!$E$8)/1000),"NA")</f>
        <v>12.416111831082963</v>
      </c>
      <c r="K34" s="39">
        <f>IFERROR((('Emissions GEI'!K27*'Global Warming Potential GWP'!$E$6+'Emissions GEI'!AB27*'Global Warming Potential GWP'!$E$7+'Emissions GEI'!AS27*'Global Warming Potential GWP'!$E$8)/1000),"NA")</f>
        <v>12.888568054157096</v>
      </c>
      <c r="L34" s="39">
        <f>IFERROR((('Emissions GEI'!L27*'Global Warming Potential GWP'!$E$6+'Emissions GEI'!AC27*'Global Warming Potential GWP'!$E$7+'Emissions GEI'!AT27*'Global Warming Potential GWP'!$E$8)/1000),"NA")</f>
        <v>11.573629290486396</v>
      </c>
      <c r="M34" s="39">
        <f>IFERROR((('Emissions GEI'!M27*'Global Warming Potential GWP'!$E$6+'Emissions GEI'!AD27*'Global Warming Potential GWP'!$E$7+'Emissions GEI'!AU27*'Global Warming Potential GWP'!$E$8)/1000),"NA")</f>
        <v>9.8220169471872723</v>
      </c>
      <c r="N34" s="39">
        <f>IFERROR((('Emissions GEI'!N27*'Global Warming Potential GWP'!$E$6+'Emissions GEI'!AE27*'Global Warming Potential GWP'!$E$7+'Emissions GEI'!AV27*'Global Warming Potential GWP'!$E$8)/1000),"NA")</f>
        <v>9.5417399568151939</v>
      </c>
      <c r="O34" s="39">
        <f>IFERROR((('Emissions GEI'!O27*'Global Warming Potential GWP'!$E$6+'Emissions GEI'!AF27*'Global Warming Potential GWP'!$E$7+'Emissions GEI'!AW27*'Global Warming Potential GWP'!$E$8)/1000),"NA")</f>
        <v>9.2874361696337466</v>
      </c>
      <c r="P34" s="39">
        <f>IFERROR((('Emissions GEI'!P27*'Global Warming Potential GWP'!$E$6+'Emissions GEI'!AG27*'Global Warming Potential GWP'!$E$7+'Emissions GEI'!AX27*'Global Warming Potential GWP'!$E$8)/1000),"NA")</f>
        <v>8.9043508306327137</v>
      </c>
      <c r="Q34" s="39">
        <f>IFERROR((('Emissions GEI'!Q27*'Global Warming Potential GWP'!$E$6+'Emissions GEI'!AH27*'Global Warming Potential GWP'!$E$7+'Emissions GEI'!AY27*'Global Warming Potential GWP'!$E$8)/1000),"NA")</f>
        <v>8.9126211075226056</v>
      </c>
      <c r="R34" s="39">
        <f>IFERROR((('Emissions GEI'!R27*'Global Warming Potential GWP'!$E$6+'Emissions GEI'!AI27*'Global Warming Potential GWP'!$E$7+'Emissions GEI'!AZ27*'Global Warming Potential GWP'!$E$8)/1000),"NA")</f>
        <v>9.1900311534344219</v>
      </c>
      <c r="S34" s="39">
        <f>IFERROR((('Emissions GEI'!S27*'Global Warming Potential GWP'!$E$6+'Emissions GEI'!AJ27*'Global Warming Potential GWP'!$E$7+'Emissions GEI'!BA27*'Global Warming Potential GWP'!$E$8)/1000),"NA")</f>
        <v>8.3652520302998425</v>
      </c>
      <c r="T34" s="86">
        <f>IFERROR((('Emissions GEI'!T27*'Global Warming Potential GWP'!$E$6+'Emissions GEI'!AK27*'Global Warming Potential GWP'!$E$7+'Emissions GEI'!BB27*'Global Warming Potential GWP'!$E$8)/1000),"NA")</f>
        <v>8.4465743776970896</v>
      </c>
    </row>
    <row r="35" spans="2:20" s="110" customFormat="1" x14ac:dyDescent="0.35">
      <c r="B35" s="643" t="s">
        <v>370</v>
      </c>
      <c r="C35" s="360" t="s">
        <v>63</v>
      </c>
      <c r="D35" s="85">
        <f>IFERROR((('Emissions GEI'!D28*'Global Warming Potential GWP'!$E$6+'Emissions GEI'!U28*'Global Warming Potential GWP'!$E$7+'Emissions GEI'!AL28*'Global Warming Potential GWP'!$E$8)/1000),"NA")</f>
        <v>15.506916146526313</v>
      </c>
      <c r="E35" s="39">
        <f>IFERROR((('Emissions GEI'!E28*'Global Warming Potential GWP'!$E$6+'Emissions GEI'!V28*'Global Warming Potential GWP'!$E$7+'Emissions GEI'!AM28*'Global Warming Potential GWP'!$E$8)/1000),"NA")</f>
        <v>13.990891435758947</v>
      </c>
      <c r="F35" s="39">
        <f>IFERROR((('Emissions GEI'!F28*'Global Warming Potential GWP'!$E$6+'Emissions GEI'!W28*'Global Warming Potential GWP'!$E$7+'Emissions GEI'!AN28*'Global Warming Potential GWP'!$E$8)/1000),"NA")</f>
        <v>13.944668897245265</v>
      </c>
      <c r="G35" s="39">
        <f>IFERROR((('Emissions GEI'!G28*'Global Warming Potential GWP'!$E$6+'Emissions GEI'!X28*'Global Warming Potential GWP'!$E$7+'Emissions GEI'!AO28*'Global Warming Potential GWP'!$E$8)/1000),"NA")</f>
        <v>15.385022839316843</v>
      </c>
      <c r="H35" s="39">
        <f>IFERROR((('Emissions GEI'!H28*'Global Warming Potential GWP'!$E$6+'Emissions GEI'!Y28*'Global Warming Potential GWP'!$E$7+'Emissions GEI'!AP28*'Global Warming Potential GWP'!$E$8)/1000),"NA")</f>
        <v>16.167451132383157</v>
      </c>
      <c r="I35" s="39">
        <f>IFERROR((('Emissions GEI'!I28*'Global Warming Potential GWP'!$E$6+'Emissions GEI'!Z28*'Global Warming Potential GWP'!$E$7+'Emissions GEI'!AQ28*'Global Warming Potential GWP'!$E$8)/1000),"NA")</f>
        <v>15.330599527841054</v>
      </c>
      <c r="J35" s="39">
        <f>IFERROR((('Emissions GEI'!J28*'Global Warming Potential GWP'!$E$6+'Emissions GEI'!AA28*'Global Warming Potential GWP'!$E$7+'Emissions GEI'!AR28*'Global Warming Potential GWP'!$E$8)/1000),"NA")</f>
        <v>18.55126672750421</v>
      </c>
      <c r="K35" s="39">
        <f>IFERROR((('Emissions GEI'!K28*'Global Warming Potential GWP'!$E$6+'Emissions GEI'!AB28*'Global Warming Potential GWP'!$E$7+'Emissions GEI'!AS28*'Global Warming Potential GWP'!$E$8)/1000),"NA")</f>
        <v>18.017843722559999</v>
      </c>
      <c r="L35" s="39">
        <f>IFERROR((('Emissions GEI'!L28*'Global Warming Potential GWP'!$E$6+'Emissions GEI'!AC28*'Global Warming Potential GWP'!$E$7+'Emissions GEI'!AT28*'Global Warming Potential GWP'!$E$8)/1000),"NA")</f>
        <v>17.259272223565262</v>
      </c>
      <c r="M35" s="39">
        <f>IFERROR((('Emissions GEI'!M28*'Global Warming Potential GWP'!$E$6+'Emissions GEI'!AD28*'Global Warming Potential GWP'!$E$7+'Emissions GEI'!AU28*'Global Warming Potential GWP'!$E$8)/1000),"NA")</f>
        <v>17.103084774877892</v>
      </c>
      <c r="N35" s="39">
        <f>IFERROR((('Emissions GEI'!N28*'Global Warming Potential GWP'!$E$6+'Emissions GEI'!AE28*'Global Warming Potential GWP'!$E$7+'Emissions GEI'!AV28*'Global Warming Potential GWP'!$E$8)/1000),"NA")</f>
        <v>17.349480726148421</v>
      </c>
      <c r="O35" s="39">
        <f>IFERROR((('Emissions GEI'!O28*'Global Warming Potential GWP'!$E$6+'Emissions GEI'!AF28*'Global Warming Potential GWP'!$E$7+'Emissions GEI'!AW28*'Global Warming Potential GWP'!$E$8)/1000),"NA")</f>
        <v>16.063823183134733</v>
      </c>
      <c r="P35" s="39">
        <f>IFERROR((('Emissions GEI'!P28*'Global Warming Potential GWP'!$E$6+'Emissions GEI'!AG28*'Global Warming Potential GWP'!$E$7+'Emissions GEI'!AX28*'Global Warming Potential GWP'!$E$8)/1000),"NA")</f>
        <v>15.398815048389467</v>
      </c>
      <c r="Q35" s="39">
        <f>IFERROR((('Emissions GEI'!Q28*'Global Warming Potential GWP'!$E$6+'Emissions GEI'!AH28*'Global Warming Potential GWP'!$E$7+'Emissions GEI'!AY28*'Global Warming Potential GWP'!$E$8)/1000),"NA")</f>
        <v>13.211818004358948</v>
      </c>
      <c r="R35" s="39">
        <f>IFERROR((('Emissions GEI'!R28*'Global Warming Potential GWP'!$E$6+'Emissions GEI'!AI28*'Global Warming Potential GWP'!$E$7+'Emissions GEI'!AZ28*'Global Warming Potential GWP'!$E$8)/1000),"NA")</f>
        <v>13.455231856370524</v>
      </c>
      <c r="S35" s="39">
        <f>IFERROR((('Emissions GEI'!S28*'Global Warming Potential GWP'!$E$6+'Emissions GEI'!AJ28*'Global Warming Potential GWP'!$E$7+'Emissions GEI'!BA28*'Global Warming Potential GWP'!$E$8)/1000),"NA")</f>
        <v>13.640122010425261</v>
      </c>
      <c r="T35" s="86">
        <f>IFERROR((('Emissions GEI'!T28*'Global Warming Potential GWP'!$E$6+'Emissions GEI'!AK28*'Global Warming Potential GWP'!$E$7+'Emissions GEI'!BB28*'Global Warming Potential GWP'!$E$8)/1000),"NA")</f>
        <v>13.160376792142104</v>
      </c>
    </row>
    <row r="36" spans="2:20" s="110" customFormat="1" x14ac:dyDescent="0.35">
      <c r="B36" s="641"/>
      <c r="C36" s="406" t="s">
        <v>18</v>
      </c>
      <c r="D36" s="85">
        <f>IFERROR((('Emissions GEI'!D29*'Global Warming Potential GWP'!$E$6+'Emissions GEI'!U29*'Global Warming Potential GWP'!$E$7+'Emissions GEI'!AL29*'Global Warming Potential GWP'!$E$8)/1000),"NA")</f>
        <v>11.764449996455783</v>
      </c>
      <c r="E36" s="39">
        <f>IFERROR((('Emissions GEI'!E29*'Global Warming Potential GWP'!$E$6+'Emissions GEI'!V29*'Global Warming Potential GWP'!$E$7+'Emissions GEI'!AM29*'Global Warming Potential GWP'!$E$8)/1000),"NA")</f>
        <v>14.760569767527922</v>
      </c>
      <c r="F36" s="39">
        <f>IFERROR((('Emissions GEI'!F29*'Global Warming Potential GWP'!$E$6+'Emissions GEI'!W29*'Global Warming Potential GWP'!$E$7+'Emissions GEI'!AN29*'Global Warming Potential GWP'!$E$8)/1000),"NA")</f>
        <v>14.957523436370572</v>
      </c>
      <c r="G36" s="39">
        <f>IFERROR((('Emissions GEI'!G29*'Global Warming Potential GWP'!$E$6+'Emissions GEI'!X29*'Global Warming Potential GWP'!$E$7+'Emissions GEI'!AO29*'Global Warming Potential GWP'!$E$8)/1000),"NA")</f>
        <v>13.46646447635646</v>
      </c>
      <c r="H36" s="39">
        <f>IFERROR((('Emissions GEI'!H29*'Global Warming Potential GWP'!$E$6+'Emissions GEI'!Y29*'Global Warming Potential GWP'!$E$7+'Emissions GEI'!AP29*'Global Warming Potential GWP'!$E$8)/1000),"NA")</f>
        <v>12.072238054440419</v>
      </c>
      <c r="I36" s="39">
        <f>IFERROR((('Emissions GEI'!I29*'Global Warming Potential GWP'!$E$6+'Emissions GEI'!Z29*'Global Warming Potential GWP'!$E$7+'Emissions GEI'!AQ29*'Global Warming Potential GWP'!$E$8)/1000),"NA")</f>
        <v>11.199988532577422</v>
      </c>
      <c r="J36" s="39">
        <f>IFERROR((('Emissions GEI'!J29*'Global Warming Potential GWP'!$E$6+'Emissions GEI'!AA29*'Global Warming Potential GWP'!$E$7+'Emissions GEI'!AR29*'Global Warming Potential GWP'!$E$8)/1000),"NA")</f>
        <v>14.144764673919397</v>
      </c>
      <c r="K36" s="39">
        <f>IFERROR((('Emissions GEI'!K29*'Global Warming Potential GWP'!$E$6+'Emissions GEI'!AB29*'Global Warming Potential GWP'!$E$7+'Emissions GEI'!AS29*'Global Warming Potential GWP'!$E$8)/1000),"NA")</f>
        <v>14.665528255677089</v>
      </c>
      <c r="L36" s="39">
        <f>IFERROR((('Emissions GEI'!L29*'Global Warming Potential GWP'!$E$6+'Emissions GEI'!AC29*'Global Warming Potential GWP'!$E$7+'Emissions GEI'!AT29*'Global Warming Potential GWP'!$E$8)/1000),"NA")</f>
        <v>13.230138497233485</v>
      </c>
      <c r="M36" s="39">
        <f>IFERROR((('Emissions GEI'!M29*'Global Warming Potential GWP'!$E$6+'Emissions GEI'!AD29*'Global Warming Potential GWP'!$E$7+'Emissions GEI'!AU29*'Global Warming Potential GWP'!$E$8)/1000),"NA")</f>
        <v>11.337835703333898</v>
      </c>
      <c r="N36" s="39">
        <f>IFERROR((('Emissions GEI'!N29*'Global Warming Potential GWP'!$E$6+'Emissions GEI'!AE29*'Global Warming Potential GWP'!$E$7+'Emissions GEI'!AV29*'Global Warming Potential GWP'!$E$8)/1000),"NA")</f>
        <v>10.915127189713733</v>
      </c>
      <c r="O36" s="39">
        <f>IFERROR((('Emissions GEI'!O29*'Global Warming Potential GWP'!$E$6+'Emissions GEI'!AF29*'Global Warming Potential GWP'!$E$7+'Emissions GEI'!AW29*'Global Warming Potential GWP'!$E$8)/1000),"NA")</f>
        <v>10.610876441466502</v>
      </c>
      <c r="P36" s="39">
        <f>IFERROR((('Emissions GEI'!P29*'Global Warming Potential GWP'!$E$6+'Emissions GEI'!AG29*'Global Warming Potential GWP'!$E$7+'Emissions GEI'!AX29*'Global Warming Potential GWP'!$E$8)/1000),"NA")</f>
        <v>10.252144806638675</v>
      </c>
      <c r="Q36" s="39">
        <f>IFERROR((('Emissions GEI'!Q29*'Global Warming Potential GWP'!$E$6+'Emissions GEI'!AH29*'Global Warming Potential GWP'!$E$7+'Emissions GEI'!AY29*'Global Warming Potential GWP'!$E$8)/1000),"NA")</f>
        <v>10.312415932372771</v>
      </c>
      <c r="R36" s="39">
        <f>IFERROR((('Emissions GEI'!R29*'Global Warming Potential GWP'!$E$6+'Emissions GEI'!AI29*'Global Warming Potential GWP'!$E$7+'Emissions GEI'!AZ29*'Global Warming Potential GWP'!$E$8)/1000),"NA")</f>
        <v>10.652987271673735</v>
      </c>
      <c r="S36" s="39">
        <f>IFERROR((('Emissions GEI'!S29*'Global Warming Potential GWP'!$E$6+'Emissions GEI'!AJ29*'Global Warming Potential GWP'!$E$7+'Emissions GEI'!BA29*'Global Warming Potential GWP'!$E$8)/1000),"NA")</f>
        <v>9.7915576012471082</v>
      </c>
      <c r="T36" s="86">
        <f>IFERROR((('Emissions GEI'!T29*'Global Warming Potential GWP'!$E$6+'Emissions GEI'!AK29*'Global Warming Potential GWP'!$E$7+'Emissions GEI'!BB29*'Global Warming Potential GWP'!$E$8)/1000),"NA")</f>
        <v>9.6825958280859048</v>
      </c>
    </row>
    <row r="37" spans="2:20" s="110" customFormat="1" x14ac:dyDescent="0.35">
      <c r="B37" s="641"/>
      <c r="C37" s="406" t="s">
        <v>125</v>
      </c>
      <c r="D37" s="85">
        <f>IFERROR((('Emissions GEI'!D30*'Global Warming Potential GWP'!$E$6+'Emissions GEI'!U30*'Global Warming Potential GWP'!$E$7+'Emissions GEI'!AL30*'Global Warming Potential GWP'!$E$8)/1000),"NA")</f>
        <v>2.5429323540923074</v>
      </c>
      <c r="E37" s="39">
        <f>IFERROR((('Emissions GEI'!E30*'Global Warming Potential GWP'!$E$6+'Emissions GEI'!V30*'Global Warming Potential GWP'!$E$7+'Emissions GEI'!AM30*'Global Warming Potential GWP'!$E$8)/1000),"NA")</f>
        <v>2.5160485476923071</v>
      </c>
      <c r="F37" s="39">
        <f>IFERROR((('Emissions GEI'!F30*'Global Warming Potential GWP'!$E$6+'Emissions GEI'!W30*'Global Warming Potential GWP'!$E$7+'Emissions GEI'!AN30*'Global Warming Potential GWP'!$E$8)/1000),"NA")</f>
        <v>2.4140279490461536</v>
      </c>
      <c r="G37" s="39">
        <f>IFERROR((('Emissions GEI'!G30*'Global Warming Potential GWP'!$E$6+'Emissions GEI'!X30*'Global Warming Potential GWP'!$E$7+'Emissions GEI'!AO30*'Global Warming Potential GWP'!$E$8)/1000),"NA")</f>
        <v>2.0431692864</v>
      </c>
      <c r="H37" s="39">
        <f>IFERROR((('Emissions GEI'!H30*'Global Warming Potential GWP'!$E$6+'Emissions GEI'!Y30*'Global Warming Potential GWP'!$E$7+'Emissions GEI'!AP30*'Global Warming Potential GWP'!$E$8)/1000),"NA")</f>
        <v>1.8997889855999996</v>
      </c>
      <c r="I37" s="39">
        <f>IFERROR((('Emissions GEI'!I30*'Global Warming Potential GWP'!$E$6+'Emissions GEI'!Z30*'Global Warming Potential GWP'!$E$7+'Emissions GEI'!AQ30*'Global Warming Potential GWP'!$E$8)/1000),"NA")</f>
        <v>2.6911379534769231</v>
      </c>
      <c r="J37" s="39">
        <f>IFERROR((('Emissions GEI'!J30*'Global Warming Potential GWP'!$E$6+'Emissions GEI'!AA30*'Global Warming Potential GWP'!$E$7+'Emissions GEI'!AR30*'Global Warming Potential GWP'!$E$8)/1000),"NA")</f>
        <v>2.733186984</v>
      </c>
      <c r="K37" s="39">
        <f>IFERROR((('Emissions GEI'!K30*'Global Warming Potential GWP'!$E$6+'Emissions GEI'!AB30*'Global Warming Potential GWP'!$E$7+'Emissions GEI'!AS30*'Global Warming Potential GWP'!$E$8)/1000),"NA")</f>
        <v>2.804187806030769</v>
      </c>
      <c r="L37" s="39">
        <f>IFERROR((('Emissions GEI'!L30*'Global Warming Potential GWP'!$E$6+'Emissions GEI'!AC30*'Global Warming Potential GWP'!$E$7+'Emissions GEI'!AT30*'Global Warming Potential GWP'!$E$8)/1000),"NA")</f>
        <v>3.3914955766153834</v>
      </c>
      <c r="M37" s="39">
        <f>IFERROR((('Emissions GEI'!M30*'Global Warming Potential GWP'!$E$6+'Emissions GEI'!AD30*'Global Warming Potential GWP'!$E$7+'Emissions GEI'!AU30*'Global Warming Potential GWP'!$E$8)/1000),"NA")</f>
        <v>3.4514671447384613</v>
      </c>
      <c r="N37" s="39">
        <f>IFERROR((('Emissions GEI'!N30*'Global Warming Potential GWP'!$E$6+'Emissions GEI'!AE30*'Global Warming Potential GWP'!$E$7+'Emissions GEI'!AV30*'Global Warming Potential GWP'!$E$8)/1000),"NA")</f>
        <v>3.5307399071999992</v>
      </c>
      <c r="O37" s="39">
        <f>IFERROR((('Emissions GEI'!O30*'Global Warming Potential GWP'!$E$6+'Emissions GEI'!AF30*'Global Warming Potential GWP'!$E$7+'Emissions GEI'!AW30*'Global Warming Potential GWP'!$E$8)/1000),"NA")</f>
        <v>3.6107019980307702</v>
      </c>
      <c r="P37" s="39">
        <f>IFERROR((('Emissions GEI'!P30*'Global Warming Potential GWP'!$E$6+'Emissions GEI'!AG30*'Global Warming Potential GWP'!$E$7+'Emissions GEI'!AX30*'Global Warming Potential GWP'!$E$8)/1000),"NA")</f>
        <v>3.7658008811076926</v>
      </c>
      <c r="Q37" s="39">
        <f>IFERROR((('Emissions GEI'!Q30*'Global Warming Potential GWP'!$E$6+'Emissions GEI'!AH30*'Global Warming Potential GWP'!$E$7+'Emissions GEI'!AY30*'Global Warming Potential GWP'!$E$8)/1000),"NA")</f>
        <v>3.6899747604923072</v>
      </c>
      <c r="R37" s="39">
        <f>IFERROR((('Emissions GEI'!R30*'Global Warming Potential GWP'!$E$6+'Emissions GEI'!AI30*'Global Warming Potential GWP'!$E$7+'Emissions GEI'!AZ30*'Global Warming Potential GWP'!$E$8)/1000),"NA")</f>
        <v>3.7409850598153835</v>
      </c>
      <c r="S37" s="39">
        <f>IFERROR((('Emissions GEI'!S30*'Global Warming Potential GWP'!$E$6+'Emissions GEI'!AJ30*'Global Warming Potential GWP'!$E$7+'Emissions GEI'!BA30*'Global Warming Potential GWP'!$E$8)/1000),"NA")</f>
        <v>3.9098705102769227</v>
      </c>
      <c r="T37" s="86">
        <f>IFERROR((('Emissions GEI'!T30*'Global Warming Potential GWP'!$E$6+'Emissions GEI'!AK30*'Global Warming Potential GWP'!$E$7+'Emissions GEI'!BB30*'Global Warming Potential GWP'!$E$8)/1000),"NA")</f>
        <v>3.8609281960615376</v>
      </c>
    </row>
    <row r="38" spans="2:20" s="110" customFormat="1" x14ac:dyDescent="0.35">
      <c r="B38" s="641"/>
      <c r="C38" s="406" t="s">
        <v>15</v>
      </c>
      <c r="D38" s="85">
        <f>IFERROR((('Emissions GEI'!D31*'Global Warming Potential GWP'!$E$6+'Emissions GEI'!U31*'Global Warming Potential GWP'!$E$7+'Emissions GEI'!AL31*'Global Warming Potential GWP'!$E$8)/1000),"NA")</f>
        <v>17.296304872</v>
      </c>
      <c r="E38" s="39">
        <f>IFERROR((('Emissions GEI'!E31*'Global Warming Potential GWP'!$E$6+'Emissions GEI'!V31*'Global Warming Potential GWP'!$E$7+'Emissions GEI'!AM31*'Global Warming Potential GWP'!$E$8)/1000),"NA")</f>
        <v>18.191604948439998</v>
      </c>
      <c r="F38" s="39">
        <f>IFERROR((('Emissions GEI'!F31*'Global Warming Potential GWP'!$E$6+'Emissions GEI'!W31*'Global Warming Potential GWP'!$E$7+'Emissions GEI'!AN31*'Global Warming Potential GWP'!$E$8)/1000),"NA")</f>
        <v>18.238665535999999</v>
      </c>
      <c r="G38" s="39">
        <f>IFERROR((('Emissions GEI'!G31*'Global Warming Potential GWP'!$E$6+'Emissions GEI'!X31*'Global Warming Potential GWP'!$E$7+'Emissions GEI'!AO31*'Global Warming Potential GWP'!$E$8)/1000),"NA")</f>
        <v>20.391045499999993</v>
      </c>
      <c r="H38" s="39">
        <f>IFERROR((('Emissions GEI'!H31*'Global Warming Potential GWP'!$E$6+'Emissions GEI'!Y31*'Global Warming Potential GWP'!$E$7+'Emissions GEI'!AP31*'Global Warming Potential GWP'!$E$8)/1000),"NA")</f>
        <v>17.003251369999997</v>
      </c>
      <c r="I38" s="39">
        <f>IFERROR((('Emissions GEI'!I31*'Global Warming Potential GWP'!$E$6+'Emissions GEI'!Z31*'Global Warming Potential GWP'!$E$7+'Emissions GEI'!AQ31*'Global Warming Potential GWP'!$E$8)/1000),"NA")</f>
        <v>16.228478462000002</v>
      </c>
      <c r="J38" s="39">
        <f>IFERROR((('Emissions GEI'!J31*'Global Warming Potential GWP'!$E$6+'Emissions GEI'!AA31*'Global Warming Potential GWP'!$E$7+'Emissions GEI'!AR31*'Global Warming Potential GWP'!$E$8)/1000),"NA")</f>
        <v>15.156341969999998</v>
      </c>
      <c r="K38" s="39">
        <f>IFERROR((('Emissions GEI'!K31*'Global Warming Potential GWP'!$E$6+'Emissions GEI'!AB31*'Global Warming Potential GWP'!$E$7+'Emissions GEI'!AS31*'Global Warming Potential GWP'!$E$8)/1000),"NA")</f>
        <v>13.982353798644001</v>
      </c>
      <c r="L38" s="39">
        <f>IFERROR((('Emissions GEI'!L31*'Global Warming Potential GWP'!$E$6+'Emissions GEI'!AC31*'Global Warming Potential GWP'!$E$7+'Emissions GEI'!AT31*'Global Warming Potential GWP'!$E$8)/1000),"NA")</f>
        <v>29.051950075908877</v>
      </c>
      <c r="M38" s="39">
        <f>IFERROR((('Emissions GEI'!M31*'Global Warming Potential GWP'!$E$6+'Emissions GEI'!AD31*'Global Warming Potential GWP'!$E$7+'Emissions GEI'!AU31*'Global Warming Potential GWP'!$E$8)/1000),"NA")</f>
        <v>14.893154647370762</v>
      </c>
      <c r="N38" s="39">
        <f>IFERROR((('Emissions GEI'!N31*'Global Warming Potential GWP'!$E$6+'Emissions GEI'!AE31*'Global Warming Potential GWP'!$E$7+'Emissions GEI'!AV31*'Global Warming Potential GWP'!$E$8)/1000),"NA")</f>
        <v>17.267560599474237</v>
      </c>
      <c r="O38" s="39">
        <f>IFERROR((('Emissions GEI'!O31*'Global Warming Potential GWP'!$E$6+'Emissions GEI'!AF31*'Global Warming Potential GWP'!$E$7+'Emissions GEI'!AW31*'Global Warming Potential GWP'!$E$8)/1000),"NA")</f>
        <v>16.880516013939516</v>
      </c>
      <c r="P38" s="39">
        <f>IFERROR((('Emissions GEI'!P31*'Global Warming Potential GWP'!$E$6+'Emissions GEI'!AG31*'Global Warming Potential GWP'!$E$7+'Emissions GEI'!AX31*'Global Warming Potential GWP'!$E$8)/1000),"NA")</f>
        <v>17.732724731919589</v>
      </c>
      <c r="Q38" s="39">
        <f>IFERROR((('Emissions GEI'!Q31*'Global Warming Potential GWP'!$E$6+'Emissions GEI'!AH31*'Global Warming Potential GWP'!$E$7+'Emissions GEI'!AY31*'Global Warming Potential GWP'!$E$8)/1000),"NA")</f>
        <v>18.945846671416675</v>
      </c>
      <c r="R38" s="39">
        <f>IFERROR((('Emissions GEI'!R31*'Global Warming Potential GWP'!$E$6+'Emissions GEI'!AI31*'Global Warming Potential GWP'!$E$7+'Emissions GEI'!AZ31*'Global Warming Potential GWP'!$E$8)/1000),"NA")</f>
        <v>21.484307756967127</v>
      </c>
      <c r="S38" s="39">
        <f>IFERROR((('Emissions GEI'!S31*'Global Warming Potential GWP'!$E$6+'Emissions GEI'!AJ31*'Global Warming Potential GWP'!$E$7+'Emissions GEI'!BA31*'Global Warming Potential GWP'!$E$8)/1000),"NA")</f>
        <v>24.807500273205044</v>
      </c>
      <c r="T38" s="86">
        <f>IFERROR((('Emissions GEI'!T31*'Global Warming Potential GWP'!$E$6+'Emissions GEI'!AK31*'Global Warming Potential GWP'!$E$7+'Emissions GEI'!BB31*'Global Warming Potential GWP'!$E$8)/1000),"NA")</f>
        <v>23.076029233468841</v>
      </c>
    </row>
    <row r="39" spans="2:20" s="110" customFormat="1" x14ac:dyDescent="0.35">
      <c r="B39" s="641"/>
      <c r="C39" s="360" t="s">
        <v>126</v>
      </c>
      <c r="D39" s="85">
        <f>IFERROR((('Emissions GEI'!U32*'Global Warming Potential GWP'!$E$7+'Emissions GEI'!AL32*'Global Warming Potential GWP'!$E$8)/1000),"NA")</f>
        <v>4.3757999999999998E-2</v>
      </c>
      <c r="E39" s="39">
        <f>IFERROR((('Emissions GEI'!V32*'Global Warming Potential GWP'!$E$7+'Emissions GEI'!AM32*'Global Warming Potential GWP'!$E$8)/1000),"NA")</f>
        <v>4.3757999999999998E-2</v>
      </c>
      <c r="F39" s="39">
        <f>IFERROR((('Emissions GEI'!W32*'Global Warming Potential GWP'!$E$7+'Emissions GEI'!AN32*'Global Warming Potential GWP'!$E$8)/1000),"NA")</f>
        <v>4.2299400000000001E-2</v>
      </c>
      <c r="G39" s="39">
        <f>IFERROR((('Emissions GEI'!X32*'Global Warming Potential GWP'!$E$7+'Emissions GEI'!AO32*'Global Warming Potential GWP'!$E$8)/1000),"NA")</f>
        <v>4.1715960000000003E-2</v>
      </c>
      <c r="H39" s="39">
        <f>IFERROR((('Emissions GEI'!Y32*'Global Warming Potential GWP'!$E$7+'Emissions GEI'!AP32*'Global Warming Potential GWP'!$E$8)/1000),"NA")</f>
        <v>4.1278380000000003E-2</v>
      </c>
      <c r="I39" s="39">
        <f>IFERROR((('Emissions GEI'!Z32*'Global Warming Potential GWP'!$E$7+'Emissions GEI'!AQ32*'Global Warming Potential GWP'!$E$8)/1000),"NA")</f>
        <v>4.0840799999999997E-2</v>
      </c>
      <c r="J39" s="39">
        <f>IFERROR((('Emissions GEI'!AA32*'Global Warming Potential GWP'!$E$7+'Emissions GEI'!AR32*'Global Warming Potential GWP'!$E$8)/1000),"NA")</f>
        <v>4.1570099999999999E-2</v>
      </c>
      <c r="K39" s="39">
        <f>IFERROR((('Emissions GEI'!AB32*'Global Warming Potential GWP'!$E$7+'Emissions GEI'!AS32*'Global Warming Potential GWP'!$E$8)/1000),"NA")</f>
        <v>4.1570099999999999E-2</v>
      </c>
      <c r="L39" s="39">
        <f>IFERROR((('Emissions GEI'!AC32*'Global Warming Potential GWP'!$E$7+'Emissions GEI'!AT32*'Global Warming Potential GWP'!$E$8)/1000),"NA")</f>
        <v>4.1570099999999999E-2</v>
      </c>
      <c r="M39" s="39">
        <f>IFERROR((('Emissions GEI'!AD32*'Global Warming Potential GWP'!$E$7+'Emissions GEI'!AU32*'Global Warming Potential GWP'!$E$8)/1000),"NA")</f>
        <v>4.1599272E-2</v>
      </c>
      <c r="N39" s="39">
        <f>IFERROR((('Emissions GEI'!AE32*'Global Warming Potential GWP'!$E$7+'Emissions GEI'!AV32*'Global Warming Potential GWP'!$E$8)/1000),"NA")</f>
        <v>4.1599272E-2</v>
      </c>
      <c r="O39" s="39">
        <f>IFERROR((('Emissions GEI'!AF32*'Global Warming Potential GWP'!$E$7+'Emissions GEI'!AW32*'Global Warming Potential GWP'!$E$8)/1000),"NA")</f>
        <v>4.1570099999999999E-2</v>
      </c>
      <c r="P39" s="39">
        <f>IFERROR((('Emissions GEI'!AG32*'Global Warming Potential GWP'!$E$7+'Emissions GEI'!AX32*'Global Warming Potential GWP'!$E$8)/1000),"NA")</f>
        <v>4.1132519999999999E-2</v>
      </c>
      <c r="Q39" s="39">
        <f>IFERROR((('Emissions GEI'!AH32*'Global Warming Potential GWP'!$E$7+'Emissions GEI'!AY32*'Global Warming Potential GWP'!$E$8)/1000),"NA")</f>
        <v>4.040321999999999E-2</v>
      </c>
      <c r="R39" s="39">
        <f>IFERROR((('Emissions GEI'!AI32*'Global Warming Potential GWP'!$E$7+'Emissions GEI'!AZ32*'Global Warming Potential GWP'!$E$8)/1000),"NA")</f>
        <v>3.9177995999999993E-2</v>
      </c>
      <c r="S39" s="39">
        <f>IFERROR((('Emissions GEI'!AJ32*'Global Warming Potential GWP'!$E$7+'Emissions GEI'!BA32*'Global Warming Potential GWP'!$E$8)/1000),"NA")</f>
        <v>3.7923599999999995E-2</v>
      </c>
      <c r="T39" s="86">
        <f>IFERROR((('Emissions GEI'!AK32*'Global Warming Potential GWP'!$E$7+'Emissions GEI'!BB32*'Global Warming Potential GWP'!$E$8)/1000),"NA")</f>
        <v>3.6785891999999987E-2</v>
      </c>
    </row>
    <row r="40" spans="2:20" s="110" customFormat="1" ht="15" thickBot="1" x14ac:dyDescent="0.4">
      <c r="B40" s="704"/>
      <c r="C40" s="422" t="s">
        <v>16</v>
      </c>
      <c r="D40" s="423">
        <f>IFERROR((('Emissions GEI'!U33*'Global Warming Potential GWP'!$E$7+'Emissions GEI'!AL33*'Global Warming Potential GWP'!$E$8)/1000),"NA")</f>
        <v>7.0706532600000003</v>
      </c>
      <c r="E40" s="419">
        <f>IFERROR((('Emissions GEI'!V33*'Global Warming Potential GWP'!$E$7+'Emissions GEI'!AM33*'Global Warming Potential GWP'!$E$8)/1000),"NA")</f>
        <v>7.0235329999999996</v>
      </c>
      <c r="F40" s="419">
        <f>IFERROR((('Emissions GEI'!W33*'Global Warming Potential GWP'!$E$7+'Emissions GEI'!AN33*'Global Warming Potential GWP'!$E$8)/1000),"NA")</f>
        <v>5.8697410926</v>
      </c>
      <c r="G40" s="419">
        <f>IFERROR((('Emissions GEI'!X33*'Global Warming Potential GWP'!$E$7+'Emissions GEI'!AO33*'Global Warming Potential GWP'!$E$8)/1000),"NA")</f>
        <v>6.7554529415999989</v>
      </c>
      <c r="H40" s="419">
        <f>IFERROR((('Emissions GEI'!Y33*'Global Warming Potential GWP'!$E$7+'Emissions GEI'!AP33*'Global Warming Potential GWP'!$E$8)/1000),"NA")</f>
        <v>6.853436921100001</v>
      </c>
      <c r="I40" s="419">
        <f>IFERROR((('Emissions GEI'!Z33*'Global Warming Potential GWP'!$E$7+'Emissions GEI'!AQ33*'Global Warming Potential GWP'!$E$8)/1000),"NA")</f>
        <v>6.2868612355999982</v>
      </c>
      <c r="J40" s="419">
        <f>IFERROR((('Emissions GEI'!AA33*'Global Warming Potential GWP'!$E$7+'Emissions GEI'!AR33*'Global Warming Potential GWP'!$E$8)/1000),"NA")</f>
        <v>6.1113828104999994</v>
      </c>
      <c r="K40" s="419">
        <f>IFERROR((('Emissions GEI'!AB33*'Global Warming Potential GWP'!$E$7+'Emissions GEI'!AS33*'Global Warming Potential GWP'!$E$8)/1000),"NA")</f>
        <v>4.8526050616963934</v>
      </c>
      <c r="L40" s="419">
        <f>IFERROR((('Emissions GEI'!AC33*'Global Warming Potential GWP'!$E$7+'Emissions GEI'!AT33*'Global Warming Potential GWP'!$E$8)/1000),"NA")</f>
        <v>3.2141202524625725</v>
      </c>
      <c r="M40" s="419">
        <f>IFERROR((('Emissions GEI'!AD33*'Global Warming Potential GWP'!$E$7+'Emissions GEI'!AU33*'Global Warming Potential GWP'!$E$8)/1000),"NA")</f>
        <v>3.0685560495885316</v>
      </c>
      <c r="N40" s="419">
        <f>IFERROR((('Emissions GEI'!AE33*'Global Warming Potential GWP'!$E$7+'Emissions GEI'!AV33*'Global Warming Potential GWP'!$E$8)/1000),"NA")</f>
        <v>3.6068482049057056</v>
      </c>
      <c r="O40" s="419">
        <f>IFERROR((('Emissions GEI'!AF33*'Global Warming Potential GWP'!$E$7+'Emissions GEI'!AW33*'Global Warming Potential GWP'!$E$8)/1000),"NA")</f>
        <v>3.1883917561219111</v>
      </c>
      <c r="P40" s="419">
        <f>IFERROR((('Emissions GEI'!AG33*'Global Warming Potential GWP'!$E$7+'Emissions GEI'!AX33*'Global Warming Potential GWP'!$E$8)/1000),"NA")</f>
        <v>2.8040228460976326</v>
      </c>
      <c r="Q40" s="419">
        <f>IFERROR((('Emissions GEI'!AH33*'Global Warming Potential GWP'!$E$7+'Emissions GEI'!AY33*'Global Warming Potential GWP'!$E$8)/1000),"NA")</f>
        <v>2.768505213576971</v>
      </c>
      <c r="R40" s="419">
        <f>IFERROR((('Emissions GEI'!AI33*'Global Warming Potential GWP'!$E$7+'Emissions GEI'!AZ33*'Global Warming Potential GWP'!$E$8)/1000),"NA")</f>
        <v>2.4043624999283209</v>
      </c>
      <c r="S40" s="419">
        <f>IFERROR((('Emissions GEI'!AJ33*'Global Warming Potential GWP'!$E$7+'Emissions GEI'!BA33*'Global Warming Potential GWP'!$E$8)/1000),"NA")</f>
        <v>2.4658080068917152</v>
      </c>
      <c r="T40" s="420">
        <f>IFERROR((('Emissions GEI'!AK33*'Global Warming Potential GWP'!$E$7+'Emissions GEI'!BB33*'Global Warming Potential GWP'!$E$8)/1000),"NA")</f>
        <v>1.9874623986997955</v>
      </c>
    </row>
    <row r="41" spans="2:20" s="110" customFormat="1" x14ac:dyDescent="0.35">
      <c r="B41" s="296" t="s">
        <v>458</v>
      </c>
      <c r="C41" s="421" t="s">
        <v>22</v>
      </c>
      <c r="D41" s="130">
        <f>IFERROR(('Emissions GEI'!D41*'Global Warming Potential GWP'!$E$6+'Emissions GEI'!U41*'Global Warming Potential GWP'!$E$7+'Emissions GEI'!AL41*'Global Warming Potential GWP'!$E$8)/1000,"NA")</f>
        <v>610.74336960000005</v>
      </c>
      <c r="E41" s="634">
        <f>IFERROR(('Emissions GEI'!E41*'Global Warming Potential GWP'!$E$6+'Emissions GEI'!V41*'Global Warming Potential GWP'!$E$7+'Emissions GEI'!AM41*'Global Warming Potential GWP'!$E$8)/1000,"NA")</f>
        <v>623.46718980000003</v>
      </c>
      <c r="F41" s="634">
        <f>IFERROR(('Emissions GEI'!F41*'Global Warming Potential GWP'!$E$6+'Emissions GEI'!W41*'Global Warming Potential GWP'!$E$7+'Emissions GEI'!AN41*'Global Warming Potential GWP'!$E$8)/1000,"NA")</f>
        <v>629.82909990000007</v>
      </c>
      <c r="G41" s="634">
        <f>IFERROR(('Emissions GEI'!G41*'Global Warming Potential GWP'!$E$6+'Emissions GEI'!X41*'Global Warming Potential GWP'!$E$7+'Emissions GEI'!AO41*'Global Warming Potential GWP'!$E$8)/1000,"NA")</f>
        <v>664.81960545000004</v>
      </c>
      <c r="H41" s="634">
        <f>IFERROR(('Emissions GEI'!H41*'Global Warming Potential GWP'!$E$6+'Emissions GEI'!Y41*'Global Warming Potential GWP'!$E$7+'Emissions GEI'!AP41*'Global Warming Potential GWP'!$E$8)/1000,"NA")</f>
        <v>702.99106604999997</v>
      </c>
      <c r="I41" s="634">
        <f>IFERROR(('Emissions GEI'!I41*'Global Warming Potential GWP'!$E$6+'Emissions GEI'!Z41*'Global Warming Potential GWP'!$E$7+'Emissions GEI'!AQ41*'Global Warming Potential GWP'!$E$8)/1000,"NA")</f>
        <v>728.43870644999993</v>
      </c>
      <c r="J41" s="634">
        <f>IFERROR(('Emissions GEI'!J41*'Global Warming Potential GWP'!$E$6+'Emissions GEI'!AA41*'Global Warming Potential GWP'!$E$7+'Emissions GEI'!AR41*'Global Warming Potential GWP'!$E$8)/1000,"NA")</f>
        <v>750.70539180000014</v>
      </c>
      <c r="K41" s="634">
        <f>IFERROR(('Emissions GEI'!K41*'Global Warming Potential GWP'!$E$6+'Emissions GEI'!AB41*'Global Warming Potential GWP'!$E$7+'Emissions GEI'!AS41*'Global Warming Potential GWP'!$E$8)/1000,"NA")</f>
        <v>795.23876250000001</v>
      </c>
      <c r="L41" s="634">
        <f>IFERROR(('Emissions GEI'!L41*'Global Warming Potential GWP'!$E$6+'Emissions GEI'!AC41*'Global Warming Potential GWP'!$E$7+'Emissions GEI'!AT41*'Global Warming Potential GWP'!$E$8)/1000,"NA")</f>
        <v>801.60067260000005</v>
      </c>
      <c r="M41" s="634">
        <f>IFERROR(('Emissions GEI'!M41*'Global Warming Potential GWP'!$E$6+'Emissions GEI'!AD41*'Global Warming Potential GWP'!$E$7+'Emissions GEI'!AU41*'Global Warming Potential GWP'!$E$8)/1000,"NA")</f>
        <v>661.63865040000019</v>
      </c>
      <c r="N41" s="634">
        <f>IFERROR(('Emissions GEI'!N41*'Global Warming Potential GWP'!$E$6+'Emissions GEI'!AE41*'Global Warming Potential GWP'!$E$7+'Emissions GEI'!AV41*'Global Warming Potential GWP'!$E$8)/1000,"NA")</f>
        <v>728.43870644999993</v>
      </c>
      <c r="O41" s="634">
        <f>IFERROR(('Emissions GEI'!O41*'Global Warming Potential GWP'!$E$6+'Emissions GEI'!AF41*'Global Warming Potential GWP'!$E$7+'Emissions GEI'!AW41*'Global Warming Potential GWP'!$E$8)/1000,"NA")</f>
        <v>769.79112210000005</v>
      </c>
      <c r="P41" s="634">
        <f>IFERROR(('Emissions GEI'!P41*'Global Warming Potential GWP'!$E$6+'Emissions GEI'!AG41*'Global Warming Potential GWP'!$E$7+'Emissions GEI'!AX41*'Global Warming Potential GWP'!$E$8)/1000,"NA")</f>
        <v>792.05780745000004</v>
      </c>
      <c r="Q41" s="634">
        <f>IFERROR(('Emissions GEI'!Q41*'Global Warming Potential GWP'!$E$6+'Emissions GEI'!AH41*'Global Warming Potential GWP'!$E$7+'Emissions GEI'!AY41*'Global Warming Potential GWP'!$E$8)/1000,"NA")</f>
        <v>731.61966150000001</v>
      </c>
      <c r="R41" s="634">
        <f>IFERROR(('Emissions GEI'!R41*'Global Warming Potential GWP'!$E$6+'Emissions GEI'!AI41*'Global Warming Potential GWP'!$E$7+'Emissions GEI'!AZ41*'Global Warming Potential GWP'!$E$8)/1000,"NA")</f>
        <v>769.79112210000005</v>
      </c>
      <c r="S41" s="634">
        <f>IFERROR(('Emissions GEI'!S41*'Global Warming Potential GWP'!$E$6+'Emissions GEI'!AJ41*'Global Warming Potential GWP'!$E$7+'Emissions GEI'!BA41*'Global Warming Potential GWP'!$E$8)/1000,"NA")</f>
        <v>823.86735794999993</v>
      </c>
      <c r="T41" s="635">
        <f>IFERROR(('Emissions GEI'!T41*'Global Warming Potential GWP'!$E$6+'Emissions GEI'!AK41*'Global Warming Potential GWP'!$E$7+'Emissions GEI'!BB41*'Global Warming Potential GWP'!$E$8)/1000,"NA")</f>
        <v>925.65791954999997</v>
      </c>
    </row>
    <row r="42" spans="2:20" x14ac:dyDescent="0.35">
      <c r="B42" s="100" t="s">
        <v>457</v>
      </c>
      <c r="C42" s="360" t="s">
        <v>22</v>
      </c>
      <c r="D42" s="85">
        <f>IFERROR(('Emissions GEI'!D42*'Global Warming Potential GWP'!$E$6+'Emissions GEI'!U42*'Global Warming Potential GWP'!$E$7+'Emissions GEI'!AL42*'Global Warming Potential GWP'!$E$8)/1000,"NA")</f>
        <v>4.8130588011961386</v>
      </c>
      <c r="E42" s="39">
        <f>IFERROR(('Emissions GEI'!E42*'Global Warming Potential GWP'!$E$6+'Emissions GEI'!V42*'Global Warming Potential GWP'!$E$7+'Emissions GEI'!AM42*'Global Warming Potential GWP'!$E$8)/1000,"NA")</f>
        <v>5.0988328646250372</v>
      </c>
      <c r="F42" s="39">
        <f>IFERROR(('Emissions GEI'!F42*'Global Warming Potential GWP'!$E$6+'Emissions GEI'!W42*'Global Warming Potential GWP'!$E$7+'Emissions GEI'!AN42*'Global Warming Potential GWP'!$E$8)/1000,"NA")</f>
        <v>5.9647799064258376</v>
      </c>
      <c r="G42" s="39">
        <f>IFERROR(('Emissions GEI'!G42*'Global Warming Potential GWP'!$E$6+'Emissions GEI'!X42*'Global Warming Potential GWP'!$E$7+'Emissions GEI'!AO42*'Global Warming Potential GWP'!$E$8)/1000,"NA")</f>
        <v>6.3471243034964644</v>
      </c>
      <c r="H42" s="39">
        <f>IFERROR(('Emissions GEI'!H42*'Global Warming Potential GWP'!$E$6+'Emissions GEI'!Y42*'Global Warming Potential GWP'!$E$7+'Emissions GEI'!AP42*'Global Warming Potential GWP'!$E$8)/1000,"NA")</f>
        <v>6.0668894331657617</v>
      </c>
      <c r="I42" s="39">
        <f>IFERROR(('Emissions GEI'!I42*'Global Warming Potential GWP'!$E$6+'Emissions GEI'!Z42*'Global Warming Potential GWP'!$E$7+'Emissions GEI'!AQ42*'Global Warming Potential GWP'!$E$8)/1000,"NA")</f>
        <v>5.4340960866017696</v>
      </c>
      <c r="J42" s="39">
        <f>IFERROR(('Emissions GEI'!J42*'Global Warming Potential GWP'!$E$6+'Emissions GEI'!AA42*'Global Warming Potential GWP'!$E$7+'Emissions GEI'!AR42*'Global Warming Potential GWP'!$E$8)/1000,"NA")</f>
        <v>5.6365122629042101</v>
      </c>
      <c r="K42" s="39">
        <f>IFERROR(('Emissions GEI'!K42*'Global Warming Potential GWP'!$E$6+'Emissions GEI'!AB42*'Global Warming Potential GWP'!$E$7+'Emissions GEI'!AS42*'Global Warming Potential GWP'!$E$8)/1000,"NA")</f>
        <v>6.3065137617595903</v>
      </c>
      <c r="L42" s="39">
        <f>IFERROR(('Emissions GEI'!L42*'Global Warming Potential GWP'!$E$6+'Emissions GEI'!AC42*'Global Warming Potential GWP'!$E$7+'Emissions GEI'!AT42*'Global Warming Potential GWP'!$E$8)/1000,"NA")</f>
        <v>5.6397416921445593</v>
      </c>
      <c r="M42" s="39">
        <f>IFERROR(('Emissions GEI'!M42*'Global Warming Potential GWP'!$E$6+'Emissions GEI'!AD42*'Global Warming Potential GWP'!$E$7+'Emissions GEI'!AU42*'Global Warming Potential GWP'!$E$8)/1000,"NA")</f>
        <v>4.2895908348274787</v>
      </c>
      <c r="N42" s="39">
        <f>IFERROR(('Emissions GEI'!N42*'Global Warming Potential GWP'!$E$6+'Emissions GEI'!AE42*'Global Warming Potential GWP'!$E$7+'Emissions GEI'!AV42*'Global Warming Potential GWP'!$E$8)/1000,"NA")</f>
        <v>5.8667480752116594</v>
      </c>
      <c r="O42" s="39">
        <f>IFERROR(('Emissions GEI'!O42*'Global Warming Potential GWP'!$E$6+'Emissions GEI'!AF42*'Global Warming Potential GWP'!$E$7+'Emissions GEI'!AW42*'Global Warming Potential GWP'!$E$8)/1000,"NA")</f>
        <v>6.3944944958062351</v>
      </c>
      <c r="P42" s="39">
        <f>IFERROR(('Emissions GEI'!P42*'Global Warming Potential GWP'!$E$6+'Emissions GEI'!AG42*'Global Warming Potential GWP'!$E$7+'Emissions GEI'!AX42*'Global Warming Potential GWP'!$E$8)/1000,"NA")</f>
        <v>6.7901989774600802</v>
      </c>
      <c r="Q42" s="39">
        <f>IFERROR(('Emissions GEI'!Q42*'Global Warming Potential GWP'!$E$6+'Emissions GEI'!AH42*'Global Warming Potential GWP'!$E$7+'Emissions GEI'!AY42*'Global Warming Potential GWP'!$E$8)/1000,"NA")</f>
        <v>6.973987950931364</v>
      </c>
      <c r="R42" s="39">
        <f>IFERROR(('Emissions GEI'!R42*'Global Warming Potential GWP'!$E$6+'Emissions GEI'!AI42*'Global Warming Potential GWP'!$E$7+'Emissions GEI'!AZ42*'Global Warming Potential GWP'!$E$8)/1000,"NA")</f>
        <v>7.2050243566391998</v>
      </c>
      <c r="S42" s="39">
        <f>IFERROR(('Emissions GEI'!S42*'Global Warming Potential GWP'!$E$6+'Emissions GEI'!AJ42*'Global Warming Potential GWP'!$E$7+'Emissions GEI'!BA42*'Global Warming Potential GWP'!$E$8)/1000,"NA")</f>
        <v>8.5624408333859847</v>
      </c>
      <c r="T42" s="86">
        <f>IFERROR(('Emissions GEI'!T42*'Global Warming Potential GWP'!$E$6+'Emissions GEI'!AK42*'Global Warming Potential GWP'!$E$7+'Emissions GEI'!BB42*'Global Warming Potential GWP'!$E$8)/1000,"NA")</f>
        <v>9.7929292865940898</v>
      </c>
    </row>
    <row r="43" spans="2:20" x14ac:dyDescent="0.35">
      <c r="B43" s="698" t="s">
        <v>4</v>
      </c>
      <c r="C43" s="253" t="s">
        <v>540</v>
      </c>
      <c r="D43" s="85">
        <f>IFERROR(('Emissions GEI'!D43*'Global Warming Potential GWP'!$E$6+'Emissions GEI'!U43*'Global Warming Potential GWP'!$E$7+'Emissions GEI'!AL43*'Global Warming Potential GWP'!$E$8)/1000,"NA")</f>
        <v>84.76333047</v>
      </c>
      <c r="E43" s="39">
        <f>IFERROR(('Emissions GEI'!E43*'Global Warming Potential GWP'!$E$6+'Emissions GEI'!V43*'Global Warming Potential GWP'!$E$7+'Emissions GEI'!AM43*'Global Warming Potential GWP'!$E$8)/1000,"NA")</f>
        <v>88.390658225549117</v>
      </c>
      <c r="F43" s="39">
        <f>IFERROR(('Emissions GEI'!F43*'Global Warming Potential GWP'!$E$6+'Emissions GEI'!W43*'Global Warming Potential GWP'!$E$7+'Emissions GEI'!AN43*'Global Warming Potential GWP'!$E$8)/1000,"NA")</f>
        <v>92.100654373526027</v>
      </c>
      <c r="G43" s="39">
        <f>IFERROR(('Emissions GEI'!G43*'Global Warming Potential GWP'!$E$6+'Emissions GEI'!X43*'Global Warming Potential GWP'!$E$7+'Emissions GEI'!AO43*'Global Warming Potential GWP'!$E$8)/1000,"NA")</f>
        <v>95.756210360635833</v>
      </c>
      <c r="H43" s="39">
        <f>IFERROR(('Emissions GEI'!H43*'Global Warming Potential GWP'!$E$6+'Emissions GEI'!Y43*'Global Warming Potential GWP'!$E$7+'Emissions GEI'!AP43*'Global Warming Potential GWP'!$E$8)/1000,"NA")</f>
        <v>101.03690596473989</v>
      </c>
      <c r="I43" s="39">
        <f>IFERROR(('Emissions GEI'!I43*'Global Warming Potential GWP'!$E$6+'Emissions GEI'!Z43*'Global Warming Potential GWP'!$E$7+'Emissions GEI'!AQ43*'Global Warming Potential GWP'!$E$8)/1000,"NA")</f>
        <v>105.85586835260114</v>
      </c>
      <c r="J43" s="39">
        <f>IFERROR(('Emissions GEI'!J43*'Global Warming Potential GWP'!$E$6+'Emissions GEI'!AA43*'Global Warming Potential GWP'!$E$7+'Emissions GEI'!AR43*'Global Warming Potential GWP'!$E$8)/1000,"NA")</f>
        <v>110.69499376300578</v>
      </c>
      <c r="K43" s="39">
        <f>IFERROR(('Emissions GEI'!K43*'Global Warming Potential GWP'!$E$6+'Emissions GEI'!AB43*'Global Warming Potential GWP'!$E$7+'Emissions GEI'!AS43*'Global Warming Potential GWP'!$E$8)/1000,"NA")</f>
        <v>115.79220586196531</v>
      </c>
      <c r="L43" s="39">
        <f>IFERROR(('Emissions GEI'!L43*'Global Warming Potential GWP'!$E$6+'Emissions GEI'!AC43*'Global Warming Potential GWP'!$E$7+'Emissions GEI'!AT43*'Global Warming Potential GWP'!$E$8)/1000,"NA")</f>
        <v>121.77457465057805</v>
      </c>
      <c r="M43" s="39">
        <f>IFERROR(('Emissions GEI'!M43*'Global Warming Potential GWP'!$E$6+'Emissions GEI'!AD43*'Global Warming Potential GWP'!$E$7+'Emissions GEI'!AU43*'Global Warming Potential GWP'!$E$8)/1000,"NA")</f>
        <v>127.01091160508669</v>
      </c>
      <c r="N43" s="39">
        <f>IFERROR(('Emissions GEI'!N43*'Global Warming Potential GWP'!$E$6+'Emissions GEI'!AE43*'Global Warming Potential GWP'!$E$7+'Emissions GEI'!AV43*'Global Warming Potential GWP'!$E$8)/1000,"NA")</f>
        <v>133.10619331994221</v>
      </c>
      <c r="O43" s="39">
        <f>IFERROR(('Emissions GEI'!O43*'Global Warming Potential GWP'!$E$6+'Emissions GEI'!AF43*'Global Warming Potential GWP'!$E$7+'Emissions GEI'!AW43*'Global Warming Potential GWP'!$E$8)/1000,"NA")</f>
        <v>138.93330683497112</v>
      </c>
      <c r="P43" s="39">
        <f>IFERROR(('Emissions GEI'!P43*'Global Warming Potential GWP'!$E$6+'Emissions GEI'!AG43*'Global Warming Potential GWP'!$E$7+'Emissions GEI'!AX43*'Global Warming Potential GWP'!$E$8)/1000,"NA")</f>
        <v>146.21619057763004</v>
      </c>
      <c r="Q43" s="39">
        <f>IFERROR(('Emissions GEI'!Q43*'Global Warming Potential GWP'!$E$6+'Emissions GEI'!AH43*'Global Warming Potential GWP'!$E$7+'Emissions GEI'!AY43*'Global Warming Potential GWP'!$E$8)/1000,"NA")</f>
        <v>153.70070454572252</v>
      </c>
      <c r="R43" s="39">
        <f>IFERROR(('Emissions GEI'!R43*'Global Warming Potential GWP'!$E$6+'Emissions GEI'!AI43*'Global Warming Potential GWP'!$E$7+'Emissions GEI'!AZ43*'Global Warming Potential GWP'!$E$8)/1000,"NA")</f>
        <v>134.7078833682626</v>
      </c>
      <c r="S43" s="39">
        <f>IFERROR(('Emissions GEI'!S43*'Global Warming Potential GWP'!$E$6+'Emissions GEI'!AJ43*'Global Warming Potential GWP'!$E$7+'Emissions GEI'!BA43*'Global Warming Potential GWP'!$E$8)/1000,"NA")</f>
        <v>176.79542243270652</v>
      </c>
      <c r="T43" s="86">
        <f>IFERROR(('Emissions GEI'!T43*'Global Warming Potential GWP'!$E$6+'Emissions GEI'!AK43*'Global Warming Potential GWP'!$E$7+'Emissions GEI'!BB43*'Global Warming Potential GWP'!$E$8)/1000,"NA")</f>
        <v>212.10320619534298</v>
      </c>
    </row>
    <row r="44" spans="2:20" s="110" customFormat="1" x14ac:dyDescent="0.35">
      <c r="B44" s="698"/>
      <c r="C44" s="253" t="s">
        <v>541</v>
      </c>
      <c r="D44" s="85">
        <f>IFERROR(('Emissions GEI'!D44*'Global Warming Potential GWP'!$E$6+'Emissions GEI'!U44*'Global Warming Potential GWP'!$E$7+'Emissions GEI'!AL44*'Global Warming Potential GWP'!$E$8)/1000,"NA")</f>
        <v>11.093423713370443</v>
      </c>
      <c r="E44" s="39">
        <f>IFERROR(('Emissions GEI'!E44*'Global Warming Potential GWP'!$E$6+'Emissions GEI'!V44*'Global Warming Potential GWP'!$E$7+'Emissions GEI'!AM44*'Global Warming Potential GWP'!$E$8)/1000,"NA")</f>
        <v>11.570015042921094</v>
      </c>
      <c r="F44" s="39">
        <f>IFERROR(('Emissions GEI'!F44*'Global Warming Potential GWP'!$E$6+'Emissions GEI'!W44*'Global Warming Potential GWP'!$E$7+'Emissions GEI'!AN44*'Global Warming Potential GWP'!$E$8)/1000,"NA")</f>
        <v>12.056746613526013</v>
      </c>
      <c r="G44" s="39">
        <f>IFERROR(('Emissions GEI'!G44*'Global Warming Potential GWP'!$E$6+'Emissions GEI'!X44*'Global Warming Potential GWP'!$E$7+'Emissions GEI'!AO44*'Global Warming Potential GWP'!$E$8)/1000,"NA")</f>
        <v>12.536718023428087</v>
      </c>
      <c r="H44" s="39">
        <f>IFERROR(('Emissions GEI'!H44*'Global Warming Potential GWP'!$E$6+'Emissions GEI'!Y44*'Global Warming Potential GWP'!$E$7+'Emissions GEI'!AP44*'Global Warming Potential GWP'!$E$8)/1000,"NA")</f>
        <v>13.233014575821231</v>
      </c>
      <c r="I44" s="39">
        <f>IFERROR(('Emissions GEI'!I44*'Global Warming Potential GWP'!$E$6+'Emissions GEI'!Z44*'Global Warming Potential GWP'!$E$7+'Emissions GEI'!AQ44*'Global Warming Potential GWP'!$E$8)/1000,"NA")</f>
        <v>13.861709521185922</v>
      </c>
      <c r="J44" s="39">
        <f>IFERROR(('Emissions GEI'!J44*'Global Warming Potential GWP'!$E$6+'Emissions GEI'!AA44*'Global Warming Potential GWP'!$E$7+'Emissions GEI'!AR44*'Global Warming Potential GWP'!$E$8)/1000,"NA")</f>
        <v>14.497164627253452</v>
      </c>
      <c r="K44" s="39">
        <f>IFERROR(('Emissions GEI'!K44*'Global Warming Potential GWP'!$E$6+'Emissions GEI'!AB44*'Global Warming Potential GWP'!$E$7+'Emissions GEI'!AS44*'Global Warming Potential GWP'!$E$8)/1000,"NA")</f>
        <v>15.169800617186642</v>
      </c>
      <c r="L44" s="39">
        <f>IFERROR(('Emissions GEI'!L44*'Global Warming Potential GWP'!$E$6+'Emissions GEI'!AC44*'Global Warming Potential GWP'!$E$7+'Emissions GEI'!AT44*'Global Warming Potential GWP'!$E$8)/1000,"NA")</f>
        <v>15.95059917836536</v>
      </c>
      <c r="M44" s="39">
        <f>IFERROR(('Emissions GEI'!M44*'Global Warming Potential GWP'!$E$6+'Emissions GEI'!AD44*'Global Warming Potential GWP'!$E$7+'Emissions GEI'!AU44*'Global Warming Potential GWP'!$E$8)/1000,"NA")</f>
        <v>16.636755489704246</v>
      </c>
      <c r="N44" s="39">
        <f>IFERROR(('Emissions GEI'!N44*'Global Warming Potential GWP'!$E$6+'Emissions GEI'!AE44*'Global Warming Potential GWP'!$E$7+'Emissions GEI'!AV44*'Global Warming Potential GWP'!$E$8)/1000,"NA")</f>
        <v>17.434454452640082</v>
      </c>
      <c r="O44" s="39">
        <f>IFERROR(('Emissions GEI'!O44*'Global Warming Potential GWP'!$E$6+'Emissions GEI'!AF44*'Global Warming Potential GWP'!$E$7+'Emissions GEI'!AW44*'Global Warming Potential GWP'!$E$8)/1000,"NA")</f>
        <v>18.19835261206169</v>
      </c>
      <c r="P44" s="39">
        <f>IFERROR(('Emissions GEI'!P44*'Global Warming Potential GWP'!$E$6+'Emissions GEI'!AG44*'Global Warming Potential GWP'!$E$7+'Emissions GEI'!AX44*'Global Warming Potential GWP'!$E$8)/1000,"NA")</f>
        <v>19.151535271162988</v>
      </c>
      <c r="Q44" s="39">
        <f>IFERROR(('Emissions GEI'!Q44*'Global Warming Potential GWP'!$E$6+'Emissions GEI'!AH44*'Global Warming Potential GWP'!$E$7+'Emissions GEI'!AY44*'Global Warming Potential GWP'!$E$8)/1000,"NA")</f>
        <v>20.135138653427092</v>
      </c>
      <c r="R44" s="39">
        <f>IFERROR(('Emissions GEI'!R44*'Global Warming Potential GWP'!$E$6+'Emissions GEI'!AI44*'Global Warming Potential GWP'!$E$7+'Emissions GEI'!AZ44*'Global Warming Potential GWP'!$E$8)/1000,"NA")</f>
        <v>15.728420217562622</v>
      </c>
      <c r="S44" s="39">
        <f>IFERROR(('Emissions GEI'!S44*'Global Warming Potential GWP'!$E$6+'Emissions GEI'!AJ44*'Global Warming Potential GWP'!$E$7+'Emissions GEI'!BA44*'Global Warming Potential GWP'!$E$8)/1000,"NA")</f>
        <v>17.301508012868197</v>
      </c>
      <c r="T44" s="86">
        <f>IFERROR(('Emissions GEI'!T44*'Global Warming Potential GWP'!$E$6+'Emissions GEI'!AK44*'Global Warming Potential GWP'!$E$7+'Emissions GEI'!BB44*'Global Warming Potential GWP'!$E$8)/1000,"NA")</f>
        <v>23.509197449244251</v>
      </c>
    </row>
    <row r="45" spans="2:20" s="110" customFormat="1" x14ac:dyDescent="0.35">
      <c r="B45" s="698"/>
      <c r="C45" s="253" t="s">
        <v>542</v>
      </c>
      <c r="D45" s="85">
        <f>IFERROR(('Emissions GEI'!D45*'Global Warming Potential GWP'!$E$6+'Emissions GEI'!U45*'Global Warming Potential GWP'!$E$7+'Emissions GEI'!AL45*'Global Warming Potential GWP'!$E$8)/1000,"NA")</f>
        <v>7.7463920089948582E-2</v>
      </c>
      <c r="E45" s="39">
        <f>IFERROR(('Emissions GEI'!E45*'Global Warming Potential GWP'!$E$6+'Emissions GEI'!V45*'Global Warming Potential GWP'!$E$7+'Emissions GEI'!AM45*'Global Warming Potential GWP'!$E$8)/1000,"NA")</f>
        <v>8.1651159013729588E-2</v>
      </c>
      <c r="F45" s="39">
        <f>IFERROR(('Emissions GEI'!F45*'Global Warming Potential GWP'!$E$6+'Emissions GEI'!W45*'Global Warming Potential GWP'!$E$7+'Emissions GEI'!AN45*'Global Warming Potential GWP'!$E$8)/1000,"NA")</f>
        <v>8.5838397937510594E-2</v>
      </c>
      <c r="G45" s="39">
        <f>IFERROR(('Emissions GEI'!G45*'Global Warming Potential GWP'!$E$6+'Emissions GEI'!X45*'Global Warming Potential GWP'!$E$7+'Emissions GEI'!AO45*'Global Warming Potential GWP'!$E$8)/1000,"NA")</f>
        <v>8.7932017399401097E-2</v>
      </c>
      <c r="H45" s="39">
        <f>IFERROR(('Emissions GEI'!H45*'Global Warming Potential GWP'!$E$6+'Emissions GEI'!Y45*'Global Warming Potential GWP'!$E$7+'Emissions GEI'!AP45*'Global Warming Potential GWP'!$E$8)/1000,"NA")</f>
        <v>9.2119256323182103E-2</v>
      </c>
      <c r="I45" s="39">
        <f>IFERROR(('Emissions GEI'!I45*'Global Warming Potential GWP'!$E$6+'Emissions GEI'!Z45*'Global Warming Potential GWP'!$E$7+'Emissions GEI'!AQ45*'Global Warming Potential GWP'!$E$8)/1000,"NA")</f>
        <v>9.8400114708853612E-2</v>
      </c>
      <c r="J45" s="39">
        <f>IFERROR(('Emissions GEI'!J45*'Global Warming Potential GWP'!$E$6+'Emissions GEI'!AA45*'Global Warming Potential GWP'!$E$7+'Emissions GEI'!AR45*'Global Warming Potential GWP'!$E$8)/1000,"NA")</f>
        <v>0.10258735363263462</v>
      </c>
      <c r="K45" s="39">
        <f>IFERROR(('Emissions GEI'!K45*'Global Warming Potential GWP'!$E$6+'Emissions GEI'!AB45*'Global Warming Potential GWP'!$E$7+'Emissions GEI'!AS45*'Global Warming Potential GWP'!$E$8)/1000,"NA")</f>
        <v>0.10677459255641561</v>
      </c>
      <c r="L45" s="39">
        <f>IFERROR(('Emissions GEI'!L45*'Global Warming Potential GWP'!$E$6+'Emissions GEI'!AC45*'Global Warming Potential GWP'!$E$7+'Emissions GEI'!AT45*'Global Warming Potential GWP'!$E$8)/1000,"NA")</f>
        <v>0.1130554509420871</v>
      </c>
      <c r="M45" s="39">
        <f>IFERROR(('Emissions GEI'!M45*'Global Warming Potential GWP'!$E$6+'Emissions GEI'!AD45*'Global Warming Potential GWP'!$E$7+'Emissions GEI'!AU45*'Global Warming Potential GWP'!$E$8)/1000,"NA")</f>
        <v>0.11724268986586812</v>
      </c>
      <c r="N45" s="39">
        <f>IFERROR(('Emissions GEI'!N45*'Global Warming Potential GWP'!$E$6+'Emissions GEI'!AE45*'Global Warming Potential GWP'!$E$7+'Emissions GEI'!AV45*'Global Warming Potential GWP'!$E$8)/1000,"NA")</f>
        <v>0.12352354825153962</v>
      </c>
      <c r="O45" s="39">
        <f>IFERROR(('Emissions GEI'!O45*'Global Warming Potential GWP'!$E$6+'Emissions GEI'!AF45*'Global Warming Potential GWP'!$E$7+'Emissions GEI'!AW45*'Global Warming Potential GWP'!$E$8)/1000,"NA")</f>
        <v>0.12771078717532064</v>
      </c>
      <c r="P45" s="39">
        <f>IFERROR(('Emissions GEI'!P45*'Global Warming Potential GWP'!$E$6+'Emissions GEI'!AG45*'Global Warming Potential GWP'!$E$7+'Emissions GEI'!AX45*'Global Warming Potential GWP'!$E$8)/1000,"NA")</f>
        <v>0.13399164556099213</v>
      </c>
      <c r="Q45" s="39">
        <f>IFERROR(('Emissions GEI'!Q45*'Global Warming Potential GWP'!$E$6+'Emissions GEI'!AH45*'Global Warming Potential GWP'!$E$7+'Emissions GEI'!AY45*'Global Warming Potential GWP'!$E$8)/1000,"NA")</f>
        <v>0.14236612340855415</v>
      </c>
      <c r="R45" s="39">
        <f>IFERROR(('Emissions GEI'!R45*'Global Warming Potential GWP'!$E$6+'Emissions GEI'!AI45*'Global Warming Potential GWP'!$E$7+'Emissions GEI'!AZ45*'Global Warming Potential GWP'!$E$8)/1000,"NA")</f>
        <v>0.24642083499771908</v>
      </c>
      <c r="S45" s="39">
        <f>IFERROR(('Emissions GEI'!S45*'Global Warming Potential GWP'!$E$6+'Emissions GEI'!AJ45*'Global Warming Potential GWP'!$E$7+'Emissions GEI'!BA45*'Global Warming Potential GWP'!$E$8)/1000,"NA")</f>
        <v>2.9952247111565029E-2</v>
      </c>
      <c r="T45" s="86">
        <f>IFERROR(('Emissions GEI'!T45*'Global Warming Potential GWP'!$E$6+'Emissions GEI'!AK45*'Global Warming Potential GWP'!$E$7+'Emissions GEI'!BB45*'Global Warming Potential GWP'!$E$8)/1000,"NA")</f>
        <v>3.5238093228829016E-2</v>
      </c>
    </row>
    <row r="46" spans="2:20" s="110" customFormat="1" x14ac:dyDescent="0.35">
      <c r="B46" s="698"/>
      <c r="C46" s="253" t="s">
        <v>543</v>
      </c>
      <c r="D46" s="85">
        <f>IFERROR(('Emissions GEI'!D46*'Global Warming Potential GWP'!$E$6+'Emissions GEI'!U46*'Global Warming Potential GWP'!$E$7+'Emissions GEI'!AL46*'Global Warming Potential GWP'!$E$8)/1000,"NA")</f>
        <v>100.45621091549133</v>
      </c>
      <c r="E46" s="39">
        <f>IFERROR(('Emissions GEI'!E46*'Global Warming Potential GWP'!$E$6+'Emissions GEI'!V46*'Global Warming Potential GWP'!$E$7+'Emissions GEI'!AM46*'Global Warming Potential GWP'!$E$8)/1000,"NA")</f>
        <v>104.76504883300576</v>
      </c>
      <c r="F46" s="39">
        <f>IFERROR(('Emissions GEI'!F46*'Global Warming Potential GWP'!$E$6+'Emissions GEI'!W46*'Global Warming Potential GWP'!$E$7+'Emissions GEI'!AN46*'Global Warming Potential GWP'!$E$8)/1000,"NA")</f>
        <v>109.17268556098266</v>
      </c>
      <c r="G46" s="39">
        <f>IFERROR(('Emissions GEI'!G46*'Global Warming Potential GWP'!$E$6+'Emissions GEI'!X46*'Global Warming Potential GWP'!$E$7+'Emissions GEI'!AO46*'Global Warming Potential GWP'!$E$8)/1000,"NA")</f>
        <v>113.51781691907514</v>
      </c>
      <c r="H46" s="39">
        <f>IFERROR(('Emissions GEI'!H46*'Global Warming Potential GWP'!$E$6+'Emissions GEI'!Y46*'Global Warming Potential GWP'!$E$7+'Emissions GEI'!AP46*'Global Warming Potential GWP'!$E$8)/1000,"NA")</f>
        <v>119.7885169300578</v>
      </c>
      <c r="I46" s="39">
        <f>IFERROR(('Emissions GEI'!I46*'Global Warming Potential GWP'!$E$6+'Emissions GEI'!Z46*'Global Warming Potential GWP'!$E$7+'Emissions GEI'!AQ46*'Global Warming Potential GWP'!$E$8)/1000,"NA")</f>
        <v>125.51279903011562</v>
      </c>
      <c r="J46" s="39">
        <f>IFERROR(('Emissions GEI'!J46*'Global Warming Potential GWP'!$E$6+'Emissions GEI'!AA46*'Global Warming Potential GWP'!$E$7+'Emissions GEI'!AR46*'Global Warming Potential GWP'!$E$8)/1000,"NA")</f>
        <v>131.26530936173407</v>
      </c>
      <c r="K46" s="39">
        <f>IFERROR(('Emissions GEI'!K46*'Global Warming Potential GWP'!$E$6+'Emissions GEI'!AB46*'Global Warming Potential GWP'!$E$7+'Emissions GEI'!AS46*'Global Warming Potential GWP'!$E$8)/1000,"NA")</f>
        <v>137.3121998224855</v>
      </c>
      <c r="L46" s="39">
        <f>IFERROR(('Emissions GEI'!L46*'Global Warming Potential GWP'!$E$6+'Emissions GEI'!AC46*'Global Warming Potential GWP'!$E$7+'Emissions GEI'!AT46*'Global Warming Potential GWP'!$E$8)/1000,"NA")</f>
        <v>144.40958375774568</v>
      </c>
      <c r="M46" s="39">
        <f>IFERROR(('Emissions GEI'!M46*'Global Warming Potential GWP'!$E$6+'Emissions GEI'!AD46*'Global Warming Potential GWP'!$E$7+'Emissions GEI'!AU46*'Global Warming Potential GWP'!$E$8)/1000,"NA")</f>
        <v>150.61374579433527</v>
      </c>
      <c r="N46" s="39">
        <f>IFERROR(('Emissions GEI'!N46*'Global Warming Potential GWP'!$E$6+'Emissions GEI'!AE46*'Global Warming Potential GWP'!$E$7+'Emissions GEI'!AV46*'Global Warming Potential GWP'!$E$8)/1000,"NA")</f>
        <v>157.84218937612718</v>
      </c>
      <c r="O46" s="39">
        <f>IFERROR(('Emissions GEI'!O46*'Global Warming Potential GWP'!$E$6+'Emissions GEI'!AF46*'Global Warming Potential GWP'!$E$7+'Emissions GEI'!AW46*'Global Warming Potential GWP'!$E$8)/1000,"NA")</f>
        <v>164.75407350398845</v>
      </c>
      <c r="P46" s="39">
        <f>IFERROR(('Emissions GEI'!P46*'Global Warming Potential GWP'!$E$6+'Emissions GEI'!AG46*'Global Warming Potential GWP'!$E$7+'Emissions GEI'!AX46*'Global Warming Potential GWP'!$E$8)/1000,"NA")</f>
        <v>173.40401017508671</v>
      </c>
      <c r="Q46" s="39">
        <f>IFERROR(('Emissions GEI'!Q46*'Global Warming Potential GWP'!$E$6+'Emissions GEI'!AH46*'Global Warming Potential GWP'!$E$7+'Emissions GEI'!AY46*'Global Warming Potential GWP'!$E$8)/1000,"NA")</f>
        <v>182.29187051219654</v>
      </c>
      <c r="R46" s="39">
        <f>IFERROR(('Emissions GEI'!R46*'Global Warming Potential GWP'!$E$6+'Emissions GEI'!AI46*'Global Warming Potential GWP'!$E$7+'Emissions GEI'!AZ46*'Global Warming Potential GWP'!$E$8)/1000,"NA")</f>
        <v>188.88535090572429</v>
      </c>
      <c r="S46" s="39">
        <f>IFERROR(('Emissions GEI'!S46*'Global Warming Potential GWP'!$E$6+'Emissions GEI'!AJ46*'Global Warming Potential GWP'!$E$7+'Emissions GEI'!BA46*'Global Warming Potential GWP'!$E$8)/1000,"NA")</f>
        <v>209.00810467354987</v>
      </c>
      <c r="T46" s="86">
        <f>IFERROR(('Emissions GEI'!T46*'Global Warming Potential GWP'!$E$6+'Emissions GEI'!AK46*'Global Warming Potential GWP'!$E$7+'Emissions GEI'!BB46*'Global Warming Potential GWP'!$E$8)/1000,"NA")</f>
        <v>214.13956589589625</v>
      </c>
    </row>
    <row r="47" spans="2:20" s="110" customFormat="1" x14ac:dyDescent="0.35">
      <c r="B47" s="698"/>
      <c r="C47" s="253" t="s">
        <v>544</v>
      </c>
      <c r="D47" s="85">
        <f>IFERROR(('Emissions GEI'!D47*'Global Warming Potential GWP'!$E$6+'Emissions GEI'!U47*'Global Warming Potential GWP'!$E$7+'Emissions GEI'!AL47*'Global Warming Potential GWP'!$E$8)/1000,"NA")</f>
        <v>17.49191581861427</v>
      </c>
      <c r="E47" s="39">
        <f>IFERROR(('Emissions GEI'!E47*'Global Warming Potential GWP'!$E$6+'Emissions GEI'!V47*'Global Warming Potential GWP'!$E$7+'Emissions GEI'!AM47*'Global Warming Potential GWP'!$E$8)/1000,"NA")</f>
        <v>18.255813978035885</v>
      </c>
      <c r="F47" s="39">
        <f>IFERROR(('Emissions GEI'!F47*'Global Warming Potential GWP'!$E$6+'Emissions GEI'!W47*'Global Warming Potential GWP'!$E$7+'Emissions GEI'!AN47*'Global Warming Potential GWP'!$E$8)/1000,"NA")</f>
        <v>19.039992619566021</v>
      </c>
      <c r="G47" s="39">
        <f>IFERROR(('Emissions GEI'!G47*'Global Warming Potential GWP'!$E$6+'Emissions GEI'!X47*'Global Warming Potential GWP'!$E$7+'Emissions GEI'!AO47*'Global Warming Potential GWP'!$E$8)/1000,"NA")</f>
        <v>19.814031020041913</v>
      </c>
      <c r="H47" s="39">
        <f>IFERROR(('Emissions GEI'!H47*'Global Warming Potential GWP'!$E$6+'Emissions GEI'!Y47*'Global Warming Potential GWP'!$E$7+'Emissions GEI'!AP47*'Global Warming Potential GWP'!$E$8)/1000,"NA")</f>
        <v>20.922697375308669</v>
      </c>
      <c r="I47" s="39">
        <f>IFERROR(('Emissions GEI'!I47*'Global Warming Potential GWP'!$E$6+'Emissions GEI'!Z47*'Global Warming Potential GWP'!$E$7+'Emissions GEI'!AQ47*'Global Warming Potential GWP'!$E$8)/1000,"NA")</f>
        <v>21.940101561087005</v>
      </c>
      <c r="J47" s="39">
        <f>IFERROR(('Emissions GEI'!J47*'Global Warming Potential GWP'!$E$6+'Emissions GEI'!AA47*'Global Warming Potential GWP'!$E$7+'Emissions GEI'!AR47*'Global Warming Potential GWP'!$E$8)/1000,"NA")</f>
        <v>22.964265907568191</v>
      </c>
      <c r="K47" s="39">
        <f>IFERROR(('Emissions GEI'!K47*'Global Warming Potential GWP'!$E$6+'Emissions GEI'!AB47*'Global Warming Potential GWP'!$E$7+'Emissions GEI'!AS47*'Global Warming Potential GWP'!$E$8)/1000,"NA")</f>
        <v>24.028991218266452</v>
      </c>
      <c r="L47" s="39">
        <f>IFERROR(('Emissions GEI'!L47*'Global Warming Potential GWP'!$E$6+'Emissions GEI'!AC47*'Global Warming Potential GWP'!$E$7+'Emissions GEI'!AT47*'Global Warming Potential GWP'!$E$8)/1000,"NA")</f>
        <v>25.26948070723871</v>
      </c>
      <c r="M47" s="39">
        <f>IFERROR(('Emissions GEI'!M47*'Global Warming Potential GWP'!$E$6+'Emissions GEI'!AD47*'Global Warming Potential GWP'!$E$7+'Emissions GEI'!AU47*'Global Warming Potential GWP'!$E$8)/1000,"NA")</f>
        <v>26.354486500045507</v>
      </c>
      <c r="N47" s="39">
        <f>IFERROR(('Emissions GEI'!N47*'Global Warming Potential GWP'!$E$6+'Emissions GEI'!AE47*'Global Warming Potential GWP'!$E$7+'Emissions GEI'!AV47*'Global Warming Potential GWP'!$E$8)/1000,"NA")</f>
        <v>27.615256471126305</v>
      </c>
      <c r="O47" s="39">
        <f>IFERROR(('Emissions GEI'!O47*'Global Warming Potential GWP'!$E$6+'Emissions GEI'!AF47*'Global Warming Potential GWP'!$E$7+'Emissions GEI'!AW47*'Global Warming Potential GWP'!$E$8)/1000,"NA")</f>
        <v>28.8320853976386</v>
      </c>
      <c r="P47" s="39">
        <f>IFERROR(('Emissions GEI'!P47*'Global Warming Potential GWP'!$E$6+'Emissions GEI'!AG47*'Global Warming Potential GWP'!$E$7+'Emissions GEI'!AX47*'Global Warming Potential GWP'!$E$8)/1000,"NA")</f>
        <v>30.363261796833239</v>
      </c>
      <c r="Q47" s="39">
        <f>IFERROR(('Emissions GEI'!Q47*'Global Warming Potential GWP'!$E$6+'Emissions GEI'!AH47*'Global Warming Potential GWP'!$E$7+'Emissions GEI'!AY47*'Global Warming Potential GWP'!$E$8)/1000,"NA")</f>
        <v>31.93837924059638</v>
      </c>
      <c r="R47" s="39">
        <f>IFERROR(('Emissions GEI'!R47*'Global Warming Potential GWP'!$E$6+'Emissions GEI'!AI47*'Global Warming Potential GWP'!$E$7+'Emissions GEI'!AZ47*'Global Warming Potential GWP'!$E$8)/1000,"NA")</f>
        <v>33.252292459646078</v>
      </c>
      <c r="S47" s="39">
        <f>IFERROR(('Emissions GEI'!S47*'Global Warming Potential GWP'!$E$6+'Emissions GEI'!AJ47*'Global Warming Potential GWP'!$E$7+'Emissions GEI'!BA47*'Global Warming Potential GWP'!$E$8)/1000,"NA")</f>
        <v>32.91041302584113</v>
      </c>
      <c r="T47" s="86">
        <f>IFERROR(('Emissions GEI'!T47*'Global Warming Potential GWP'!$E$6+'Emissions GEI'!AK47*'Global Warming Potential GWP'!$E$7+'Emissions GEI'!BB47*'Global Warming Potential GWP'!$E$8)/1000,"NA")</f>
        <v>36.542128352594041</v>
      </c>
    </row>
    <row r="48" spans="2:20" s="110" customFormat="1" x14ac:dyDescent="0.35">
      <c r="B48" s="698"/>
      <c r="C48" s="253" t="s">
        <v>545</v>
      </c>
      <c r="D48" s="85">
        <f>IFERROR(('Emissions GEI'!D48*'Global Warming Potential GWP'!$E$6+'Emissions GEI'!U48*'Global Warming Potential GWP'!$E$7+'Emissions GEI'!AL48*'Global Warming Potential GWP'!$E$8)/1000,"NA")</f>
        <v>0.15492784017989716</v>
      </c>
      <c r="E48" s="39">
        <f>IFERROR(('Emissions GEI'!E48*'Global Warming Potential GWP'!$E$6+'Emissions GEI'!V48*'Global Warming Potential GWP'!$E$7+'Emissions GEI'!AM48*'Global Warming Potential GWP'!$E$8)/1000,"NA")</f>
        <v>0.16120869856556869</v>
      </c>
      <c r="F48" s="39">
        <f>IFERROR(('Emissions GEI'!F48*'Global Warming Potential GWP'!$E$6+'Emissions GEI'!W48*'Global Warming Potential GWP'!$E$7+'Emissions GEI'!AN48*'Global Warming Potential GWP'!$E$8)/1000,"NA")</f>
        <v>0.16748955695124018</v>
      </c>
      <c r="G48" s="39">
        <f>IFERROR(('Emissions GEI'!G48*'Global Warming Potential GWP'!$E$6+'Emissions GEI'!X48*'Global Warming Potential GWP'!$E$7+'Emissions GEI'!AO48*'Global Warming Potential GWP'!$E$8)/1000,"NA")</f>
        <v>0.17377041533691168</v>
      </c>
      <c r="H48" s="39">
        <f>IFERROR(('Emissions GEI'!H48*'Global Warming Potential GWP'!$E$6+'Emissions GEI'!Y48*'Global Warming Potential GWP'!$E$7+'Emissions GEI'!AP48*'Global Warming Potential GWP'!$E$8)/1000,"NA")</f>
        <v>0.18423851264636421</v>
      </c>
      <c r="I48" s="39">
        <f>IFERROR(('Emissions GEI'!I48*'Global Warming Potential GWP'!$E$6+'Emissions GEI'!Z48*'Global Warming Potential GWP'!$E$7+'Emissions GEI'!AQ48*'Global Warming Potential GWP'!$E$8)/1000,"NA")</f>
        <v>0.19261299049392616</v>
      </c>
      <c r="J48" s="39">
        <f>IFERROR(('Emissions GEI'!J48*'Global Warming Potential GWP'!$E$6+'Emissions GEI'!AA48*'Global Warming Potential GWP'!$E$7+'Emissions GEI'!AR48*'Global Warming Potential GWP'!$E$8)/1000,"NA")</f>
        <v>0.2009874683414882</v>
      </c>
      <c r="K48" s="39">
        <f>IFERROR(('Emissions GEI'!K48*'Global Warming Potential GWP'!$E$6+'Emissions GEI'!AB48*'Global Warming Potential GWP'!$E$7+'Emissions GEI'!AS48*'Global Warming Potential GWP'!$E$8)/1000,"NA")</f>
        <v>0.21145556565094073</v>
      </c>
      <c r="L48" s="39">
        <f>IFERROR(('Emissions GEI'!L48*'Global Warming Potential GWP'!$E$6+'Emissions GEI'!AC48*'Global Warming Potential GWP'!$E$7+'Emissions GEI'!AT48*'Global Warming Potential GWP'!$E$8)/1000,"NA")</f>
        <v>0.2219236629603932</v>
      </c>
      <c r="M48" s="39">
        <f>IFERROR(('Emissions GEI'!M48*'Global Warming Potential GWP'!$E$6+'Emissions GEI'!AD48*'Global Warming Potential GWP'!$E$7+'Emissions GEI'!AU48*'Global Warming Potential GWP'!$E$8)/1000,"NA")</f>
        <v>0.23239176026984573</v>
      </c>
      <c r="N48" s="39">
        <f>IFERROR(('Emissions GEI'!N48*'Global Warming Potential GWP'!$E$6+'Emissions GEI'!AE48*'Global Warming Potential GWP'!$E$7+'Emissions GEI'!AV48*'Global Warming Potential GWP'!$E$8)/1000,"NA")</f>
        <v>0.24285985757929823</v>
      </c>
      <c r="O48" s="39">
        <f>IFERROR(('Emissions GEI'!O48*'Global Warming Potential GWP'!$E$6+'Emissions GEI'!AF48*'Global Warming Potential GWP'!$E$7+'Emissions GEI'!AW48*'Global Warming Potential GWP'!$E$8)/1000,"NA")</f>
        <v>0.25332795488875071</v>
      </c>
      <c r="P48" s="39">
        <f>IFERROR(('Emissions GEI'!P48*'Global Warming Potential GWP'!$E$6+'Emissions GEI'!AG48*'Global Warming Potential GWP'!$E$7+'Emissions GEI'!AX48*'Global Warming Potential GWP'!$E$8)/1000,"NA")</f>
        <v>0.26588967166009375</v>
      </c>
      <c r="Q48" s="39">
        <f>IFERROR(('Emissions GEI'!Q48*'Global Warming Potential GWP'!$E$6+'Emissions GEI'!AH48*'Global Warming Potential GWP'!$E$7+'Emissions GEI'!AY48*'Global Warming Potential GWP'!$E$8)/1000,"NA")</f>
        <v>0.28054500789332731</v>
      </c>
      <c r="R48" s="39">
        <f>IFERROR(('Emissions GEI'!R48*'Global Warming Potential GWP'!$E$6+'Emissions GEI'!AI48*'Global Warming Potential GWP'!$E$7+'Emissions GEI'!AZ48*'Global Warming Potential GWP'!$E$8)/1000,"NA")</f>
        <v>5.5373869652476829E-2</v>
      </c>
      <c r="S48" s="39">
        <f>IFERROR(('Emissions GEI'!S48*'Global Warming Potential GWP'!$E$6+'Emissions GEI'!AJ48*'Global Warming Potential GWP'!$E$7+'Emissions GEI'!BA48*'Global Warming Potential GWP'!$E$8)/1000,"NA")</f>
        <v>0.35943542184691707</v>
      </c>
      <c r="T48" s="86">
        <f>IFERROR(('Emissions GEI'!T48*'Global Warming Potential GWP'!$E$6+'Emissions GEI'!AK48*'Global Warming Potential GWP'!$E$7+'Emissions GEI'!BB48*'Global Warming Potential GWP'!$E$8)/1000,"NA")</f>
        <v>0.35767364931841528</v>
      </c>
    </row>
    <row r="49" spans="2:20" s="110" customFormat="1" x14ac:dyDescent="0.35">
      <c r="B49" s="698"/>
      <c r="C49" s="253" t="s">
        <v>546</v>
      </c>
      <c r="D49" s="85">
        <f>IFERROR(('Emissions GEI'!D49*'Global Warming Potential GWP'!$E$6+'Emissions GEI'!U49*'Global Warming Potential GWP'!$E$7+'Emissions GEI'!AL49*'Global Warming Potential GWP'!$E$8)/1000,"NA")</f>
        <v>37.511797246890154</v>
      </c>
      <c r="E49" s="39">
        <f>IFERROR(('Emissions GEI'!E49*'Global Warming Potential GWP'!$E$6+'Emissions GEI'!V49*'Global Warming Potential GWP'!$E$7+'Emissions GEI'!AM49*'Global Warming Potential GWP'!$E$8)/1000,"NA")</f>
        <v>39.151222164300577</v>
      </c>
      <c r="F49" s="39">
        <f>IFERROR(('Emissions GEI'!F49*'Global Warming Potential GWP'!$E$6+'Emissions GEI'!W49*'Global Warming Potential GWP'!$E$7+'Emissions GEI'!AN49*'Global Warming Potential GWP'!$E$8)/1000,"NA")</f>
        <v>40.831694629826593</v>
      </c>
      <c r="G49" s="39">
        <f>IFERROR(('Emissions GEI'!G49*'Global Warming Potential GWP'!$E$6+'Emissions GEI'!X49*'Global Warming Potential GWP'!$E$7+'Emissions GEI'!AO49*'Global Warming Potential GWP'!$E$8)/1000,"NA")</f>
        <v>42.494474186682076</v>
      </c>
      <c r="H49" s="39">
        <f>IFERROR(('Emissions GEI'!H49*'Global Warming Potential GWP'!$E$6+'Emissions GEI'!Y49*'Global Warming Potential GWP'!$E$7+'Emissions GEI'!AP49*'Global Warming Potential GWP'!$E$8)/1000,"NA")</f>
        <v>44.867447097572253</v>
      </c>
      <c r="I49" s="39">
        <f>IFERROR(('Emissions GEI'!I49*'Global Warming Potential GWP'!$E$6+'Emissions GEI'!Z49*'Global Warming Potential GWP'!$E$7+'Emissions GEI'!AQ49*'Global Warming Potential GWP'!$E$8)/1000,"NA")</f>
        <v>47.047567303953763</v>
      </c>
      <c r="J49" s="39">
        <f>IFERROR(('Emissions GEI'!J49*'Global Warming Potential GWP'!$E$6+'Emissions GEI'!AA49*'Global Warming Potential GWP'!$E$7+'Emissions GEI'!AR49*'Global Warming Potential GWP'!$E$8)/1000,"NA")</f>
        <v>49.243611128138738</v>
      </c>
      <c r="K49" s="39">
        <f>IFERROR(('Emissions GEI'!K49*'Global Warming Potential GWP'!$E$6+'Emissions GEI'!AB49*'Global Warming Potential GWP'!$E$7+'Emissions GEI'!AS49*'Global Warming Potential GWP'!$E$8)/1000,"NA")</f>
        <v>51.525996346635836</v>
      </c>
      <c r="L49" s="39">
        <f>IFERROR(('Emissions GEI'!L49*'Global Warming Potential GWP'!$E$6+'Emissions GEI'!AC49*'Global Warming Potential GWP'!$E$7+'Emissions GEI'!AT49*'Global Warming Potential GWP'!$E$8)/1000,"NA")</f>
        <v>54.194086974150295</v>
      </c>
      <c r="M49" s="39">
        <f>IFERROR(('Emissions GEI'!M49*'Global Warming Potential GWP'!$E$6+'Emissions GEI'!AD49*'Global Warming Potential GWP'!$E$7+'Emissions GEI'!AU49*'Global Warming Potential GWP'!$E$8)/1000,"NA")</f>
        <v>56.513981159028894</v>
      </c>
      <c r="N49" s="39">
        <f>IFERROR(('Emissions GEI'!N49*'Global Warming Potential GWP'!$E$6+'Emissions GEI'!AE49*'Global Warming Potential GWP'!$E$7+'Emissions GEI'!AV49*'Global Warming Potential GWP'!$E$8)/1000,"NA")</f>
        <v>59.216749887537567</v>
      </c>
      <c r="O49" s="39">
        <f>IFERROR(('Emissions GEI'!O49*'Global Warming Potential GWP'!$E$6+'Emissions GEI'!AF49*'Global Warming Potential GWP'!$E$7+'Emissions GEI'!AW49*'Global Warming Potential GWP'!$E$8)/1000,"NA")</f>
        <v>61.826100058265894</v>
      </c>
      <c r="P49" s="39">
        <f>IFERROR(('Emissions GEI'!P49*'Global Warming Potential GWP'!$E$6+'Emissions GEI'!AG49*'Global Warming Potential GWP'!$E$7+'Emissions GEI'!AX49*'Global Warming Potential GWP'!$E$8)/1000,"NA")</f>
        <v>65.106011467606933</v>
      </c>
      <c r="Q49" s="39">
        <f>IFERROR(('Emissions GEI'!Q49*'Global Warming Potential GWP'!$E$6+'Emissions GEI'!AH49*'Global Warming Potential GWP'!$E$7+'Emissions GEI'!AY49*'Global Warming Potential GWP'!$E$8)/1000,"NA")</f>
        <v>68.484649307329491</v>
      </c>
      <c r="R49" s="39">
        <f>IFERROR(('Emissions GEI'!R49*'Global Warming Potential GWP'!$E$6+'Emissions GEI'!AI49*'Global Warming Potential GWP'!$E$7+'Emissions GEI'!AZ49*'Global Warming Potential GWP'!$E$8)/1000,"NA")</f>
        <v>48.127808991722539</v>
      </c>
      <c r="S49" s="39">
        <f>IFERROR(('Emissions GEI'!S49*'Global Warming Potential GWP'!$E$6+'Emissions GEI'!AJ49*'Global Warming Potential GWP'!$E$7+'Emissions GEI'!BA49*'Global Warming Potential GWP'!$E$8)/1000,"NA")</f>
        <v>64.698679349965303</v>
      </c>
      <c r="T49" s="86">
        <f>IFERROR(('Emissions GEI'!T49*'Global Warming Potential GWP'!$E$6+'Emissions GEI'!AK49*'Global Warming Potential GWP'!$E$7+'Emissions GEI'!BB49*'Global Warming Potential GWP'!$E$8)/1000,"NA")</f>
        <v>71.657180845502879</v>
      </c>
    </row>
    <row r="50" spans="2:20" s="110" customFormat="1" x14ac:dyDescent="0.35">
      <c r="B50" s="698"/>
      <c r="C50" s="253" t="s">
        <v>547</v>
      </c>
      <c r="D50" s="85">
        <f>IFERROR(('Emissions GEI'!D50*'Global Warming Potential GWP'!$E$6+'Emissions GEI'!U50*'Global Warming Potential GWP'!$E$7+'Emissions GEI'!AL50*'Global Warming Potential GWP'!$E$8)/1000,"NA")</f>
        <v>1.2556910039306357</v>
      </c>
      <c r="E50" s="39">
        <f>IFERROR(('Emissions GEI'!E50*'Global Warming Potential GWP'!$E$6+'Emissions GEI'!V50*'Global Warming Potential GWP'!$E$7+'Emissions GEI'!AM50*'Global Warming Potential GWP'!$E$8)/1000,"NA")</f>
        <v>1.3092005637572255</v>
      </c>
      <c r="F50" s="39">
        <f>IFERROR(('Emissions GEI'!F50*'Global Warming Potential GWP'!$E$6+'Emissions GEI'!W50*'Global Warming Potential GWP'!$E$7+'Emissions GEI'!AN50*'Global Warming Potential GWP'!$E$8)/1000,"NA")</f>
        <v>1.3662774275722542</v>
      </c>
      <c r="G50" s="39">
        <f>IFERROR(('Emissions GEI'!G50*'Global Warming Potential GWP'!$E$6+'Emissions GEI'!X50*'Global Warming Potential GWP'!$E$7+'Emissions GEI'!AO50*'Global Warming Potential GWP'!$E$8)/1000,"NA")</f>
        <v>1.4197869873988436</v>
      </c>
      <c r="H50" s="39">
        <f>IFERROR(('Emissions GEI'!H50*'Global Warming Potential GWP'!$E$6+'Emissions GEI'!Y50*'Global Warming Potential GWP'!$E$7+'Emissions GEI'!AP50*'Global Warming Potential GWP'!$E$8)/1000,"NA")</f>
        <v>1.4982676751445085</v>
      </c>
      <c r="I50" s="39">
        <f>IFERROR(('Emissions GEI'!I50*'Global Warming Potential GWP'!$E$6+'Emissions GEI'!Z50*'Global Warming Potential GWP'!$E$7+'Emissions GEI'!AQ50*'Global Warming Potential GWP'!$E$8)/1000,"NA")</f>
        <v>1.5696137549132947</v>
      </c>
      <c r="J50" s="39">
        <f>IFERROR(('Emissions GEI'!J50*'Global Warming Potential GWP'!$E$6+'Emissions GEI'!AA50*'Global Warming Potential GWP'!$E$7+'Emissions GEI'!AR50*'Global Warming Potential GWP'!$E$8)/1000,"NA")</f>
        <v>1.6409598346820806</v>
      </c>
      <c r="K50" s="39">
        <f>IFERROR(('Emissions GEI'!K50*'Global Warming Potential GWP'!$E$6+'Emissions GEI'!AB50*'Global Warming Potential GWP'!$E$7+'Emissions GEI'!AS50*'Global Warming Potential GWP'!$E$8)/1000,"NA")</f>
        <v>1.7158732184393066</v>
      </c>
      <c r="L50" s="39">
        <f>IFERROR(('Emissions GEI'!L50*'Global Warming Potential GWP'!$E$6+'Emissions GEI'!AC50*'Global Warming Potential GWP'!$E$7+'Emissions GEI'!AT50*'Global Warming Potential GWP'!$E$8)/1000,"NA")</f>
        <v>1.8086231221387286</v>
      </c>
      <c r="M50" s="39">
        <f>IFERROR(('Emissions GEI'!M50*'Global Warming Potential GWP'!$E$6+'Emissions GEI'!AD50*'Global Warming Potential GWP'!$E$7+'Emissions GEI'!AU50*'Global Warming Potential GWP'!$E$8)/1000,"NA")</f>
        <v>1.8835365058959537</v>
      </c>
      <c r="N50" s="39">
        <f>IFERROR(('Emissions GEI'!N50*'Global Warming Potential GWP'!$E$6+'Emissions GEI'!AE50*'Global Warming Potential GWP'!$E$7+'Emissions GEI'!AV50*'Global Warming Potential GWP'!$E$8)/1000,"NA")</f>
        <v>1.9727191056069364</v>
      </c>
      <c r="O50" s="39">
        <f>IFERROR(('Emissions GEI'!O50*'Global Warming Potential GWP'!$E$6+'Emissions GEI'!AF50*'Global Warming Potential GWP'!$E$7+'Emissions GEI'!AW50*'Global Warming Potential GWP'!$E$8)/1000,"NA")</f>
        <v>2.0583344013294802</v>
      </c>
      <c r="P50" s="39">
        <f>IFERROR(('Emissions GEI'!P50*'Global Warming Potential GWP'!$E$6+'Emissions GEI'!AG50*'Global Warming Potential GWP'!$E$7+'Emissions GEI'!AX50*'Global Warming Potential GWP'!$E$8)/1000,"NA")</f>
        <v>2.1689208249710981</v>
      </c>
      <c r="Q50" s="39">
        <f>IFERROR(('Emissions GEI'!Q50*'Global Warming Potential GWP'!$E$6+'Emissions GEI'!AH50*'Global Warming Potential GWP'!$E$7+'Emissions GEI'!AY50*'Global Warming Potential GWP'!$E$8)/1000,"NA")</f>
        <v>2.2795072486127168</v>
      </c>
      <c r="R50" s="39">
        <f>IFERROR(('Emissions GEI'!R50*'Global Warming Potential GWP'!$E$6+'Emissions GEI'!AI50*'Global Warming Potential GWP'!$E$7+'Emissions GEI'!AZ50*'Global Warming Potential GWP'!$E$8)/1000,"NA")</f>
        <v>1.7593954277491559</v>
      </c>
      <c r="S50" s="39">
        <f>IFERROR(('Emissions GEI'!S50*'Global Warming Potential GWP'!$E$6+'Emissions GEI'!AJ50*'Global Warming Potential GWP'!$E$7+'Emissions GEI'!BA50*'Global Warming Potential GWP'!$E$8)/1000,"NA")</f>
        <v>2.5998304421629146</v>
      </c>
      <c r="T50" s="86">
        <f>IFERROR(('Emissions GEI'!T50*'Global Warming Potential GWP'!$E$6+'Emissions GEI'!AK50*'Global Warming Potential GWP'!$E$7+'Emissions GEI'!BB50*'Global Warming Potential GWP'!$E$8)/1000,"NA")</f>
        <v>2.8648608216975888</v>
      </c>
    </row>
    <row r="51" spans="2:20" x14ac:dyDescent="0.35">
      <c r="B51" s="698"/>
      <c r="C51" s="253" t="s">
        <v>548</v>
      </c>
      <c r="D51" s="85">
        <f>IFERROR(('Emissions GEI'!D51*'Global Warming Potential GWP'!$E$6+'Emissions GEI'!U51*'Global Warming Potential GWP'!$E$7+'Emissions GEI'!AL51*'Global Warming Potential GWP'!$E$8)/1000,"NA")</f>
        <v>27.706330858372979</v>
      </c>
      <c r="E51" s="39">
        <f>IFERROR(('Emissions GEI'!E51*'Global Warming Potential GWP'!$E$6+'Emissions GEI'!V51*'Global Warming Potential GWP'!$E$7+'Emissions GEI'!AM51*'Global Warming Potential GWP'!$E$8)/1000,"NA")</f>
        <v>28.915648495215446</v>
      </c>
      <c r="F51" s="39">
        <f>IFERROR(('Emissions GEI'!F51*'Global Warming Potential GWP'!$E$6+'Emissions GEI'!W51*'Global Warming Potential GWP'!$E$7+'Emissions GEI'!AN51*'Global Warming Potential GWP'!$E$8)/1000,"NA")</f>
        <v>30.16383705609929</v>
      </c>
      <c r="G51" s="39">
        <f>IFERROR(('Emissions GEI'!G51*'Global Warming Potential GWP'!$E$6+'Emissions GEI'!X51*'Global Warming Potential GWP'!$E$7+'Emissions GEI'!AO51*'Global Warming Potential GWP'!$E$8)/1000,"NA")</f>
        <v>31.390430659182361</v>
      </c>
      <c r="H51" s="39">
        <f>IFERROR(('Emissions GEI'!H51*'Global Warming Potential GWP'!$E$6+'Emissions GEI'!Y51*'Global Warming Potential GWP'!$E$7+'Emissions GEI'!AP51*'Global Warming Potential GWP'!$E$8)/1000,"NA")</f>
        <v>33.148260224164083</v>
      </c>
      <c r="I51" s="39">
        <f>IFERROR(('Emissions GEI'!I51*'Global Warming Potential GWP'!$E$6+'Emissions GEI'!Z51*'Global Warming Potential GWP'!$E$7+'Emissions GEI'!AQ51*'Global Warming Potential GWP'!$E$8)/1000,"NA")</f>
        <v>34.763563067660819</v>
      </c>
      <c r="J51" s="39">
        <f>IFERROR(('Emissions GEI'!J51*'Global Warming Potential GWP'!$E$6+'Emissions GEI'!AA51*'Global Warming Potential GWP'!$E$7+'Emissions GEI'!AR51*'Global Warming Potential GWP'!$E$8)/1000,"NA")</f>
        <v>36.387503894277849</v>
      </c>
      <c r="K51" s="39">
        <f>IFERROR(('Emissions GEI'!K51*'Global Warming Potential GWP'!$E$6+'Emissions GEI'!AB51*'Global Warming Potential GWP'!$E$7+'Emissions GEI'!AS51*'Global Warming Potential GWP'!$E$8)/1000,"NA")</f>
        <v>38.076229594297146</v>
      </c>
      <c r="L51" s="39">
        <f>IFERROR(('Emissions GEI'!L51*'Global Warming Potential GWP'!$E$6+'Emissions GEI'!AC51*'Global Warming Potential GWP'!$E$7+'Emissions GEI'!AT51*'Global Warming Potential GWP'!$E$8)/1000,"NA")</f>
        <v>40.045689745726307</v>
      </c>
      <c r="M51" s="39">
        <f>IFERROR(('Emissions GEI'!M51*'Global Warming Potential GWP'!$E$6+'Emissions GEI'!AD51*'Global Warming Potential GWP'!$E$7+'Emissions GEI'!AU51*'Global Warming Potential GWP'!$E$8)/1000,"NA")</f>
        <v>41.764648386666678</v>
      </c>
      <c r="N51" s="39">
        <f>IFERROR(('Emissions GEI'!N51*'Global Warming Potential GWP'!$E$6+'Emissions GEI'!AE51*'Global Warming Potential GWP'!$E$7+'Emissions GEI'!AV51*'Global Warming Potential GWP'!$E$8)/1000,"NA")</f>
        <v>43.75570349589659</v>
      </c>
      <c r="O51" s="39">
        <f>IFERROR(('Emissions GEI'!O51*'Global Warming Potential GWP'!$E$6+'Emissions GEI'!AF51*'Global Warming Potential GWP'!$E$7+'Emissions GEI'!AW51*'Global Warming Potential GWP'!$E$8)/1000,"NA")</f>
        <v>45.686292723284389</v>
      </c>
      <c r="P51" s="39">
        <f>IFERROR(('Emissions GEI'!P51*'Global Warming Potential GWP'!$E$6+'Emissions GEI'!AG51*'Global Warming Potential GWP'!$E$7+'Emissions GEI'!AX51*'Global Warming Potential GWP'!$E$8)/1000,"NA")</f>
        <v>48.113565980089632</v>
      </c>
      <c r="Q51" s="39">
        <f>IFERROR(('Emissions GEI'!Q51*'Global Warming Potential GWP'!$E$6+'Emissions GEI'!AH51*'Global Warming Potential GWP'!$E$7+'Emissions GEI'!AY51*'Global Warming Potential GWP'!$E$8)/1000,"NA")</f>
        <v>50.614262093417459</v>
      </c>
      <c r="R51" s="39">
        <f>IFERROR(('Emissions GEI'!R51*'Global Warming Potential GWP'!$E$6+'Emissions GEI'!AI51*'Global Warming Potential GWP'!$E$7+'Emissions GEI'!AZ51*'Global Warming Potential GWP'!$E$8)/1000,"NA")</f>
        <v>40.578550269717738</v>
      </c>
      <c r="S51" s="39">
        <f>IFERROR(('Emissions GEI'!S51*'Global Warming Potential GWP'!$E$6+'Emissions GEI'!AJ51*'Global Warming Potential GWP'!$E$7+'Emissions GEI'!BA51*'Global Warming Potential GWP'!$E$8)/1000,"NA")</f>
        <v>41.499382507666873</v>
      </c>
      <c r="T51" s="86">
        <f>IFERROR(('Emissions GEI'!T51*'Global Warming Potential GWP'!$E$6+'Emissions GEI'!AK51*'Global Warming Potential GWP'!$E$7+'Emissions GEI'!BB51*'Global Warming Potential GWP'!$E$8)/1000,"NA")</f>
        <v>49.365084178056655</v>
      </c>
    </row>
    <row r="52" spans="2:20" x14ac:dyDescent="0.35">
      <c r="B52" s="698"/>
      <c r="C52" s="253" t="s">
        <v>549</v>
      </c>
      <c r="D52" s="85">
        <f>IFERROR(('Emissions GEI'!D52*'Global Warming Potential GWP'!$E$6+'Emissions GEI'!U52*'Global Warming Potential GWP'!$E$7+'Emissions GEI'!AL52*'Global Warming Potential GWP'!$E$8)/1000,"NA")</f>
        <v>8.0255412705802585E-3</v>
      </c>
      <c r="E52" s="39">
        <f>IFERROR(('Emissions GEI'!E52*'Global Warming Potential GWP'!$E$6+'Emissions GEI'!V52*'Global Warming Potential GWP'!$E$7+'Emissions GEI'!AM52*'Global Warming Potential GWP'!$E$8)/1000,"NA")</f>
        <v>8.0255412705802585E-3</v>
      </c>
      <c r="F52" s="39">
        <f>IFERROR(('Emissions GEI'!F52*'Global Warming Potential GWP'!$E$6+'Emissions GEI'!W52*'Global Warming Potential GWP'!$E$7+'Emissions GEI'!AN52*'Global Warming Potential GWP'!$E$8)/1000,"NA")</f>
        <v>1.070072169410701E-2</v>
      </c>
      <c r="G52" s="39">
        <f>IFERROR(('Emissions GEI'!G52*'Global Warming Potential GWP'!$E$6+'Emissions GEI'!X52*'Global Warming Potential GWP'!$E$7+'Emissions GEI'!AO52*'Global Warming Potential GWP'!$E$8)/1000,"NA")</f>
        <v>1.070072169410701E-2</v>
      </c>
      <c r="H52" s="39">
        <f>IFERROR(('Emissions GEI'!H52*'Global Warming Potential GWP'!$E$6+'Emissions GEI'!Y52*'Global Warming Potential GWP'!$E$7+'Emissions GEI'!AP52*'Global Warming Potential GWP'!$E$8)/1000,"NA")</f>
        <v>1.070072169410701E-2</v>
      </c>
      <c r="I52" s="39">
        <f>IFERROR(('Emissions GEI'!I52*'Global Warming Potential GWP'!$E$6+'Emissions GEI'!Z52*'Global Warming Potential GWP'!$E$7+'Emissions GEI'!AQ52*'Global Warming Potential GWP'!$E$8)/1000,"NA")</f>
        <v>1.070072169410701E-2</v>
      </c>
      <c r="J52" s="39">
        <f>IFERROR(('Emissions GEI'!J52*'Global Warming Potential GWP'!$E$6+'Emissions GEI'!AA52*'Global Warming Potential GWP'!$E$7+'Emissions GEI'!AR52*'Global Warming Potential GWP'!$E$8)/1000,"NA")</f>
        <v>1.070072169410701E-2</v>
      </c>
      <c r="K52" s="39">
        <f>IFERROR(('Emissions GEI'!K52*'Global Warming Potential GWP'!$E$6+'Emissions GEI'!AB52*'Global Warming Potential GWP'!$E$7+'Emissions GEI'!AS52*'Global Warming Potential GWP'!$E$8)/1000,"NA")</f>
        <v>1.070072169410701E-2</v>
      </c>
      <c r="L52" s="39">
        <f>IFERROR(('Emissions GEI'!L52*'Global Warming Potential GWP'!$E$6+'Emissions GEI'!AC52*'Global Warming Potential GWP'!$E$7+'Emissions GEI'!AT52*'Global Warming Potential GWP'!$E$8)/1000,"NA")</f>
        <v>1.070072169410701E-2</v>
      </c>
      <c r="M52" s="39">
        <f>IFERROR(('Emissions GEI'!M52*'Global Warming Potential GWP'!$E$6+'Emissions GEI'!AD52*'Global Warming Potential GWP'!$E$7+'Emissions GEI'!AU52*'Global Warming Potential GWP'!$E$8)/1000,"NA")</f>
        <v>1.3375902117633759E-2</v>
      </c>
      <c r="N52" s="39">
        <f>IFERROR(('Emissions GEI'!N52*'Global Warming Potential GWP'!$E$6+'Emissions GEI'!AE52*'Global Warming Potential GWP'!$E$7+'Emissions GEI'!AV52*'Global Warming Potential GWP'!$E$8)/1000,"NA")</f>
        <v>1.3375902117633759E-2</v>
      </c>
      <c r="O52" s="39">
        <f>IFERROR(('Emissions GEI'!O52*'Global Warming Potential GWP'!$E$6+'Emissions GEI'!AF52*'Global Warming Potential GWP'!$E$7+'Emissions GEI'!AW52*'Global Warming Potential GWP'!$E$8)/1000,"NA")</f>
        <v>1.3375902117633759E-2</v>
      </c>
      <c r="P52" s="39">
        <f>IFERROR(('Emissions GEI'!P52*'Global Warming Potential GWP'!$E$6+'Emissions GEI'!AG52*'Global Warming Potential GWP'!$E$7+'Emissions GEI'!AX52*'Global Warming Potential GWP'!$E$8)/1000,"NA")</f>
        <v>1.3375902117633759E-2</v>
      </c>
      <c r="Q52" s="39">
        <f>IFERROR(('Emissions GEI'!Q52*'Global Warming Potential GWP'!$E$6+'Emissions GEI'!AH52*'Global Warming Potential GWP'!$E$7+'Emissions GEI'!AY52*'Global Warming Potential GWP'!$E$8)/1000,"NA")</f>
        <v>1.3375902117633759E-2</v>
      </c>
      <c r="R52" s="39">
        <f>IFERROR(('Emissions GEI'!R52*'Global Warming Potential GWP'!$E$6+'Emissions GEI'!AI52*'Global Warming Potential GWP'!$E$7+'Emissions GEI'!AZ52*'Global Warming Potential GWP'!$E$8)/1000,"NA")</f>
        <v>1.1462749837478801E-2</v>
      </c>
      <c r="S52" s="39">
        <f>IFERROR(('Emissions GEI'!S52*'Global Warming Potential GWP'!$E$6+'Emissions GEI'!AJ52*'Global Warming Potential GWP'!$E$7+'Emissions GEI'!BA52*'Global Warming Potential GWP'!$E$8)/1000,"NA")</f>
        <v>1.493631039429056E-2</v>
      </c>
      <c r="T52" s="86">
        <f>IFERROR(('Emissions GEI'!T52*'Global Warming Potential GWP'!$E$6+'Emissions GEI'!AK52*'Global Warming Potential GWP'!$E$7+'Emissions GEI'!BB52*'Global Warming Potential GWP'!$E$8)/1000,"NA")</f>
        <v>2.0607429670717919E-2</v>
      </c>
    </row>
    <row r="53" spans="2:20" s="110" customFormat="1" x14ac:dyDescent="0.35">
      <c r="B53" s="698"/>
      <c r="C53" s="253" t="s">
        <v>550</v>
      </c>
      <c r="D53" s="85">
        <f>IFERROR(('Emissions GEI'!D53*'Global Warming Potential GWP'!$E$6+'Emissions GEI'!U53*'Global Warming Potential GWP'!$E$7+'Emissions GEI'!AL53*'Global Warming Potential GWP'!$E$8)/1000,"NA")</f>
        <v>10.156114455086705</v>
      </c>
      <c r="E53" s="39">
        <f>IFERROR(('Emissions GEI'!E53*'Global Warming Potential GWP'!$E$6+'Emissions GEI'!V53*'Global Warming Potential GWP'!$E$7+'Emissions GEI'!AM53*'Global Warming Potential GWP'!$E$8)/1000,"NA")</f>
        <v>10.5913255416763</v>
      </c>
      <c r="F53" s="39">
        <f>IFERROR(('Emissions GEI'!F53*'Global Warming Potential GWP'!$E$6+'Emissions GEI'!W53*'Global Warming Potential GWP'!$E$7+'Emissions GEI'!AN53*'Global Warming Potential GWP'!$E$8)/1000,"NA")</f>
        <v>11.033671236242773</v>
      </c>
      <c r="G53" s="39">
        <f>IFERROR(('Emissions GEI'!G53*'Global Warming Potential GWP'!$E$6+'Emissions GEI'!X53*'Global Warming Potential GWP'!$E$7+'Emissions GEI'!AO53*'Global Warming Potential GWP'!$E$8)/1000,"NA")</f>
        <v>11.47244962682081</v>
      </c>
      <c r="H53" s="39">
        <f>IFERROR(('Emissions GEI'!H53*'Global Warming Potential GWP'!$E$6+'Emissions GEI'!Y53*'Global Warming Potential GWP'!$E$7+'Emissions GEI'!AP53*'Global Warming Potential GWP'!$E$8)/1000,"NA")</f>
        <v>12.103862432774566</v>
      </c>
      <c r="I53" s="39">
        <f>IFERROR(('Emissions GEI'!I53*'Global Warming Potential GWP'!$E$6+'Emissions GEI'!Z53*'Global Warming Potential GWP'!$E$7+'Emissions GEI'!AQ53*'Global Warming Potential GWP'!$E$8)/1000,"NA")</f>
        <v>12.685332982890174</v>
      </c>
      <c r="J53" s="39">
        <f>IFERROR(('Emissions GEI'!J53*'Global Warming Potential GWP'!$E$6+'Emissions GEI'!AA53*'Global Warming Potential GWP'!$E$7+'Emissions GEI'!AR53*'Global Warming Potential GWP'!$E$8)/1000,"NA")</f>
        <v>13.263236229017341</v>
      </c>
      <c r="K53" s="39">
        <f>IFERROR(('Emissions GEI'!K53*'Global Warming Potential GWP'!$E$6+'Emissions GEI'!AB53*'Global Warming Potential GWP'!$E$7+'Emissions GEI'!AS53*'Global Warming Potential GWP'!$E$8)/1000,"NA")</f>
        <v>13.87324521104046</v>
      </c>
      <c r="L53" s="39">
        <f>IFERROR(('Emissions GEI'!L53*'Global Warming Potential GWP'!$E$6+'Emissions GEI'!AC53*'Global Warming Potential GWP'!$E$7+'Emissions GEI'!AT53*'Global Warming Potential GWP'!$E$8)/1000,"NA")</f>
        <v>14.590273312716761</v>
      </c>
      <c r="M53" s="39">
        <f>IFERROR(('Emissions GEI'!M53*'Global Warming Potential GWP'!$E$6+'Emissions GEI'!AD53*'Global Warming Potential GWP'!$E$7+'Emissions GEI'!AU53*'Global Warming Potential GWP'!$E$8)/1000,"NA")</f>
        <v>15.221686118670519</v>
      </c>
      <c r="N53" s="39">
        <f>IFERROR(('Emissions GEI'!N53*'Global Warming Potential GWP'!$E$6+'Emissions GEI'!AE53*'Global Warming Potential GWP'!$E$7+'Emissions GEI'!AV53*'Global Warming Potential GWP'!$E$8)/1000,"NA")</f>
        <v>15.949416132312134</v>
      </c>
      <c r="O53" s="39">
        <f>IFERROR(('Emissions GEI'!O53*'Global Warming Potential GWP'!$E$6+'Emissions GEI'!AF53*'Global Warming Potential GWP'!$E$7+'Emissions GEI'!AW53*'Global Warming Potential GWP'!$E$8)/1000,"NA")</f>
        <v>16.648607714046243</v>
      </c>
      <c r="P53" s="39">
        <f>IFERROR(('Emissions GEI'!P53*'Global Warming Potential GWP'!$E$6+'Emissions GEI'!AG53*'Global Warming Potential GWP'!$E$7+'Emissions GEI'!AX53*'Global Warming Potential GWP'!$E$8)/1000,"NA")</f>
        <v>17.519029887225436</v>
      </c>
      <c r="Q53" s="39">
        <f>IFERROR(('Emissions GEI'!Q53*'Global Warming Potential GWP'!$E$6+'Emissions GEI'!AH53*'Global Warming Potential GWP'!$E$7+'Emissions GEI'!AY53*'Global Warming Potential GWP'!$E$8)/1000,"NA")</f>
        <v>18.417990492312143</v>
      </c>
      <c r="R53" s="39">
        <f>IFERROR(('Emissions GEI'!R53*'Global Warming Potential GWP'!$E$6+'Emissions GEI'!AI53*'Global Warming Potential GWP'!$E$7+'Emissions GEI'!AZ53*'Global Warming Potential GWP'!$E$8)/1000,"NA")</f>
        <v>12.840952867431177</v>
      </c>
      <c r="S53" s="39">
        <f>IFERROR(('Emissions GEI'!S53*'Global Warming Potential GWP'!$E$6+'Emissions GEI'!AJ53*'Global Warming Potential GWP'!$E$7+'Emissions GEI'!BA53*'Global Warming Potential GWP'!$E$8)/1000,"NA")</f>
        <v>17.557144199536783</v>
      </c>
      <c r="T53" s="86">
        <f>IFERROR(('Emissions GEI'!T53*'Global Warming Potential GWP'!$E$6+'Emissions GEI'!AK53*'Global Warming Potential GWP'!$E$7+'Emissions GEI'!BB53*'Global Warming Potential GWP'!$E$8)/1000,"NA")</f>
        <v>17.400841774059366</v>
      </c>
    </row>
    <row r="54" spans="2:20" s="110" customFormat="1" x14ac:dyDescent="0.35">
      <c r="B54" s="698"/>
      <c r="C54" s="253" t="s">
        <v>551</v>
      </c>
      <c r="D54" s="85">
        <f>IFERROR(('Emissions GEI'!D54*'Global Warming Potential GWP'!$E$6+'Emissions GEI'!U54*'Global Warming Potential GWP'!$E$7+'Emissions GEI'!AL54*'Global Warming Potential GWP'!$E$8)/1000,"NA")</f>
        <v>44.153050719430546</v>
      </c>
      <c r="E54" s="39">
        <f>IFERROR(('Emissions GEI'!E54*'Global Warming Potential GWP'!$E$6+'Emissions GEI'!V54*'Global Warming Potential GWP'!$E$7+'Emissions GEI'!AM54*'Global Warming Potential GWP'!$E$8)/1000,"NA")</f>
        <v>46.092277929938639</v>
      </c>
      <c r="F54" s="39">
        <f>IFERROR(('Emissions GEI'!F54*'Global Warming Potential GWP'!$E$6+'Emissions GEI'!W54*'Global Warming Potential GWP'!$E$7+'Emissions GEI'!AN54*'Global Warming Potential GWP'!$E$8)/1000,"NA")</f>
        <v>48.083333039168579</v>
      </c>
      <c r="G54" s="39">
        <f>IFERROR(('Emissions GEI'!G54*'Global Warming Potential GWP'!$E$6+'Emissions GEI'!X54*'Global Warming Potential GWP'!$E$7+'Emissions GEI'!AO54*'Global Warming Potential GWP'!$E$8)/1000,"NA")</f>
        <v>50.048474199037585</v>
      </c>
      <c r="H54" s="39">
        <f>IFERROR(('Emissions GEI'!H54*'Global Warming Potential GWP'!$E$6+'Emissions GEI'!Y54*'Global Warming Potential GWP'!$E$7+'Emissions GEI'!AP54*'Global Warming Potential GWP'!$E$8)/1000,"NA")</f>
        <v>52.851499721576019</v>
      </c>
      <c r="I54" s="39">
        <f>IFERROR(('Emissions GEI'!I54*'Global Warming Potential GWP'!$E$6+'Emissions GEI'!Z54*'Global Warming Potential GWP'!$E$7+'Emissions GEI'!AQ54*'Global Warming Potential GWP'!$E$8)/1000,"NA")</f>
        <v>55.429937682986562</v>
      </c>
      <c r="J54" s="39">
        <f>IFERROR(('Emissions GEI'!J54*'Global Warming Potential GWP'!$E$6+'Emissions GEI'!AA54*'Global Warming Potential GWP'!$E$7+'Emissions GEI'!AR54*'Global Warming Potential GWP'!$E$8)/1000,"NA")</f>
        <v>58.029970602197878</v>
      </c>
      <c r="K54" s="39">
        <f>IFERROR(('Emissions GEI'!K54*'Global Warming Potential GWP'!$E$6+'Emissions GEI'!AB54*'Global Warming Potential GWP'!$E$7+'Emissions GEI'!AS54*'Global Warming Potential GWP'!$E$8)/1000,"NA")</f>
        <v>60.720702344172366</v>
      </c>
      <c r="L54" s="39">
        <f>IFERROR(('Emissions GEI'!L54*'Global Warming Potential GWP'!$E$6+'Emissions GEI'!AC54*'Global Warming Potential GWP'!$E$7+'Emissions GEI'!AT54*'Global Warming Potential GWP'!$E$8)/1000,"NA")</f>
        <v>63.864928199962783</v>
      </c>
      <c r="M54" s="39">
        <f>IFERROR(('Emissions GEI'!M54*'Global Warming Potential GWP'!$E$6+'Emissions GEI'!AD54*'Global Warming Potential GWP'!$E$7+'Emissions GEI'!AU54*'Global Warming Potential GWP'!$E$8)/1000,"NA")</f>
        <v>66.598849857538795</v>
      </c>
      <c r="N54" s="39">
        <f>IFERROR(('Emissions GEI'!N54*'Global Warming Potential GWP'!$E$6+'Emissions GEI'!AE54*'Global Warming Potential GWP'!$E$7+'Emissions GEI'!AV54*'Global Warming Potential GWP'!$E$8)/1000,"NA")</f>
        <v>69.781946637370567</v>
      </c>
      <c r="O54" s="39">
        <f>IFERROR(('Emissions GEI'!O54*'Global Warming Potential GWP'!$E$6+'Emissions GEI'!AF54*'Global Warming Potential GWP'!$E$7+'Emissions GEI'!AW54*'Global Warming Potential GWP'!$E$8)/1000,"NA")</f>
        <v>72.86138761975873</v>
      </c>
      <c r="P54" s="39">
        <f>IFERROR(('Emissions GEI'!P54*'Global Warming Potential GWP'!$E$6+'Emissions GEI'!AG54*'Global Warming Potential GWP'!$E$7+'Emissions GEI'!AX54*'Global Warming Potential GWP'!$E$8)/1000,"NA")</f>
        <v>76.735523049214777</v>
      </c>
      <c r="Q54" s="39">
        <f>IFERROR(('Emissions GEI'!Q54*'Global Warming Potential GWP'!$E$6+'Emissions GEI'!AH54*'Global Warming Potential GWP'!$E$7+'Emissions GEI'!AY54*'Global Warming Potential GWP'!$E$8)/1000,"NA")</f>
        <v>80.730590242355063</v>
      </c>
      <c r="R54" s="39">
        <f>IFERROR(('Emissions GEI'!R54*'Global Warming Potential GWP'!$E$6+'Emissions GEI'!AI54*'Global Warming Potential GWP'!$E$7+'Emissions GEI'!AZ54*'Global Warming Potential GWP'!$E$8)/1000,"NA")</f>
        <v>69.837028058840858</v>
      </c>
      <c r="S54" s="39">
        <f>IFERROR(('Emissions GEI'!S54*'Global Warming Potential GWP'!$E$6+'Emissions GEI'!AJ54*'Global Warming Potential GWP'!$E$7+'Emissions GEI'!BA54*'Global Warming Potential GWP'!$E$8)/1000,"NA")</f>
        <v>69.181586629961515</v>
      </c>
      <c r="T54" s="86">
        <f>IFERROR(('Emissions GEI'!T54*'Global Warming Potential GWP'!$E$6+'Emissions GEI'!AK54*'Global Warming Potential GWP'!$E$7+'Emissions GEI'!BB54*'Global Warming Potential GWP'!$E$8)/1000,"NA")</f>
        <v>69.270643692354213</v>
      </c>
    </row>
    <row r="55" spans="2:20" s="110" customFormat="1" x14ac:dyDescent="0.35">
      <c r="B55" s="698"/>
      <c r="C55" s="253" t="s">
        <v>552</v>
      </c>
      <c r="D55" s="85">
        <f>IFERROR(('Emissions GEI'!D55*'Global Warming Potential GWP'!$E$6+'Emissions GEI'!U55*'Global Warming Potential GWP'!$E$7+'Emissions GEI'!AL55*'Global Warming Potential GWP'!$E$8)/1000,"NA")</f>
        <v>1.8726262964687268E-2</v>
      </c>
      <c r="E55" s="39">
        <f>IFERROR(('Emissions GEI'!E55*'Global Warming Potential GWP'!$E$6+'Emissions GEI'!V55*'Global Warming Potential GWP'!$E$7+'Emissions GEI'!AM55*'Global Warming Potential GWP'!$E$8)/1000,"NA")</f>
        <v>1.8726262964687268E-2</v>
      </c>
      <c r="F55" s="39">
        <f>IFERROR(('Emissions GEI'!F55*'Global Warming Potential GWP'!$E$6+'Emissions GEI'!W55*'Global Warming Potential GWP'!$E$7+'Emissions GEI'!AN55*'Global Warming Potential GWP'!$E$8)/1000,"NA")</f>
        <v>1.8726262964687268E-2</v>
      </c>
      <c r="G55" s="39">
        <f>IFERROR(('Emissions GEI'!G55*'Global Warming Potential GWP'!$E$6+'Emissions GEI'!X55*'Global Warming Potential GWP'!$E$7+'Emissions GEI'!AO55*'Global Warming Potential GWP'!$E$8)/1000,"NA")</f>
        <v>1.8726262964687268E-2</v>
      </c>
      <c r="H55" s="39">
        <f>IFERROR(('Emissions GEI'!H55*'Global Warming Potential GWP'!$E$6+'Emissions GEI'!Y55*'Global Warming Potential GWP'!$E$7+'Emissions GEI'!AP55*'Global Warming Potential GWP'!$E$8)/1000,"NA")</f>
        <v>2.1401443388214019E-2</v>
      </c>
      <c r="I55" s="39">
        <f>IFERROR(('Emissions GEI'!I55*'Global Warming Potential GWP'!$E$6+'Emissions GEI'!Z55*'Global Warming Potential GWP'!$E$7+'Emissions GEI'!AQ55*'Global Warming Potential GWP'!$E$8)/1000,"NA")</f>
        <v>2.1401443388214019E-2</v>
      </c>
      <c r="J55" s="39">
        <f>IFERROR(('Emissions GEI'!J55*'Global Warming Potential GWP'!$E$6+'Emissions GEI'!AA55*'Global Warming Potential GWP'!$E$7+'Emissions GEI'!AR55*'Global Warming Potential GWP'!$E$8)/1000,"NA")</f>
        <v>2.407662381174077E-2</v>
      </c>
      <c r="K55" s="39">
        <f>IFERROR(('Emissions GEI'!K55*'Global Warming Potential GWP'!$E$6+'Emissions GEI'!AB55*'Global Warming Potential GWP'!$E$7+'Emissions GEI'!AS55*'Global Warming Potential GWP'!$E$8)/1000,"NA")</f>
        <v>2.407662381174077E-2</v>
      </c>
      <c r="L55" s="39">
        <f>IFERROR(('Emissions GEI'!L55*'Global Warming Potential GWP'!$E$6+'Emissions GEI'!AC55*'Global Warming Potential GWP'!$E$7+'Emissions GEI'!AT55*'Global Warming Potential GWP'!$E$8)/1000,"NA")</f>
        <v>2.6751804235267518E-2</v>
      </c>
      <c r="M55" s="39">
        <f>IFERROR(('Emissions GEI'!M55*'Global Warming Potential GWP'!$E$6+'Emissions GEI'!AD55*'Global Warming Potential GWP'!$E$7+'Emissions GEI'!AU55*'Global Warming Potential GWP'!$E$8)/1000,"NA")</f>
        <v>2.6751804235267518E-2</v>
      </c>
      <c r="N55" s="39">
        <f>IFERROR(('Emissions GEI'!N55*'Global Warming Potential GWP'!$E$6+'Emissions GEI'!AE55*'Global Warming Potential GWP'!$E$7+'Emissions GEI'!AV55*'Global Warming Potential GWP'!$E$8)/1000,"NA")</f>
        <v>2.6751804235267518E-2</v>
      </c>
      <c r="O55" s="39">
        <f>IFERROR(('Emissions GEI'!O55*'Global Warming Potential GWP'!$E$6+'Emissions GEI'!AF55*'Global Warming Potential GWP'!$E$7+'Emissions GEI'!AW55*'Global Warming Potential GWP'!$E$8)/1000,"NA")</f>
        <v>2.9426984658794279E-2</v>
      </c>
      <c r="P55" s="39">
        <f>IFERROR(('Emissions GEI'!P55*'Global Warming Potential GWP'!$E$6+'Emissions GEI'!AG55*'Global Warming Potential GWP'!$E$7+'Emissions GEI'!AX55*'Global Warming Potential GWP'!$E$8)/1000,"NA")</f>
        <v>3.2102165082321034E-2</v>
      </c>
      <c r="Q55" s="39">
        <f>IFERROR(('Emissions GEI'!Q55*'Global Warming Potential GWP'!$E$6+'Emissions GEI'!AH55*'Global Warming Potential GWP'!$E$7+'Emissions GEI'!AY55*'Global Warming Potential GWP'!$E$8)/1000,"NA")</f>
        <v>3.4777345505847788E-2</v>
      </c>
      <c r="R55" s="39">
        <f>IFERROR(('Emissions GEI'!R55*'Global Warming Potential GWP'!$E$6+'Emissions GEI'!AI55*'Global Warming Potential GWP'!$E$7+'Emissions GEI'!AZ55*'Global Warming Potential GWP'!$E$8)/1000,"NA")</f>
        <v>3.1341658801147969E-2</v>
      </c>
      <c r="S55" s="39">
        <f>IFERROR(('Emissions GEI'!S55*'Global Warming Potential GWP'!$E$6+'Emissions GEI'!AJ55*'Global Warming Potential GWP'!$E$7+'Emissions GEI'!BA55*'Global Warming Potential GWP'!$E$8)/1000,"NA")</f>
        <v>3.7514454013566984E-2</v>
      </c>
      <c r="T55" s="86">
        <f>IFERROR(('Emissions GEI'!T55*'Global Warming Potential GWP'!$E$6+'Emissions GEI'!AK55*'Global Warming Potential GWP'!$E$7+'Emissions GEI'!BB55*'Global Warming Potential GWP'!$E$8)/1000,"NA")</f>
        <v>3.5763495936970036E-2</v>
      </c>
    </row>
    <row r="56" spans="2:20" s="110" customFormat="1" x14ac:dyDescent="0.35">
      <c r="B56" s="698"/>
      <c r="C56" s="253" t="s">
        <v>553</v>
      </c>
      <c r="D56" s="85">
        <f>IFERROR(('Emissions GEI'!D56*'Global Warming Potential GWP'!$E$6+'Emissions GEI'!U56*'Global Warming Potential GWP'!$E$7+'Emissions GEI'!AL56*'Global Warming Potential GWP'!$E$8)/1000,"NA")</f>
        <v>9.316064795247156</v>
      </c>
      <c r="E56" s="39">
        <f>IFERROR(('Emissions GEI'!E56*'Global Warming Potential GWP'!$E$6+'Emissions GEI'!V56*'Global Warming Potential GWP'!$E$7+'Emissions GEI'!AM56*'Global Warming Potential GWP'!$E$8)/1000,"NA")</f>
        <v>9.7134120187811117</v>
      </c>
      <c r="F56" s="39">
        <f>IFERROR(('Emissions GEI'!F56*'Global Warming Potential GWP'!$E$6+'Emissions GEI'!W56*'Global Warming Potential GWP'!$E$7+'Emissions GEI'!AN56*'Global Warming Potential GWP'!$E$8)/1000,"NA")</f>
        <v>10.123716216995518</v>
      </c>
      <c r="G56" s="39">
        <f>IFERROR(('Emissions GEI'!G56*'Global Warming Potential GWP'!$E$6+'Emissions GEI'!X56*'Global Warming Potential GWP'!$E$7+'Emissions GEI'!AO56*'Global Warming Potential GWP'!$E$8)/1000,"NA")</f>
        <v>10.521063440529472</v>
      </c>
      <c r="H56" s="39">
        <f>IFERROR(('Emissions GEI'!H56*'Global Warming Potential GWP'!$E$6+'Emissions GEI'!Y56*'Global Warming Potential GWP'!$E$7+'Emissions GEI'!AP56*'Global Warming Potential GWP'!$E$8)/1000,"NA")</f>
        <v>11.104127301149953</v>
      </c>
      <c r="I56" s="39">
        <f>IFERROR(('Emissions GEI'!I56*'Global Warming Potential GWP'!$E$6+'Emissions GEI'!Z56*'Global Warming Potential GWP'!$E$7+'Emissions GEI'!AQ56*'Global Warming Potential GWP'!$E$8)/1000,"NA")</f>
        <v>11.631044271488454</v>
      </c>
      <c r="J56" s="39">
        <f>IFERROR(('Emissions GEI'!J56*'Global Warming Potential GWP'!$E$6+'Emissions GEI'!AA56*'Global Warming Potential GWP'!$E$7+'Emissions GEI'!AR56*'Global Warming Potential GWP'!$E$8)/1000,"NA")</f>
        <v>12.16228023338711</v>
      </c>
      <c r="K56" s="39">
        <f>IFERROR(('Emissions GEI'!K56*'Global Warming Potential GWP'!$E$6+'Emissions GEI'!AB56*'Global Warming Potential GWP'!$E$7+'Emissions GEI'!AS56*'Global Warming Potential GWP'!$E$8)/1000,"NA")</f>
        <v>12.723749136206827</v>
      </c>
      <c r="L56" s="39">
        <f>IFERROR(('Emissions GEI'!L56*'Global Warming Potential GWP'!$E$6+'Emissions GEI'!AC56*'Global Warming Potential GWP'!$E$7+'Emissions GEI'!AT56*'Global Warming Potential GWP'!$E$8)/1000,"NA")</f>
        <v>13.380235853349882</v>
      </c>
      <c r="M56" s="39">
        <f>IFERROR(('Emissions GEI'!M56*'Global Warming Potential GWP'!$E$6+'Emissions GEI'!AD56*'Global Warming Potential GWP'!$E$7+'Emissions GEI'!AU56*'Global Warming Potential GWP'!$E$8)/1000,"NA")</f>
        <v>13.954661730850054</v>
      </c>
      <c r="N56" s="39">
        <f>IFERROR(('Emissions GEI'!N56*'Global Warming Potential GWP'!$E$6+'Emissions GEI'!AE56*'Global Warming Potential GWP'!$E$7+'Emissions GEI'!AV56*'Global Warming Potential GWP'!$E$8)/1000,"NA")</f>
        <v>14.624105422673564</v>
      </c>
      <c r="O56" s="39">
        <f>IFERROR(('Emissions GEI'!O56*'Global Warming Potential GWP'!$E$6+'Emissions GEI'!AF56*'Global Warming Potential GWP'!$E$7+'Emissions GEI'!AW56*'Global Warming Potential GWP'!$E$8)/1000,"NA")</f>
        <v>15.26331617357601</v>
      </c>
      <c r="P56" s="39">
        <f>IFERROR(('Emissions GEI'!P56*'Global Warming Potential GWP'!$E$6+'Emissions GEI'!AG56*'Global Warming Potential GWP'!$E$7+'Emissions GEI'!AX56*'Global Warming Potential GWP'!$E$8)/1000,"NA")</f>
        <v>16.062329612204071</v>
      </c>
      <c r="Q56" s="39">
        <f>IFERROR(('Emissions GEI'!Q56*'Global Warming Potential GWP'!$E$6+'Emissions GEI'!AH56*'Global Warming Potential GWP'!$E$7+'Emissions GEI'!AY56*'Global Warming Potential GWP'!$E$8)/1000,"NA")</f>
        <v>16.887257000193042</v>
      </c>
      <c r="R56" s="39">
        <f>IFERROR(('Emissions GEI'!R56*'Global Warming Potential GWP'!$E$6+'Emissions GEI'!AI56*'Global Warming Potential GWP'!$E$7+'Emissions GEI'!AZ56*'Global Warming Potential GWP'!$E$8)/1000,"NA")</f>
        <v>13.201703388770442</v>
      </c>
      <c r="S56" s="39">
        <f>IFERROR(('Emissions GEI'!S56*'Global Warming Potential GWP'!$E$6+'Emissions GEI'!AJ56*'Global Warming Potential GWP'!$E$7+'Emissions GEI'!BA56*'Global Warming Potential GWP'!$E$8)/1000,"NA")</f>
        <v>20.062025805255537</v>
      </c>
      <c r="T56" s="86">
        <f>IFERROR(('Emissions GEI'!T56*'Global Warming Potential GWP'!$E$6+'Emissions GEI'!AK56*'Global Warming Potential GWP'!$E$7+'Emissions GEI'!BB56*'Global Warming Potential GWP'!$E$8)/1000,"NA")</f>
        <v>27.609632600922065</v>
      </c>
    </row>
    <row r="57" spans="2:20" s="110" customFormat="1" x14ac:dyDescent="0.35">
      <c r="B57" s="698"/>
      <c r="C57" s="253" t="s">
        <v>554</v>
      </c>
      <c r="D57" s="85">
        <f>IFERROR(('Emissions GEI'!D57*'Global Warming Potential GWP'!$E$6+'Emissions GEI'!U57*'Global Warming Potential GWP'!$E$7+'Emissions GEI'!AL57*'Global Warming Potential GWP'!$E$8)/1000,"NA")</f>
        <v>35.415730793243718</v>
      </c>
      <c r="E57" s="39">
        <f>IFERROR(('Emissions GEI'!E57*'Global Warming Potential GWP'!$E$6+'Emissions GEI'!V57*'Global Warming Potential GWP'!$E$7+'Emissions GEI'!AM57*'Global Warming Potential GWP'!$E$8)/1000,"NA")</f>
        <v>36.927377839296796</v>
      </c>
      <c r="F57" s="39">
        <f>IFERROR(('Emissions GEI'!F57*'Global Warming Potential GWP'!$E$6+'Emissions GEI'!W57*'Global Warming Potential GWP'!$E$7+'Emissions GEI'!AN57*'Global Warming Potential GWP'!$E$8)/1000,"NA")</f>
        <v>38.473576817831095</v>
      </c>
      <c r="G57" s="39">
        <f>IFERROR(('Emissions GEI'!G57*'Global Warming Potential GWP'!$E$6+'Emissions GEI'!X57*'Global Warming Potential GWP'!$E$7+'Emissions GEI'!AO57*'Global Warming Potential GWP'!$E$8)/1000,"NA")</f>
        <v>39.99818083856465</v>
      </c>
      <c r="H57" s="39">
        <f>IFERROR(('Emissions GEI'!H57*'Global Warming Potential GWP'!$E$6+'Emissions GEI'!Y57*'Global Warming Potential GWP'!$E$7+'Emissions GEI'!AP57*'Global Warming Potential GWP'!$E$8)/1000,"NA")</f>
        <v>42.20518552580215</v>
      </c>
      <c r="I57" s="39">
        <f>IFERROR(('Emissions GEI'!I57*'Global Warming Potential GWP'!$E$6+'Emissions GEI'!Z57*'Global Warming Potential GWP'!$E$7+'Emissions GEI'!AQ57*'Global Warming Potential GWP'!$E$8)/1000,"NA")</f>
        <v>44.213516601272687</v>
      </c>
      <c r="J57" s="39">
        <f>IFERROR(('Emissions GEI'!J57*'Global Warming Potential GWP'!$E$6+'Emissions GEI'!AA57*'Global Warming Potential GWP'!$E$7+'Emissions GEI'!AR57*'Global Warming Potential GWP'!$E$8)/1000,"NA")</f>
        <v>46.230485659863511</v>
      </c>
      <c r="K57" s="39">
        <f>IFERROR(('Emissions GEI'!K57*'Global Warming Potential GWP'!$E$6+'Emissions GEI'!AB57*'Global Warming Potential GWP'!$E$7+'Emissions GEI'!AS57*'Global Warming Potential GWP'!$E$8)/1000,"NA")</f>
        <v>48.359748499018274</v>
      </c>
      <c r="L57" s="39">
        <f>IFERROR(('Emissions GEI'!L57*'Global Warming Potential GWP'!$E$6+'Emissions GEI'!AC57*'Global Warming Potential GWP'!$E$7+'Emissions GEI'!AT57*'Global Warming Potential GWP'!$E$8)/1000,"NA")</f>
        <v>50.860444612346093</v>
      </c>
      <c r="M57" s="39">
        <f>IFERROR(('Emissions GEI'!M57*'Global Warming Potential GWP'!$E$6+'Emissions GEI'!AD57*'Global Warming Potential GWP'!$E$7+'Emissions GEI'!AU57*'Global Warming Potential GWP'!$E$8)/1000,"NA")</f>
        <v>53.045854341782842</v>
      </c>
      <c r="N57" s="39">
        <f>IFERROR(('Emissions GEI'!N57*'Global Warming Potential GWP'!$E$6+'Emissions GEI'!AE57*'Global Warming Potential GWP'!$E$7+'Emissions GEI'!AV57*'Global Warming Potential GWP'!$E$8)/1000,"NA")</f>
        <v>55.594059362272318</v>
      </c>
      <c r="O57" s="39">
        <f>IFERROR(('Emissions GEI'!O57*'Global Warming Potential GWP'!$E$6+'Emissions GEI'!AF57*'Global Warming Potential GWP'!$E$7+'Emissions GEI'!AW57*'Global Warming Potential GWP'!$E$8)/1000,"NA")</f>
        <v>58.025651610637723</v>
      </c>
      <c r="P57" s="39">
        <f>IFERROR(('Emissions GEI'!P57*'Global Warming Potential GWP'!$E$6+'Emissions GEI'!AG57*'Global Warming Potential GWP'!$E$7+'Emissions GEI'!AX57*'Global Warming Potential GWP'!$E$8)/1000,"NA")</f>
        <v>61.066221668984504</v>
      </c>
      <c r="Q57" s="39">
        <f>IFERROR(('Emissions GEI'!Q57*'Global Warming Potential GWP'!$E$6+'Emissions GEI'!AH57*'Global Warming Potential GWP'!$E$7+'Emissions GEI'!AY57*'Global Warming Potential GWP'!$E$8)/1000,"NA")</f>
        <v>64.184533575414022</v>
      </c>
      <c r="R57" s="39">
        <f>IFERROR(('Emissions GEI'!R57*'Global Warming Potential GWP'!$E$6+'Emissions GEI'!AI57*'Global Warming Potential GWP'!$E$7+'Emissions GEI'!AZ57*'Global Warming Potential GWP'!$E$8)/1000,"NA")</f>
        <v>69.26824832122486</v>
      </c>
      <c r="S57" s="39">
        <f>IFERROR(('Emissions GEI'!S57*'Global Warming Potential GWP'!$E$6+'Emissions GEI'!AJ57*'Global Warming Potential GWP'!$E$7+'Emissions GEI'!BA57*'Global Warming Potential GWP'!$E$8)/1000,"NA")</f>
        <v>79.064833252411191</v>
      </c>
      <c r="T57" s="86">
        <f>IFERROR(('Emissions GEI'!T57*'Global Warming Potential GWP'!$E$6+'Emissions GEI'!AK57*'Global Warming Potential GWP'!$E$7+'Emissions GEI'!BB57*'Global Warming Potential GWP'!$E$8)/1000,"NA")</f>
        <v>77.716002876669506</v>
      </c>
    </row>
    <row r="58" spans="2:20" s="110" customFormat="1" x14ac:dyDescent="0.35">
      <c r="B58" s="698"/>
      <c r="C58" s="253" t="s">
        <v>555</v>
      </c>
      <c r="D58" s="85">
        <f>IFERROR(('Emissions GEI'!D58*'Global Warming Potential GWP'!$E$6+'Emissions GEI'!U58*'Global Warming Potential GWP'!$E$7+'Emissions GEI'!AL58*'Global Warming Potential GWP'!$E$8)/1000,"NA")</f>
        <v>159.89776396107709</v>
      </c>
      <c r="E58" s="39">
        <f>IFERROR(('Emissions GEI'!E58*'Global Warming Potential GWP'!$E$6+'Emissions GEI'!V58*'Global Warming Potential GWP'!$E$7+'Emissions GEI'!AM58*'Global Warming Potential GWP'!$E$8)/1000,"NA")</f>
        <v>166.94173874409768</v>
      </c>
      <c r="F58" s="39">
        <f>IFERROR(('Emissions GEI'!F58*'Global Warming Potential GWP'!$E$6+'Emissions GEI'!W58*'Global Warming Potential GWP'!$E$7+'Emissions GEI'!AN58*'Global Warming Potential GWP'!$E$8)/1000,"NA")</f>
        <v>174.16357252062244</v>
      </c>
      <c r="G58" s="39">
        <f>IFERROR(('Emissions GEI'!G58*'Global Warming Potential GWP'!$E$6+'Emissions GEI'!X58*'Global Warming Potential GWP'!$E$7+'Emissions GEI'!AO58*'Global Warming Potential GWP'!$E$8)/1000,"NA")</f>
        <v>181.28720453059159</v>
      </c>
      <c r="H58" s="39">
        <f>IFERROR(('Emissions GEI'!H58*'Global Warming Potential GWP'!$E$6+'Emissions GEI'!Y58*'Global Warming Potential GWP'!$E$7+'Emissions GEI'!AP58*'Global Warming Potential GWP'!$E$8)/1000,"NA")</f>
        <v>191.47574317743769</v>
      </c>
      <c r="I58" s="39">
        <f>IFERROR(('Emissions GEI'!I58*'Global Warming Potential GWP'!$E$6+'Emissions GEI'!Z58*'Global Warming Potential GWP'!$E$7+'Emissions GEI'!AQ58*'Global Warming Potential GWP'!$E$8)/1000,"NA")</f>
        <v>200.8525367496654</v>
      </c>
      <c r="J58" s="39">
        <f>IFERROR(('Emissions GEI'!J58*'Global Warming Potential GWP'!$E$6+'Emissions GEI'!AA58*'Global Warming Potential GWP'!$E$7+'Emissions GEI'!AR58*'Global Warming Potential GWP'!$E$8)/1000,"NA")</f>
        <v>210.32963942249501</v>
      </c>
      <c r="K58" s="39">
        <f>IFERROR(('Emissions GEI'!K58*'Global Warming Potential GWP'!$E$6+'Emissions GEI'!AB58*'Global Warming Potential GWP'!$E$7+'Emissions GEI'!AS58*'Global Warming Potential GWP'!$E$8)/1000,"NA")</f>
        <v>220.08491018943056</v>
      </c>
      <c r="L58" s="39">
        <f>IFERROR(('Emissions GEI'!L58*'Global Warming Potential GWP'!$E$6+'Emissions GEI'!AC58*'Global Warming Potential GWP'!$E$7+'Emissions GEI'!AT58*'Global Warming Potential GWP'!$E$8)/1000,"NA")</f>
        <v>231.48432297925635</v>
      </c>
      <c r="M58" s="39">
        <f>IFERROR(('Emissions GEI'!M58*'Global Warming Potential GWP'!$E$6+'Emissions GEI'!AD58*'Global Warming Potential GWP'!$E$7+'Emissions GEI'!AU58*'Global Warming Potential GWP'!$E$8)/1000,"NA")</f>
        <v>241.38331392814666</v>
      </c>
      <c r="N58" s="39">
        <f>IFERROR(('Emissions GEI'!N58*'Global Warming Potential GWP'!$E$6+'Emissions GEI'!AE58*'Global Warming Potential GWP'!$E$7+'Emissions GEI'!AV58*'Global Warming Potential GWP'!$E$8)/1000,"NA")</f>
        <v>252.89441542242403</v>
      </c>
      <c r="O58" s="39">
        <f>IFERROR(('Emissions GEI'!O58*'Global Warming Potential GWP'!$E$6+'Emissions GEI'!AF58*'Global Warming Potential GWP'!$E$7+'Emissions GEI'!AW58*'Global Warming Potential GWP'!$E$8)/1000,"NA")</f>
        <v>264.10248228084964</v>
      </c>
      <c r="P58" s="39">
        <f>IFERROR(('Emissions GEI'!P58*'Global Warming Potential GWP'!$E$6+'Emissions GEI'!AG58*'Global Warming Potential GWP'!$E$7+'Emissions GEI'!AX58*'Global Warming Potential GWP'!$E$8)/1000,"NA")</f>
        <v>278.13774849573434</v>
      </c>
      <c r="Q58" s="39">
        <f>IFERROR(('Emissions GEI'!Q58*'Global Warming Potential GWP'!$E$6+'Emissions GEI'!AH58*'Global Warming Potential GWP'!$E$7+'Emissions GEI'!AY58*'Global Warming Potential GWP'!$E$8)/1000,"NA")</f>
        <v>292.64758633783623</v>
      </c>
      <c r="R58" s="39">
        <f>IFERROR(('Emissions GEI'!R58*'Global Warming Potential GWP'!$E$6+'Emissions GEI'!AI58*'Global Warming Potential GWP'!$E$7+'Emissions GEI'!AZ58*'Global Warming Potential GWP'!$E$8)/1000,"NA")</f>
        <v>314.16509681297129</v>
      </c>
      <c r="S58" s="39">
        <f>IFERROR(('Emissions GEI'!S58*'Global Warming Potential GWP'!$E$6+'Emissions GEI'!AJ58*'Global Warming Potential GWP'!$E$7+'Emissions GEI'!BA58*'Global Warming Potential GWP'!$E$8)/1000,"NA")</f>
        <v>291.70147121957211</v>
      </c>
      <c r="T58" s="86">
        <f>IFERROR(('Emissions GEI'!T58*'Global Warming Potential GWP'!$E$6+'Emissions GEI'!AK58*'Global Warming Potential GWP'!$E$7+'Emissions GEI'!BB58*'Global Warming Potential GWP'!$E$8)/1000,"NA")</f>
        <v>291.7295524906437</v>
      </c>
    </row>
    <row r="59" spans="2:20" s="110" customFormat="1" ht="15" customHeight="1" x14ac:dyDescent="0.35">
      <c r="B59" s="703" t="s">
        <v>466</v>
      </c>
      <c r="C59" s="364" t="s">
        <v>41</v>
      </c>
      <c r="D59" s="85">
        <f>IFERROR(('Emissions GEI'!D59*'Global Warming Potential GWP'!$E$6+'Emissions GEI'!U59*'Global Warming Potential GWP'!$E$7+'Emissions GEI'!AL59*'Global Warming Potential GWP'!$E$8)/1000,"NA")</f>
        <v>515.08495999999991</v>
      </c>
      <c r="E59" s="39">
        <f>IFERROR(('Emissions GEI'!E59*'Global Warming Potential GWP'!$E$6+'Emissions GEI'!V59*'Global Warming Potential GWP'!$E$7+'Emissions GEI'!AM59*'Global Warming Potential GWP'!$E$8)/1000,"NA")</f>
        <v>505.42711699999995</v>
      </c>
      <c r="F59" s="39">
        <f>IFERROR(('Emissions GEI'!F59*'Global Warming Potential GWP'!$E$6+'Emissions GEI'!W59*'Global Warming Potential GWP'!$E$7+'Emissions GEI'!AN59*'Global Warming Potential GWP'!$E$8)/1000,"NA")</f>
        <v>447.48005899999998</v>
      </c>
      <c r="G59" s="39">
        <f>IFERROR(('Emissions GEI'!G59*'Global Warming Potential GWP'!$E$6+'Emissions GEI'!X59*'Global Warming Potential GWP'!$E$7+'Emissions GEI'!AO59*'Global Warming Potential GWP'!$E$8)/1000,"NA")</f>
        <v>315.48953799999998</v>
      </c>
      <c r="H59" s="39">
        <f>IFERROR(('Emissions GEI'!H59*'Global Warming Potential GWP'!$E$6+'Emissions GEI'!Y59*'Global Warming Potential GWP'!$E$7+'Emissions GEI'!AP59*'Global Warming Potential GWP'!$E$8)/1000,"NA")</f>
        <v>338.02450499999998</v>
      </c>
      <c r="I59" s="39">
        <f>IFERROR(('Emissions GEI'!I59*'Global Warming Potential GWP'!$E$6+'Emissions GEI'!Z59*'Global Warming Potential GWP'!$E$7+'Emissions GEI'!AQ59*'Global Warming Potential GWP'!$E$8)/1000,"NA")</f>
        <v>434.602935</v>
      </c>
      <c r="J59" s="39">
        <f>IFERROR(('Emissions GEI'!J59*'Global Warming Potential GWP'!$E$6+'Emissions GEI'!AA59*'Global Warming Potential GWP'!$E$7+'Emissions GEI'!AR59*'Global Warming Potential GWP'!$E$8)/1000,"NA")</f>
        <v>392.75228199999998</v>
      </c>
      <c r="K59" s="39">
        <f>IFERROR(('Emissions GEI'!K59*'Global Warming Potential GWP'!$E$6+'Emissions GEI'!AB59*'Global Warming Potential GWP'!$E$7+'Emissions GEI'!AS59*'Global Warming Potential GWP'!$E$8)/1000,"NA")</f>
        <v>379.87515800000006</v>
      </c>
      <c r="L59" s="39">
        <f>IFERROR(('Emissions GEI'!L59*'Global Warming Potential GWP'!$E$6+'Emissions GEI'!AC59*'Global Warming Potential GWP'!$E$7+'Emissions GEI'!AT59*'Global Warming Potential GWP'!$E$8)/1000,"NA")</f>
        <v>376.65587699999992</v>
      </c>
      <c r="M59" s="39">
        <f>IFERROR(('Emissions GEI'!M59*'Global Warming Potential GWP'!$E$6+'Emissions GEI'!AD59*'Global Warming Potential GWP'!$E$7+'Emissions GEI'!AU59*'Global Warming Potential GWP'!$E$8)/1000,"NA")</f>
        <v>350.90162900000001</v>
      </c>
      <c r="N59" s="39">
        <f>IFERROR(('Emissions GEI'!N59*'Global Warming Potential GWP'!$E$6+'Emissions GEI'!AE59*'Global Warming Potential GWP'!$E$7+'Emissions GEI'!AV59*'Global Warming Potential GWP'!$E$8)/1000,"NA")</f>
        <v>363.77875300000005</v>
      </c>
      <c r="O59" s="39">
        <f>IFERROR(('Emissions GEI'!O59*'Global Warming Potential GWP'!$E$6+'Emissions GEI'!AF59*'Global Warming Potential GWP'!$E$7+'Emissions GEI'!AW59*'Global Warming Potential GWP'!$E$8)/1000,"NA")</f>
        <v>321.92809999999997</v>
      </c>
      <c r="P59" s="39">
        <f>IFERROR(('Emissions GEI'!P59*'Global Warming Potential GWP'!$E$6+'Emissions GEI'!AG59*'Global Warming Potential GWP'!$E$7+'Emissions GEI'!AX59*'Global Warming Potential GWP'!$E$8)/1000,"NA")</f>
        <v>331.58594300000004</v>
      </c>
      <c r="Q59" s="39">
        <f>IFERROR(('Emissions GEI'!Q59*'Global Warming Potential GWP'!$E$6+'Emissions GEI'!AH59*'Global Warming Potential GWP'!$E$7+'Emissions GEI'!AY59*'Global Warming Potential GWP'!$E$8)/1000,"NA")</f>
        <v>366.99803399999996</v>
      </c>
      <c r="R59" s="39">
        <f>IFERROR(('Emissions GEI'!R59*'Global Warming Potential GWP'!$E$6+'Emissions GEI'!AI59*'Global Warming Potential GWP'!$E$7+'Emissions GEI'!AZ59*'Global Warming Potential GWP'!$E$8)/1000,"NA")</f>
        <v>376.65587699999992</v>
      </c>
      <c r="S59" s="39">
        <f>IFERROR(('Emissions GEI'!S59*'Global Warming Potential GWP'!$E$6+'Emissions GEI'!AJ59*'Global Warming Potential GWP'!$E$7+'Emissions GEI'!BA59*'Global Warming Potential GWP'!$E$8)/1000,"NA")</f>
        <v>373.43659599999995</v>
      </c>
      <c r="T59" s="86">
        <f>IFERROR(('Emissions GEI'!T59*'Global Warming Potential GWP'!$E$6+'Emissions GEI'!AK59*'Global Warming Potential GWP'!$E$7+'Emissions GEI'!BB59*'Global Warming Potential GWP'!$E$8)/1000,"NA")</f>
        <v>386.31372000000005</v>
      </c>
    </row>
    <row r="60" spans="2:20" s="110" customFormat="1" x14ac:dyDescent="0.35">
      <c r="B60" s="700"/>
      <c r="C60" s="364" t="s">
        <v>62</v>
      </c>
      <c r="D60" s="85">
        <f>IFERROR(('Emissions GEI'!D60*'Global Warming Potential GWP'!$E$6+'Emissions GEI'!U60*'Global Warming Potential GWP'!$E$7+'Emissions GEI'!AL60*'Global Warming Potential GWP'!$E$8)/1000,"NA")</f>
        <v>183.1609144</v>
      </c>
      <c r="E60" s="39">
        <f>IFERROR(('Emissions GEI'!E60*'Global Warming Potential GWP'!$E$6+'Emissions GEI'!V60*'Global Warming Potential GWP'!$E$7+'Emissions GEI'!AM60*'Global Warming Potential GWP'!$E$8)/1000,"NA")</f>
        <v>138.94965919999999</v>
      </c>
      <c r="F60" s="39">
        <f>IFERROR(('Emissions GEI'!F60*'Global Warming Potential GWP'!$E$6+'Emissions GEI'!W60*'Global Warming Potential GWP'!$E$7+'Emissions GEI'!AN60*'Global Warming Potential GWP'!$E$8)/1000,"NA")</f>
        <v>85.264563599999988</v>
      </c>
      <c r="G60" s="39">
        <f>IFERROR(('Emissions GEI'!G60*'Global Warming Potential GWP'!$E$6+'Emissions GEI'!X60*'Global Warming Potential GWP'!$E$7+'Emissions GEI'!AO60*'Global Warming Potential GWP'!$E$8)/1000,"NA")</f>
        <v>110.528138</v>
      </c>
      <c r="H60" s="39">
        <f>IFERROR(('Emissions GEI'!H60*'Global Warming Potential GWP'!$E$6+'Emissions GEI'!Y60*'Global Warming Potential GWP'!$E$7+'Emissions GEI'!AP60*'Global Warming Potential GWP'!$E$8)/1000,"NA")</f>
        <v>126.31787199999999</v>
      </c>
      <c r="I60" s="39">
        <f>IFERROR(('Emissions GEI'!I60*'Global Warming Potential GWP'!$E$6+'Emissions GEI'!Z60*'Global Warming Potential GWP'!$E$7+'Emissions GEI'!AQ60*'Global Warming Potential GWP'!$E$8)/1000,"NA")</f>
        <v>173.687074</v>
      </c>
      <c r="J60" s="39">
        <f>IFERROR(('Emissions GEI'!J60*'Global Warming Potential GWP'!$E$6+'Emissions GEI'!AA60*'Global Warming Potential GWP'!$E$7+'Emissions GEI'!AR60*'Global Warming Potential GWP'!$E$8)/1000,"NA")</f>
        <v>154.73939320000002</v>
      </c>
      <c r="K60" s="39">
        <f>IFERROR(('Emissions GEI'!K60*'Global Warming Potential GWP'!$E$6+'Emissions GEI'!AB60*'Global Warming Potential GWP'!$E$7+'Emissions GEI'!AS60*'Global Warming Potential GWP'!$E$8)/1000,"NA")</f>
        <v>240.0039568</v>
      </c>
      <c r="L60" s="39">
        <f>IFERROR(('Emissions GEI'!L60*'Global Warming Potential GWP'!$E$6+'Emissions GEI'!AC60*'Global Warming Potential GWP'!$E$7+'Emissions GEI'!AT60*'Global Warming Potential GWP'!$E$8)/1000,"NA")</f>
        <v>303.16289279999995</v>
      </c>
      <c r="M60" s="39">
        <f>IFERROR(('Emissions GEI'!M60*'Global Warming Potential GWP'!$E$6+'Emissions GEI'!AD60*'Global Warming Potential GWP'!$E$7+'Emissions GEI'!AU60*'Global Warming Potential GWP'!$E$8)/1000,"NA")</f>
        <v>341.05825439999995</v>
      </c>
      <c r="N60" s="39">
        <f>IFERROR(('Emissions GEI'!N60*'Global Warming Potential GWP'!$E$6+'Emissions GEI'!AE60*'Global Warming Potential GWP'!$E$7+'Emissions GEI'!AV60*'Global Warming Potential GWP'!$E$8)/1000,"NA")</f>
        <v>388.42745640000004</v>
      </c>
      <c r="O60" s="39">
        <f>IFERROR(('Emissions GEI'!O60*'Global Warming Potential GWP'!$E$6+'Emissions GEI'!AF60*'Global Warming Potential GWP'!$E$7+'Emissions GEI'!AW60*'Global Warming Potential GWP'!$E$8)/1000,"NA")</f>
        <v>584.22015799999997</v>
      </c>
      <c r="P60" s="39">
        <f>IFERROR(('Emissions GEI'!P60*'Global Warming Potential GWP'!$E$6+'Emissions GEI'!AG60*'Global Warming Potential GWP'!$E$7+'Emissions GEI'!AX60*'Global Warming Potential GWP'!$E$8)/1000,"NA")</f>
        <v>514.74532839999995</v>
      </c>
      <c r="Q60" s="39">
        <f>IFERROR(('Emissions GEI'!Q60*'Global Warming Potential GWP'!$E$6+'Emissions GEI'!AH60*'Global Warming Potential GWP'!$E$7+'Emissions GEI'!AY60*'Global Warming Potential GWP'!$E$8)/1000,"NA")</f>
        <v>492.63970080000007</v>
      </c>
      <c r="R60" s="39">
        <f>IFERROR(('Emissions GEI'!R60*'Global Warming Potential GWP'!$E$6+'Emissions GEI'!AI60*'Global Warming Potential GWP'!$E$7+'Emissions GEI'!AZ60*'Global Warming Potential GWP'!$E$8)/1000,"NA")</f>
        <v>540.00890279999999</v>
      </c>
      <c r="S60" s="39">
        <f>IFERROR(('Emissions GEI'!S60*'Global Warming Potential GWP'!$E$6+'Emissions GEI'!AJ60*'Global Warming Potential GWP'!$E$7+'Emissions GEI'!BA60*'Global Warming Potential GWP'!$E$8)/1000,"NA")</f>
        <v>527.37711560000002</v>
      </c>
      <c r="T60" s="86">
        <f>IFERROR(('Emissions GEI'!T60*'Global Warming Potential GWP'!$E$6+'Emissions GEI'!AK60*'Global Warming Potential GWP'!$E$7+'Emissions GEI'!BB60*'Global Warming Potential GWP'!$E$8)/1000,"NA")</f>
        <v>685.2744555999999</v>
      </c>
    </row>
    <row r="61" spans="2:20" ht="15" customHeight="1" x14ac:dyDescent="0.35">
      <c r="B61" s="703" t="s">
        <v>467</v>
      </c>
      <c r="C61" s="364" t="s">
        <v>136</v>
      </c>
      <c r="D61" s="85">
        <f>IFERROR(('Emissions GEI'!D61*'Global Warming Potential GWP'!$E$6+'Emissions GEI'!U61*'Global Warming Potential GWP'!$E$7+'Emissions GEI'!AL61*'Global Warming Potential GWP'!$E$8)/1000,"NA")</f>
        <v>29.709365378481341</v>
      </c>
      <c r="E61" s="39">
        <f>IFERROR(('Emissions GEI'!E61*'Global Warming Potential GWP'!$E$6+'Emissions GEI'!V61*'Global Warming Potential GWP'!$E$7+'Emissions GEI'!AM61*'Global Warming Potential GWP'!$E$8)/1000,"NA")</f>
        <v>31.473350905521318</v>
      </c>
      <c r="F61" s="39">
        <f>IFERROR(('Emissions GEI'!F61*'Global Warming Potential GWP'!$E$6+'Emissions GEI'!W61*'Global Warming Potential GWP'!$E$7+'Emissions GEI'!AN61*'Global Warming Potential GWP'!$E$8)/1000,"NA")</f>
        <v>36.818545744379605</v>
      </c>
      <c r="G61" s="39">
        <f>IFERROR(('Emissions GEI'!G61*'Global Warming Potential GWP'!$E$6+'Emissions GEI'!X61*'Global Warming Potential GWP'!$E$7+'Emissions GEI'!AO61*'Global Warming Potential GWP'!$E$8)/1000,"NA")</f>
        <v>39.178626903197653</v>
      </c>
      <c r="H61" s="39">
        <f>IFERROR(('Emissions GEI'!H61*'Global Warming Potential GWP'!$E$6+'Emissions GEI'!Y61*'Global Warming Potential GWP'!$E$7+'Emissions GEI'!AP61*'Global Warming Potential GWP'!$E$8)/1000,"NA")</f>
        <v>37.448832920132844</v>
      </c>
      <c r="I61" s="39">
        <f>IFERROR(('Emissions GEI'!I61*'Global Warming Potential GWP'!$E$6+'Emissions GEI'!Z61*'Global Warming Potential GWP'!$E$7+'Emissions GEI'!AQ61*'Global Warming Potential GWP'!$E$8)/1000,"NA")</f>
        <v>33.542816077481874</v>
      </c>
      <c r="J61" s="39">
        <f>IFERROR(('Emissions GEI'!J61*'Global Warming Potential GWP'!$E$6+'Emissions GEI'!AA61*'Global Warming Potential GWP'!$E$7+'Emissions GEI'!AR61*'Global Warming Potential GWP'!$E$8)/1000,"NA")</f>
        <v>34.792261884956694</v>
      </c>
      <c r="K61" s="39">
        <f>IFERROR(('Emissions GEI'!K61*'Global Warming Potential GWP'!$E$6+'Emissions GEI'!AB61*'Global Warming Potential GWP'!$E$7+'Emissions GEI'!AS61*'Global Warming Potential GWP'!$E$8)/1000,"NA")</f>
        <v>38.92795192237692</v>
      </c>
      <c r="L61" s="39">
        <f>IFERROR(('Emissions GEI'!L61*'Global Warming Potential GWP'!$E$6+'Emissions GEI'!AC61*'Global Warming Potential GWP'!$E$7+'Emissions GEI'!AT61*'Global Warming Potential GWP'!$E$8)/1000,"NA")</f>
        <v>34.812196046833478</v>
      </c>
      <c r="M61" s="39">
        <f>IFERROR(('Emissions GEI'!M61*'Global Warming Potential GWP'!$E$6+'Emissions GEI'!AD61*'Global Warming Potential GWP'!$E$7+'Emissions GEI'!AU61*'Global Warming Potential GWP'!$E$8)/1000,"NA")</f>
        <v>34.109980195968724</v>
      </c>
      <c r="N61" s="39">
        <f>IFERROR(('Emissions GEI'!N61*'Global Warming Potential GWP'!$E$6+'Emissions GEI'!AE61*'Global Warming Potential GWP'!$E$7+'Emissions GEI'!AV61*'Global Warming Potential GWP'!$E$8)/1000,"NA")</f>
        <v>39.633649083167228</v>
      </c>
      <c r="O61" s="39">
        <f>IFERROR(('Emissions GEI'!O61*'Global Warming Potential GWP'!$E$6+'Emissions GEI'!AF61*'Global Warming Potential GWP'!$E$7+'Emissions GEI'!AW61*'Global Warming Potential GWP'!$E$8)/1000,"NA")</f>
        <v>42.717702914704411</v>
      </c>
      <c r="P61" s="39">
        <f>IFERROR(('Emissions GEI'!P61*'Global Warming Potential GWP'!$E$6+'Emissions GEI'!AG61*'Global Warming Potential GWP'!$E$7+'Emissions GEI'!AX61*'Global Warming Potential GWP'!$E$8)/1000,"NA")</f>
        <v>44.530747499885997</v>
      </c>
      <c r="Q61" s="39">
        <f>IFERROR(('Emissions GEI'!Q61*'Global Warming Potential GWP'!$E$6+'Emissions GEI'!AH61*'Global Warming Potential GWP'!$E$7+'Emissions GEI'!AY61*'Global Warming Potential GWP'!$E$8)/1000,"NA")</f>
        <v>46.006183122124689</v>
      </c>
      <c r="R61" s="39">
        <f>IFERROR(('Emissions GEI'!R61*'Global Warming Potential GWP'!$E$6+'Emissions GEI'!AI61*'Global Warming Potential GWP'!$E$7+'Emissions GEI'!AZ61*'Global Warming Potential GWP'!$E$8)/1000,"NA")</f>
        <v>45.862941626268459</v>
      </c>
      <c r="S61" s="39">
        <f>IFERROR(('Emissions GEI'!S61*'Global Warming Potential GWP'!$E$6+'Emissions GEI'!AJ61*'Global Warming Potential GWP'!$E$7+'Emissions GEI'!BA61*'Global Warming Potential GWP'!$E$8)/1000,"NA")</f>
        <v>54.376492653888491</v>
      </c>
      <c r="T61" s="86">
        <f>IFERROR(('Emissions GEI'!T61*'Global Warming Potential GWP'!$E$6+'Emissions GEI'!AK61*'Global Warming Potential GWP'!$E$7+'Emissions GEI'!BB61*'Global Warming Potential GWP'!$E$8)/1000,"NA")</f>
        <v>63.168777795220834</v>
      </c>
    </row>
    <row r="62" spans="2:20" x14ac:dyDescent="0.35">
      <c r="B62" s="700"/>
      <c r="C62" s="364" t="s">
        <v>41</v>
      </c>
      <c r="D62" s="85">
        <f>IFERROR(('Emissions GEI'!D62*'Global Warming Potential GWP'!$E$6+'Emissions GEI'!U62*'Global Warming Potential GWP'!$E$7+'Emissions GEI'!AL62*'Global Warming Potential GWP'!$E$8)/1000,"NA")</f>
        <v>1.1184949002578437</v>
      </c>
      <c r="E62" s="39">
        <f>IFERROR(('Emissions GEI'!E62*'Global Warming Potential GWP'!$E$6+'Emissions GEI'!V62*'Global Warming Potential GWP'!$E$7+'Emissions GEI'!AM62*'Global Warming Potential GWP'!$E$8)/1000,"NA")</f>
        <v>1.1849052321847562</v>
      </c>
      <c r="F62" s="39">
        <f>IFERROR(('Emissions GEI'!F62*'Global Warming Potential GWP'!$E$6+'Emissions GEI'!W62*'Global Warming Potential GWP'!$E$7+'Emissions GEI'!AN62*'Global Warming Potential GWP'!$E$8)/1000,"NA")</f>
        <v>1.3861405360017078</v>
      </c>
      <c r="G62" s="39">
        <f>IFERROR(('Emissions GEI'!G62*'Global Warming Potential GWP'!$E$6+'Emissions GEI'!X62*'Global Warming Potential GWP'!$E$7+'Emissions GEI'!AO62*'Global Warming Potential GWP'!$E$8)/1000,"NA")</f>
        <v>1.47499261031241</v>
      </c>
      <c r="H62" s="39">
        <f>IFERROR(('Emissions GEI'!H62*'Global Warming Potential GWP'!$E$6+'Emissions GEI'!Y62*'Global Warming Potential GWP'!$E$7+'Emissions GEI'!AP62*'Global Warming Potential GWP'!$E$8)/1000,"NA")</f>
        <v>1.409869517849585</v>
      </c>
      <c r="I62" s="39">
        <f>IFERROR(('Emissions GEI'!I62*'Global Warming Potential GWP'!$E$6+'Emissions GEI'!Z62*'Global Warming Potential GWP'!$E$7+'Emissions GEI'!AQ62*'Global Warming Potential GWP'!$E$8)/1000,"NA")</f>
        <v>1.2628162279805681</v>
      </c>
      <c r="J62" s="39">
        <f>IFERROR(('Emissions GEI'!J62*'Global Warming Potential GWP'!$E$6+'Emissions GEI'!AA62*'Global Warming Potential GWP'!$E$7+'Emissions GEI'!AR62*'Global Warming Potential GWP'!$E$8)/1000,"NA")</f>
        <v>1.3098552254820544</v>
      </c>
      <c r="K62" s="39">
        <f>IFERROR(('Emissions GEI'!K62*'Global Warming Potential GWP'!$E$6+'Emissions GEI'!AB62*'Global Warming Potential GWP'!$E$7+'Emissions GEI'!AS62*'Global Warming Potential GWP'!$E$8)/1000,"NA")</f>
        <v>1.4655552263730913</v>
      </c>
      <c r="L62" s="39">
        <f>IFERROR(('Emissions GEI'!L62*'Global Warming Potential GWP'!$E$6+'Emissions GEI'!AC62*'Global Warming Potential GWP'!$E$7+'Emissions GEI'!AT62*'Global Warming Potential GWP'!$E$8)/1000,"NA")</f>
        <v>1.3106057046025625</v>
      </c>
      <c r="M62" s="39">
        <f>IFERROR(('Emissions GEI'!M62*'Global Warming Potential GWP'!$E$6+'Emissions GEI'!AD62*'Global Warming Potential GWP'!$E$7+'Emissions GEI'!AU62*'Global Warming Potential GWP'!$E$8)/1000,"NA")</f>
        <v>1.2841687599534068</v>
      </c>
      <c r="N62" s="39">
        <f>IFERROR(('Emissions GEI'!N62*'Global Warming Potential GWP'!$E$6+'Emissions GEI'!AE62*'Global Warming Potential GWP'!$E$7+'Emissions GEI'!AV62*'Global Warming Potential GWP'!$E$8)/1000,"NA")</f>
        <v>1.492123234993098</v>
      </c>
      <c r="O62" s="39">
        <f>IFERROR(('Emissions GEI'!O62*'Global Warming Potential GWP'!$E$6+'Emissions GEI'!AF62*'Global Warming Potential GWP'!$E$7+'Emissions GEI'!AW62*'Global Warming Potential GWP'!$E$8)/1000,"NA")</f>
        <v>1.6082313523746112</v>
      </c>
      <c r="P62" s="39">
        <f>IFERROR(('Emissions GEI'!P62*'Global Warming Potential GWP'!$E$6+'Emissions GEI'!AG62*'Global Warming Potential GWP'!$E$7+'Emissions GEI'!AX62*'Global Warming Potential GWP'!$E$8)/1000,"NA")</f>
        <v>1.6764886542937738</v>
      </c>
      <c r="Q62" s="39">
        <f>IFERROR(('Emissions GEI'!Q62*'Global Warming Potential GWP'!$E$6+'Emissions GEI'!AH62*'Global Warming Potential GWP'!$E$7+'Emissions GEI'!AY62*'Global Warming Potential GWP'!$E$8)/1000,"NA")</f>
        <v>1.7320356913344244</v>
      </c>
      <c r="R62" s="39">
        <f>IFERROR(('Emissions GEI'!R62*'Global Warming Potential GWP'!$E$6+'Emissions GEI'!AI62*'Global Warming Potential GWP'!$E$7+'Emissions GEI'!AZ62*'Global Warming Potential GWP'!$E$8)/1000,"NA")</f>
        <v>1.7266429513489199</v>
      </c>
      <c r="S62" s="39">
        <f>IFERROR(('Emissions GEI'!S62*'Global Warming Potential GWP'!$E$6+'Emissions GEI'!AJ62*'Global Warming Potential GWP'!$E$7+'Emissions GEI'!BA62*'Global Warming Potential GWP'!$E$8)/1000,"NA")</f>
        <v>2.0471601783636384</v>
      </c>
      <c r="T62" s="86">
        <f>IFERROR(('Emissions GEI'!T62*'Global Warming Potential GWP'!$E$6+'Emissions GEI'!AK62*'Global Warming Potential GWP'!$E$7+'Emissions GEI'!BB62*'Global Warming Potential GWP'!$E$8)/1000,"NA")</f>
        <v>2.3781711564478751</v>
      </c>
    </row>
    <row r="63" spans="2:20" x14ac:dyDescent="0.35">
      <c r="B63" s="697" t="s">
        <v>42</v>
      </c>
      <c r="C63" s="364" t="s">
        <v>43</v>
      </c>
      <c r="D63" s="85">
        <f>IFERROR(('Emissions GEI'!D63*'Global Warming Potential GWP'!$E$6+'Emissions GEI'!U63*'Global Warming Potential GWP'!$E$7+'Emissions GEI'!AL63*'Global Warming Potential GWP'!$E$8)/1000,"NA")</f>
        <v>12.41291062</v>
      </c>
      <c r="E63" s="39">
        <f>IFERROR(('Emissions GEI'!E63*'Global Warming Potential GWP'!$E$6+'Emissions GEI'!V63*'Global Warming Potential GWP'!$E$7+'Emissions GEI'!AM63*'Global Warming Potential GWP'!$E$8)/1000,"NA")</f>
        <v>13.310229459999999</v>
      </c>
      <c r="F63" s="39">
        <f>IFERROR(('Emissions GEI'!F63*'Global Warming Potential GWP'!$E$6+'Emissions GEI'!W63*'Global Warming Potential GWP'!$E$7+'Emissions GEI'!AN63*'Global Warming Potential GWP'!$E$8)/1000,"NA")</f>
        <v>13.636255305199997</v>
      </c>
      <c r="G63" s="39">
        <f>IFERROR(('Emissions GEI'!G63*'Global Warming Potential GWP'!$E$6+'Emissions GEI'!X63*'Global Warming Potential GWP'!$E$7+'Emissions GEI'!AO63*'Global Warming Potential GWP'!$E$8)/1000,"NA")</f>
        <v>17.195620037199998</v>
      </c>
      <c r="H63" s="39">
        <f>IFERROR(('Emissions GEI'!H63*'Global Warming Potential GWP'!$E$6+'Emissions GEI'!Y63*'Global Warming Potential GWP'!$E$7+'Emissions GEI'!AP63*'Global Warming Potential GWP'!$E$8)/1000,"NA")</f>
        <v>19.0590521616</v>
      </c>
      <c r="I63" s="39">
        <f>IFERROR(('Emissions GEI'!I63*'Global Warming Potential GWP'!$E$6+'Emissions GEI'!Z63*'Global Warming Potential GWP'!$E$7+'Emissions GEI'!AQ63*'Global Warming Potential GWP'!$E$8)/1000,"NA")</f>
        <v>20.892573657999996</v>
      </c>
      <c r="J63" s="39">
        <f>IFERROR(('Emissions GEI'!J63*'Global Warming Potential GWP'!$E$6+'Emissions GEI'!AA63*'Global Warming Potential GWP'!$E$7+'Emissions GEI'!AR63*'Global Warming Potential GWP'!$E$8)/1000,"NA")</f>
        <v>34.205794180799998</v>
      </c>
      <c r="K63" s="39">
        <f>IFERROR(('Emissions GEI'!K63*'Global Warming Potential GWP'!$E$6+'Emissions GEI'!AB63*'Global Warming Potential GWP'!$E$7+'Emissions GEI'!AS63*'Global Warming Potential GWP'!$E$8)/1000,"NA")</f>
        <v>32.683343215599997</v>
      </c>
      <c r="L63" s="39">
        <f>IFERROR(('Emissions GEI'!L63*'Global Warming Potential GWP'!$E$6+'Emissions GEI'!AC63*'Global Warming Potential GWP'!$E$7+'Emissions GEI'!AT63*'Global Warming Potential GWP'!$E$8)/1000,"NA")</f>
        <v>30.191787903199991</v>
      </c>
      <c r="M63" s="39">
        <f>IFERROR(('Emissions GEI'!M63*'Global Warming Potential GWP'!$E$6+'Emissions GEI'!AD63*'Global Warming Potential GWP'!$E$7+'Emissions GEI'!AU63*'Global Warming Potential GWP'!$E$8)/1000,"NA")</f>
        <v>31.630489109999996</v>
      </c>
      <c r="N63" s="39">
        <f>IFERROR(('Emissions GEI'!N63*'Global Warming Potential GWP'!$E$6+'Emissions GEI'!AE63*'Global Warming Potential GWP'!$E$7+'Emissions GEI'!AV63*'Global Warming Potential GWP'!$E$8)/1000,"NA")</f>
        <v>32.677361090000005</v>
      </c>
      <c r="O63" s="39">
        <f>IFERROR(('Emissions GEI'!O63*'Global Warming Potential GWP'!$E$6+'Emissions GEI'!AF63*'Global Warming Potential GWP'!$E$7+'Emissions GEI'!AW63*'Global Warming Potential GWP'!$E$8)/1000,"NA")</f>
        <v>33.679367127999996</v>
      </c>
      <c r="P63" s="39">
        <f>IFERROR(('Emissions GEI'!P63*'Global Warming Potential GWP'!$E$6+'Emissions GEI'!AG63*'Global Warming Potential GWP'!$E$7+'Emissions GEI'!AX63*'Global Warming Potential GWP'!$E$8)/1000,"NA")</f>
        <v>35.647486450400002</v>
      </c>
      <c r="Q63" s="39">
        <f>IFERROR(('Emissions GEI'!Q63*'Global Warming Potential GWP'!$E$6+'Emissions GEI'!AH63*'Global Warming Potential GWP'!$E$7+'Emissions GEI'!AY63*'Global Warming Potential GWP'!$E$8)/1000,"NA")</f>
        <v>39.736269297999996</v>
      </c>
      <c r="R63" s="39">
        <f>IFERROR(('Emissions GEI'!R63*'Global Warming Potential GWP'!$E$6+'Emissions GEI'!AI63*'Global Warming Potential GWP'!$E$7+'Emissions GEI'!AZ63*'Global Warming Potential GWP'!$E$8)/1000,"NA")</f>
        <v>41.958628958399999</v>
      </c>
      <c r="S63" s="39">
        <f>IFERROR(('Emissions GEI'!S63*'Global Warming Potential GWP'!$E$6+'Emissions GEI'!AJ63*'Global Warming Potential GWP'!$E$7+'Emissions GEI'!BA63*'Global Warming Potential GWP'!$E$8)/1000,"NA")</f>
        <v>45.162057217199994</v>
      </c>
      <c r="T63" s="86">
        <f>IFERROR(('Emissions GEI'!T63*'Global Warming Potential GWP'!$E$6+'Emissions GEI'!AK63*'Global Warming Potential GWP'!$E$7+'Emissions GEI'!BB63*'Global Warming Potential GWP'!$E$8)/1000,"NA")</f>
        <v>48.105263012399995</v>
      </c>
    </row>
    <row r="64" spans="2:20" x14ac:dyDescent="0.35">
      <c r="B64" s="697"/>
      <c r="C64" s="364" t="s">
        <v>44</v>
      </c>
      <c r="D64" s="85">
        <f>IFERROR(('Emissions GEI'!U64*'Global Warming Potential GWP'!$E$7+'Emissions GEI'!AL64*'Global Warming Potential GWP'!$E$8)/1000,"NA")</f>
        <v>3.9913499999999998E-2</v>
      </c>
      <c r="E64" s="39">
        <f>IFERROR(('Emissions GEI'!V64*'Global Warming Potential GWP'!$E$7+'Emissions GEI'!AM64*'Global Warming Potential GWP'!$E$8)/1000,"NA")</f>
        <v>4.3904850000000009E-2</v>
      </c>
      <c r="F64" s="39">
        <f>IFERROR(('Emissions GEI'!W64*'Global Warming Potential GWP'!$E$7+'Emissions GEI'!AN64*'Global Warming Potential GWP'!$E$8)/1000,"NA")</f>
        <v>4.5235299999999999E-2</v>
      </c>
      <c r="G64" s="39">
        <f>IFERROR(('Emissions GEI'!X64*'Global Warming Potential GWP'!$E$7+'Emissions GEI'!AO64*'Global Warming Potential GWP'!$E$8)/1000,"NA")</f>
        <v>4.6565750000000003E-2</v>
      </c>
      <c r="H64" s="39">
        <f>IFERROR(('Emissions GEI'!Y64*'Global Warming Potential GWP'!$E$7+'Emissions GEI'!AP64*'Global Warming Potential GWP'!$E$8)/1000,"NA")</f>
        <v>4.78962E-2</v>
      </c>
      <c r="I64" s="39">
        <f>IFERROR(('Emissions GEI'!Z64*'Global Warming Potential GWP'!$E$7+'Emissions GEI'!AQ64*'Global Warming Potential GWP'!$E$8)/1000,"NA")</f>
        <v>5.0557100000000001E-2</v>
      </c>
      <c r="J64" s="39">
        <f>IFERROR(('Emissions GEI'!AA64*'Global Warming Potential GWP'!$E$7+'Emissions GEI'!AR64*'Global Warming Potential GWP'!$E$8)/1000,"NA")</f>
        <v>5.2286685000000006E-2</v>
      </c>
      <c r="K64" s="39">
        <f>IFERROR(('Emissions GEI'!AB64*'Global Warming Potential GWP'!$E$7+'Emissions GEI'!AS64*'Global Warming Potential GWP'!$E$8)/1000,"NA")</f>
        <v>5.414931499999999E-2</v>
      </c>
      <c r="L64" s="39">
        <f>IFERROR(('Emissions GEI'!AC64*'Global Warming Potential GWP'!$E$7+'Emissions GEI'!AT64*'Global Warming Potential GWP'!$E$8)/1000,"NA")</f>
        <v>5.6144989999999999E-2</v>
      </c>
      <c r="M64" s="39">
        <f>IFERROR(('Emissions GEI'!AD64*'Global Warming Potential GWP'!$E$7+'Emissions GEI'!AU64*'Global Warming Potential GWP'!$E$8)/1000,"NA")</f>
        <v>5.8167274000000005E-2</v>
      </c>
      <c r="N64" s="39">
        <f>IFERROR(('Emissions GEI'!AE64*'Global Warming Potential GWP'!$E$7+'Emissions GEI'!AV64*'Global Warming Potential GWP'!$E$8)/1000,"NA")</f>
        <v>6.0269385000000002E-2</v>
      </c>
      <c r="O64" s="39">
        <f>IFERROR(('Emissions GEI'!AF64*'Global Warming Potential GWP'!$E$7+'Emissions GEI'!AW64*'Global Warming Potential GWP'!$E$8)/1000,"NA")</f>
        <v>6.2398105000000002E-2</v>
      </c>
      <c r="P64" s="39">
        <f>IFERROR(('Emissions GEI'!AG64*'Global Warming Potential GWP'!$E$7+'Emissions GEI'!AX64*'Global Warming Potential GWP'!$E$8)/1000,"NA")</f>
        <v>6.3063329999999987E-2</v>
      </c>
      <c r="Q64" s="39">
        <f>IFERROR(('Emissions GEI'!AH64*'Global Warming Potential GWP'!$E$7+'Emissions GEI'!AY64*'Global Warming Potential GWP'!$E$8)/1000,"NA")</f>
        <v>6.4260734999999999E-2</v>
      </c>
      <c r="R64" s="39">
        <f>IFERROR(('Emissions GEI'!AI64*'Global Warming Potential GWP'!$E$7+'Emissions GEI'!AZ64*'Global Warming Potential GWP'!$E$8)/1000,"NA")</f>
        <v>6.6123365000000003E-2</v>
      </c>
      <c r="S64" s="39">
        <f>IFERROR(('Emissions GEI'!AJ64*'Global Warming Potential GWP'!$E$7+'Emissions GEI'!BA64*'Global Warming Potential GWP'!$E$8)/1000,"NA")</f>
        <v>5.987025E-2</v>
      </c>
      <c r="T64" s="86">
        <f>IFERROR(('Emissions GEI'!AK64*'Global Warming Potential GWP'!$E$7+'Emissions GEI'!BB64*'Global Warming Potential GWP'!$E$8)/1000,"NA")</f>
        <v>5.5878899999999995E-2</v>
      </c>
    </row>
    <row r="65" spans="2:20" x14ac:dyDescent="0.35">
      <c r="B65" s="698" t="s">
        <v>45</v>
      </c>
      <c r="C65" s="364" t="s">
        <v>14</v>
      </c>
      <c r="D65" s="85">
        <f>IFERROR(('Emissions GEI'!D65*'Global Warming Potential GWP'!$E$6+'Emissions GEI'!U65*'Global Warming Potential GWP'!$E$7+'Emissions GEI'!AL65*'Global Warming Potential GWP'!$E$8)/1000,"NA")</f>
        <v>30.218571263999998</v>
      </c>
      <c r="E65" s="39">
        <f>IFERROR(('Emissions GEI'!E65*'Global Warming Potential GWP'!$E$6+'Emissions GEI'!V65*'Global Warming Potential GWP'!$E$7+'Emissions GEI'!AM65*'Global Warming Potential GWP'!$E$8)/1000,"NA")</f>
        <v>29.840839123200002</v>
      </c>
      <c r="F65" s="39">
        <f>IFERROR(('Emissions GEI'!F65*'Global Warming Potential GWP'!$E$6+'Emissions GEI'!W65*'Global Warming Potential GWP'!$E$7+'Emissions GEI'!AN65*'Global Warming Potential GWP'!$E$8)/1000,"NA")</f>
        <v>26.469579766559999</v>
      </c>
      <c r="G65" s="39">
        <f>IFERROR(('Emissions GEI'!G65*'Global Warming Potential GWP'!$E$6+'Emissions GEI'!X65*'Global Warming Potential GWP'!$E$7+'Emissions GEI'!AO65*'Global Warming Potential GWP'!$E$8)/1000,"NA")</f>
        <v>26.016301197600001</v>
      </c>
      <c r="H65" s="39">
        <f>IFERROR(('Emissions GEI'!H65*'Global Warming Potential GWP'!$E$6+'Emissions GEI'!Y65*'Global Warming Potential GWP'!$E$7+'Emissions GEI'!AP65*'Global Warming Potential GWP'!$E$8)/1000,"NA")</f>
        <v>27.467422171840003</v>
      </c>
      <c r="I65" s="39">
        <f>IFERROR(('Emissions GEI'!I65*'Global Warming Potential GWP'!$E$6+'Emissions GEI'!Z65*'Global Warming Potential GWP'!$E$7+'Emissions GEI'!AQ65*'Global Warming Potential GWP'!$E$8)/1000,"NA")</f>
        <v>30.737952957600001</v>
      </c>
      <c r="J65" s="39">
        <f>IFERROR(('Emissions GEI'!J65*'Global Warming Potential GWP'!$E$6+'Emissions GEI'!AA65*'Global Warming Potential GWP'!$E$7+'Emissions GEI'!AR65*'Global Warming Potential GWP'!$E$8)/1000,"NA")</f>
        <v>12.348693236319999</v>
      </c>
      <c r="K65" s="39">
        <f>IFERROR(('Emissions GEI'!K65*'Global Warming Potential GWP'!$E$6+'Emissions GEI'!AB65*'Global Warming Potential GWP'!$E$7+'Emissions GEI'!AS65*'Global Warming Potential GWP'!$E$8)/1000,"NA")</f>
        <v>3.8969365859199994</v>
      </c>
      <c r="L65" s="39">
        <f>IFERROR(('Emissions GEI'!L65*'Global Warming Potential GWP'!$E$6+'Emissions GEI'!AC65*'Global Warming Potential GWP'!$E$7+'Emissions GEI'!AT65*'Global Warming Potential GWP'!$E$8)/1000,"NA")</f>
        <v>5.577844612479999</v>
      </c>
      <c r="M65" s="39">
        <f>IFERROR(('Emissions GEI'!M65*'Global Warming Potential GWP'!$E$6+'Emissions GEI'!AD65*'Global Warming Potential GWP'!$E$7+'Emissions GEI'!AU65*'Global Warming Potential GWP'!$E$8)/1000,"NA")</f>
        <v>4.6461053318400003</v>
      </c>
      <c r="N65" s="39">
        <f>IFERROR(('Emissions GEI'!N65*'Global Warming Potential GWP'!$E$6+'Emissions GEI'!AE65*'Global Warming Potential GWP'!$E$7+'Emissions GEI'!AV65*'Global Warming Potential GWP'!$E$8)/1000,"NA")</f>
        <v>5.4487861310400003</v>
      </c>
      <c r="O65" s="39">
        <f>IFERROR(('Emissions GEI'!O65*'Global Warming Potential GWP'!$E$6+'Emissions GEI'!AF65*'Global Warming Potential GWP'!$E$7+'Emissions GEI'!AW65*'Global Warming Potential GWP'!$E$8)/1000,"NA")</f>
        <v>1.6211004376</v>
      </c>
      <c r="P65" s="39">
        <f>IFERROR(('Emissions GEI'!P65*'Global Warming Potential GWP'!$E$6+'Emissions GEI'!AG65*'Global Warming Potential GWP'!$E$7+'Emissions GEI'!AX65*'Global Warming Potential GWP'!$E$8)/1000,"NA")</f>
        <v>0.7649075851199999</v>
      </c>
      <c r="Q65" s="39">
        <f>IFERROR(('Emissions GEI'!Q65*'Global Warming Potential GWP'!$E$6+'Emissions GEI'!AH65*'Global Warming Potential GWP'!$E$7+'Emissions GEI'!AY65*'Global Warming Potential GWP'!$E$8)/1000,"NA")</f>
        <v>0.63584910368000014</v>
      </c>
      <c r="R65" s="39">
        <f>IFERROR(('Emissions GEI'!R65*'Global Warming Potential GWP'!$E$6+'Emissions GEI'!AI65*'Global Warming Potential GWP'!$E$7+'Emissions GEI'!AZ65*'Global Warming Potential GWP'!$E$8)/1000,"NA")</f>
        <v>0.48160847952000008</v>
      </c>
      <c r="S65" s="39">
        <f>IFERROR(('Emissions GEI'!S65*'Global Warming Potential GWP'!$E$6+'Emissions GEI'!AJ65*'Global Warming Potential GWP'!$E$7+'Emissions GEI'!BA65*'Global Warming Potential GWP'!$E$8)/1000,"NA")</f>
        <v>0.41235758703999992</v>
      </c>
      <c r="T65" s="86">
        <f>IFERROR(('Emissions GEI'!T65*'Global Warming Potential GWP'!$E$6+'Emissions GEI'!AK65*'Global Warming Potential GWP'!$E$7+'Emissions GEI'!BB65*'Global Warming Potential GWP'!$E$8)/1000,"NA")</f>
        <v>0.22349151664000003</v>
      </c>
    </row>
    <row r="66" spans="2:20" x14ac:dyDescent="0.35">
      <c r="B66" s="698"/>
      <c r="C66" s="364" t="s">
        <v>43</v>
      </c>
      <c r="D66" s="85">
        <f>IFERROR(('Emissions GEI'!D66*'Global Warming Potential GWP'!$E$6+'Emissions GEI'!U66*'Global Warming Potential GWP'!$E$7+'Emissions GEI'!AL66*'Global Warming Potential GWP'!$E$8)/1000,"NA")</f>
        <v>112.79297818799999</v>
      </c>
      <c r="E66" s="39">
        <f>IFERROR(('Emissions GEI'!E66*'Global Warming Potential GWP'!$E$6+'Emissions GEI'!V66*'Global Warming Potential GWP'!$E$7+'Emissions GEI'!AM66*'Global Warming Potential GWP'!$E$8)/1000,"NA")</f>
        <v>113.21172698000001</v>
      </c>
      <c r="F66" s="39">
        <f>IFERROR(('Emissions GEI'!F66*'Global Warming Potential GWP'!$E$6+'Emissions GEI'!W66*'Global Warming Potential GWP'!$E$7+'Emissions GEI'!AN66*'Global Warming Potential GWP'!$E$8)/1000,"NA")</f>
        <v>116.7202436444</v>
      </c>
      <c r="G66" s="39">
        <f>IFERROR(('Emissions GEI'!G66*'Global Warming Potential GWP'!$E$6+'Emissions GEI'!X66*'Global Warming Potential GWP'!$E$7+'Emissions GEI'!AO66*'Global Warming Potential GWP'!$E$8)/1000,"NA")</f>
        <v>121.31451610519998</v>
      </c>
      <c r="H66" s="39">
        <f>IFERROR(('Emissions GEI'!H66*'Global Warming Potential GWP'!$E$6+'Emissions GEI'!Y66*'Global Warming Potential GWP'!$E$7+'Emissions GEI'!AP66*'Global Warming Potential GWP'!$E$8)/1000,"NA")</f>
        <v>128.18498735680001</v>
      </c>
      <c r="I66" s="39">
        <f>IFERROR(('Emissions GEI'!I66*'Global Warming Potential GWP'!$E$6+'Emissions GEI'!Z66*'Global Warming Potential GWP'!$E$7+'Emissions GEI'!AQ66*'Global Warming Potential GWP'!$E$8)/1000,"NA")</f>
        <v>129.2318593368</v>
      </c>
      <c r="J66" s="39">
        <f>IFERROR(('Emissions GEI'!J66*'Global Warming Potential GWP'!$E$6+'Emissions GEI'!AA66*'Global Warming Potential GWP'!$E$7+'Emissions GEI'!AR66*'Global Warming Potential GWP'!$E$8)/1000,"NA")</f>
        <v>124.42522141719996</v>
      </c>
      <c r="K66" s="39">
        <f>IFERROR(('Emissions GEI'!K66*'Global Warming Potential GWP'!$E$6+'Emissions GEI'!AB66*'Global Warming Potential GWP'!$E$7+'Emissions GEI'!AS66*'Global Warming Potential GWP'!$E$8)/1000,"NA")</f>
        <v>125.88785112639998</v>
      </c>
      <c r="L66" s="39">
        <f>IFERROR(('Emissions GEI'!L66*'Global Warming Potential GWP'!$E$6+'Emissions GEI'!AC66*'Global Warming Potential GWP'!$E$7+'Emissions GEI'!AT66*'Global Warming Potential GWP'!$E$8)/1000,"NA")</f>
        <v>126.80311634319999</v>
      </c>
      <c r="M66" s="39">
        <f>IFERROR(('Emissions GEI'!M66*'Global Warming Potential GWP'!$E$6+'Emissions GEI'!AD66*'Global Warming Potential GWP'!$E$7+'Emissions GEI'!AU66*'Global Warming Potential GWP'!$E$8)/1000,"NA")</f>
        <v>129.32458228359999</v>
      </c>
      <c r="N66" s="39">
        <f>IFERROR(('Emissions GEI'!N66*'Global Warming Potential GWP'!$E$6+'Emissions GEI'!AE66*'Global Warming Potential GWP'!$E$7+'Emissions GEI'!AV66*'Global Warming Potential GWP'!$E$8)/1000,"NA")</f>
        <v>131.78323590519997</v>
      </c>
      <c r="O66" s="39">
        <f>IFERROR(('Emissions GEI'!O66*'Global Warming Potential GWP'!$E$6+'Emissions GEI'!AF66*'Global Warming Potential GWP'!$E$7+'Emissions GEI'!AW66*'Global Warming Potential GWP'!$E$8)/1000,"NA")</f>
        <v>133.521043392</v>
      </c>
      <c r="P66" s="39">
        <f>IFERROR(('Emissions GEI'!P66*'Global Warming Potential GWP'!$E$6+'Emissions GEI'!AG66*'Global Warming Potential GWP'!$E$7+'Emissions GEI'!AX66*'Global Warming Potential GWP'!$E$8)/1000,"NA")</f>
        <v>135.58188566119998</v>
      </c>
      <c r="Q66" s="39">
        <f>IFERROR(('Emissions GEI'!Q66*'Global Warming Potential GWP'!$E$6+'Emissions GEI'!AH66*'Global Warming Potential GWP'!$E$7+'Emissions GEI'!AY66*'Global Warming Potential GWP'!$E$8)/1000,"NA")</f>
        <v>138.66567140800004</v>
      </c>
      <c r="R66" s="39">
        <f>IFERROR(('Emissions GEI'!R66*'Global Warming Potential GWP'!$E$6+'Emissions GEI'!AI66*'Global Warming Potential GWP'!$E$7+'Emissions GEI'!AZ66*'Global Warming Potential GWP'!$E$8)/1000,"NA")</f>
        <v>142.28485739599998</v>
      </c>
      <c r="S66" s="39">
        <f>IFERROR(('Emissions GEI'!S66*'Global Warming Potential GWP'!$E$6+'Emissions GEI'!AJ66*'Global Warming Potential GWP'!$E$7+'Emissions GEI'!BA66*'Global Warming Potential GWP'!$E$8)/1000,"NA")</f>
        <v>146.84024604039999</v>
      </c>
      <c r="T66" s="86">
        <f>IFERROR(('Emissions GEI'!T66*'Global Warming Potential GWP'!$E$6+'Emissions GEI'!AK66*'Global Warming Potential GWP'!$E$7+'Emissions GEI'!BB66*'Global Warming Potential GWP'!$E$8)/1000,"NA")</f>
        <v>147.92301077399998</v>
      </c>
    </row>
    <row r="67" spans="2:20" x14ac:dyDescent="0.35">
      <c r="B67" s="698"/>
      <c r="C67" s="364" t="s">
        <v>46</v>
      </c>
      <c r="D67" s="85">
        <f>IFERROR(('Emissions GEI'!U67*'Global Warming Potential GWP'!$E$7+'Emissions GEI'!AL67*'Global Warming Potential GWP'!$E$8)/1000,"NA")</f>
        <v>1.8819839999999999</v>
      </c>
      <c r="E67" s="39">
        <f>IFERROR(('Emissions GEI'!V67*'Global Warming Potential GWP'!$E$7+'Emissions GEI'!AM67*'Global Warming Potential GWP'!$E$8)/1000,"NA")</f>
        <v>1.8702216</v>
      </c>
      <c r="F67" s="39">
        <f>IFERROR(('Emissions GEI'!W67*'Global Warming Potential GWP'!$E$7+'Emissions GEI'!AN67*'Global Warming Potential GWP'!$E$8)/1000,"NA")</f>
        <v>1.8643403999999999</v>
      </c>
      <c r="G67" s="39">
        <f>IFERROR(('Emissions GEI'!X67*'Global Warming Potential GWP'!$E$7+'Emissions GEI'!AO67*'Global Warming Potential GWP'!$E$8)/1000,"NA")</f>
        <v>1.8561067199999999</v>
      </c>
      <c r="H67" s="39">
        <f>IFERROR(('Emissions GEI'!Y67*'Global Warming Potential GWP'!$E$7+'Emissions GEI'!AP67*'Global Warming Potential GWP'!$E$8)/1000,"NA")</f>
        <v>1.87492656</v>
      </c>
      <c r="I67" s="39">
        <f>IFERROR(('Emissions GEI'!Z67*'Global Warming Potential GWP'!$E$7+'Emissions GEI'!AQ67*'Global Warming Potential GWP'!$E$8)/1000,"NA")</f>
        <v>1.9455009600000002</v>
      </c>
      <c r="J67" s="39">
        <f>IFERROR(('Emissions GEI'!AA67*'Global Warming Potential GWP'!$E$7+'Emissions GEI'!AR67*'Global Warming Potential GWP'!$E$8)/1000,"NA")</f>
        <v>2.0552441519999998</v>
      </c>
      <c r="K67" s="39">
        <f>IFERROR(('Emissions GEI'!AB67*'Global Warming Potential GWP'!$E$7+'Emissions GEI'!AS67*'Global Warming Potential GWP'!$E$8)/1000,"NA")</f>
        <v>2.0580671279999998</v>
      </c>
      <c r="L67" s="39">
        <f>IFERROR(('Emissions GEI'!AC67*'Global Warming Potential GWP'!$E$7+'Emissions GEI'!AT67*'Global Warming Potential GWP'!$E$8)/1000,"NA")</f>
        <v>1.9673790239999998</v>
      </c>
      <c r="M67" s="39">
        <f>IFERROR(('Emissions GEI'!AD67*'Global Warming Potential GWP'!$E$7+'Emissions GEI'!AU67*'Global Warming Potential GWP'!$E$8)/1000,"NA")</f>
        <v>1.9547932560000001</v>
      </c>
      <c r="N67" s="39">
        <f>IFERROR(('Emissions GEI'!AE67*'Global Warming Potential GWP'!$E$7+'Emissions GEI'!AV67*'Global Warming Potential GWP'!$E$8)/1000,"NA")</f>
        <v>1.9522055279999999</v>
      </c>
      <c r="O67" s="39">
        <f>IFERROR(('Emissions GEI'!AF67*'Global Warming Potential GWP'!$E$7+'Emissions GEI'!AW67*'Global Warming Potential GWP'!$E$8)/1000,"NA")</f>
        <v>1.9215056639999999</v>
      </c>
      <c r="P67" s="39">
        <f>IFERROR(('Emissions GEI'!AG67*'Global Warming Potential GWP'!$E$7+'Emissions GEI'!AX67*'Global Warming Potential GWP'!$E$8)/1000,"NA")</f>
        <v>1.8823368719999998</v>
      </c>
      <c r="Q67" s="39">
        <f>IFERROR(('Emissions GEI'!AH67*'Global Warming Potential GWP'!$E$7+'Emissions GEI'!AY67*'Global Warming Potential GWP'!$E$8)/1000,"NA")</f>
        <v>1.8191727840000003</v>
      </c>
      <c r="R67" s="39">
        <f>IFERROR(('Emissions GEI'!AI67*'Global Warming Potential GWP'!$E$7+'Emissions GEI'!AZ67*'Global Warming Potential GWP'!$E$8)/1000,"NA")</f>
        <v>1.7089590960000001</v>
      </c>
      <c r="S67" s="39">
        <f>IFERROR(('Emissions GEI'!AJ67*'Global Warming Potential GWP'!$E$7+'Emissions GEI'!BA67*'Global Warming Potential GWP'!$E$8)/1000,"NA")</f>
        <v>1.602627</v>
      </c>
      <c r="T67" s="86">
        <f>IFERROR(('Emissions GEI'!AK67*'Global Warming Potential GWP'!$E$7+'Emissions GEI'!BB67*'Global Warming Potential GWP'!$E$8)/1000,"NA")</f>
        <v>1.5954519359999999</v>
      </c>
    </row>
    <row r="68" spans="2:20" x14ac:dyDescent="0.35">
      <c r="B68" s="698"/>
      <c r="C68" s="364" t="s">
        <v>44</v>
      </c>
      <c r="D68" s="85">
        <f>IFERROR(('Emissions GEI'!U68*'Global Warming Potential GWP'!$E$7+'Emissions GEI'!AL68*'Global Warming Potential GWP'!$E$8)/1000,"NA")</f>
        <v>1.9956749999999999E-2</v>
      </c>
      <c r="E68" s="39">
        <f>IFERROR(('Emissions GEI'!V68*'Global Warming Potential GWP'!$E$7+'Emissions GEI'!AM68*'Global Warming Potential GWP'!$E$8)/1000,"NA")</f>
        <v>1.9956749999999999E-2</v>
      </c>
      <c r="F68" s="39">
        <f>IFERROR(('Emissions GEI'!W68*'Global Warming Potential GWP'!$E$7+'Emissions GEI'!AN68*'Global Warming Potential GWP'!$E$8)/1000,"NA")</f>
        <v>1.7295849999999998E-2</v>
      </c>
      <c r="G68" s="39">
        <f>IFERROR(('Emissions GEI'!X68*'Global Warming Potential GWP'!$E$7+'Emissions GEI'!AO68*'Global Warming Potential GWP'!$E$8)/1000,"NA")</f>
        <v>1.6630625000000003E-2</v>
      </c>
      <c r="H68" s="39">
        <f>IFERROR(('Emissions GEI'!Y68*'Global Warming Potential GWP'!$E$7+'Emissions GEI'!AP68*'Global Warming Potential GWP'!$E$8)/1000,"NA")</f>
        <v>1.5965399999999998E-2</v>
      </c>
      <c r="I68" s="39">
        <f>IFERROR(('Emissions GEI'!Z68*'Global Warming Potential GWP'!$E$7+'Emissions GEI'!AQ68*'Global Warming Potential GWP'!$E$8)/1000,"NA")</f>
        <v>1.7295849999999998E-2</v>
      </c>
      <c r="J68" s="39">
        <f>IFERROR(('Emissions GEI'!AA68*'Global Warming Potential GWP'!$E$7+'Emissions GEI'!AR68*'Global Warming Potential GWP'!$E$8)/1000,"NA")</f>
        <v>1.6364534999999996E-2</v>
      </c>
      <c r="K68" s="39">
        <f>IFERROR(('Emissions GEI'!AB68*'Global Warming Potential GWP'!$E$7+'Emissions GEI'!AS68*'Global Warming Potential GWP'!$E$8)/1000,"NA")</f>
        <v>1.6763670000000001E-2</v>
      </c>
      <c r="L68" s="39">
        <f>IFERROR(('Emissions GEI'!AC68*'Global Warming Potential GWP'!$E$7+'Emissions GEI'!AT68*'Global Warming Potential GWP'!$E$8)/1000,"NA")</f>
        <v>1.5832355000000003E-2</v>
      </c>
      <c r="M68" s="39">
        <f>IFERROR(('Emissions GEI'!AD68*'Global Warming Potential GWP'!$E$7+'Emissions GEI'!AU68*'Global Warming Potential GWP'!$E$8)/1000,"NA")</f>
        <v>1.5832355000000003E-2</v>
      </c>
      <c r="N68" s="39">
        <f>IFERROR(('Emissions GEI'!AE68*'Global Warming Potential GWP'!$E$7+'Emissions GEI'!AV68*'Global Warming Potential GWP'!$E$8)/1000,"NA")</f>
        <v>1.5832355000000003E-2</v>
      </c>
      <c r="O68" s="39">
        <f>IFERROR(('Emissions GEI'!AF68*'Global Warming Potential GWP'!$E$7+'Emissions GEI'!AW68*'Global Warming Potential GWP'!$E$8)/1000,"NA")</f>
        <v>1.5433220000000001E-2</v>
      </c>
      <c r="P68" s="39">
        <f>IFERROR(('Emissions GEI'!AG68*'Global Warming Potential GWP'!$E$7+'Emissions GEI'!AX68*'Global Warming Potential GWP'!$E$8)/1000,"NA")</f>
        <v>1.5167129999999999E-2</v>
      </c>
      <c r="Q68" s="39">
        <f>IFERROR(('Emissions GEI'!AH68*'Global Warming Potential GWP'!$E$7+'Emissions GEI'!AY68*'Global Warming Potential GWP'!$E$8)/1000,"NA")</f>
        <v>1.4767995000000001E-2</v>
      </c>
      <c r="R68" s="39">
        <f>IFERROR(('Emissions GEI'!AI68*'Global Warming Potential GWP'!$E$7+'Emissions GEI'!AZ68*'Global Warming Potential GWP'!$E$8)/1000,"NA")</f>
        <v>1.3703635000000002E-2</v>
      </c>
      <c r="S68" s="39">
        <f>IFERROR(('Emissions GEI'!AJ68*'Global Warming Potential GWP'!$E$7+'Emissions GEI'!BA68*'Global Warming Potential GWP'!$E$8)/1000,"NA")</f>
        <v>1.303841E-2</v>
      </c>
      <c r="T68" s="86">
        <f>IFERROR(('Emissions GEI'!AK68*'Global Warming Potential GWP'!$E$7+'Emissions GEI'!BB68*'Global Warming Potential GWP'!$E$8)/1000,"NA")</f>
        <v>1.2639275E-2</v>
      </c>
    </row>
    <row r="69" spans="2:20" x14ac:dyDescent="0.35">
      <c r="B69" s="612" t="s">
        <v>47</v>
      </c>
      <c r="C69" s="364" t="s">
        <v>41</v>
      </c>
      <c r="D69" s="85">
        <f>IFERROR(('Emissions GEI'!D69*'Global Warming Potential GWP'!$E$6+'Emissions GEI'!U69*'Global Warming Potential GWP'!$E$7+'Emissions GEI'!AL69*'Global Warming Potential GWP'!$E$8)/1000,"NA")</f>
        <v>7.9222622207999995</v>
      </c>
      <c r="E69" s="39">
        <f>IFERROR(('Emissions GEI'!E69*'Global Warming Potential GWP'!$E$6+'Emissions GEI'!V69*'Global Warming Potential GWP'!$E$7+'Emissions GEI'!AM69*'Global Warming Potential GWP'!$E$8)/1000,"NA")</f>
        <v>9.0028639487999982</v>
      </c>
      <c r="F69" s="39">
        <f>IFERROR(('Emissions GEI'!F69*'Global Warming Potential GWP'!$E$6+'Emissions GEI'!W69*'Global Warming Potential GWP'!$E$7+'Emissions GEI'!AN69*'Global Warming Potential GWP'!$E$8)/1000,"NA")</f>
        <v>8.8706112000000008</v>
      </c>
      <c r="G69" s="39">
        <f>IFERROR(('Emissions GEI'!G69*'Global Warming Potential GWP'!$E$6+'Emissions GEI'!X69*'Global Warming Potential GWP'!$E$7+'Emissions GEI'!AO69*'Global Warming Potential GWP'!$E$8)/1000,"NA")</f>
        <v>9.448007347199999</v>
      </c>
      <c r="H69" s="39">
        <f>IFERROR(('Emissions GEI'!H69*'Global Warming Potential GWP'!$E$6+'Emissions GEI'!Y69*'Global Warming Potential GWP'!$E$7+'Emissions GEI'!AP69*'Global Warming Potential GWP'!$E$8)/1000,"NA")</f>
        <v>10.151204889600001</v>
      </c>
      <c r="I69" s="39">
        <f>IFERROR(('Emissions GEI'!I69*'Global Warming Potential GWP'!$E$6+'Emissions GEI'!Z69*'Global Warming Potential GWP'!$E$7+'Emissions GEI'!AQ69*'Global Warming Potential GWP'!$E$8)/1000,"NA")</f>
        <v>9.6609020159999996</v>
      </c>
      <c r="J69" s="39">
        <f>IFERROR(('Emissions GEI'!J69*'Global Warming Potential GWP'!$E$6+'Emissions GEI'!AA69*'Global Warming Potential GWP'!$E$7+'Emissions GEI'!AR69*'Global Warming Potential GWP'!$E$8)/1000,"NA")</f>
        <v>9.8350885631999976</v>
      </c>
      <c r="K69" s="39">
        <f>IFERROR(('Emissions GEI'!K69*'Global Warming Potential GWP'!$E$6+'Emissions GEI'!AB69*'Global Warming Potential GWP'!$E$7+'Emissions GEI'!AS69*'Global Warming Potential GWP'!$E$8)/1000,"NA")</f>
        <v>10.01241570256988</v>
      </c>
      <c r="L69" s="39">
        <f>IFERROR(('Emissions GEI'!L69*'Global Warming Potential GWP'!$E$6+'Emissions GEI'!AC69*'Global Warming Potential GWP'!$E$7+'Emissions GEI'!AT69*'Global Warming Potential GWP'!$E$8)/1000,"NA")</f>
        <v>10.192940059143762</v>
      </c>
      <c r="M69" s="39">
        <f>IFERROR(('Emissions GEI'!M69*'Global Warming Potential GWP'!$E$6+'Emissions GEI'!AD69*'Global Warming Potential GWP'!$E$7+'Emissions GEI'!AU69*'Global Warming Potential GWP'!$E$8)/1000,"NA")</f>
        <v>10.376719278907956</v>
      </c>
      <c r="N69" s="39">
        <f>IFERROR(('Emissions GEI'!N69*'Global Warming Potential GWP'!$E$6+'Emissions GEI'!AE69*'Global Warming Potential GWP'!$E$7+'Emissions GEI'!AV69*'Global Warming Potential GWP'!$E$8)/1000,"NA")</f>
        <v>10.563812047208799</v>
      </c>
      <c r="O69" s="39">
        <f>IFERROR(('Emissions GEI'!O69*'Global Warming Potential GWP'!$E$6+'Emissions GEI'!AF69*'Global Warming Potential GWP'!$E$7+'Emissions GEI'!AW69*'Global Warming Potential GWP'!$E$8)/1000,"NA")</f>
        <v>10.754278107492368</v>
      </c>
      <c r="P69" s="39">
        <f>IFERROR(('Emissions GEI'!P69*'Global Warming Potential GWP'!$E$6+'Emissions GEI'!AG69*'Global Warming Potential GWP'!$E$7+'Emissions GEI'!AX69*'Global Warming Potential GWP'!$E$8)/1000,"NA")</f>
        <v>10.948178280382047</v>
      </c>
      <c r="Q69" s="39">
        <f>IFERROR(('Emissions GEI'!Q69*'Global Warming Potential GWP'!$E$6+'Emissions GEI'!AH69*'Global Warming Potential GWP'!$E$7+'Emissions GEI'!AY69*'Global Warming Potential GWP'!$E$8)/1000,"NA")</f>
        <v>11.14557448310012</v>
      </c>
      <c r="R69" s="39">
        <f>IFERROR(('Emissions GEI'!R69*'Global Warming Potential GWP'!$E$6+'Emissions GEI'!AI69*'Global Warming Potential GWP'!$E$7+'Emissions GEI'!AZ69*'Global Warming Potential GWP'!$E$8)/1000,"NA")</f>
        <v>7.3642201343999982</v>
      </c>
      <c r="S69" s="39">
        <f>IFERROR(('Emissions GEI'!S69*'Global Warming Potential GWP'!$E$6+'Emissions GEI'!AJ69*'Global Warming Potential GWP'!$E$7+'Emissions GEI'!BA69*'Global Warming Potential GWP'!$E$8)/1000,"NA")</f>
        <v>7.4384107008000004</v>
      </c>
      <c r="T69" s="86">
        <f>IFERROR(('Emissions GEI'!T69*'Global Warming Potential GWP'!$E$6+'Emissions GEI'!AK69*'Global Warming Potential GWP'!$E$7+'Emissions GEI'!BB69*'Global Warming Potential GWP'!$E$8)/1000,"NA")</f>
        <v>7.3126093055999988</v>
      </c>
    </row>
    <row r="70" spans="2:20" s="110" customFormat="1" x14ac:dyDescent="0.35">
      <c r="B70" s="699" t="s">
        <v>339</v>
      </c>
      <c r="C70" s="364" t="s">
        <v>136</v>
      </c>
      <c r="D70" s="85">
        <f>IFERROR(('Emissions GEI'!D70*'Global Warming Potential GWP'!$E$6+'Emissions GEI'!U70*'Global Warming Potential GWP'!$E$7+'Emissions GEI'!AL70*'Global Warming Potential GWP'!$E$8)/1000,"NA")</f>
        <v>27.867248640000007</v>
      </c>
      <c r="E70" s="39">
        <f>IFERROR(('Emissions GEI'!E70*'Global Warming Potential GWP'!$E$6+'Emissions GEI'!V70*'Global Warming Potential GWP'!$E$7+'Emissions GEI'!AM70*'Global Warming Potential GWP'!$E$8)/1000,"NA")</f>
        <v>28.210710528</v>
      </c>
      <c r="F70" s="39">
        <f>IFERROR(('Emissions GEI'!F70*'Global Warming Potential GWP'!$E$6+'Emissions GEI'!W70*'Global Warming Potential GWP'!$E$7+'Emissions GEI'!AN70*'Global Warming Potential GWP'!$E$8)/1000,"NA")</f>
        <v>28.413665279999993</v>
      </c>
      <c r="G70" s="39">
        <f>IFERROR(('Emissions GEI'!G70*'Global Warming Potential GWP'!$E$6+'Emissions GEI'!X70*'Global Warming Potential GWP'!$E$7+'Emissions GEI'!AO70*'Global Warming Potential GWP'!$E$8)/1000,"NA")</f>
        <v>36.328900607999998</v>
      </c>
      <c r="H70" s="39">
        <f>IFERROR(('Emissions GEI'!H70*'Global Warming Potential GWP'!$E$6+'Emissions GEI'!Y70*'Global Warming Potential GWP'!$E$7+'Emissions GEI'!AP70*'Global Warming Potential GWP'!$E$8)/1000,"NA")</f>
        <v>27.804801023999993</v>
      </c>
      <c r="I70" s="39">
        <f>IFERROR(('Emissions GEI'!I70*'Global Warming Potential GWP'!$E$6+'Emissions GEI'!Z70*'Global Warming Potential GWP'!$E$7+'Emissions GEI'!AQ70*'Global Warming Potential GWP'!$E$8)/1000,"NA")</f>
        <v>29.225484288000001</v>
      </c>
      <c r="J70" s="39">
        <f>IFERROR(('Emissions GEI'!J70*'Global Warming Potential GWP'!$E$6+'Emissions GEI'!AA70*'Global Warming Potential GWP'!$E$7+'Emissions GEI'!AR70*'Global Warming Potential GWP'!$E$8)/1000,"NA")</f>
        <v>31.255031807999995</v>
      </c>
      <c r="K70" s="39">
        <f>IFERROR(('Emissions GEI'!K70*'Global Warming Potential GWP'!$E$6+'Emissions GEI'!AB70*'Global Warming Potential GWP'!$E$7+'Emissions GEI'!AS70*'Global Warming Potential GWP'!$E$8)/1000,"NA")</f>
        <v>30.768301434616969</v>
      </c>
      <c r="L70" s="39">
        <f>IFERROR(('Emissions GEI'!L70*'Global Warming Potential GWP'!$E$6+'Emissions GEI'!AC70*'Global Warming Potential GWP'!$E$7+'Emissions GEI'!AT70*'Global Warming Potential GWP'!$E$8)/1000,"NA")</f>
        <v>39.159656371330684</v>
      </c>
      <c r="M70" s="39">
        <f>IFERROR(('Emissions GEI'!M70*'Global Warming Potential GWP'!$E$6+'Emissions GEI'!AD70*'Global Warming Potential GWP'!$E$7+'Emissions GEI'!AU70*'Global Warming Potential GWP'!$E$8)/1000,"NA")</f>
        <v>44.753892995806488</v>
      </c>
      <c r="N70" s="39">
        <f>IFERROR(('Emissions GEI'!N70*'Global Warming Potential GWP'!$E$6+'Emissions GEI'!AE70*'Global Warming Potential GWP'!$E$7+'Emissions GEI'!AV70*'Global Warming Potential GWP'!$E$8)/1000,"NA")</f>
        <v>45.45317257386597</v>
      </c>
      <c r="O70" s="39">
        <f>IFERROR(('Emissions GEI'!O70*'Global Warming Potential GWP'!$E$6+'Emissions GEI'!AF70*'Global Warming Potential GWP'!$E$7+'Emissions GEI'!AW70*'Global Warming Potential GWP'!$E$8)/1000,"NA")</f>
        <v>48.250290886103883</v>
      </c>
      <c r="P70" s="39">
        <f>IFERROR(('Emissions GEI'!P70*'Global Warming Potential GWP'!$E$6+'Emissions GEI'!AG70*'Global Warming Potential GWP'!$E$7+'Emissions GEI'!AX70*'Global Warming Potential GWP'!$E$8)/1000,"NA")</f>
        <v>41.257495105509108</v>
      </c>
      <c r="Q70" s="39">
        <f>IFERROR(('Emissions GEI'!Q70*'Global Warming Potential GWP'!$E$6+'Emissions GEI'!AH70*'Global Warming Potential GWP'!$E$7+'Emissions GEI'!AY70*'Global Warming Potential GWP'!$E$8)/1000,"NA")</f>
        <v>34.963978902973821</v>
      </c>
      <c r="R70" s="39">
        <f>IFERROR(('Emissions GEI'!R70*'Global Warming Potential GWP'!$E$6+'Emissions GEI'!AI70*'Global Warming Potential GWP'!$E$7+'Emissions GEI'!AZ70*'Global Warming Potential GWP'!$E$8)/1000,"NA")</f>
        <v>36.362538059092792</v>
      </c>
      <c r="S70" s="39">
        <f>IFERROR(('Emissions GEI'!S70*'Global Warming Potential GWP'!$E$6+'Emissions GEI'!AJ70*'Global Warming Potential GWP'!$E$7+'Emissions GEI'!BA70*'Global Warming Potential GWP'!$E$8)/1000,"NA")</f>
        <v>38.460376793271209</v>
      </c>
      <c r="T70" s="86">
        <f>IFERROR(('Emissions GEI'!T70*'Global Warming Potential GWP'!$E$6+'Emissions GEI'!AK70*'Global Warming Potential GWP'!$E$7+'Emissions GEI'!BB70*'Global Warming Potential GWP'!$E$8)/1000,"NA")</f>
        <v>36.362538059092792</v>
      </c>
    </row>
    <row r="71" spans="2:20" s="110" customFormat="1" x14ac:dyDescent="0.35">
      <c r="B71" s="700"/>
      <c r="C71" s="364" t="s">
        <v>41</v>
      </c>
      <c r="D71" s="85">
        <f>IFERROR(('Emissions GEI'!D71*'Global Warming Potential GWP'!$E$6+'Emissions GEI'!U71*'Global Warming Potential GWP'!$E$7+'Emissions GEI'!AL71*'Global Warming Potential GWP'!$E$8)/1000,"NA")</f>
        <v>5.2643045376000002</v>
      </c>
      <c r="E71" s="39">
        <f>IFERROR(('Emissions GEI'!E71*'Global Warming Potential GWP'!$E$6+'Emissions GEI'!V71*'Global Warming Potential GWP'!$E$7+'Emissions GEI'!AM71*'Global Warming Potential GWP'!$E$8)/1000,"NA")</f>
        <v>5.2320477696000003</v>
      </c>
      <c r="F71" s="39">
        <f>IFERROR(('Emissions GEI'!F71*'Global Warming Potential GWP'!$E$6+'Emissions GEI'!W71*'Global Warming Potential GWP'!$E$7+'Emissions GEI'!AN71*'Global Warming Potential GWP'!$E$8)/1000,"NA")</f>
        <v>4.7933557248000005</v>
      </c>
      <c r="G71" s="39">
        <f>IFERROR(('Emissions GEI'!G71*'Global Warming Potential GWP'!$E$6+'Emissions GEI'!X71*'Global Warming Potential GWP'!$E$7+'Emissions GEI'!AO71*'Global Warming Potential GWP'!$E$8)/1000,"NA")</f>
        <v>5.7384790272000004</v>
      </c>
      <c r="H71" s="39">
        <f>IFERROR(('Emissions GEI'!H71*'Global Warming Potential GWP'!$E$6+'Emissions GEI'!Y71*'Global Warming Potential GWP'!$E$7+'Emissions GEI'!AP71*'Global Warming Potential GWP'!$E$8)/1000,"NA")</f>
        <v>6.0449183231999992</v>
      </c>
      <c r="I71" s="39">
        <f>IFERROR(('Emissions GEI'!I71*'Global Warming Potential GWP'!$E$6+'Emissions GEI'!Z71*'Global Warming Potential GWP'!$E$7+'Emissions GEI'!AQ71*'Global Warming Potential GWP'!$E$8)/1000,"NA")</f>
        <v>5.3933316095999997</v>
      </c>
      <c r="J71" s="39">
        <f>IFERROR(('Emissions GEI'!J71*'Global Warming Potential GWP'!$E$6+'Emissions GEI'!AA71*'Global Warming Potential GWP'!$E$7+'Emissions GEI'!AR71*'Global Warming Potential GWP'!$E$8)/1000,"NA")</f>
        <v>4.8998030591999999</v>
      </c>
      <c r="K71" s="39">
        <f>IFERROR(('Emissions GEI'!K71*'Global Warming Potential GWP'!$E$6+'Emissions GEI'!AB71*'Global Warming Potential GWP'!$E$7+'Emissions GEI'!AS71*'Global Warming Potential GWP'!$E$8)/1000,"NA")</f>
        <v>5.5053935615611795</v>
      </c>
      <c r="L71" s="39">
        <f>IFERROR(('Emissions GEI'!L71*'Global Warming Potential GWP'!$E$6+'Emissions GEI'!AC71*'Global Warming Potential GWP'!$E$7+'Emissions GEI'!AT71*'Global Warming Potential GWP'!$E$8)/1000,"NA")</f>
        <v>7.0068645328960457</v>
      </c>
      <c r="M71" s="39">
        <f>IFERROR(('Emissions GEI'!M71*'Global Warming Potential GWP'!$E$6+'Emissions GEI'!AD71*'Global Warming Potential GWP'!$E$7+'Emissions GEI'!AU71*'Global Warming Potential GWP'!$E$8)/1000,"NA")</f>
        <v>8.0078451804526232</v>
      </c>
      <c r="N71" s="39">
        <f>IFERROR(('Emissions GEI'!N71*'Global Warming Potential GWP'!$E$6+'Emissions GEI'!AE71*'Global Warming Potential GWP'!$E$7+'Emissions GEI'!AV71*'Global Warming Potential GWP'!$E$8)/1000,"NA")</f>
        <v>8.1329677613971967</v>
      </c>
      <c r="O71" s="39">
        <f>IFERROR(('Emissions GEI'!O71*'Global Warming Potential GWP'!$E$6+'Emissions GEI'!AF71*'Global Warming Potential GWP'!$E$7+'Emissions GEI'!AW71*'Global Warming Potential GWP'!$E$8)/1000,"NA")</f>
        <v>8.6334580851754854</v>
      </c>
      <c r="P71" s="39">
        <f>IFERROR(('Emissions GEI'!P71*'Global Warming Potential GWP'!$E$6+'Emissions GEI'!AG71*'Global Warming Potential GWP'!$E$7+'Emissions GEI'!AX71*'Global Warming Potential GWP'!$E$8)/1000,"NA")</f>
        <v>7.3822322757297636</v>
      </c>
      <c r="Q71" s="39">
        <f>IFERROR(('Emissions GEI'!Q71*'Global Warming Potential GWP'!$E$6+'Emissions GEI'!AH71*'Global Warming Potential GWP'!$E$7+'Emissions GEI'!AY71*'Global Warming Potential GWP'!$E$8)/1000,"NA")</f>
        <v>6.2561290472286117</v>
      </c>
      <c r="R71" s="39">
        <f>IFERROR(('Emissions GEI'!R71*'Global Warming Potential GWP'!$E$6+'Emissions GEI'!AI71*'Global Warming Potential GWP'!$E$7+'Emissions GEI'!AZ71*'Global Warming Potential GWP'!$E$8)/1000,"NA")</f>
        <v>6.506374209117757</v>
      </c>
      <c r="S71" s="39">
        <f>IFERROR(('Emissions GEI'!S71*'Global Warming Potential GWP'!$E$6+'Emissions GEI'!AJ71*'Global Warming Potential GWP'!$E$7+'Emissions GEI'!BA71*'Global Warming Potential GWP'!$E$8)/1000,"NA")</f>
        <v>6.8817419519514731</v>
      </c>
      <c r="T71" s="86">
        <f>IFERROR(('Emissions GEI'!T71*'Global Warming Potential GWP'!$E$6+'Emissions GEI'!AK71*'Global Warming Potential GWP'!$E$7+'Emissions GEI'!BB71*'Global Warming Potential GWP'!$E$8)/1000,"NA")</f>
        <v>6.506374209117757</v>
      </c>
    </row>
    <row r="72" spans="2:20" s="1" customFormat="1" ht="30" customHeight="1" x14ac:dyDescent="0.35">
      <c r="B72" s="612" t="s">
        <v>419</v>
      </c>
      <c r="C72" s="364" t="s">
        <v>117</v>
      </c>
      <c r="D72" s="229">
        <f>IFERROR(('Emissions GEI'!D72*'Global Warming Potential GWP'!$E$6+'Emissions GEI'!U72*'Global Warming Potential GWP'!$E$7+'Emissions GEI'!AL72*'Global Warming Potential GWP'!$E$8)/1000,0)</f>
        <v>0</v>
      </c>
      <c r="E72" s="227">
        <f>IFERROR(('Emissions GEI'!E72*'Global Warming Potential GWP'!$E$6+'Emissions GEI'!V72*'Global Warming Potential GWP'!$E$7+'Emissions GEI'!AM72*'Global Warming Potential GWP'!$E$8)/1000,0)</f>
        <v>0</v>
      </c>
      <c r="F72" s="227">
        <f>IFERROR(('Emissions GEI'!F72*'Global Warming Potential GWP'!$E$6+'Emissions GEI'!W72*'Global Warming Potential GWP'!$E$7+'Emissions GEI'!AN72*'Global Warming Potential GWP'!$E$8)/1000,0)</f>
        <v>0</v>
      </c>
      <c r="G72" s="227">
        <f>IFERROR(('Emissions GEI'!G72*'Global Warming Potential GWP'!$E$6+'Emissions GEI'!X72*'Global Warming Potential GWP'!$E$7+'Emissions GEI'!AO72*'Global Warming Potential GWP'!$E$8)/1000,0)</f>
        <v>0</v>
      </c>
      <c r="H72" s="227">
        <f>IFERROR(('Emissions GEI'!H72*'Global Warming Potential GWP'!$E$6+'Emissions GEI'!Y72*'Global Warming Potential GWP'!$E$7+'Emissions GEI'!AP72*'Global Warming Potential GWP'!$E$8)/1000,0)</f>
        <v>0</v>
      </c>
      <c r="I72" s="227">
        <f>IFERROR(('Emissions GEI'!I72*'Global Warming Potential GWP'!$E$6+'Emissions GEI'!Z72*'Global Warming Potential GWP'!$E$7+'Emissions GEI'!AQ72*'Global Warming Potential GWP'!$E$8)/1000,0)</f>
        <v>0</v>
      </c>
      <c r="J72" s="227">
        <f>IFERROR(('Emissions GEI'!J72*'Global Warming Potential GWP'!$E$6+'Emissions GEI'!AA72*'Global Warming Potential GWP'!$E$7+'Emissions GEI'!AR72*'Global Warming Potential GWP'!$E$8)/1000,0)</f>
        <v>0</v>
      </c>
      <c r="K72" s="227">
        <f>IFERROR(('Emissions GEI'!K72*'Global Warming Potential GWP'!$E$6+'Emissions GEI'!AB72*'Global Warming Potential GWP'!$E$7+'Emissions GEI'!AS72*'Global Warming Potential GWP'!$E$8)/1000,0)</f>
        <v>0</v>
      </c>
      <c r="L72" s="227">
        <f>IFERROR(('Emissions GEI'!L72*'Global Warming Potential GWP'!$E$6+'Emissions GEI'!AC72*'Global Warming Potential GWP'!$E$7+'Emissions GEI'!AT72*'Global Warming Potential GWP'!$E$8)/1000,0)</f>
        <v>0</v>
      </c>
      <c r="M72" s="227">
        <f>IFERROR(('Emissions GEI'!M72*'Global Warming Potential GWP'!$E$6+'Emissions GEI'!AD72*'Global Warming Potential GWP'!$E$7+'Emissions GEI'!AU72*'Global Warming Potential GWP'!$E$8)/1000,0)</f>
        <v>0</v>
      </c>
      <c r="N72" s="227">
        <f>IFERROR(('Emissions GEI'!N72*'Global Warming Potential GWP'!$E$6+'Emissions GEI'!AE72*'Global Warming Potential GWP'!$E$7+'Emissions GEI'!AV72*'Global Warming Potential GWP'!$E$8)/1000,0)</f>
        <v>0</v>
      </c>
      <c r="O72" s="227">
        <f>IFERROR(('Emissions GEI'!O72*'Global Warming Potential GWP'!$E$6+'Emissions GEI'!AF72*'Global Warming Potential GWP'!$E$7+'Emissions GEI'!AW72*'Global Warming Potential GWP'!$E$8)/1000,0)</f>
        <v>0</v>
      </c>
      <c r="P72" s="227">
        <f>IFERROR(('Emissions GEI'!P72*'Global Warming Potential GWP'!$E$6+'Emissions GEI'!AG72*'Global Warming Potential GWP'!$E$7+'Emissions GEI'!AX72*'Global Warming Potential GWP'!$E$8)/1000,0)</f>
        <v>0</v>
      </c>
      <c r="Q72" s="227">
        <f>IFERROR(('Emissions GEI'!Q72*'Global Warming Potential GWP'!$E$6+'Emissions GEI'!AH72*'Global Warming Potential GWP'!$E$7+'Emissions GEI'!AY72*'Global Warming Potential GWP'!$E$8)/1000,0)</f>
        <v>0.77169420239999997</v>
      </c>
      <c r="R72" s="227">
        <f>IFERROR(('Emissions GEI'!R72*'Global Warming Potential GWP'!$E$6+'Emissions GEI'!AI72*'Global Warming Potential GWP'!$E$7+'Emissions GEI'!AZ72*'Global Warming Potential GWP'!$E$8)/1000,0)</f>
        <v>0.80758695600000008</v>
      </c>
      <c r="S72" s="227">
        <f>IFERROR(('Emissions GEI'!S72*'Global Warming Potential GWP'!$E$6+'Emissions GEI'!AJ72*'Global Warming Potential GWP'!$E$7+'Emissions GEI'!BA72*'Global Warming Potential GWP'!$E$8)/1000,0)</f>
        <v>0.85245289799999979</v>
      </c>
      <c r="T72" s="228">
        <f>IFERROR(('Emissions GEI'!T72*'Global Warming Potential GWP'!$E$6+'Emissions GEI'!AK72*'Global Warming Potential GWP'!$E$7+'Emissions GEI'!BB72*'Global Warming Potential GWP'!$E$8)/1000,0)</f>
        <v>0.87339033759999984</v>
      </c>
    </row>
    <row r="73" spans="2:20" x14ac:dyDescent="0.35">
      <c r="B73" s="612" t="s">
        <v>7</v>
      </c>
      <c r="C73" s="364" t="s">
        <v>48</v>
      </c>
      <c r="D73" s="85">
        <f>IFERROR(('Emissions GEI'!D73*'Global Warming Potential GWP'!$E$6+'Emissions GEI'!U73*'Global Warming Potential GWP'!$E$7+'Emissions GEI'!AL73*'Global Warming Potential GWP'!$E$8)/1000,"NA")</f>
        <v>2.7547100000000002</v>
      </c>
      <c r="E73" s="39">
        <f>IFERROR(('Emissions GEI'!E73*'Global Warming Potential GWP'!$E$6+'Emissions GEI'!V73*'Global Warming Potential GWP'!$E$7+'Emissions GEI'!AM73*'Global Warming Potential GWP'!$E$8)/1000,"NA")</f>
        <v>2.6980699999999995</v>
      </c>
      <c r="F73" s="39">
        <f>IFERROR(('Emissions GEI'!F73*'Global Warming Potential GWP'!$E$6+'Emissions GEI'!W73*'Global Warming Potential GWP'!$E$7+'Emissions GEI'!AN73*'Global Warming Potential GWP'!$E$8)/1000,"NA")</f>
        <v>2.4720999999999997</v>
      </c>
      <c r="G73" s="39">
        <f>IFERROR(('Emissions GEI'!G73*'Global Warming Potential GWP'!$E$6+'Emissions GEI'!X73*'Global Warming Potential GWP'!$E$7+'Emissions GEI'!AO73*'Global Warming Potential GWP'!$E$8)/1000,"NA")</f>
        <v>2.3487900000000002</v>
      </c>
      <c r="H73" s="39">
        <f>IFERROR(('Emissions GEI'!H73*'Global Warming Potential GWP'!$E$6+'Emissions GEI'!Y73*'Global Warming Potential GWP'!$E$7+'Emissions GEI'!AP73*'Global Warming Potential GWP'!$E$8)/1000,"NA")</f>
        <v>1.9169099999999999</v>
      </c>
      <c r="I73" s="39">
        <f>IFERROR(('Emissions GEI'!I73*'Global Warming Potential GWP'!$E$6+'Emissions GEI'!Z73*'Global Warming Potential GWP'!$E$7+'Emissions GEI'!AQ73*'Global Warming Potential GWP'!$E$8)/1000,"NA")</f>
        <v>1.9705999999999999</v>
      </c>
      <c r="J73" s="39">
        <f>IFERROR(('Emissions GEI'!J73*'Global Warming Potential GWP'!$E$6+'Emissions GEI'!AA73*'Global Warming Potential GWP'!$E$7+'Emissions GEI'!AR73*'Global Warming Potential GWP'!$E$8)/1000,"NA")</f>
        <v>2.0354999999999999</v>
      </c>
      <c r="K73" s="39">
        <f>IFERROR(('Emissions GEI'!K73*'Global Warming Potential GWP'!$E$6+'Emissions GEI'!AB73*'Global Warming Potential GWP'!$E$7+'Emissions GEI'!AS73*'Global Warming Potential GWP'!$E$8)/1000,"NA")</f>
        <v>1.4401899999999999</v>
      </c>
      <c r="L73" s="39">
        <f>IFERROR(('Emissions GEI'!L73*'Global Warming Potential GWP'!$E$6+'Emissions GEI'!AC73*'Global Warming Potential GWP'!$E$7+'Emissions GEI'!AT73*'Global Warming Potential GWP'!$E$8)/1000,"NA")</f>
        <v>1.3623099999999999</v>
      </c>
      <c r="M73" s="39">
        <f>IFERROR(('Emissions GEI'!M73*'Global Warming Potential GWP'!$E$6+'Emissions GEI'!AD73*'Global Warming Potential GWP'!$E$7+'Emissions GEI'!AU73*'Global Warming Potential GWP'!$E$8)/1000,"NA")</f>
        <v>1.9458199999999999</v>
      </c>
      <c r="N73" s="39">
        <f>IFERROR(('Emissions GEI'!N73*'Global Warming Potential GWP'!$E$6+'Emissions GEI'!AE73*'Global Warming Potential GWP'!$E$7+'Emissions GEI'!AV73*'Global Warming Potential GWP'!$E$8)/1000,"NA")</f>
        <v>2.1558599999999997</v>
      </c>
      <c r="O73" s="39">
        <f>IFERROR(('Emissions GEI'!O73*'Global Warming Potential GWP'!$E$6+'Emissions GEI'!AF73*'Global Warming Potential GWP'!$E$7+'Emissions GEI'!AW73*'Global Warming Potential GWP'!$E$8)/1000,"NA")</f>
        <v>1.36585</v>
      </c>
      <c r="P73" s="39">
        <f>IFERROR(('Emissions GEI'!P73*'Global Warming Potential GWP'!$E$6+'Emissions GEI'!AG73*'Global Warming Potential GWP'!$E$7+'Emissions GEI'!AX73*'Global Warming Potential GWP'!$E$8)/1000,"NA")</f>
        <v>1.79183</v>
      </c>
      <c r="Q73" s="39">
        <f>IFERROR(('Emissions GEI'!Q73*'Global Warming Potential GWP'!$E$6+'Emissions GEI'!AH73*'Global Warming Potential GWP'!$E$7+'Emissions GEI'!AY73*'Global Warming Potential GWP'!$E$8)/1000,"NA")</f>
        <v>1.2909199999999998</v>
      </c>
      <c r="R73" s="39">
        <f>IFERROR(('Emissions GEI'!R73*'Global Warming Potential GWP'!$E$6+'Emissions GEI'!AI73*'Global Warming Potential GWP'!$E$7+'Emissions GEI'!AZ73*'Global Warming Potential GWP'!$E$8)/1000,"NA")</f>
        <v>0.8024</v>
      </c>
      <c r="S73" s="39">
        <f>IFERROR(('Emissions GEI'!S73*'Global Warming Potential GWP'!$E$6+'Emissions GEI'!AJ73*'Global Warming Potential GWP'!$E$7+'Emissions GEI'!BA73*'Global Warming Potential GWP'!$E$8)/1000,"NA")</f>
        <v>0</v>
      </c>
      <c r="T73" s="86">
        <f>IFERROR(('Emissions GEI'!T73*'Global Warming Potential GWP'!$E$6+'Emissions GEI'!AK73*'Global Warming Potential GWP'!$E$7+'Emissions GEI'!BB73*'Global Warming Potential GWP'!$E$8)/1000,"NA")</f>
        <v>0</v>
      </c>
    </row>
    <row r="74" spans="2:20" s="1" customFormat="1" ht="29" x14ac:dyDescent="0.35">
      <c r="B74" s="612" t="s">
        <v>8</v>
      </c>
      <c r="C74" s="364" t="s">
        <v>103</v>
      </c>
      <c r="D74" s="229">
        <f>IFERROR(('Emissions GEI'!D74*'Global Warming Potential GWP'!$E$6+'Emissions GEI'!U74*'Global Warming Potential GWP'!$E$7+'Emissions GEI'!AL74*'Global Warming Potential GWP'!$E$8)/1000,"NA")</f>
        <v>19.570562830282945</v>
      </c>
      <c r="E74" s="227">
        <f>IFERROR(('Emissions GEI'!E74*'Global Warming Potential GWP'!$E$6+'Emissions GEI'!V74*'Global Warming Potential GWP'!$E$7+'Emissions GEI'!AM74*'Global Warming Potential GWP'!$E$8)/1000,"NA")</f>
        <v>20.22387731510333</v>
      </c>
      <c r="F74" s="227">
        <f>IFERROR(('Emissions GEI'!F74*'Global Warming Potential GWP'!$E$6+'Emissions GEI'!W74*'Global Warming Potential GWP'!$E$7+'Emissions GEI'!AN74*'Global Warming Potential GWP'!$E$8)/1000,"NA")</f>
        <v>20.899001076426266</v>
      </c>
      <c r="G74" s="227">
        <f>IFERROR(('Emissions GEI'!G74*'Global Warming Potential GWP'!$E$6+'Emissions GEI'!X74*'Global Warming Potential GWP'!$E$7+'Emissions GEI'!AO74*'Global Warming Potential GWP'!$E$8)/1000,"NA")</f>
        <v>21.574124837749199</v>
      </c>
      <c r="H74" s="227">
        <f>IFERROR(('Emissions GEI'!H74*'Global Warming Potential GWP'!$E$6+'Emissions GEI'!Y74*'Global Warming Potential GWP'!$E$7+'Emissions GEI'!AP74*'Global Warming Potential GWP'!$E$8)/1000,"NA")</f>
        <v>22.249248599072132</v>
      </c>
      <c r="I74" s="227">
        <f>IFERROR(('Emissions GEI'!I74*'Global Warming Potential GWP'!$E$6+'Emissions GEI'!Z74*'Global Warming Potential GWP'!$E$7+'Emissions GEI'!AQ74*'Global Warming Potential GWP'!$E$8)/1000,"NA")</f>
        <v>22.924372360395068</v>
      </c>
      <c r="J74" s="227">
        <f>IFERROR(('Emissions GEI'!J74*'Global Warming Potential GWP'!$E$6+'Emissions GEI'!AA74*'Global Warming Potential GWP'!$E$7+'Emissions GEI'!AR74*'Global Warming Potential GWP'!$E$8)/1000,"NA")</f>
        <v>23.599496121718001</v>
      </c>
      <c r="K74" s="227">
        <f>IFERROR(('Emissions GEI'!K74*'Global Warming Potential GWP'!$E$6+'Emissions GEI'!AB74*'Global Warming Potential GWP'!$E$7+'Emissions GEI'!AS74*'Global Warming Potential GWP'!$E$8)/1000,"NA")</f>
        <v>24.274619883040934</v>
      </c>
      <c r="L74" s="227">
        <f>IFERROR(('Emissions GEI'!L74*'Global Warming Potential GWP'!$E$6+'Emissions GEI'!AC74*'Global Warming Potential GWP'!$E$7+'Emissions GEI'!AT74*'Global Warming Potential GWP'!$E$8)/1000,"NA")</f>
        <v>28.567309941520467</v>
      </c>
      <c r="M74" s="227">
        <f>IFERROR(('Emissions GEI'!M74*'Global Warming Potential GWP'!$E$6+'Emissions GEI'!AD74*'Global Warming Potential GWP'!$E$7+'Emissions GEI'!AU74*'Global Warming Potential GWP'!$E$8)/1000,"NA")</f>
        <v>32.86</v>
      </c>
      <c r="N74" s="227">
        <f>IFERROR(('Emissions GEI'!N74*'Global Warming Potential GWP'!$E$6+'Emissions GEI'!AE74*'Global Warming Potential GWP'!$E$7+'Emissions GEI'!AV74*'Global Warming Potential GWP'!$E$8)/1000,"NA")</f>
        <v>34.979999999999997</v>
      </c>
      <c r="O74" s="227">
        <f>IFERROR(('Emissions GEI'!O74*'Global Warming Potential GWP'!$E$6+'Emissions GEI'!AF74*'Global Warming Potential GWP'!$E$7+'Emissions GEI'!AW74*'Global Warming Potential GWP'!$E$8)/1000,"NA")</f>
        <v>37.1</v>
      </c>
      <c r="P74" s="227">
        <f>IFERROR(('Emissions GEI'!P74*'Global Warming Potential GWP'!$E$6+'Emissions GEI'!AG74*'Global Warming Potential GWP'!$E$7+'Emissions GEI'!AX74*'Global Warming Potential GWP'!$E$8)/1000,"NA")</f>
        <v>34.131999999999998</v>
      </c>
      <c r="Q74" s="227">
        <f>IFERROR(('Emissions GEI'!Q74*'Global Warming Potential GWP'!$E$6+'Emissions GEI'!AH74*'Global Warming Potential GWP'!$E$7+'Emissions GEI'!AY74*'Global Warming Potential GWP'!$E$8)/1000,"NA")</f>
        <v>28.302</v>
      </c>
      <c r="R74" s="227">
        <f>IFERROR(('Emissions GEI'!R74*'Global Warming Potential GWP'!$E$6+'Emissions GEI'!AI74*'Global Warming Potential GWP'!$E$7+'Emissions GEI'!AZ74*'Global Warming Potential GWP'!$E$8)/1000,"NA")</f>
        <v>26.5</v>
      </c>
      <c r="S74" s="227">
        <f>IFERROR(('Emissions GEI'!S74*'Global Warming Potential GWP'!$E$6+'Emissions GEI'!AJ74*'Global Warming Potential GWP'!$E$7+'Emissions GEI'!BA74*'Global Warming Potential GWP'!$E$8)/1000,"NA")</f>
        <v>25.44</v>
      </c>
      <c r="T74" s="228">
        <f>IFERROR(('Emissions GEI'!T74*'Global Warming Potential GWP'!$E$6+'Emissions GEI'!AK74*'Global Warming Potential GWP'!$E$7+'Emissions GEI'!BB74*'Global Warming Potential GWP'!$E$8)/1000,"NA")</f>
        <v>21.411999999999999</v>
      </c>
    </row>
    <row r="75" spans="2:20" s="1" customFormat="1" x14ac:dyDescent="0.35">
      <c r="B75" s="612" t="s">
        <v>476</v>
      </c>
      <c r="C75" s="364" t="s">
        <v>477</v>
      </c>
      <c r="D75" s="229">
        <f>IFERROR(('Emissions GEI'!D75*'Global Warming Potential GWP'!$E$6+'Emissions GEI'!U75*'Global Warming Potential GWP'!$E$7+'Emissions GEI'!AL75*'Global Warming Potential GWP'!$E$8)/1000,"NA")</f>
        <v>0</v>
      </c>
      <c r="E75" s="227">
        <f>IFERROR(('Emissions GEI'!E75*'Global Warming Potential GWP'!$E$6+'Emissions GEI'!V75*'Global Warming Potential GWP'!$E$7+'Emissions GEI'!AM75*'Global Warming Potential GWP'!$E$8)/1000,"NA")</f>
        <v>0</v>
      </c>
      <c r="F75" s="227">
        <f>IFERROR(('Emissions GEI'!F75*'Global Warming Potential GWP'!$E$6+'Emissions GEI'!W75*'Global Warming Potential GWP'!$E$7+'Emissions GEI'!AN75*'Global Warming Potential GWP'!$E$8)/1000,"NA")</f>
        <v>0</v>
      </c>
      <c r="G75" s="227">
        <f>IFERROR(('Emissions GEI'!G75*'Global Warming Potential GWP'!$E$6+'Emissions GEI'!X75*'Global Warming Potential GWP'!$E$7+'Emissions GEI'!AO75*'Global Warming Potential GWP'!$E$8)/1000,"NA")</f>
        <v>0</v>
      </c>
      <c r="H75" s="227">
        <f>IFERROR(('Emissions GEI'!H75*'Global Warming Potential GWP'!$E$6+'Emissions GEI'!Y75*'Global Warming Potential GWP'!$E$7+'Emissions GEI'!AP75*'Global Warming Potential GWP'!$E$8)/1000,"NA")</f>
        <v>0</v>
      </c>
      <c r="I75" s="227">
        <f>IFERROR(('Emissions GEI'!I75*'Global Warming Potential GWP'!$E$6+'Emissions GEI'!Z75*'Global Warming Potential GWP'!$E$7+'Emissions GEI'!AQ75*'Global Warming Potential GWP'!$E$8)/1000,"NA")</f>
        <v>0</v>
      </c>
      <c r="J75" s="227">
        <f>IFERROR(('Emissions GEI'!J75*'Global Warming Potential GWP'!$E$6+'Emissions GEI'!AA75*'Global Warming Potential GWP'!$E$7+'Emissions GEI'!AR75*'Global Warming Potential GWP'!$E$8)/1000,"NA")</f>
        <v>0</v>
      </c>
      <c r="K75" s="227">
        <f>IFERROR(('Emissions GEI'!K75*'Global Warming Potential GWP'!$E$6+'Emissions GEI'!AB75*'Global Warming Potential GWP'!$E$7+'Emissions GEI'!AS75*'Global Warming Potential GWP'!$E$8)/1000,"NA")</f>
        <v>0</v>
      </c>
      <c r="L75" s="227">
        <f>IFERROR(('Emissions GEI'!L75*'Global Warming Potential GWP'!$E$6+'Emissions GEI'!AC75*'Global Warming Potential GWP'!$E$7+'Emissions GEI'!AT75*'Global Warming Potential GWP'!$E$8)/1000,"NA")</f>
        <v>0</v>
      </c>
      <c r="M75" s="227">
        <f>IFERROR(('Emissions GEI'!M75*'Global Warming Potential GWP'!$E$6+'Emissions GEI'!AD75*'Global Warming Potential GWP'!$E$7+'Emissions GEI'!AU75*'Global Warming Potential GWP'!$E$8)/1000,"NA")</f>
        <v>0</v>
      </c>
      <c r="N75" s="227">
        <f>IFERROR(('Emissions GEI'!N75*'Global Warming Potential GWP'!$E$6+'Emissions GEI'!AE75*'Global Warming Potential GWP'!$E$7+'Emissions GEI'!AV75*'Global Warming Potential GWP'!$E$8)/1000,"NA")</f>
        <v>0</v>
      </c>
      <c r="O75" s="227">
        <f>IFERROR(('Emissions GEI'!O75*'Global Warming Potential GWP'!$E$6+'Emissions GEI'!AF75*'Global Warming Potential GWP'!$E$7+'Emissions GEI'!AW75*'Global Warming Potential GWP'!$E$8)/1000,"NA")</f>
        <v>9.4336000000000002</v>
      </c>
      <c r="P75" s="227">
        <f>IFERROR(('Emissions GEI'!P75*'Global Warming Potential GWP'!$E$6+'Emissions GEI'!AG75*'Global Warming Potential GWP'!$E$7+'Emissions GEI'!AX75*'Global Warming Potential GWP'!$E$8)/1000,"NA")</f>
        <v>10.6128</v>
      </c>
      <c r="Q75" s="227">
        <f>IFERROR(('Emissions GEI'!Q75*'Global Warming Potential GWP'!$E$6+'Emissions GEI'!AH75*'Global Warming Potential GWP'!$E$7+'Emissions GEI'!AY75*'Global Warming Potential GWP'!$E$8)/1000,"NA")</f>
        <v>10.023200000000001</v>
      </c>
      <c r="R75" s="227">
        <f>IFERROR(('Emissions GEI'!R75*'Global Warming Potential GWP'!$E$6+'Emissions GEI'!AI75*'Global Warming Potential GWP'!$E$7+'Emissions GEI'!AZ75*'Global Warming Potential GWP'!$E$8)/1000,"NA")</f>
        <v>8.8439999999999994</v>
      </c>
      <c r="S75" s="227">
        <f>IFERROR(('Emissions GEI'!S75*'Global Warming Potential GWP'!$E$6+'Emissions GEI'!AJ75*'Global Warming Potential GWP'!$E$7+'Emissions GEI'!BA75*'Global Warming Potential GWP'!$E$8)/1000,"NA")</f>
        <v>6.4856000000000007</v>
      </c>
      <c r="T75" s="228">
        <f>IFERROR(('Emissions GEI'!T75*'Global Warming Potential GWP'!$E$6+'Emissions GEI'!AK75*'Global Warming Potential GWP'!$E$7+'Emissions GEI'!BB75*'Global Warming Potential GWP'!$E$8)/1000,"NA")</f>
        <v>7.6648000000000005</v>
      </c>
    </row>
    <row r="76" spans="2:20" x14ac:dyDescent="0.35">
      <c r="B76" s="698" t="s">
        <v>9</v>
      </c>
      <c r="C76" s="364" t="s">
        <v>49</v>
      </c>
      <c r="D76" s="85">
        <f ca="1">IFERROR(('Emissions GEI'!BC76*'Global Warming Potential GWP'!$E$9)/1000,"NA")</f>
        <v>0</v>
      </c>
      <c r="E76" s="39">
        <f ca="1">IFERROR(('Emissions GEI'!BD76*'Global Warming Potential GWP'!$E$9)/1000,"NA")</f>
        <v>0</v>
      </c>
      <c r="F76" s="39">
        <f ca="1">IFERROR(('Emissions GEI'!BE76*'Global Warming Potential GWP'!$E$9)/1000,"NA")</f>
        <v>0</v>
      </c>
      <c r="G76" s="39">
        <f ca="1">IFERROR(('Emissions GEI'!BF76*'Global Warming Potential GWP'!$E$9)/1000,"NA")</f>
        <v>0</v>
      </c>
      <c r="H76" s="39">
        <f ca="1">IFERROR(('Emissions GEI'!BG76*'Global Warming Potential GWP'!$E$9)/1000,"NA")</f>
        <v>0</v>
      </c>
      <c r="I76" s="39">
        <f ca="1">IFERROR(('Emissions GEI'!BH76*'Global Warming Potential GWP'!$E$9)/1000,"NA")</f>
        <v>0</v>
      </c>
      <c r="J76" s="39">
        <f ca="1">IFERROR(('Emissions GEI'!BI76*'Global Warming Potential GWP'!$E$9)/1000,"NA")</f>
        <v>0</v>
      </c>
      <c r="K76" s="39">
        <f ca="1">IFERROR(('Emissions GEI'!BJ76*'Global Warming Potential GWP'!$E$9)/1000,"NA")</f>
        <v>0.36854999999999999</v>
      </c>
      <c r="L76" s="39">
        <f ca="1">IFERROR(('Emissions GEI'!BK76*'Global Warming Potential GWP'!$E$9)/1000,"NA")</f>
        <v>0.31326749999999998</v>
      </c>
      <c r="M76" s="39">
        <f ca="1">IFERROR(('Emissions GEI'!BL76*'Global Warming Potential GWP'!$E$9)/1000,"NA")</f>
        <v>0.26627737499999993</v>
      </c>
      <c r="N76" s="39">
        <f ca="1">IFERROR(('Emissions GEI'!BM76*'Global Warming Potential GWP'!$E$9)/1000,"NA")</f>
        <v>0.22633576875</v>
      </c>
      <c r="O76" s="39">
        <f ca="1">IFERROR(('Emissions GEI'!BN76*'Global Warming Potential GWP'!$E$9)/1000,"NA")</f>
        <v>0.19238540343749999</v>
      </c>
      <c r="P76" s="39">
        <f ca="1">IFERROR(('Emissions GEI'!BO76*'Global Warming Potential GWP'!$E$9)/1000,"NA")</f>
        <v>0.25127759292187507</v>
      </c>
      <c r="Q76" s="39">
        <f ca="1">IFERROR(('Emissions GEI'!BP76*'Global Warming Potential GWP'!$E$9)/1000,"NA")</f>
        <v>0.66988595398359385</v>
      </c>
      <c r="R76" s="39">
        <f ca="1">IFERROR(('Emissions GEI'!BQ76*'Global Warming Potential GWP'!$E$9)/1000,"NA")</f>
        <v>1.0257030608860549</v>
      </c>
      <c r="S76" s="39">
        <f ca="1">IFERROR(('Emissions GEI'!BR76*'Global Warming Potential GWP'!$E$9)/1000,"NA")</f>
        <v>0.87184760175314657</v>
      </c>
      <c r="T76" s="86">
        <f ca="1">IFERROR(('Emissions GEI'!BS76*'Global Warming Potential GWP'!$E$9)/1000,"NA")</f>
        <v>0.89902046149017456</v>
      </c>
    </row>
    <row r="77" spans="2:20" x14ac:dyDescent="0.35">
      <c r="B77" s="698"/>
      <c r="C77" s="364" t="s">
        <v>50</v>
      </c>
      <c r="D77" s="85">
        <f ca="1">IFERROR(('Emissions GEI'!BC77*'Global Warming Potential GWP'!$E$10)/1000,"NA")</f>
        <v>0.55944373437332329</v>
      </c>
      <c r="E77" s="39">
        <f ca="1">IFERROR(('Emissions GEI'!BD77*'Global Warming Potential GWP'!$E$10)/1000,"NA")</f>
        <v>0.59350217421732476</v>
      </c>
      <c r="F77" s="39">
        <f ca="1">IFERROR(('Emissions GEI'!BE77*'Global Warming Potential GWP'!$E$10)/1000,"NA")</f>
        <v>0.62342684808472615</v>
      </c>
      <c r="G77" s="39">
        <f ca="1">IFERROR(('Emissions GEI'!BF77*'Global Warming Potential GWP'!$E$10)/1000,"NA")</f>
        <v>0.65373782087201726</v>
      </c>
      <c r="H77" s="39">
        <f ca="1">IFERROR(('Emissions GEI'!BG77*'Global Warming Potential GWP'!$E$10)/1000,"NA")</f>
        <v>0.6843771477412145</v>
      </c>
      <c r="I77" s="39">
        <f ca="1">IFERROR(('Emissions GEI'!BH77*'Global Warming Potential GWP'!$E$10)/1000,"NA")</f>
        <v>1.0444555755800322</v>
      </c>
      <c r="J77" s="39">
        <f ca="1">IFERROR(('Emissions GEI'!BI77*'Global Warming Potential GWP'!$E$10)/1000,"NA")</f>
        <v>0.97413567674302726</v>
      </c>
      <c r="K77" s="39">
        <f ca="1">IFERROR(('Emissions GEI'!BJ77*'Global Warming Potential GWP'!$E$10)/1000,"NA")</f>
        <v>1.0989068877315731</v>
      </c>
      <c r="L77" s="39">
        <f ca="1">IFERROR(('Emissions GEI'!BK77*'Global Warming Potential GWP'!$E$10)/1000,"NA")</f>
        <v>1.2888484676968373</v>
      </c>
      <c r="M77" s="39">
        <f ca="1">IFERROR(('Emissions GEI'!BL77*'Global Warming Potential GWP'!$E$10)/1000,"NA")</f>
        <v>2.566182259846999</v>
      </c>
      <c r="N77" s="39">
        <f ca="1">IFERROR(('Emissions GEI'!BM77*'Global Warming Potential GWP'!$E$10)/1000,"NA")</f>
        <v>2.8182355391902618</v>
      </c>
      <c r="O77" s="39">
        <f ca="1">IFERROR(('Emissions GEI'!BN77*'Global Warming Potential GWP'!$E$10)/1000,"NA")</f>
        <v>3.6748316499721136</v>
      </c>
      <c r="P77" s="39">
        <f ca="1">IFERROR(('Emissions GEI'!BO77*'Global Warming Potential GWP'!$E$10)/1000,"NA")</f>
        <v>4.7355504480907245</v>
      </c>
      <c r="Q77" s="39">
        <f ca="1">IFERROR(('Emissions GEI'!BP77*'Global Warming Potential GWP'!$E$10)/1000,"NA")</f>
        <v>5.1947125397183145</v>
      </c>
      <c r="R77" s="39">
        <f ca="1">IFERROR(('Emissions GEI'!BQ77*'Global Warming Potential GWP'!$E$10)/1000,"NA")</f>
        <v>6.0884307602723649</v>
      </c>
      <c r="S77" s="39">
        <f ca="1">IFERROR(('Emissions GEI'!BR77*'Global Warming Potential GWP'!$E$10)/1000,"NA")</f>
        <v>7.3675582233809829</v>
      </c>
      <c r="T77" s="86">
        <f ca="1">IFERROR(('Emissions GEI'!BS77*'Global Warming Potential GWP'!$E$10)/1000,"NA")</f>
        <v>6.4775246993647659</v>
      </c>
    </row>
    <row r="78" spans="2:20" x14ac:dyDescent="0.35">
      <c r="B78" s="698"/>
      <c r="C78" s="364" t="s">
        <v>51</v>
      </c>
      <c r="D78" s="85">
        <f ca="1">IFERROR(('Emissions GEI'!BC78*'Global Warming Potential GWP'!$E$11)/1000,"NA")</f>
        <v>13.740055091830177</v>
      </c>
      <c r="E78" s="39">
        <f ca="1">IFERROR(('Emissions GEI'!BD78*'Global Warming Potential GWP'!$E$11)/1000,"NA")</f>
        <v>14.572846828055644</v>
      </c>
      <c r="F78" s="39">
        <f ca="1">IFERROR(('Emissions GEI'!BE78*'Global Warming Potential GWP'!$E$11)/1000,"NA")</f>
        <v>15.305919803847299</v>
      </c>
      <c r="G78" s="39">
        <f ca="1">IFERROR(('Emissions GEI'!BF78*'Global Warming Potential GWP'!$E$11)/1000,"NA")</f>
        <v>16.055031833270206</v>
      </c>
      <c r="H78" s="39">
        <f ca="1">IFERROR(('Emissions GEI'!BG78*'Global Warming Potential GWP'!$E$11)/1000,"NA")</f>
        <v>16.809377058279676</v>
      </c>
      <c r="I78" s="39">
        <f ca="1">IFERROR(('Emissions GEI'!BH78*'Global Warming Potential GWP'!$E$11)/1000,"NA")</f>
        <v>25.634690499537722</v>
      </c>
      <c r="J78" s="39">
        <f ca="1">IFERROR(('Emissions GEI'!BI78*'Global Warming Potential GWP'!$E$11)/1000,"NA")</f>
        <v>23.931276924607069</v>
      </c>
      <c r="K78" s="39">
        <f ca="1">IFERROR(('Emissions GEI'!BJ78*'Global Warming Potential GWP'!$E$11)/1000,"NA")</f>
        <v>26.018987885916008</v>
      </c>
      <c r="L78" s="39">
        <f ca="1">IFERROR(('Emissions GEI'!BK78*'Global Warming Potential GWP'!$E$11)/1000,"NA")</f>
        <v>23.747602823028608</v>
      </c>
      <c r="M78" s="39">
        <f ca="1">IFERROR(('Emissions GEI'!BL78*'Global Warming Potential GWP'!$E$11)/1000,"NA")</f>
        <v>31.499610533324315</v>
      </c>
      <c r="N78" s="39">
        <f ca="1">IFERROR(('Emissions GEI'!BM78*'Global Warming Potential GWP'!$E$11)/1000,"NA")</f>
        <v>35.107492138638165</v>
      </c>
      <c r="O78" s="39">
        <f ca="1">IFERROR(('Emissions GEI'!BN78*'Global Warming Potential GWP'!$E$11)/1000,"NA")</f>
        <v>49.633101086412438</v>
      </c>
      <c r="P78" s="39">
        <f ca="1">IFERROR(('Emissions GEI'!BO78*'Global Warming Potential GWP'!$E$11)/1000,"NA")</f>
        <v>60.819253394339825</v>
      </c>
      <c r="Q78" s="39">
        <f ca="1">IFERROR(('Emissions GEI'!BP78*'Global Warming Potential GWP'!$E$11)/1000,"NA")</f>
        <v>73.75796047549386</v>
      </c>
      <c r="R78" s="39">
        <f ca="1">IFERROR(('Emissions GEI'!BQ78*'Global Warming Potential GWP'!$E$11)/1000,"NA")</f>
        <v>89.470213356238474</v>
      </c>
      <c r="S78" s="39">
        <f ca="1">IFERROR(('Emissions GEI'!BR78*'Global Warming Potential GWP'!$E$11)/1000,"NA")</f>
        <v>97.686629817578464</v>
      </c>
      <c r="T78" s="86">
        <f ca="1">IFERROR(('Emissions GEI'!BS78*'Global Warming Potential GWP'!$E$11)/1000,"NA")</f>
        <v>109.89053203769198</v>
      </c>
    </row>
    <row r="79" spans="2:20" x14ac:dyDescent="0.35">
      <c r="B79" s="698"/>
      <c r="C79" s="364" t="s">
        <v>52</v>
      </c>
      <c r="D79" s="85">
        <f ca="1">IFERROR(('Emissions GEI'!BC79*'Global Warming Potential GWP'!$E$12)/1000,"NA")</f>
        <v>15.970455015196013</v>
      </c>
      <c r="E79" s="39">
        <f ca="1">IFERROR(('Emissions GEI'!BD79*'Global Warming Potential GWP'!$E$12)/1000,"NA")</f>
        <v>16.070886762916611</v>
      </c>
      <c r="F79" s="39">
        <f ca="1">IFERROR(('Emissions GEI'!BE79*'Global Warming Potential GWP'!$E$12)/1000,"NA")</f>
        <v>16.136753748479119</v>
      </c>
      <c r="G79" s="39">
        <f ca="1">IFERROR(('Emissions GEI'!BF79*'Global Warming Potential GWP'!$E$12)/1000,"NA")</f>
        <v>16.165440686207255</v>
      </c>
      <c r="H79" s="39">
        <f ca="1">IFERROR(('Emissions GEI'!BG79*'Global Warming Potential GWP'!$E$12)/1000,"NA")</f>
        <v>16.174224583276164</v>
      </c>
      <c r="I79" s="39">
        <f ca="1">IFERROR(('Emissions GEI'!BH79*'Global Warming Potential GWP'!$E$12)/1000,"NA")</f>
        <v>26.229260895784734</v>
      </c>
      <c r="J79" s="39">
        <f ca="1">IFERROR(('Emissions GEI'!BI79*'Global Warming Potential GWP'!$E$12)/1000,"NA")</f>
        <v>24.104106136417027</v>
      </c>
      <c r="K79" s="39">
        <f ca="1">IFERROR(('Emissions GEI'!BJ79*'Global Warming Potential GWP'!$E$12)/1000,"NA")</f>
        <v>24.253477090954473</v>
      </c>
      <c r="L79" s="39">
        <f ca="1">IFERROR(('Emissions GEI'!BK79*'Global Warming Potential GWP'!$E$12)/1000,"NA")</f>
        <v>30.112286978561297</v>
      </c>
      <c r="M79" s="39">
        <f ca="1">IFERROR(('Emissions GEI'!BL79*'Global Warming Potential GWP'!$E$12)/1000,"NA")</f>
        <v>31.92609621732397</v>
      </c>
      <c r="N79" s="39">
        <f ca="1">IFERROR(('Emissions GEI'!BM79*'Global Warming Potential GWP'!$E$12)/1000,"NA")</f>
        <v>29.93584083683476</v>
      </c>
      <c r="O79" s="39">
        <f ca="1">IFERROR(('Emissions GEI'!BN79*'Global Warming Potential GWP'!$E$12)/1000,"NA")</f>
        <v>33.847875843808445</v>
      </c>
      <c r="P79" s="39">
        <f ca="1">IFERROR(('Emissions GEI'!BO79*'Global Warming Potential GWP'!$E$12)/1000,"NA")</f>
        <v>34.093826280114278</v>
      </c>
      <c r="Q79" s="39">
        <f ca="1">IFERROR(('Emissions GEI'!BP79*'Global Warming Potential GWP'!$E$12)/1000,"NA")</f>
        <v>33.297307165844892</v>
      </c>
      <c r="R79" s="39">
        <f ca="1">IFERROR(('Emissions GEI'!BQ79*'Global Warming Potential GWP'!$E$12)/1000,"NA")</f>
        <v>32.84649387062921</v>
      </c>
      <c r="S79" s="39">
        <f ca="1">IFERROR(('Emissions GEI'!BR79*'Global Warming Potential GWP'!$E$12)/1000,"NA")</f>
        <v>32.109886151030089</v>
      </c>
      <c r="T79" s="86">
        <f ca="1">IFERROR(('Emissions GEI'!BS79*'Global Warming Potential GWP'!$E$12)/1000,"NA")</f>
        <v>34.992095099076082</v>
      </c>
    </row>
    <row r="80" spans="2:20" x14ac:dyDescent="0.35">
      <c r="B80" s="698"/>
      <c r="C80" s="364" t="s">
        <v>54</v>
      </c>
      <c r="D80" s="85">
        <f ca="1">IFERROR(('Emissions GEI'!BC80*'Global Warming Potential GWP'!$E$14)/1000,"NA")</f>
        <v>18.106013822174944</v>
      </c>
      <c r="E80" s="39">
        <f ca="1">IFERROR(('Emissions GEI'!BD80*'Global Warming Potential GWP'!$E$14)/1000,"NA")</f>
        <v>19.203411748848701</v>
      </c>
      <c r="F80" s="39">
        <f ca="1">IFERROR(('Emissions GEI'!BE80*'Global Warming Potential GWP'!$E$14)/1000,"NA")</f>
        <v>20.170399986521396</v>
      </c>
      <c r="G80" s="39">
        <f ca="1">IFERROR(('Emissions GEI'!BF80*'Global Warming Potential GWP'!$E$14)/1000,"NA")</f>
        <v>21.157639988543188</v>
      </c>
      <c r="H80" s="39">
        <f ca="1">IFERROR(('Emissions GEI'!BG80*'Global Warming Potential GWP'!$E$14)/1000,"NA")</f>
        <v>22.150693990261711</v>
      </c>
      <c r="I80" s="39">
        <f ca="1">IFERROR(('Emissions GEI'!BH80*'Global Warming Potential GWP'!$E$14)/1000,"NA")</f>
        <v>33.772349891722456</v>
      </c>
      <c r="J80" s="39">
        <f ca="1">IFERROR(('Emissions GEI'!BI80*'Global Warming Potential GWP'!$E$14)/1000,"NA")</f>
        <v>31.552863657964092</v>
      </c>
      <c r="K80" s="39">
        <f ca="1">IFERROR(('Emissions GEI'!BJ80*'Global Warming Potential GWP'!$E$14)/1000,"NA")</f>
        <v>33.505749109269466</v>
      </c>
      <c r="L80" s="39">
        <f ca="1">IFERROR(('Emissions GEI'!BK80*'Global Warming Potential GWP'!$E$14)/1000,"NA")</f>
        <v>28.597333390379056</v>
      </c>
      <c r="M80" s="39">
        <f ca="1">IFERROR(('Emissions GEI'!BL80*'Global Warming Potential GWP'!$E$14)/1000,"NA")</f>
        <v>31.889146605103452</v>
      </c>
      <c r="N80" s="39">
        <f ca="1">IFERROR(('Emissions GEI'!BM80*'Global Warming Potential GWP'!$E$14)/1000,"NA")</f>
        <v>35.965191526212926</v>
      </c>
      <c r="O80" s="39">
        <f ca="1">IFERROR(('Emissions GEI'!BN80*'Global Warming Potential GWP'!$E$14)/1000,"NA")</f>
        <v>52.299755697176934</v>
      </c>
      <c r="P80" s="39">
        <f ca="1">IFERROR(('Emissions GEI'!BO80*'Global Warming Potential GWP'!$E$14)/1000,"NA")</f>
        <v>62.970260230441724</v>
      </c>
      <c r="Q80" s="39">
        <f ca="1">IFERROR(('Emissions GEI'!BP80*'Global Warming Potential GWP'!$E$14)/1000,"NA")</f>
        <v>147.11082506438848</v>
      </c>
      <c r="R80" s="39">
        <f ca="1">IFERROR(('Emissions GEI'!BQ80*'Global Warming Potential GWP'!$E$14)/1000,"NA")</f>
        <v>137.16865230833446</v>
      </c>
      <c r="S80" s="39">
        <f ca="1">IFERROR(('Emissions GEI'!BR80*'Global Warming Potential GWP'!$E$14)/1000,"NA")</f>
        <v>135.10747022598068</v>
      </c>
      <c r="T80" s="86">
        <f ca="1">IFERROR(('Emissions GEI'!BS80*'Global Warming Potential GWP'!$E$14)/1000,"NA")</f>
        <v>137.7974132887621</v>
      </c>
    </row>
    <row r="81" spans="2:25" x14ac:dyDescent="0.35">
      <c r="B81" s="698"/>
      <c r="C81" s="364" t="s">
        <v>55</v>
      </c>
      <c r="D81" s="85">
        <f ca="1">IFERROR(('Emissions GEI'!BC81*'Global Warming Potential GWP'!$E$15)/1000,"NA")</f>
        <v>0</v>
      </c>
      <c r="E81" s="39">
        <f ca="1">IFERROR(('Emissions GEI'!BD81*'Global Warming Potential GWP'!$E$15)/1000,"NA")</f>
        <v>0</v>
      </c>
      <c r="F81" s="39">
        <f ca="1">IFERROR(('Emissions GEI'!BE81*'Global Warming Potential GWP'!$E$15)/1000,"NA")</f>
        <v>0</v>
      </c>
      <c r="G81" s="39">
        <f ca="1">IFERROR(('Emissions GEI'!BF81*'Global Warming Potential GWP'!$E$15)/1000,"NA")</f>
        <v>0</v>
      </c>
      <c r="H81" s="39">
        <f ca="1">IFERROR(('Emissions GEI'!BG81*'Global Warming Potential GWP'!$E$15)/1000,"NA")</f>
        <v>0</v>
      </c>
      <c r="I81" s="39">
        <f ca="1">IFERROR(('Emissions GEI'!BH81*'Global Warming Potential GWP'!$E$15)/1000,"NA")</f>
        <v>0</v>
      </c>
      <c r="J81" s="39">
        <f ca="1">IFERROR(('Emissions GEI'!BI81*'Global Warming Potential GWP'!$E$15)/1000,"NA")</f>
        <v>0</v>
      </c>
      <c r="K81" s="39">
        <f ca="1">IFERROR(('Emissions GEI'!BJ81*'Global Warming Potential GWP'!$E$15)/1000,"NA")</f>
        <v>0</v>
      </c>
      <c r="L81" s="39">
        <f ca="1">IFERROR(('Emissions GEI'!BK81*'Global Warming Potential GWP'!$E$15)/1000,"NA")</f>
        <v>0</v>
      </c>
      <c r="M81" s="39">
        <f ca="1">IFERROR(('Emissions GEI'!BL81*'Global Warming Potential GWP'!$E$15)/1000,"NA")</f>
        <v>0</v>
      </c>
      <c r="N81" s="39">
        <f ca="1">IFERROR(('Emissions GEI'!BM81*'Global Warming Potential GWP'!$E$15)/1000,"NA")</f>
        <v>0</v>
      </c>
      <c r="O81" s="39">
        <f ca="1">IFERROR(('Emissions GEI'!BN81*'Global Warming Potential GWP'!$E$15)/1000,"NA")</f>
        <v>0</v>
      </c>
      <c r="P81" s="39">
        <f ca="1">IFERROR(('Emissions GEI'!BO81*'Global Warming Potential GWP'!$E$15)/1000,"NA")</f>
        <v>0</v>
      </c>
      <c r="Q81" s="39">
        <f ca="1">IFERROR(('Emissions GEI'!BP81*'Global Warming Potential GWP'!$E$15)/1000,"NA")</f>
        <v>0.33929999999999993</v>
      </c>
      <c r="R81" s="39">
        <f ca="1">IFERROR(('Emissions GEI'!BQ81*'Global Warming Potential GWP'!$E$15)/1000,"NA")</f>
        <v>0.28840499999999997</v>
      </c>
      <c r="S81" s="39">
        <f ca="1">IFERROR(('Emissions GEI'!BR81*'Global Warming Potential GWP'!$E$15)/1000,"NA")</f>
        <v>0.24514425000000001</v>
      </c>
      <c r="T81" s="86">
        <f ca="1">IFERROR(('Emissions GEI'!BS81*'Global Warming Potential GWP'!$E$15)/1000,"NA")</f>
        <v>0.2083726125</v>
      </c>
    </row>
    <row r="82" spans="2:25" s="1" customFormat="1" ht="29.5" thickBot="1" x14ac:dyDescent="0.4">
      <c r="B82" s="636" t="s">
        <v>10</v>
      </c>
      <c r="C82" s="637" t="s">
        <v>52</v>
      </c>
      <c r="D82" s="365">
        <f ca="1">IFERROR(('Emissions GEI'!BC82*'Global Warming Potential GWP'!$E$12)/1000,"NA")</f>
        <v>0.43484999999999996</v>
      </c>
      <c r="E82" s="366">
        <f ca="1">IFERROR(('Emissions GEI'!BD82*'Global Warming Potential GWP'!$E$12)/1000,"NA")</f>
        <v>0.80447249999999992</v>
      </c>
      <c r="F82" s="366">
        <f ca="1">IFERROR(('Emissions GEI'!BE82*'Global Warming Potential GWP'!$E$12)/1000,"NA")</f>
        <v>1.1342516250000001</v>
      </c>
      <c r="G82" s="366">
        <f ca="1">IFERROR(('Emissions GEI'!BF82*'Global Warming Potential GWP'!$E$12)/1000,"NA")</f>
        <v>1.4340638812499999</v>
      </c>
      <c r="H82" s="366">
        <f ca="1">IFERROR(('Emissions GEI'!BG82*'Global Warming Potential GWP'!$E$12)/1000,"NA")</f>
        <v>1.6986542990625</v>
      </c>
      <c r="I82" s="366">
        <f ca="1">IFERROR(('Emissions GEI'!BH82*'Global Warming Potential GWP'!$E$12)/1000,"NA")</f>
        <v>1.9391561542031248</v>
      </c>
      <c r="J82" s="366">
        <f ca="1">IFERROR(('Emissions GEI'!BI82*'Global Warming Potential GWP'!$E$12)/1000,"NA")</f>
        <v>2.1533327310726564</v>
      </c>
      <c r="K82" s="366">
        <f ca="1">IFERROR(('Emissions GEI'!BJ82*'Global Warming Potential GWP'!$E$12)/1000,"NA")</f>
        <v>2.6980828214117576</v>
      </c>
      <c r="L82" s="366">
        <f ca="1">IFERROR(('Emissions GEI'!BK82*'Global Warming Potential GWP'!$E$12)/1000,"NA")</f>
        <v>5.6161703981999933</v>
      </c>
      <c r="M82" s="366">
        <f ca="1">IFERROR(('Emissions GEI'!BL82*'Global Warming Potential GWP'!$E$12)/1000,"NA")</f>
        <v>5.9320448384699942</v>
      </c>
      <c r="N82" s="366">
        <f ca="1">IFERROR(('Emissions GEI'!BM82*'Global Warming Potential GWP'!$E$12)/1000,"NA")</f>
        <v>5.9977381126994951</v>
      </c>
      <c r="O82" s="366">
        <f ca="1">IFERROR(('Emissions GEI'!BN82*'Global Warming Potential GWP'!$E$12)/1000,"NA")</f>
        <v>6.8979273957945715</v>
      </c>
      <c r="P82" s="366">
        <f ca="1">IFERROR(('Emissions GEI'!BO82*'Global Warming Potential GWP'!$E$12)/1000,"NA")</f>
        <v>6.9825382864253847</v>
      </c>
      <c r="Q82" s="366">
        <f ca="1">IFERROR(('Emissions GEI'!BP82*'Global Warming Potential GWP'!$E$12)/1000,"NA")</f>
        <v>6.9082075434615753</v>
      </c>
      <c r="R82" s="366">
        <f ca="1">IFERROR(('Emissions GEI'!BQ82*'Global Warming Potential GWP'!$E$12)/1000,"NA")</f>
        <v>6.9347264119423402</v>
      </c>
      <c r="S82" s="366">
        <f ca="1">IFERROR(('Emissions GEI'!BR82*'Global Warming Potential GWP'!$E$12)/1000,"NA")</f>
        <v>8.6736574501509889</v>
      </c>
      <c r="T82" s="367">
        <f ca="1">IFERROR(('Emissions GEI'!BS82*'Global Warming Potential GWP'!$E$12)/1000,"NA")</f>
        <v>8.9474532076283388</v>
      </c>
    </row>
    <row r="83" spans="2:25" s="3" customFormat="1" ht="15.75" customHeight="1" thickBot="1" x14ac:dyDescent="0.4">
      <c r="B83" s="675" t="s">
        <v>160</v>
      </c>
      <c r="C83" s="696"/>
      <c r="D83" s="101">
        <f>D84+D85+D93+D97+D103</f>
        <v>2324.1446465615627</v>
      </c>
      <c r="E83" s="101">
        <f t="shared" ref="E83:T83" si="0">E84+E85+E93+E97+E103</f>
        <v>2484.3633645543819</v>
      </c>
      <c r="F83" s="101">
        <f t="shared" si="0"/>
        <v>2536.9438607832558</v>
      </c>
      <c r="G83" s="101">
        <f t="shared" si="0"/>
        <v>2671.4531609332485</v>
      </c>
      <c r="H83" s="101">
        <f t="shared" si="0"/>
        <v>2697.823977618872</v>
      </c>
      <c r="I83" s="101">
        <f t="shared" si="0"/>
        <v>2883.828507572799</v>
      </c>
      <c r="J83" s="101">
        <f t="shared" si="0"/>
        <v>3250.1161598761591</v>
      </c>
      <c r="K83" s="101">
        <f t="shared" si="0"/>
        <v>3417.319088075315</v>
      </c>
      <c r="L83" s="101">
        <f t="shared" si="0"/>
        <v>3519.1478747593042</v>
      </c>
      <c r="M83" s="101">
        <f t="shared" si="0"/>
        <v>3466.8935203263295</v>
      </c>
      <c r="N83" s="101">
        <f t="shared" si="0"/>
        <v>3725.1370944073283</v>
      </c>
      <c r="O83" s="101">
        <f t="shared" si="0"/>
        <v>3736.9384153525084</v>
      </c>
      <c r="P83" s="101">
        <f t="shared" si="0"/>
        <v>3834.7887024259244</v>
      </c>
      <c r="Q83" s="101">
        <f t="shared" si="0"/>
        <v>3944.7702000196323</v>
      </c>
      <c r="R83" s="101">
        <f t="shared" si="0"/>
        <v>4003.1146606648044</v>
      </c>
      <c r="S83" s="101">
        <f t="shared" si="0"/>
        <v>4048.4173646813315</v>
      </c>
      <c r="T83" s="102">
        <f t="shared" si="0"/>
        <v>4176.9472149981566</v>
      </c>
      <c r="U83" s="121">
        <f ca="1">T83/(T83+T104)</f>
        <v>0.927131635205103</v>
      </c>
    </row>
    <row r="84" spans="2:25" x14ac:dyDescent="0.35">
      <c r="B84" s="663" t="s">
        <v>150</v>
      </c>
      <c r="C84" s="664"/>
      <c r="D84" s="424">
        <f t="shared" ref="D84:T84" si="1">SUM(D4:D8)</f>
        <v>1178.4061063613099</v>
      </c>
      <c r="E84" s="133">
        <f t="shared" si="1"/>
        <v>1288.8626659119898</v>
      </c>
      <c r="F84" s="133">
        <f t="shared" si="1"/>
        <v>1310.3005011934199</v>
      </c>
      <c r="G84" s="133">
        <f t="shared" si="1"/>
        <v>1400.82584978711</v>
      </c>
      <c r="H84" s="133">
        <f t="shared" si="1"/>
        <v>1415.9085036841898</v>
      </c>
      <c r="I84" s="133">
        <f t="shared" si="1"/>
        <v>1587.1896978407945</v>
      </c>
      <c r="J84" s="133">
        <f t="shared" si="1"/>
        <v>1866.7430373599504</v>
      </c>
      <c r="K84" s="133">
        <f t="shared" si="1"/>
        <v>2007.5820614474637</v>
      </c>
      <c r="L84" s="133">
        <f t="shared" si="1"/>
        <v>2037.2660099691734</v>
      </c>
      <c r="M84" s="133">
        <f t="shared" si="1"/>
        <v>2018.9191138806914</v>
      </c>
      <c r="N84" s="133">
        <f t="shared" si="1"/>
        <v>2219.6497974532685</v>
      </c>
      <c r="O84" s="133">
        <f t="shared" si="1"/>
        <v>2204.4674169626501</v>
      </c>
      <c r="P84" s="133">
        <f t="shared" si="1"/>
        <v>2265.2554418766299</v>
      </c>
      <c r="Q84" s="133">
        <f t="shared" si="1"/>
        <v>2339.2437806019884</v>
      </c>
      <c r="R84" s="133">
        <f t="shared" si="1"/>
        <v>2418.9198789977681</v>
      </c>
      <c r="S84" s="133">
        <f t="shared" si="1"/>
        <v>2360.7174073732699</v>
      </c>
      <c r="T84" s="134">
        <f t="shared" si="1"/>
        <v>2418.2769844539207</v>
      </c>
      <c r="U84" s="120">
        <f t="shared" ref="U84:U103" si="2">T84/$T$83</f>
        <v>0.57895799491327493</v>
      </c>
      <c r="V84" s="120"/>
      <c r="W84" s="120"/>
      <c r="X84" s="120"/>
      <c r="Y84" s="120"/>
    </row>
    <row r="85" spans="2:25" x14ac:dyDescent="0.35">
      <c r="B85" s="659" t="s">
        <v>151</v>
      </c>
      <c r="C85" s="660"/>
      <c r="D85" s="90">
        <f>SUM(D9:D15)</f>
        <v>372.20092308465735</v>
      </c>
      <c r="E85" s="73">
        <f t="shared" ref="E85:T85" si="3">SUM(E9:E15)</f>
        <v>394.10775759207081</v>
      </c>
      <c r="F85" s="73">
        <f t="shared" si="3"/>
        <v>394.750797880562</v>
      </c>
      <c r="G85" s="73">
        <f t="shared" si="3"/>
        <v>395.11746970234856</v>
      </c>
      <c r="H85" s="73">
        <f t="shared" si="3"/>
        <v>371.79472004089337</v>
      </c>
      <c r="I85" s="73">
        <f t="shared" si="3"/>
        <v>353.55691741383441</v>
      </c>
      <c r="J85" s="73">
        <f t="shared" si="3"/>
        <v>415.49319267504495</v>
      </c>
      <c r="K85" s="73">
        <f t="shared" si="3"/>
        <v>412.41712441481548</v>
      </c>
      <c r="L85" s="73">
        <f t="shared" si="3"/>
        <v>441.14248042189286</v>
      </c>
      <c r="M85" s="73">
        <f t="shared" si="3"/>
        <v>366.15004601504097</v>
      </c>
      <c r="N85" s="73">
        <f t="shared" si="3"/>
        <v>372.21341358586267</v>
      </c>
      <c r="O85" s="73">
        <f t="shared" si="3"/>
        <v>355.67786204235318</v>
      </c>
      <c r="P85" s="73">
        <f t="shared" si="3"/>
        <v>348.50336453614892</v>
      </c>
      <c r="Q85" s="73">
        <f t="shared" si="3"/>
        <v>333.95731106553285</v>
      </c>
      <c r="R85" s="73">
        <f t="shared" si="3"/>
        <v>349.14824224133673</v>
      </c>
      <c r="S85" s="73">
        <f t="shared" si="3"/>
        <v>352.16844480889631</v>
      </c>
      <c r="T85" s="91">
        <f t="shared" si="3"/>
        <v>340.00252513938403</v>
      </c>
      <c r="U85" s="120">
        <f t="shared" si="2"/>
        <v>8.1399765819050243E-2</v>
      </c>
      <c r="V85" s="120"/>
      <c r="W85" s="120"/>
      <c r="X85" s="8"/>
    </row>
    <row r="86" spans="2:25" s="110" customFormat="1" x14ac:dyDescent="0.35">
      <c r="B86" s="665" t="s">
        <v>410</v>
      </c>
      <c r="C86" s="666"/>
      <c r="D86" s="90">
        <f>SUM(D16:D17)</f>
        <v>1.7785911764999998</v>
      </c>
      <c r="E86" s="73">
        <f t="shared" ref="E86:T86" si="4">SUM(E16:E17)</f>
        <v>1.7785911764999998</v>
      </c>
      <c r="F86" s="73">
        <f t="shared" si="4"/>
        <v>1.7785911764999998</v>
      </c>
      <c r="G86" s="73">
        <f t="shared" si="4"/>
        <v>1.7785911764999998</v>
      </c>
      <c r="H86" s="73">
        <f t="shared" si="4"/>
        <v>1.7785911764999998</v>
      </c>
      <c r="I86" s="73">
        <f t="shared" si="4"/>
        <v>1.7785911764999998</v>
      </c>
      <c r="J86" s="73">
        <f t="shared" si="4"/>
        <v>1.7785911764999998</v>
      </c>
      <c r="K86" s="73">
        <f t="shared" si="4"/>
        <v>1.7785911764999998</v>
      </c>
      <c r="L86" s="73">
        <f t="shared" si="4"/>
        <v>1.7785911764999998</v>
      </c>
      <c r="M86" s="73">
        <f t="shared" si="4"/>
        <v>1.7785911764999998</v>
      </c>
      <c r="N86" s="73">
        <f t="shared" si="4"/>
        <v>1.7785911764999998</v>
      </c>
      <c r="O86" s="73">
        <f t="shared" si="4"/>
        <v>1.7785911764999998</v>
      </c>
      <c r="P86" s="73">
        <f t="shared" si="4"/>
        <v>1.7785911764999998</v>
      </c>
      <c r="Q86" s="73">
        <f t="shared" si="4"/>
        <v>1.7785911764999998</v>
      </c>
      <c r="R86" s="73">
        <f t="shared" si="4"/>
        <v>1.7818104881999997</v>
      </c>
      <c r="S86" s="73">
        <f t="shared" si="4"/>
        <v>1.7849262833999997</v>
      </c>
      <c r="T86" s="91">
        <f t="shared" si="4"/>
        <v>1.7849262833999997</v>
      </c>
      <c r="U86" s="120"/>
      <c r="V86" s="120"/>
      <c r="W86" s="120"/>
      <c r="X86" s="8"/>
    </row>
    <row r="87" spans="2:25" s="110" customFormat="1" x14ac:dyDescent="0.35">
      <c r="B87" s="683" t="s">
        <v>411</v>
      </c>
      <c r="C87" s="684"/>
      <c r="D87" s="90">
        <f>SUM(D18:D21)</f>
        <v>22.572199534458839</v>
      </c>
      <c r="E87" s="73">
        <f t="shared" ref="E87:T87" si="5">SUM(E18:E21)</f>
        <v>23.47249769922885</v>
      </c>
      <c r="F87" s="73">
        <f t="shared" si="5"/>
        <v>23.538220981384704</v>
      </c>
      <c r="G87" s="73">
        <f t="shared" si="5"/>
        <v>24.699223522465843</v>
      </c>
      <c r="H87" s="73">
        <f t="shared" si="5"/>
        <v>22.81068320021852</v>
      </c>
      <c r="I87" s="73">
        <f t="shared" si="5"/>
        <v>21.724902505640692</v>
      </c>
      <c r="J87" s="73">
        <f t="shared" si="5"/>
        <v>24.214616912565155</v>
      </c>
      <c r="K87" s="73">
        <f t="shared" si="5"/>
        <v>23.571682686710645</v>
      </c>
      <c r="L87" s="73">
        <f t="shared" si="5"/>
        <v>30.175432142261926</v>
      </c>
      <c r="M87" s="73">
        <f t="shared" si="5"/>
        <v>22.209849623845994</v>
      </c>
      <c r="N87" s="73">
        <f t="shared" si="5"/>
        <v>23.363501727025259</v>
      </c>
      <c r="O87" s="73">
        <f t="shared" si="5"/>
        <v>22.35164552084138</v>
      </c>
      <c r="P87" s="73">
        <f t="shared" si="5"/>
        <v>22.287125854604589</v>
      </c>
      <c r="Q87" s="73">
        <f t="shared" si="5"/>
        <v>21.713972141479267</v>
      </c>
      <c r="R87" s="73">
        <f t="shared" si="5"/>
        <v>23.270434738229355</v>
      </c>
      <c r="S87" s="73">
        <f t="shared" si="5"/>
        <v>24.691843601895631</v>
      </c>
      <c r="T87" s="91">
        <f t="shared" si="5"/>
        <v>23.509573916902291</v>
      </c>
      <c r="U87" s="120"/>
      <c r="V87" s="120"/>
      <c r="W87" s="120"/>
      <c r="X87" s="8"/>
    </row>
    <row r="88" spans="2:25" s="110" customFormat="1" x14ac:dyDescent="0.35">
      <c r="B88" s="683" t="s">
        <v>412</v>
      </c>
      <c r="C88" s="684"/>
      <c r="D88" s="90">
        <f>SUM(D22)</f>
        <v>1.6806357137793975</v>
      </c>
      <c r="E88" s="73">
        <f t="shared" ref="E88:T88" si="6">SUM(E22)</f>
        <v>2.1086528239325601</v>
      </c>
      <c r="F88" s="73">
        <f t="shared" si="6"/>
        <v>2.1367890623386532</v>
      </c>
      <c r="G88" s="73">
        <f t="shared" si="6"/>
        <v>1.9237806394794938</v>
      </c>
      <c r="H88" s="73">
        <f t="shared" si="6"/>
        <v>1.7246054363486307</v>
      </c>
      <c r="I88" s="73">
        <f t="shared" si="6"/>
        <v>1.5999983617967743</v>
      </c>
      <c r="J88" s="73">
        <f t="shared" si="6"/>
        <v>2.0206806677027704</v>
      </c>
      <c r="K88" s="73">
        <f t="shared" si="6"/>
        <v>2.0950754650967278</v>
      </c>
      <c r="L88" s="73">
        <f t="shared" si="6"/>
        <v>1.8900197853190697</v>
      </c>
      <c r="M88" s="73">
        <f t="shared" si="6"/>
        <v>1.6196908147619853</v>
      </c>
      <c r="N88" s="73">
        <f t="shared" si="6"/>
        <v>1.559303884244819</v>
      </c>
      <c r="O88" s="73">
        <f t="shared" si="6"/>
        <v>1.5158394916380722</v>
      </c>
      <c r="P88" s="73">
        <f t="shared" si="6"/>
        <v>1.4645921152340964</v>
      </c>
      <c r="Q88" s="73">
        <f t="shared" si="6"/>
        <v>1.473202276053253</v>
      </c>
      <c r="R88" s="73">
        <f t="shared" si="6"/>
        <v>1.5218553245248192</v>
      </c>
      <c r="S88" s="73">
        <f t="shared" si="6"/>
        <v>1.3987939430353011</v>
      </c>
      <c r="T88" s="91">
        <f t="shared" si="6"/>
        <v>1.383227975440843</v>
      </c>
      <c r="U88" s="120"/>
      <c r="V88" s="120"/>
      <c r="W88" s="120"/>
      <c r="X88" s="8"/>
    </row>
    <row r="89" spans="2:25" s="110" customFormat="1" x14ac:dyDescent="0.35">
      <c r="B89" s="683" t="s">
        <v>413</v>
      </c>
      <c r="C89" s="684"/>
      <c r="D89" s="90">
        <f>SUM(D23:D26)</f>
        <v>55.965271369780652</v>
      </c>
      <c r="E89" s="73">
        <f t="shared" ref="E89:T89" si="7">SUM(E23:E26)</f>
        <v>58.357980103053869</v>
      </c>
      <c r="F89" s="73">
        <f t="shared" si="7"/>
        <v>58.581462890523561</v>
      </c>
      <c r="G89" s="73">
        <f t="shared" si="7"/>
        <v>59.840670904632319</v>
      </c>
      <c r="H89" s="73">
        <f t="shared" si="7"/>
        <v>57.342598426477046</v>
      </c>
      <c r="I89" s="73">
        <f t="shared" si="7"/>
        <v>54.260823022481119</v>
      </c>
      <c r="J89" s="73">
        <f t="shared" si="7"/>
        <v>64.218530943919944</v>
      </c>
      <c r="K89" s="73">
        <f t="shared" si="7"/>
        <v>63.497769826093688</v>
      </c>
      <c r="L89" s="73">
        <f t="shared" si="7"/>
        <v>67.544561522554886</v>
      </c>
      <c r="M89" s="73">
        <f t="shared" si="7"/>
        <v>57.222560844757091</v>
      </c>
      <c r="N89" s="73">
        <f t="shared" si="7"/>
        <v>58.213318414409073</v>
      </c>
      <c r="O89" s="73">
        <f t="shared" si="7"/>
        <v>55.224119156559397</v>
      </c>
      <c r="P89" s="73">
        <f t="shared" si="7"/>
        <v>53.916171396338093</v>
      </c>
      <c r="Q89" s="73">
        <f t="shared" si="7"/>
        <v>50.622129343069837</v>
      </c>
      <c r="R89" s="73">
        <f t="shared" si="7"/>
        <v>52.881866633884101</v>
      </c>
      <c r="S89" s="73">
        <f t="shared" si="7"/>
        <v>53.568172974696907</v>
      </c>
      <c r="T89" s="91">
        <f t="shared" si="7"/>
        <v>51.646712199493813</v>
      </c>
      <c r="U89" s="120"/>
      <c r="V89" s="120"/>
      <c r="W89" s="120"/>
      <c r="X89" s="8"/>
    </row>
    <row r="90" spans="2:25" s="110" customFormat="1" x14ac:dyDescent="0.35">
      <c r="B90" s="683" t="s">
        <v>414</v>
      </c>
      <c r="C90" s="684"/>
      <c r="D90" s="90">
        <f>SUM(D27:D30)</f>
        <v>199.93906371014464</v>
      </c>
      <c r="E90" s="73">
        <f t="shared" ref="E90:T90" si="8">SUM(E27:E30)</f>
        <v>221.04209259755726</v>
      </c>
      <c r="F90" s="73">
        <f t="shared" si="8"/>
        <v>222.34024911889387</v>
      </c>
      <c r="G90" s="73">
        <f t="shared" si="8"/>
        <v>217.45119995804342</v>
      </c>
      <c r="H90" s="73">
        <f t="shared" si="8"/>
        <v>203.03789450787281</v>
      </c>
      <c r="I90" s="73">
        <f t="shared" si="8"/>
        <v>193.12143436329387</v>
      </c>
      <c r="J90" s="73">
        <f t="shared" si="8"/>
        <v>230.61875840491322</v>
      </c>
      <c r="K90" s="73">
        <f t="shared" si="8"/>
        <v>231.39660998538352</v>
      </c>
      <c r="L90" s="73">
        <f t="shared" si="8"/>
        <v>240.06799929044922</v>
      </c>
      <c r="M90" s="73">
        <f t="shared" si="8"/>
        <v>201.86863633186334</v>
      </c>
      <c r="N90" s="73">
        <f t="shared" si="8"/>
        <v>202.99699317603634</v>
      </c>
      <c r="O90" s="73">
        <f t="shared" si="8"/>
        <v>194.6806077598242</v>
      </c>
      <c r="P90" s="73">
        <f t="shared" si="8"/>
        <v>190.53460806258312</v>
      </c>
      <c r="Q90" s="73">
        <f t="shared" si="8"/>
        <v>183.61253385339936</v>
      </c>
      <c r="R90" s="73">
        <f t="shared" si="8"/>
        <v>191.54042611546674</v>
      </c>
      <c r="S90" s="73">
        <f t="shared" si="8"/>
        <v>190.27579247637124</v>
      </c>
      <c r="T90" s="91">
        <f t="shared" si="8"/>
        <v>184.60200002782102</v>
      </c>
      <c r="U90" s="120"/>
      <c r="V90" s="120"/>
      <c r="W90" s="120"/>
      <c r="X90" s="8"/>
    </row>
    <row r="91" spans="2:25" s="110" customFormat="1" x14ac:dyDescent="0.35">
      <c r="B91" s="683" t="s">
        <v>415</v>
      </c>
      <c r="C91" s="684"/>
      <c r="D91" s="90">
        <f>SUM(D31:D34)</f>
        <v>36.040146950919272</v>
      </c>
      <c r="E91" s="73">
        <f t="shared" ref="E91:T91" si="9">SUM(E31:E34)</f>
        <v>30.821537492379029</v>
      </c>
      <c r="F91" s="73">
        <f t="shared" si="9"/>
        <v>30.908558339659219</v>
      </c>
      <c r="G91" s="73">
        <f t="shared" si="9"/>
        <v>31.341132497554181</v>
      </c>
      <c r="H91" s="73">
        <f t="shared" si="9"/>
        <v>31.062902449952883</v>
      </c>
      <c r="I91" s="73">
        <f t="shared" si="9"/>
        <v>29.293261472626558</v>
      </c>
      <c r="J91" s="73">
        <f t="shared" si="9"/>
        <v>35.903501303520201</v>
      </c>
      <c r="K91" s="73">
        <f t="shared" si="9"/>
        <v>35.713306530422699</v>
      </c>
      <c r="L91" s="73">
        <f t="shared" si="9"/>
        <v>33.497329779022117</v>
      </c>
      <c r="M91" s="73">
        <f t="shared" si="9"/>
        <v>31.555019631403034</v>
      </c>
      <c r="N91" s="73">
        <f t="shared" si="9"/>
        <v>31.590349308205077</v>
      </c>
      <c r="O91" s="73">
        <f t="shared" si="9"/>
        <v>29.731179444296703</v>
      </c>
      <c r="P91" s="73">
        <f t="shared" si="9"/>
        <v>28.527635096735992</v>
      </c>
      <c r="Q91" s="73">
        <f t="shared" si="9"/>
        <v>25.787918472813445</v>
      </c>
      <c r="R91" s="73">
        <f t="shared" si="9"/>
        <v>26.374796500276659</v>
      </c>
      <c r="S91" s="73">
        <f t="shared" si="9"/>
        <v>25.7961335274512</v>
      </c>
      <c r="T91" s="91">
        <f t="shared" si="9"/>
        <v>25.271906395867848</v>
      </c>
      <c r="U91" s="120"/>
      <c r="V91" s="120"/>
      <c r="W91" s="120"/>
      <c r="X91" s="8"/>
    </row>
    <row r="92" spans="2:25" s="110" customFormat="1" x14ac:dyDescent="0.35">
      <c r="B92" s="683" t="s">
        <v>416</v>
      </c>
      <c r="C92" s="684"/>
      <c r="D92" s="90">
        <f>SUM(D35:D40)</f>
        <v>54.225014629074401</v>
      </c>
      <c r="E92" s="73">
        <f t="shared" ref="E92:T92" si="10">SUM(E35:E40)</f>
        <v>56.526405699419172</v>
      </c>
      <c r="F92" s="73">
        <f t="shared" si="10"/>
        <v>55.466926311261986</v>
      </c>
      <c r="G92" s="73">
        <f t="shared" si="10"/>
        <v>58.082871003673297</v>
      </c>
      <c r="H92" s="73">
        <f t="shared" si="10"/>
        <v>54.037444843523573</v>
      </c>
      <c r="I92" s="73">
        <f t="shared" si="10"/>
        <v>51.777906511495395</v>
      </c>
      <c r="J92" s="73">
        <f t="shared" si="10"/>
        <v>56.738513265923608</v>
      </c>
      <c r="K92" s="73">
        <f t="shared" si="10"/>
        <v>54.364088744608253</v>
      </c>
      <c r="L92" s="73">
        <f t="shared" si="10"/>
        <v>66.188546725785585</v>
      </c>
      <c r="M92" s="73">
        <f t="shared" si="10"/>
        <v>49.895697591909546</v>
      </c>
      <c r="N92" s="73">
        <f t="shared" si="10"/>
        <v>52.71135589944209</v>
      </c>
      <c r="O92" s="73">
        <f t="shared" si="10"/>
        <v>50.395879492693432</v>
      </c>
      <c r="P92" s="73">
        <f t="shared" si="10"/>
        <v>49.994640834153053</v>
      </c>
      <c r="Q92" s="73">
        <f t="shared" si="10"/>
        <v>48.968963802217672</v>
      </c>
      <c r="R92" s="73">
        <f t="shared" si="10"/>
        <v>51.777052440755085</v>
      </c>
      <c r="S92" s="73">
        <f t="shared" si="10"/>
        <v>54.652782002046045</v>
      </c>
      <c r="T92" s="91">
        <f t="shared" si="10"/>
        <v>51.804178340458186</v>
      </c>
      <c r="U92" s="120"/>
      <c r="V92" s="120"/>
      <c r="W92" s="120"/>
      <c r="X92" s="8"/>
    </row>
    <row r="93" spans="2:25" x14ac:dyDescent="0.35">
      <c r="B93" s="659" t="s">
        <v>152</v>
      </c>
      <c r="C93" s="660"/>
      <c r="D93" s="90">
        <f>SUM(D94:D96)</f>
        <v>575.11748739519544</v>
      </c>
      <c r="E93" s="73">
        <f t="shared" ref="E93:T93" si="11">SUM(E94:E96)</f>
        <v>600.65044004072126</v>
      </c>
      <c r="F93" s="73">
        <f t="shared" si="11"/>
        <v>631.06197923831394</v>
      </c>
      <c r="G93" s="73">
        <f t="shared" si="11"/>
        <v>657.54871402638992</v>
      </c>
      <c r="H93" s="73">
        <f t="shared" si="11"/>
        <v>689.46957980674892</v>
      </c>
      <c r="I93" s="73">
        <f t="shared" si="11"/>
        <v>715.92643454217023</v>
      </c>
      <c r="J93" s="73">
        <f t="shared" si="11"/>
        <v>748.7864022044439</v>
      </c>
      <c r="K93" s="73">
        <f t="shared" si="11"/>
        <v>786.43668047336757</v>
      </c>
      <c r="L93" s="73">
        <f t="shared" si="11"/>
        <v>819.76781817698748</v>
      </c>
      <c r="M93" s="73">
        <f t="shared" si="11"/>
        <v>851.05593336499021</v>
      </c>
      <c r="N93" s="73">
        <f t="shared" si="11"/>
        <v>897.18624059148499</v>
      </c>
      <c r="O93" s="73">
        <f t="shared" si="11"/>
        <v>938.33426132213356</v>
      </c>
      <c r="P93" s="73">
        <f t="shared" si="11"/>
        <v>987.48714332280463</v>
      </c>
      <c r="Q93" s="73">
        <f t="shared" si="11"/>
        <v>1037.4957403927285</v>
      </c>
      <c r="R93" s="73">
        <f t="shared" si="11"/>
        <v>997.49193913716897</v>
      </c>
      <c r="S93" s="73">
        <f t="shared" si="11"/>
        <v>1087.8083336505024</v>
      </c>
      <c r="T93" s="91">
        <f t="shared" si="11"/>
        <v>1169.6970580794014</v>
      </c>
      <c r="U93" s="120">
        <f t="shared" si="2"/>
        <v>0.28003635140022176</v>
      </c>
      <c r="V93" s="120"/>
      <c r="W93" s="120"/>
      <c r="X93" s="8"/>
    </row>
    <row r="94" spans="2:25" x14ac:dyDescent="0.35">
      <c r="B94" s="665" t="s">
        <v>207</v>
      </c>
      <c r="C94" s="666"/>
      <c r="D94" s="90">
        <f t="shared" ref="D94:T94" si="12">D42</f>
        <v>4.8130588011961386</v>
      </c>
      <c r="E94" s="73">
        <f t="shared" si="12"/>
        <v>5.0988328646250372</v>
      </c>
      <c r="F94" s="73">
        <f t="shared" si="12"/>
        <v>5.9647799064258376</v>
      </c>
      <c r="G94" s="73">
        <f t="shared" si="12"/>
        <v>6.3471243034964644</v>
      </c>
      <c r="H94" s="73">
        <f t="shared" si="12"/>
        <v>6.0668894331657617</v>
      </c>
      <c r="I94" s="73">
        <f t="shared" si="12"/>
        <v>5.4340960866017696</v>
      </c>
      <c r="J94" s="73">
        <f t="shared" si="12"/>
        <v>5.6365122629042101</v>
      </c>
      <c r="K94" s="73">
        <f t="shared" si="12"/>
        <v>6.3065137617595903</v>
      </c>
      <c r="L94" s="73">
        <f t="shared" si="12"/>
        <v>5.6397416921445593</v>
      </c>
      <c r="M94" s="73">
        <f t="shared" si="12"/>
        <v>4.2895908348274787</v>
      </c>
      <c r="N94" s="73">
        <f t="shared" si="12"/>
        <v>5.8667480752116594</v>
      </c>
      <c r="O94" s="73">
        <f t="shared" si="12"/>
        <v>6.3944944958062351</v>
      </c>
      <c r="P94" s="73">
        <f t="shared" si="12"/>
        <v>6.7901989774600802</v>
      </c>
      <c r="Q94" s="73">
        <f t="shared" si="12"/>
        <v>6.973987950931364</v>
      </c>
      <c r="R94" s="73">
        <f t="shared" si="12"/>
        <v>7.2050243566391998</v>
      </c>
      <c r="S94" s="73">
        <f t="shared" si="12"/>
        <v>8.5624408333859847</v>
      </c>
      <c r="T94" s="91">
        <f t="shared" si="12"/>
        <v>9.7929292865940898</v>
      </c>
      <c r="U94" s="145">
        <f>T94/$T$93</f>
        <v>8.3721927989403623E-3</v>
      </c>
      <c r="V94" s="120"/>
      <c r="W94" s="120"/>
      <c r="X94" s="8"/>
    </row>
    <row r="95" spans="2:25" s="3" customFormat="1" x14ac:dyDescent="0.35">
      <c r="B95" s="665" t="s">
        <v>208</v>
      </c>
      <c r="C95" s="666"/>
      <c r="D95" s="425">
        <f>SUM(D43:D58)</f>
        <v>539.47656831526012</v>
      </c>
      <c r="E95" s="66">
        <f t="shared" ref="E95:T95" si="13">SUM(E43:E58)</f>
        <v>562.89335103839016</v>
      </c>
      <c r="F95" s="66">
        <f t="shared" si="13"/>
        <v>586.89251305150674</v>
      </c>
      <c r="G95" s="66">
        <f t="shared" si="13"/>
        <v>610.54797020938338</v>
      </c>
      <c r="H95" s="66">
        <f t="shared" si="13"/>
        <v>644.54398793560074</v>
      </c>
      <c r="I95" s="66">
        <f t="shared" si="13"/>
        <v>675.68670615010592</v>
      </c>
      <c r="J95" s="66">
        <f t="shared" si="13"/>
        <v>707.04777283110093</v>
      </c>
      <c r="K95" s="66">
        <f t="shared" si="13"/>
        <v>739.73665956285799</v>
      </c>
      <c r="L95" s="66">
        <f t="shared" si="13"/>
        <v>778.00527473340685</v>
      </c>
      <c r="M95" s="66">
        <f t="shared" si="13"/>
        <v>811.37219357424067</v>
      </c>
      <c r="N95" s="66">
        <f t="shared" si="13"/>
        <v>850.19372019811306</v>
      </c>
      <c r="O95" s="66">
        <f t="shared" si="13"/>
        <v>887.61383255924829</v>
      </c>
      <c r="P95" s="66">
        <f t="shared" si="13"/>
        <v>934.48970819116471</v>
      </c>
      <c r="Q95" s="66">
        <f t="shared" si="13"/>
        <v>982.78353362833809</v>
      </c>
      <c r="R95" s="66">
        <f t="shared" si="13"/>
        <v>942.69733020291233</v>
      </c>
      <c r="S95" s="66">
        <f t="shared" si="13"/>
        <v>1022.8222399848643</v>
      </c>
      <c r="T95" s="135">
        <f t="shared" si="13"/>
        <v>1094.3571798411385</v>
      </c>
      <c r="U95" s="145">
        <f>T95/$T$93</f>
        <v>0.93559026440404314</v>
      </c>
      <c r="V95" s="120"/>
      <c r="W95" s="120"/>
      <c r="X95" s="13"/>
    </row>
    <row r="96" spans="2:25" x14ac:dyDescent="0.35">
      <c r="B96" s="665" t="s">
        <v>209</v>
      </c>
      <c r="C96" s="666"/>
      <c r="D96" s="90">
        <f>SUM(D61:D62)</f>
        <v>30.827860278739184</v>
      </c>
      <c r="E96" s="73">
        <f t="shared" ref="E96:T96" si="14">SUM(E61:E62)</f>
        <v>32.658256137706076</v>
      </c>
      <c r="F96" s="73">
        <f t="shared" si="14"/>
        <v>38.20468628038131</v>
      </c>
      <c r="G96" s="73">
        <f t="shared" si="14"/>
        <v>40.653619513510066</v>
      </c>
      <c r="H96" s="73">
        <f t="shared" si="14"/>
        <v>38.85870243798243</v>
      </c>
      <c r="I96" s="73">
        <f t="shared" si="14"/>
        <v>34.805632305462439</v>
      </c>
      <c r="J96" s="73">
        <f t="shared" si="14"/>
        <v>36.102117110438748</v>
      </c>
      <c r="K96" s="73">
        <f t="shared" si="14"/>
        <v>40.393507148750011</v>
      </c>
      <c r="L96" s="73">
        <f t="shared" si="14"/>
        <v>36.122801751436043</v>
      </c>
      <c r="M96" s="73">
        <f t="shared" si="14"/>
        <v>35.394148955922134</v>
      </c>
      <c r="N96" s="73">
        <f t="shared" si="14"/>
        <v>41.125772318160323</v>
      </c>
      <c r="O96" s="73">
        <f t="shared" si="14"/>
        <v>44.32593426707902</v>
      </c>
      <c r="P96" s="73">
        <f t="shared" si="14"/>
        <v>46.207236154179768</v>
      </c>
      <c r="Q96" s="73">
        <f t="shared" si="14"/>
        <v>47.738218813459113</v>
      </c>
      <c r="R96" s="73">
        <f t="shared" si="14"/>
        <v>47.58958457761738</v>
      </c>
      <c r="S96" s="73">
        <f t="shared" si="14"/>
        <v>56.423652832252131</v>
      </c>
      <c r="T96" s="91">
        <f t="shared" si="14"/>
        <v>65.54694895166871</v>
      </c>
      <c r="U96" s="145">
        <f>T96/$T$93</f>
        <v>5.6037542797016469E-2</v>
      </c>
      <c r="V96" s="120"/>
      <c r="W96" s="120"/>
      <c r="X96" s="8"/>
    </row>
    <row r="97" spans="2:24" x14ac:dyDescent="0.35">
      <c r="B97" s="659" t="s">
        <v>305</v>
      </c>
      <c r="C97" s="660"/>
      <c r="D97" s="90">
        <f>D98+D99+D100</f>
        <v>198.42012972039998</v>
      </c>
      <c r="E97" s="73">
        <f t="shared" ref="E97:T97" si="15">E98+E99+E100</f>
        <v>200.74250100960003</v>
      </c>
      <c r="F97" s="73">
        <f t="shared" si="15"/>
        <v>200.83058247096</v>
      </c>
      <c r="G97" s="73">
        <f t="shared" si="15"/>
        <v>217.96112741739998</v>
      </c>
      <c r="H97" s="73">
        <f t="shared" si="15"/>
        <v>220.65117408704</v>
      </c>
      <c r="I97" s="73">
        <f t="shared" si="15"/>
        <v>227.15545777600002</v>
      </c>
      <c r="J97" s="73">
        <f t="shared" si="15"/>
        <v>219.09352763671995</v>
      </c>
      <c r="K97" s="73">
        <f t="shared" si="15"/>
        <v>210.88322173966799</v>
      </c>
      <c r="L97" s="73">
        <f t="shared" si="15"/>
        <v>220.97156619125047</v>
      </c>
      <c r="M97" s="73">
        <f t="shared" si="15"/>
        <v>230.76842706560703</v>
      </c>
      <c r="N97" s="73">
        <f t="shared" si="15"/>
        <v>236.08764277671196</v>
      </c>
      <c r="O97" s="73">
        <f t="shared" si="15"/>
        <v>238.45887502537173</v>
      </c>
      <c r="P97" s="73">
        <f t="shared" si="15"/>
        <v>233.5427526903409</v>
      </c>
      <c r="Q97" s="73">
        <f t="shared" si="15"/>
        <v>233.30167375698255</v>
      </c>
      <c r="R97" s="73">
        <f t="shared" si="15"/>
        <v>236.74701333253054</v>
      </c>
      <c r="S97" s="73">
        <f t="shared" si="15"/>
        <v>246.87072595066269</v>
      </c>
      <c r="T97" s="91">
        <f t="shared" si="15"/>
        <v>248.0972569878505</v>
      </c>
      <c r="U97" s="120">
        <f t="shared" si="2"/>
        <v>5.9396790099958206E-2</v>
      </c>
      <c r="V97" s="120"/>
      <c r="W97" s="120"/>
      <c r="X97" s="8"/>
    </row>
    <row r="98" spans="2:24" x14ac:dyDescent="0.35">
      <c r="B98" s="665" t="s">
        <v>210</v>
      </c>
      <c r="C98" s="666"/>
      <c r="D98" s="90">
        <f t="shared" ref="D98:T98" si="16">SUM(D63:D64)</f>
        <v>12.452824120000001</v>
      </c>
      <c r="E98" s="73">
        <f t="shared" si="16"/>
        <v>13.354134309999999</v>
      </c>
      <c r="F98" s="73">
        <f t="shared" si="16"/>
        <v>13.681490605199997</v>
      </c>
      <c r="G98" s="73">
        <f t="shared" si="16"/>
        <v>17.242185787199997</v>
      </c>
      <c r="H98" s="73">
        <f t="shared" si="16"/>
        <v>19.106948361600001</v>
      </c>
      <c r="I98" s="73">
        <f t="shared" si="16"/>
        <v>20.943130757999995</v>
      </c>
      <c r="J98" s="73">
        <f t="shared" si="16"/>
        <v>34.258080865799997</v>
      </c>
      <c r="K98" s="73">
        <f t="shared" si="16"/>
        <v>32.737492530599994</v>
      </c>
      <c r="L98" s="73">
        <f t="shared" si="16"/>
        <v>30.247932893199991</v>
      </c>
      <c r="M98" s="73">
        <f t="shared" si="16"/>
        <v>31.688656383999994</v>
      </c>
      <c r="N98" s="73">
        <f t="shared" si="16"/>
        <v>32.737630475000003</v>
      </c>
      <c r="O98" s="73">
        <f t="shared" si="16"/>
        <v>33.741765232999995</v>
      </c>
      <c r="P98" s="73">
        <f t="shared" si="16"/>
        <v>35.710549780400001</v>
      </c>
      <c r="Q98" s="73">
        <f t="shared" si="16"/>
        <v>39.800530032999994</v>
      </c>
      <c r="R98" s="73">
        <f t="shared" si="16"/>
        <v>42.024752323400001</v>
      </c>
      <c r="S98" s="73">
        <f t="shared" si="16"/>
        <v>45.221927467199997</v>
      </c>
      <c r="T98" s="91">
        <f t="shared" si="16"/>
        <v>48.161141912399998</v>
      </c>
      <c r="U98" s="120">
        <f t="shared" si="2"/>
        <v>1.1530225170063886E-2</v>
      </c>
      <c r="V98" s="120"/>
      <c r="W98" s="120"/>
    </row>
    <row r="99" spans="2:24" x14ac:dyDescent="0.35">
      <c r="B99" s="665" t="s">
        <v>211</v>
      </c>
      <c r="C99" s="666"/>
      <c r="D99" s="90">
        <f t="shared" ref="D99:T99" si="17">SUM(D65:D68)</f>
        <v>144.91349020199999</v>
      </c>
      <c r="E99" s="73">
        <f t="shared" si="17"/>
        <v>144.94274445320002</v>
      </c>
      <c r="F99" s="73">
        <f t="shared" si="17"/>
        <v>145.07145966096002</v>
      </c>
      <c r="G99" s="73">
        <f t="shared" si="17"/>
        <v>149.20355464779999</v>
      </c>
      <c r="H99" s="73">
        <f t="shared" si="17"/>
        <v>157.54330148864003</v>
      </c>
      <c r="I99" s="73">
        <f t="shared" si="17"/>
        <v>161.93260910440003</v>
      </c>
      <c r="J99" s="73">
        <f t="shared" si="17"/>
        <v>138.84552334051997</v>
      </c>
      <c r="K99" s="73">
        <f t="shared" si="17"/>
        <v>131.85961851031996</v>
      </c>
      <c r="L99" s="73">
        <f t="shared" si="17"/>
        <v>134.36417233467998</v>
      </c>
      <c r="M99" s="73">
        <f t="shared" si="17"/>
        <v>135.94131322643997</v>
      </c>
      <c r="N99" s="73">
        <f t="shared" si="17"/>
        <v>139.20005991923998</v>
      </c>
      <c r="O99" s="73">
        <f t="shared" si="17"/>
        <v>137.0790827136</v>
      </c>
      <c r="P99" s="73">
        <f t="shared" si="17"/>
        <v>138.24429724831998</v>
      </c>
      <c r="Q99" s="73">
        <f t="shared" si="17"/>
        <v>141.13546129068001</v>
      </c>
      <c r="R99" s="73">
        <f t="shared" si="17"/>
        <v>144.48912860651998</v>
      </c>
      <c r="S99" s="73">
        <f t="shared" si="17"/>
        <v>148.86826903744</v>
      </c>
      <c r="T99" s="91">
        <f t="shared" si="17"/>
        <v>149.75459350163996</v>
      </c>
      <c r="U99" s="120">
        <f t="shared" si="2"/>
        <v>3.5852642083652964E-2</v>
      </c>
      <c r="V99" s="120"/>
      <c r="W99" s="120"/>
    </row>
    <row r="100" spans="2:24" x14ac:dyDescent="0.35">
      <c r="B100" s="665" t="s">
        <v>382</v>
      </c>
      <c r="C100" s="666"/>
      <c r="D100" s="90">
        <f>SUM(D101:D102)</f>
        <v>41.053815398400005</v>
      </c>
      <c r="E100" s="73">
        <f t="shared" ref="E100:S100" si="18">SUM(E101:E102)</f>
        <v>42.445622246399999</v>
      </c>
      <c r="F100" s="73">
        <f t="shared" si="18"/>
        <v>42.07763220479999</v>
      </c>
      <c r="G100" s="73">
        <f t="shared" si="18"/>
        <v>51.515386982399995</v>
      </c>
      <c r="H100" s="73">
        <f t="shared" si="18"/>
        <v>44.000924236799996</v>
      </c>
      <c r="I100" s="73">
        <f t="shared" si="18"/>
        <v>44.279717913600003</v>
      </c>
      <c r="J100" s="73">
        <f t="shared" si="18"/>
        <v>45.98992343039999</v>
      </c>
      <c r="K100" s="73">
        <f t="shared" si="18"/>
        <v>46.286110698748033</v>
      </c>
      <c r="L100" s="73">
        <f t="shared" si="18"/>
        <v>56.359460963370495</v>
      </c>
      <c r="M100" s="73">
        <f t="shared" si="18"/>
        <v>63.138457455167071</v>
      </c>
      <c r="N100" s="73">
        <f t="shared" si="18"/>
        <v>64.149952382471966</v>
      </c>
      <c r="O100" s="73">
        <f t="shared" si="18"/>
        <v>67.638027078771728</v>
      </c>
      <c r="P100" s="73">
        <f t="shared" si="18"/>
        <v>59.587905661620916</v>
      </c>
      <c r="Q100" s="73">
        <f t="shared" si="18"/>
        <v>52.365682433302553</v>
      </c>
      <c r="R100" s="73">
        <f t="shared" si="18"/>
        <v>50.233132402610551</v>
      </c>
      <c r="S100" s="73">
        <f t="shared" si="18"/>
        <v>52.780529446022683</v>
      </c>
      <c r="T100" s="91">
        <f>SUM(T101:T102)</f>
        <v>50.181521573810549</v>
      </c>
      <c r="U100" s="120">
        <f t="shared" si="2"/>
        <v>1.2013922846241355E-2</v>
      </c>
      <c r="V100" s="120"/>
      <c r="W100" s="120"/>
    </row>
    <row r="101" spans="2:24" s="110" customFormat="1" x14ac:dyDescent="0.35">
      <c r="B101" s="691" t="s">
        <v>417</v>
      </c>
      <c r="C101" s="692"/>
      <c r="D101" s="90">
        <f>D69</f>
        <v>7.9222622207999995</v>
      </c>
      <c r="E101" s="73">
        <f t="shared" ref="E101:T101" si="19">E69</f>
        <v>9.0028639487999982</v>
      </c>
      <c r="F101" s="73">
        <f t="shared" si="19"/>
        <v>8.8706112000000008</v>
      </c>
      <c r="G101" s="73">
        <f t="shared" si="19"/>
        <v>9.448007347199999</v>
      </c>
      <c r="H101" s="73">
        <f t="shared" si="19"/>
        <v>10.151204889600001</v>
      </c>
      <c r="I101" s="73">
        <f t="shared" si="19"/>
        <v>9.6609020159999996</v>
      </c>
      <c r="J101" s="73">
        <f t="shared" si="19"/>
        <v>9.8350885631999976</v>
      </c>
      <c r="K101" s="73">
        <f t="shared" si="19"/>
        <v>10.01241570256988</v>
      </c>
      <c r="L101" s="73">
        <f t="shared" si="19"/>
        <v>10.192940059143762</v>
      </c>
      <c r="M101" s="73">
        <f t="shared" si="19"/>
        <v>10.376719278907956</v>
      </c>
      <c r="N101" s="73">
        <f t="shared" si="19"/>
        <v>10.563812047208799</v>
      </c>
      <c r="O101" s="73">
        <f t="shared" si="19"/>
        <v>10.754278107492368</v>
      </c>
      <c r="P101" s="73">
        <f t="shared" si="19"/>
        <v>10.948178280382047</v>
      </c>
      <c r="Q101" s="73">
        <f t="shared" si="19"/>
        <v>11.14557448310012</v>
      </c>
      <c r="R101" s="73">
        <f t="shared" si="19"/>
        <v>7.3642201343999982</v>
      </c>
      <c r="S101" s="73">
        <f t="shared" si="19"/>
        <v>7.4384107008000004</v>
      </c>
      <c r="T101" s="91">
        <f t="shared" si="19"/>
        <v>7.3126093055999988</v>
      </c>
      <c r="U101" s="120"/>
      <c r="V101" s="120"/>
      <c r="W101" s="120"/>
    </row>
    <row r="102" spans="2:24" s="110" customFormat="1" x14ac:dyDescent="0.35">
      <c r="B102" s="691" t="s">
        <v>418</v>
      </c>
      <c r="C102" s="692"/>
      <c r="D102" s="90">
        <f>SUM(D70:D71)</f>
        <v>33.131553177600004</v>
      </c>
      <c r="E102" s="73">
        <f t="shared" ref="E102:T102" si="20">SUM(E70:E71)</f>
        <v>33.442758297600001</v>
      </c>
      <c r="F102" s="73">
        <f t="shared" si="20"/>
        <v>33.207021004799991</v>
      </c>
      <c r="G102" s="73">
        <f t="shared" si="20"/>
        <v>42.067379635199998</v>
      </c>
      <c r="H102" s="73">
        <f t="shared" si="20"/>
        <v>33.849719347199994</v>
      </c>
      <c r="I102" s="73">
        <f t="shared" si="20"/>
        <v>34.618815897600001</v>
      </c>
      <c r="J102" s="73">
        <f t="shared" si="20"/>
        <v>36.154834867199995</v>
      </c>
      <c r="K102" s="73">
        <f t="shared" si="20"/>
        <v>36.273694996178151</v>
      </c>
      <c r="L102" s="73">
        <f t="shared" si="20"/>
        <v>46.166520904226729</v>
      </c>
      <c r="M102" s="73">
        <f t="shared" si="20"/>
        <v>52.761738176259115</v>
      </c>
      <c r="N102" s="73">
        <f t="shared" si="20"/>
        <v>53.586140335263167</v>
      </c>
      <c r="O102" s="73">
        <f t="shared" si="20"/>
        <v>56.883748971279367</v>
      </c>
      <c r="P102" s="73">
        <f t="shared" si="20"/>
        <v>48.63972738123887</v>
      </c>
      <c r="Q102" s="73">
        <f t="shared" si="20"/>
        <v>41.220107950202433</v>
      </c>
      <c r="R102" s="73">
        <f t="shared" si="20"/>
        <v>42.868912268210551</v>
      </c>
      <c r="S102" s="73">
        <f t="shared" si="20"/>
        <v>45.342118745222685</v>
      </c>
      <c r="T102" s="91">
        <f t="shared" si="20"/>
        <v>42.868912268210551</v>
      </c>
      <c r="U102" s="120"/>
      <c r="V102" s="120"/>
      <c r="W102" s="120"/>
    </row>
    <row r="103" spans="2:24" s="110" customFormat="1" ht="15" thickBot="1" x14ac:dyDescent="0.4">
      <c r="B103" s="659" t="s">
        <v>420</v>
      </c>
      <c r="C103" s="660"/>
      <c r="D103" s="426">
        <f t="shared" ref="D103:T103" si="21">IFERROR(D72,0)</f>
        <v>0</v>
      </c>
      <c r="E103" s="136">
        <f t="shared" si="21"/>
        <v>0</v>
      </c>
      <c r="F103" s="136">
        <f t="shared" si="21"/>
        <v>0</v>
      </c>
      <c r="G103" s="136">
        <f t="shared" si="21"/>
        <v>0</v>
      </c>
      <c r="H103" s="136">
        <f t="shared" si="21"/>
        <v>0</v>
      </c>
      <c r="I103" s="136">
        <f t="shared" si="21"/>
        <v>0</v>
      </c>
      <c r="J103" s="136">
        <f t="shared" si="21"/>
        <v>0</v>
      </c>
      <c r="K103" s="136">
        <f t="shared" si="21"/>
        <v>0</v>
      </c>
      <c r="L103" s="136">
        <f t="shared" si="21"/>
        <v>0</v>
      </c>
      <c r="M103" s="136">
        <f t="shared" si="21"/>
        <v>0</v>
      </c>
      <c r="N103" s="136">
        <f t="shared" si="21"/>
        <v>0</v>
      </c>
      <c r="O103" s="136">
        <f t="shared" si="21"/>
        <v>0</v>
      </c>
      <c r="P103" s="136">
        <f t="shared" si="21"/>
        <v>0</v>
      </c>
      <c r="Q103" s="136">
        <f t="shared" si="21"/>
        <v>0.77169420239999997</v>
      </c>
      <c r="R103" s="136">
        <f t="shared" si="21"/>
        <v>0.80758695600000008</v>
      </c>
      <c r="S103" s="136">
        <f t="shared" si="21"/>
        <v>0.85245289799999979</v>
      </c>
      <c r="T103" s="137">
        <f t="shared" si="21"/>
        <v>0.87339033759999984</v>
      </c>
      <c r="U103" s="120">
        <f t="shared" si="2"/>
        <v>2.0909776749486293E-4</v>
      </c>
      <c r="V103" s="120"/>
      <c r="W103" s="120"/>
    </row>
    <row r="104" spans="2:24" ht="15" thickBot="1" x14ac:dyDescent="0.4">
      <c r="B104" s="661" t="s">
        <v>161</v>
      </c>
      <c r="C104" s="695"/>
      <c r="D104" s="104">
        <f ca="1">D105+D107+D109+D111</f>
        <v>71.136090493857395</v>
      </c>
      <c r="E104" s="104">
        <f t="shared" ref="E104:T104" ca="1" si="22">E105+E107+E109+E111</f>
        <v>74.167067329141616</v>
      </c>
      <c r="F104" s="104">
        <f t="shared" ca="1" si="22"/>
        <v>76.741853088358809</v>
      </c>
      <c r="G104" s="104">
        <f t="shared" ca="1" si="22"/>
        <v>79.388829047891861</v>
      </c>
      <c r="H104" s="104">
        <f t="shared" ca="1" si="22"/>
        <v>81.683485677693398</v>
      </c>
      <c r="I104" s="104">
        <f t="shared" ca="1" si="22"/>
        <v>113.51488537722314</v>
      </c>
      <c r="J104" s="104">
        <f t="shared" ca="1" si="22"/>
        <v>108.35071124852188</v>
      </c>
      <c r="K104" s="104">
        <f t="shared" ca="1" si="22"/>
        <v>113.65856367832421</v>
      </c>
      <c r="L104" s="104">
        <f t="shared" ca="1" si="22"/>
        <v>119.60512949938627</v>
      </c>
      <c r="M104" s="104">
        <f t="shared" ca="1" si="22"/>
        <v>138.88517782906871</v>
      </c>
      <c r="N104" s="104">
        <f t="shared" ca="1" si="22"/>
        <v>147.18669392232562</v>
      </c>
      <c r="O104" s="104">
        <f t="shared" ca="1" si="22"/>
        <v>194.44532707660198</v>
      </c>
      <c r="P104" s="104">
        <f t="shared" ca="1" si="22"/>
        <v>216.38933623233379</v>
      </c>
      <c r="Q104" s="104">
        <f t="shared" ca="1" si="22"/>
        <v>306.89431874289073</v>
      </c>
      <c r="R104" s="104">
        <f t="shared" ca="1" si="22"/>
        <v>309.96902476830292</v>
      </c>
      <c r="S104" s="104">
        <f t="shared" ca="1" si="22"/>
        <v>313.98779371987439</v>
      </c>
      <c r="T104" s="105">
        <f t="shared" ca="1" si="22"/>
        <v>328.28921140651346</v>
      </c>
      <c r="U104" s="232">
        <f ca="1">T104/(T104+T83)</f>
        <v>7.2868364794896959E-2</v>
      </c>
      <c r="V104" s="120"/>
      <c r="W104" s="145"/>
      <c r="X104" s="146"/>
    </row>
    <row r="105" spans="2:24" x14ac:dyDescent="0.35">
      <c r="B105" s="693" t="s">
        <v>154</v>
      </c>
      <c r="C105" s="694"/>
      <c r="D105" s="138">
        <f t="shared" ref="D105:T105" si="23">D106</f>
        <v>2.7547100000000002</v>
      </c>
      <c r="E105" s="138">
        <f t="shared" si="23"/>
        <v>2.6980699999999995</v>
      </c>
      <c r="F105" s="138">
        <f t="shared" si="23"/>
        <v>2.4720999999999997</v>
      </c>
      <c r="G105" s="138">
        <f t="shared" si="23"/>
        <v>2.3487900000000002</v>
      </c>
      <c r="H105" s="138">
        <f t="shared" si="23"/>
        <v>1.9169099999999999</v>
      </c>
      <c r="I105" s="138">
        <f t="shared" si="23"/>
        <v>1.9705999999999999</v>
      </c>
      <c r="J105" s="138">
        <f t="shared" si="23"/>
        <v>2.0354999999999999</v>
      </c>
      <c r="K105" s="138">
        <f t="shared" si="23"/>
        <v>1.4401899999999999</v>
      </c>
      <c r="L105" s="138">
        <f t="shared" si="23"/>
        <v>1.3623099999999999</v>
      </c>
      <c r="M105" s="138">
        <f t="shared" si="23"/>
        <v>1.9458199999999999</v>
      </c>
      <c r="N105" s="138">
        <f t="shared" si="23"/>
        <v>2.1558599999999997</v>
      </c>
      <c r="O105" s="138">
        <f t="shared" si="23"/>
        <v>1.36585</v>
      </c>
      <c r="P105" s="138">
        <f t="shared" si="23"/>
        <v>1.79183</v>
      </c>
      <c r="Q105" s="138">
        <f t="shared" si="23"/>
        <v>1.2909199999999998</v>
      </c>
      <c r="R105" s="139">
        <f t="shared" si="23"/>
        <v>0.8024</v>
      </c>
      <c r="S105" s="139">
        <f t="shared" si="23"/>
        <v>0</v>
      </c>
      <c r="T105" s="191">
        <f t="shared" si="23"/>
        <v>0</v>
      </c>
      <c r="U105" s="474">
        <f ca="1">R105/$R$104</f>
        <v>2.588645754522671E-3</v>
      </c>
      <c r="V105" s="120"/>
      <c r="W105" s="145"/>
      <c r="X105" s="146"/>
    </row>
    <row r="106" spans="2:24" x14ac:dyDescent="0.35">
      <c r="B106" s="665" t="s">
        <v>155</v>
      </c>
      <c r="C106" s="682"/>
      <c r="D106" s="44">
        <f t="shared" ref="D106:T106" si="24">D73</f>
        <v>2.7547100000000002</v>
      </c>
      <c r="E106" s="44">
        <f t="shared" si="24"/>
        <v>2.6980699999999995</v>
      </c>
      <c r="F106" s="44">
        <f t="shared" si="24"/>
        <v>2.4720999999999997</v>
      </c>
      <c r="G106" s="44">
        <f t="shared" si="24"/>
        <v>2.3487900000000002</v>
      </c>
      <c r="H106" s="44">
        <f t="shared" si="24"/>
        <v>1.9169099999999999</v>
      </c>
      <c r="I106" s="44">
        <f t="shared" si="24"/>
        <v>1.9705999999999999</v>
      </c>
      <c r="J106" s="44">
        <f t="shared" si="24"/>
        <v>2.0354999999999999</v>
      </c>
      <c r="K106" s="44">
        <f t="shared" si="24"/>
        <v>1.4401899999999999</v>
      </c>
      <c r="L106" s="44">
        <f t="shared" si="24"/>
        <v>1.3623099999999999</v>
      </c>
      <c r="M106" s="44">
        <f t="shared" si="24"/>
        <v>1.9458199999999999</v>
      </c>
      <c r="N106" s="44">
        <f t="shared" si="24"/>
        <v>2.1558599999999997</v>
      </c>
      <c r="O106" s="44">
        <f t="shared" si="24"/>
        <v>1.36585</v>
      </c>
      <c r="P106" s="44">
        <f t="shared" si="24"/>
        <v>1.79183</v>
      </c>
      <c r="Q106" s="44">
        <f t="shared" si="24"/>
        <v>1.2909199999999998</v>
      </c>
      <c r="R106" s="56">
        <f t="shared" si="24"/>
        <v>0.8024</v>
      </c>
      <c r="S106" s="56">
        <f t="shared" si="24"/>
        <v>0</v>
      </c>
      <c r="T106" s="193">
        <f t="shared" si="24"/>
        <v>0</v>
      </c>
      <c r="U106" s="145"/>
      <c r="V106" s="120"/>
      <c r="W106" s="145"/>
      <c r="X106" s="146"/>
    </row>
    <row r="107" spans="2:24" x14ac:dyDescent="0.35">
      <c r="B107" s="667" t="s">
        <v>156</v>
      </c>
      <c r="C107" s="681"/>
      <c r="D107" s="44">
        <f t="shared" ref="D107:T109" si="25">D108</f>
        <v>19.570562830282945</v>
      </c>
      <c r="E107" s="44">
        <f t="shared" si="25"/>
        <v>20.22387731510333</v>
      </c>
      <c r="F107" s="44">
        <f t="shared" si="25"/>
        <v>20.899001076426266</v>
      </c>
      <c r="G107" s="44">
        <f t="shared" si="25"/>
        <v>21.574124837749199</v>
      </c>
      <c r="H107" s="44">
        <f t="shared" si="25"/>
        <v>22.249248599072132</v>
      </c>
      <c r="I107" s="44">
        <f t="shared" si="25"/>
        <v>22.924372360395068</v>
      </c>
      <c r="J107" s="44">
        <f t="shared" si="25"/>
        <v>23.599496121718001</v>
      </c>
      <c r="K107" s="44">
        <f t="shared" si="25"/>
        <v>24.274619883040934</v>
      </c>
      <c r="L107" s="44">
        <f t="shared" si="25"/>
        <v>28.567309941520467</v>
      </c>
      <c r="M107" s="44">
        <f t="shared" si="25"/>
        <v>32.86</v>
      </c>
      <c r="N107" s="44">
        <f t="shared" si="25"/>
        <v>34.979999999999997</v>
      </c>
      <c r="O107" s="44">
        <f t="shared" si="25"/>
        <v>37.1</v>
      </c>
      <c r="P107" s="44">
        <f t="shared" si="25"/>
        <v>34.131999999999998</v>
      </c>
      <c r="Q107" s="44">
        <f t="shared" si="25"/>
        <v>28.302</v>
      </c>
      <c r="R107" s="56">
        <f t="shared" si="25"/>
        <v>26.5</v>
      </c>
      <c r="S107" s="56">
        <f t="shared" si="25"/>
        <v>25.44</v>
      </c>
      <c r="T107" s="193">
        <f t="shared" si="25"/>
        <v>21.411999999999999</v>
      </c>
      <c r="U107" s="145">
        <f ca="1">T107/$T$104</f>
        <v>6.5222977959778217E-2</v>
      </c>
      <c r="V107" s="120"/>
      <c r="W107" s="145"/>
      <c r="X107" s="146"/>
    </row>
    <row r="108" spans="2:24" x14ac:dyDescent="0.35">
      <c r="B108" s="665" t="s">
        <v>157</v>
      </c>
      <c r="C108" s="682"/>
      <c r="D108" s="44">
        <f t="shared" ref="D108:T108" si="26">D74</f>
        <v>19.570562830282945</v>
      </c>
      <c r="E108" s="44">
        <f t="shared" si="26"/>
        <v>20.22387731510333</v>
      </c>
      <c r="F108" s="44">
        <f t="shared" si="26"/>
        <v>20.899001076426266</v>
      </c>
      <c r="G108" s="44">
        <f t="shared" si="26"/>
        <v>21.574124837749199</v>
      </c>
      <c r="H108" s="44">
        <f t="shared" si="26"/>
        <v>22.249248599072132</v>
      </c>
      <c r="I108" s="44">
        <f t="shared" si="26"/>
        <v>22.924372360395068</v>
      </c>
      <c r="J108" s="44">
        <f t="shared" si="26"/>
        <v>23.599496121718001</v>
      </c>
      <c r="K108" s="44">
        <f t="shared" si="26"/>
        <v>24.274619883040934</v>
      </c>
      <c r="L108" s="44">
        <f t="shared" si="26"/>
        <v>28.567309941520467</v>
      </c>
      <c r="M108" s="44">
        <f t="shared" si="26"/>
        <v>32.86</v>
      </c>
      <c r="N108" s="44">
        <f t="shared" si="26"/>
        <v>34.979999999999997</v>
      </c>
      <c r="O108" s="44">
        <f t="shared" si="26"/>
        <v>37.1</v>
      </c>
      <c r="P108" s="44">
        <f t="shared" si="26"/>
        <v>34.131999999999998</v>
      </c>
      <c r="Q108" s="44">
        <f t="shared" si="26"/>
        <v>28.302</v>
      </c>
      <c r="R108" s="56">
        <f t="shared" si="26"/>
        <v>26.5</v>
      </c>
      <c r="S108" s="56">
        <f t="shared" si="26"/>
        <v>25.44</v>
      </c>
      <c r="T108" s="193">
        <f t="shared" si="26"/>
        <v>21.411999999999999</v>
      </c>
      <c r="U108" s="145"/>
      <c r="V108" s="120"/>
      <c r="W108" s="145"/>
      <c r="X108" s="146"/>
    </row>
    <row r="109" spans="2:24" s="110" customFormat="1" x14ac:dyDescent="0.35">
      <c r="B109" s="667" t="s">
        <v>482</v>
      </c>
      <c r="C109" s="681"/>
      <c r="D109" s="44">
        <f t="shared" si="25"/>
        <v>0</v>
      </c>
      <c r="E109" s="44">
        <f t="shared" si="25"/>
        <v>0</v>
      </c>
      <c r="F109" s="44">
        <f t="shared" si="25"/>
        <v>0</v>
      </c>
      <c r="G109" s="44">
        <f t="shared" si="25"/>
        <v>0</v>
      </c>
      <c r="H109" s="44">
        <f t="shared" si="25"/>
        <v>0</v>
      </c>
      <c r="I109" s="44">
        <f t="shared" si="25"/>
        <v>0</v>
      </c>
      <c r="J109" s="44">
        <f t="shared" si="25"/>
        <v>0</v>
      </c>
      <c r="K109" s="44">
        <f t="shared" si="25"/>
        <v>0</v>
      </c>
      <c r="L109" s="44">
        <f t="shared" si="25"/>
        <v>0</v>
      </c>
      <c r="M109" s="44">
        <f t="shared" si="25"/>
        <v>0</v>
      </c>
      <c r="N109" s="44">
        <f t="shared" si="25"/>
        <v>0</v>
      </c>
      <c r="O109" s="44">
        <f t="shared" si="25"/>
        <v>9.4336000000000002</v>
      </c>
      <c r="P109" s="44">
        <f t="shared" si="25"/>
        <v>10.6128</v>
      </c>
      <c r="Q109" s="44">
        <f t="shared" si="25"/>
        <v>10.023200000000001</v>
      </c>
      <c r="R109" s="56">
        <f t="shared" si="25"/>
        <v>8.8439999999999994</v>
      </c>
      <c r="S109" s="56">
        <f t="shared" si="25"/>
        <v>6.4856000000000007</v>
      </c>
      <c r="T109" s="193">
        <f t="shared" si="25"/>
        <v>7.6648000000000005</v>
      </c>
      <c r="U109" s="145">
        <f>(T109-O109)/O109</f>
        <v>-0.18749999999999997</v>
      </c>
      <c r="V109" s="120"/>
      <c r="W109" s="145"/>
      <c r="X109" s="146"/>
    </row>
    <row r="110" spans="2:24" s="110" customFormat="1" x14ac:dyDescent="0.35">
      <c r="B110" s="665" t="s">
        <v>483</v>
      </c>
      <c r="C110" s="682"/>
      <c r="D110" s="44">
        <f>D75</f>
        <v>0</v>
      </c>
      <c r="E110" s="44">
        <f t="shared" ref="E110:T110" si="27">E75</f>
        <v>0</v>
      </c>
      <c r="F110" s="44">
        <f t="shared" si="27"/>
        <v>0</v>
      </c>
      <c r="G110" s="44">
        <f t="shared" si="27"/>
        <v>0</v>
      </c>
      <c r="H110" s="44">
        <f t="shared" si="27"/>
        <v>0</v>
      </c>
      <c r="I110" s="44">
        <f t="shared" si="27"/>
        <v>0</v>
      </c>
      <c r="J110" s="44">
        <f t="shared" si="27"/>
        <v>0</v>
      </c>
      <c r="K110" s="44">
        <f t="shared" si="27"/>
        <v>0</v>
      </c>
      <c r="L110" s="44">
        <f t="shared" si="27"/>
        <v>0</v>
      </c>
      <c r="M110" s="44">
        <f t="shared" si="27"/>
        <v>0</v>
      </c>
      <c r="N110" s="44">
        <f t="shared" si="27"/>
        <v>0</v>
      </c>
      <c r="O110" s="44">
        <f t="shared" si="27"/>
        <v>9.4336000000000002</v>
      </c>
      <c r="P110" s="44">
        <f t="shared" si="27"/>
        <v>10.6128</v>
      </c>
      <c r="Q110" s="44">
        <f t="shared" si="27"/>
        <v>10.023200000000001</v>
      </c>
      <c r="R110" s="56">
        <f t="shared" si="27"/>
        <v>8.8439999999999994</v>
      </c>
      <c r="S110" s="56">
        <f t="shared" si="27"/>
        <v>6.4856000000000007</v>
      </c>
      <c r="T110" s="193">
        <f t="shared" si="27"/>
        <v>7.6648000000000005</v>
      </c>
      <c r="U110" s="145"/>
      <c r="V110" s="120"/>
      <c r="W110" s="145"/>
      <c r="X110" s="146"/>
    </row>
    <row r="111" spans="2:24" x14ac:dyDescent="0.35">
      <c r="B111" s="659" t="s">
        <v>158</v>
      </c>
      <c r="C111" s="686"/>
      <c r="D111" s="44">
        <f t="shared" ref="D111:T111" ca="1" si="28">D112+D113</f>
        <v>48.810817663574454</v>
      </c>
      <c r="E111" s="44">
        <f t="shared" ca="1" si="28"/>
        <v>51.245120014038285</v>
      </c>
      <c r="F111" s="44">
        <f t="shared" ca="1" si="28"/>
        <v>53.370752011932538</v>
      </c>
      <c r="G111" s="44">
        <f t="shared" ca="1" si="28"/>
        <v>55.465914210142664</v>
      </c>
      <c r="H111" s="44">
        <f t="shared" ca="1" si="28"/>
        <v>57.517327078621264</v>
      </c>
      <c r="I111" s="44">
        <f t="shared" ca="1" si="28"/>
        <v>88.619913016828065</v>
      </c>
      <c r="J111" s="44">
        <f t="shared" ca="1" si="28"/>
        <v>82.715715126803872</v>
      </c>
      <c r="K111" s="44">
        <f t="shared" ca="1" si="28"/>
        <v>87.943753795283271</v>
      </c>
      <c r="L111" s="44">
        <f t="shared" ca="1" si="28"/>
        <v>89.675509557865794</v>
      </c>
      <c r="M111" s="44">
        <f t="shared" ca="1" si="28"/>
        <v>104.07935782906873</v>
      </c>
      <c r="N111" s="44">
        <f t="shared" ca="1" si="28"/>
        <v>110.05083392232561</v>
      </c>
      <c r="O111" s="44">
        <f t="shared" ca="1" si="28"/>
        <v>146.54587707660198</v>
      </c>
      <c r="P111" s="44">
        <f t="shared" ca="1" si="28"/>
        <v>169.85270623233379</v>
      </c>
      <c r="Q111" s="44">
        <f ca="1">Q112+Q113</f>
        <v>267.27819874289071</v>
      </c>
      <c r="R111" s="56">
        <f t="shared" ca="1" si="28"/>
        <v>273.82262476830289</v>
      </c>
      <c r="S111" s="56">
        <f t="shared" ca="1" si="28"/>
        <v>282.06219371987436</v>
      </c>
      <c r="T111" s="193">
        <f t="shared" ca="1" si="28"/>
        <v>299.21241140651347</v>
      </c>
      <c r="U111" s="145">
        <f ca="1">T111/$T$104</f>
        <v>0.91142931601247534</v>
      </c>
      <c r="V111" s="120"/>
      <c r="W111" s="145"/>
      <c r="X111" s="146"/>
    </row>
    <row r="112" spans="2:24" x14ac:dyDescent="0.35">
      <c r="B112" s="655" t="s">
        <v>213</v>
      </c>
      <c r="C112" s="685"/>
      <c r="D112" s="44">
        <f t="shared" ref="D112:T112" ca="1" si="29">SUM(D76:D81)</f>
        <v>48.375967663574457</v>
      </c>
      <c r="E112" s="44">
        <f t="shared" ca="1" si="29"/>
        <v>50.440647514038282</v>
      </c>
      <c r="F112" s="44">
        <f t="shared" ca="1" si="29"/>
        <v>52.236500386932541</v>
      </c>
      <c r="G112" s="44">
        <f t="shared" ca="1" si="29"/>
        <v>54.031850328892666</v>
      </c>
      <c r="H112" s="44">
        <f t="shared" ca="1" si="29"/>
        <v>55.818672779558767</v>
      </c>
      <c r="I112" s="44">
        <f t="shared" ca="1" si="29"/>
        <v>86.680756862624946</v>
      </c>
      <c r="J112" s="44">
        <f t="shared" ca="1" si="29"/>
        <v>80.56238239573122</v>
      </c>
      <c r="K112" s="44">
        <f t="shared" ca="1" si="29"/>
        <v>85.245670973871512</v>
      </c>
      <c r="L112" s="44">
        <f t="shared" ca="1" si="29"/>
        <v>84.059339159665797</v>
      </c>
      <c r="M112" s="44">
        <f t="shared" ca="1" si="29"/>
        <v>98.147312990598735</v>
      </c>
      <c r="N112" s="44">
        <f t="shared" ca="1" si="29"/>
        <v>104.05309580962611</v>
      </c>
      <c r="O112" s="44">
        <f t="shared" ca="1" si="29"/>
        <v>139.64794968080741</v>
      </c>
      <c r="P112" s="44">
        <f t="shared" ca="1" si="29"/>
        <v>162.87016794590841</v>
      </c>
      <c r="Q112" s="44">
        <f t="shared" ca="1" si="29"/>
        <v>260.36999119942914</v>
      </c>
      <c r="R112" s="56">
        <f t="shared" ca="1" si="29"/>
        <v>266.88789835636055</v>
      </c>
      <c r="S112" s="56">
        <f t="shared" ca="1" si="29"/>
        <v>273.38853626972337</v>
      </c>
      <c r="T112" s="193">
        <f t="shared" ca="1" si="29"/>
        <v>290.26495819888515</v>
      </c>
      <c r="U112" s="145">
        <f ca="1">T112/$T$111</f>
        <v>0.97009665085225294</v>
      </c>
      <c r="V112" s="120"/>
      <c r="W112" s="145"/>
      <c r="X112" s="146"/>
    </row>
    <row r="113" spans="2:24" s="110" customFormat="1" ht="15" thickBot="1" x14ac:dyDescent="0.4">
      <c r="B113" s="655" t="s">
        <v>214</v>
      </c>
      <c r="C113" s="685"/>
      <c r="D113" s="177">
        <f t="shared" ref="D113:T113" ca="1" si="30">SUM(D82:D82)</f>
        <v>0.43484999999999996</v>
      </c>
      <c r="E113" s="177">
        <f t="shared" ca="1" si="30"/>
        <v>0.80447249999999992</v>
      </c>
      <c r="F113" s="177">
        <f t="shared" ca="1" si="30"/>
        <v>1.1342516250000001</v>
      </c>
      <c r="G113" s="177">
        <f t="shared" ca="1" si="30"/>
        <v>1.4340638812499999</v>
      </c>
      <c r="H113" s="177">
        <f t="shared" ca="1" si="30"/>
        <v>1.6986542990625</v>
      </c>
      <c r="I113" s="177">
        <f t="shared" ca="1" si="30"/>
        <v>1.9391561542031248</v>
      </c>
      <c r="J113" s="177">
        <f t="shared" ca="1" si="30"/>
        <v>2.1533327310726564</v>
      </c>
      <c r="K113" s="177">
        <f t="shared" ca="1" si="30"/>
        <v>2.6980828214117576</v>
      </c>
      <c r="L113" s="177">
        <f t="shared" ca="1" si="30"/>
        <v>5.6161703981999933</v>
      </c>
      <c r="M113" s="177">
        <f t="shared" ca="1" si="30"/>
        <v>5.9320448384699942</v>
      </c>
      <c r="N113" s="177">
        <f t="shared" ca="1" si="30"/>
        <v>5.9977381126994951</v>
      </c>
      <c r="O113" s="177">
        <f t="shared" ca="1" si="30"/>
        <v>6.8979273957945715</v>
      </c>
      <c r="P113" s="177">
        <f t="shared" ca="1" si="30"/>
        <v>6.9825382864253847</v>
      </c>
      <c r="Q113" s="177">
        <f t="shared" ca="1" si="30"/>
        <v>6.9082075434615753</v>
      </c>
      <c r="R113" s="515">
        <f t="shared" ca="1" si="30"/>
        <v>6.9347264119423402</v>
      </c>
      <c r="S113" s="515">
        <f t="shared" ca="1" si="30"/>
        <v>8.6736574501509889</v>
      </c>
      <c r="T113" s="516">
        <f t="shared" ca="1" si="30"/>
        <v>8.9474532076283388</v>
      </c>
      <c r="U113" s="145">
        <f ca="1">T113/$T$111</f>
        <v>2.9903349147747164E-2</v>
      </c>
      <c r="V113" s="120"/>
      <c r="W113" s="145"/>
      <c r="X113" s="146"/>
    </row>
    <row r="114" spans="2:24" s="110" customFormat="1" ht="15" thickBot="1" x14ac:dyDescent="0.4">
      <c r="B114" s="687" t="s">
        <v>456</v>
      </c>
      <c r="C114" s="688"/>
      <c r="D114" s="526">
        <f>D115+D116</f>
        <v>1308.9892439999999</v>
      </c>
      <c r="E114" s="527">
        <f t="shared" ref="E114:T114" si="31">E115+E116</f>
        <v>1267.8439659999999</v>
      </c>
      <c r="F114" s="527">
        <f t="shared" si="31"/>
        <v>1162.5737225</v>
      </c>
      <c r="G114" s="527">
        <f t="shared" si="31"/>
        <v>1090.8372814500001</v>
      </c>
      <c r="H114" s="527">
        <f t="shared" si="31"/>
        <v>1167.3334430499999</v>
      </c>
      <c r="I114" s="527">
        <f t="shared" si="31"/>
        <v>1336.72871545</v>
      </c>
      <c r="J114" s="527">
        <f t="shared" si="31"/>
        <v>1298.1970670000001</v>
      </c>
      <c r="K114" s="527">
        <f t="shared" si="31"/>
        <v>1415.1178773000001</v>
      </c>
      <c r="L114" s="527">
        <f t="shared" si="31"/>
        <v>1481.4194424</v>
      </c>
      <c r="M114" s="527">
        <f t="shared" si="31"/>
        <v>1353.5985338</v>
      </c>
      <c r="N114" s="527">
        <f t="shared" si="31"/>
        <v>1480.64491585</v>
      </c>
      <c r="O114" s="527">
        <f t="shared" si="31"/>
        <v>1675.9393801000001</v>
      </c>
      <c r="P114" s="527">
        <f t="shared" si="31"/>
        <v>1638.38907885</v>
      </c>
      <c r="Q114" s="527">
        <f t="shared" si="31"/>
        <v>1591.2573963</v>
      </c>
      <c r="R114" s="527">
        <f t="shared" si="31"/>
        <v>1686.4559018999998</v>
      </c>
      <c r="S114" s="527">
        <f t="shared" si="31"/>
        <v>1724.6810695499998</v>
      </c>
      <c r="T114" s="528">
        <f t="shared" si="31"/>
        <v>1997.2460951499997</v>
      </c>
      <c r="U114" s="145">
        <f>(T114-D114)/D114</f>
        <v>0.52579259478621043</v>
      </c>
      <c r="V114" s="120"/>
      <c r="W114" s="145"/>
      <c r="X114" s="146"/>
    </row>
    <row r="115" spans="2:24" s="110" customFormat="1" x14ac:dyDescent="0.35">
      <c r="B115" s="669" t="s">
        <v>464</v>
      </c>
      <c r="C115" s="689"/>
      <c r="D115" s="522">
        <f>D41</f>
        <v>610.74336960000005</v>
      </c>
      <c r="E115" s="517">
        <f t="shared" ref="E115:T115" si="32">E41</f>
        <v>623.46718980000003</v>
      </c>
      <c r="F115" s="517">
        <f t="shared" si="32"/>
        <v>629.82909990000007</v>
      </c>
      <c r="G115" s="517">
        <f t="shared" si="32"/>
        <v>664.81960545000004</v>
      </c>
      <c r="H115" s="517">
        <f t="shared" si="32"/>
        <v>702.99106604999997</v>
      </c>
      <c r="I115" s="517">
        <f t="shared" si="32"/>
        <v>728.43870644999993</v>
      </c>
      <c r="J115" s="517">
        <f t="shared" si="32"/>
        <v>750.70539180000014</v>
      </c>
      <c r="K115" s="517">
        <f t="shared" si="32"/>
        <v>795.23876250000001</v>
      </c>
      <c r="L115" s="517">
        <f t="shared" si="32"/>
        <v>801.60067260000005</v>
      </c>
      <c r="M115" s="517">
        <f t="shared" si="32"/>
        <v>661.63865040000019</v>
      </c>
      <c r="N115" s="517">
        <f t="shared" si="32"/>
        <v>728.43870644999993</v>
      </c>
      <c r="O115" s="517">
        <f t="shared" si="32"/>
        <v>769.79112210000005</v>
      </c>
      <c r="P115" s="517">
        <f t="shared" si="32"/>
        <v>792.05780745000004</v>
      </c>
      <c r="Q115" s="517">
        <f t="shared" si="32"/>
        <v>731.61966150000001</v>
      </c>
      <c r="R115" s="518">
        <f t="shared" si="32"/>
        <v>769.79112210000005</v>
      </c>
      <c r="S115" s="518">
        <f t="shared" si="32"/>
        <v>823.86735794999993</v>
      </c>
      <c r="T115" s="519">
        <f t="shared" si="32"/>
        <v>925.65791954999997</v>
      </c>
      <c r="U115" s="145"/>
      <c r="V115" s="120"/>
      <c r="W115" s="145"/>
      <c r="X115" s="146"/>
    </row>
    <row r="116" spans="2:24" s="110" customFormat="1" ht="15" thickBot="1" x14ac:dyDescent="0.4">
      <c r="B116" s="671" t="s">
        <v>465</v>
      </c>
      <c r="C116" s="690"/>
      <c r="D116" s="523">
        <f>D59+D60</f>
        <v>698.24587439999993</v>
      </c>
      <c r="E116" s="142">
        <f t="shared" ref="E116:T116" si="33">E59+E60</f>
        <v>644.37677619999999</v>
      </c>
      <c r="F116" s="142">
        <f t="shared" si="33"/>
        <v>532.74462259999996</v>
      </c>
      <c r="G116" s="142">
        <f t="shared" si="33"/>
        <v>426.01767599999999</v>
      </c>
      <c r="H116" s="142">
        <f t="shared" si="33"/>
        <v>464.34237699999994</v>
      </c>
      <c r="I116" s="142">
        <f t="shared" si="33"/>
        <v>608.29000900000005</v>
      </c>
      <c r="J116" s="142">
        <f t="shared" si="33"/>
        <v>547.49167520000003</v>
      </c>
      <c r="K116" s="142">
        <f t="shared" si="33"/>
        <v>619.87911480000002</v>
      </c>
      <c r="L116" s="142">
        <f t="shared" si="33"/>
        <v>679.81876979999993</v>
      </c>
      <c r="M116" s="142">
        <f t="shared" si="33"/>
        <v>691.95988339999997</v>
      </c>
      <c r="N116" s="142">
        <f t="shared" si="33"/>
        <v>752.20620940000003</v>
      </c>
      <c r="O116" s="142">
        <f t="shared" si="33"/>
        <v>906.14825799999994</v>
      </c>
      <c r="P116" s="142">
        <f t="shared" si="33"/>
        <v>846.33127139999999</v>
      </c>
      <c r="Q116" s="142">
        <f t="shared" si="33"/>
        <v>859.63773480000009</v>
      </c>
      <c r="R116" s="143">
        <f t="shared" si="33"/>
        <v>916.66477979999991</v>
      </c>
      <c r="S116" s="143">
        <f t="shared" si="33"/>
        <v>900.81371160000003</v>
      </c>
      <c r="T116" s="194">
        <f t="shared" si="33"/>
        <v>1071.5881755999999</v>
      </c>
      <c r="U116" s="145"/>
      <c r="V116" s="120"/>
      <c r="W116" s="145"/>
      <c r="X116" s="146"/>
    </row>
    <row r="117" spans="2:24" ht="15" thickBot="1" x14ac:dyDescent="0.4">
      <c r="B117" s="657" t="s">
        <v>212</v>
      </c>
      <c r="C117" s="658"/>
      <c r="D117" s="524">
        <f>('Emissions GEI'!D8+'Emissions GEI'!D39+'Emissions GEI'!D40+'Emissions GEI'!D64+'Emissions GEI'!D67+'Emissions GEI'!D68)*'Global Warming Potential GWP'!$E$6/1000</f>
        <v>1136.4591</v>
      </c>
      <c r="E117" s="503">
        <f>('Emissions GEI'!E8+'Emissions GEI'!E39+'Emissions GEI'!E40+'Emissions GEI'!E64+'Emissions GEI'!E67+'Emissions GEI'!E68)*'Global Warming Potential GWP'!$E$6/1000</f>
        <v>1218.7522000000001</v>
      </c>
      <c r="F117" s="503">
        <f>('Emissions GEI'!F8+'Emissions GEI'!F39+'Emissions GEI'!F40+'Emissions GEI'!F64+'Emissions GEI'!F67+'Emissions GEI'!F68)*'Global Warming Potential GWP'!$E$6/1000</f>
        <v>1197.9554020000003</v>
      </c>
      <c r="G117" s="503">
        <f>('Emissions GEI'!G8+'Emissions GEI'!G39+'Emissions GEI'!G40+'Emissions GEI'!G64+'Emissions GEI'!G67+'Emissions GEI'!G68)*'Global Warming Potential GWP'!$E$6/1000</f>
        <v>1134.0230320000001</v>
      </c>
      <c r="H117" s="503">
        <f>('Emissions GEI'!H8+'Emissions GEI'!H39+'Emissions GEI'!H40+'Emissions GEI'!H64+'Emissions GEI'!H67+'Emissions GEI'!H68)*'Global Warming Potential GWP'!$E$6/1000</f>
        <v>1171.0283899999999</v>
      </c>
      <c r="I117" s="503">
        <f>('Emissions GEI'!I8+'Emissions GEI'!I39+'Emissions GEI'!I40+'Emissions GEI'!I64+'Emissions GEI'!I67+'Emissions GEI'!I68)*'Global Warming Potential GWP'!$E$6/1000</f>
        <v>1114.5794480000002</v>
      </c>
      <c r="J117" s="503">
        <f>('Emissions GEI'!J8+'Emissions GEI'!J39+'Emissions GEI'!J40+'Emissions GEI'!J64+'Emissions GEI'!J67+'Emissions GEI'!J68)*'Global Warming Potential GWP'!$E$6/1000</f>
        <v>1092.3369546000001</v>
      </c>
      <c r="K117" s="503">
        <f>('Emissions GEI'!K8+'Emissions GEI'!K39+'Emissions GEI'!K40+'Emissions GEI'!K64+'Emissions GEI'!K67+'Emissions GEI'!K68)*'Global Warming Potential GWP'!$E$6/1000</f>
        <v>968.11026729872015</v>
      </c>
      <c r="L117" s="503">
        <f>('Emissions GEI'!L8+'Emissions GEI'!L39+'Emissions GEI'!L40+'Emissions GEI'!L64+'Emissions GEI'!L67+'Emissions GEI'!L68)*'Global Warming Potential GWP'!$E$6/1000</f>
        <v>1139.8768331003657</v>
      </c>
      <c r="M117" s="503">
        <f>('Emissions GEI'!M8+'Emissions GEI'!M39+'Emissions GEI'!M40+'Emissions GEI'!M64+'Emissions GEI'!M67+'Emissions GEI'!M68)*'Global Warming Potential GWP'!$E$6/1000</f>
        <v>1019.2268496916827</v>
      </c>
      <c r="N117" s="503">
        <f>('Emissions GEI'!N8+'Emissions GEI'!N39+'Emissions GEI'!N40+'Emissions GEI'!N64+'Emissions GEI'!N67+'Emissions GEI'!N68)*'Global Warming Potential GWP'!$E$6/1000</f>
        <v>1053.2010649195397</v>
      </c>
      <c r="O117" s="503">
        <f>('Emissions GEI'!O8+'Emissions GEI'!O39+'Emissions GEI'!O40+'Emissions GEI'!O64+'Emissions GEI'!O67+'Emissions GEI'!O68)*'Global Warming Potential GWP'!$E$6/1000</f>
        <v>984.50758025103892</v>
      </c>
      <c r="P117" s="503">
        <f>('Emissions GEI'!P8+'Emissions GEI'!P39+'Emissions GEI'!P40+'Emissions GEI'!P64+'Emissions GEI'!P67+'Emissions GEI'!P68)*'Global Warming Potential GWP'!$E$6/1000</f>
        <v>940.61641624989261</v>
      </c>
      <c r="Q117" s="503">
        <f>('Emissions GEI'!Q8+'Emissions GEI'!Q39+'Emissions GEI'!Q40+'Emissions GEI'!Q64+'Emissions GEI'!Q67+'Emissions GEI'!Q68)*'Global Warming Potential GWP'!$E$6/1000</f>
        <v>943.81026203925524</v>
      </c>
      <c r="R117" s="520">
        <f>('Emissions GEI'!R8+'Emissions GEI'!R39+'Emissions GEI'!R40+'Emissions GEI'!R64+'Emissions GEI'!R67+'Emissions GEI'!R68)*'Global Warming Potential GWP'!$E$6/1000</f>
        <v>902.81359975741589</v>
      </c>
      <c r="S117" s="520">
        <f>('Emissions GEI'!S8+'Emissions GEI'!S39+'Emissions GEI'!S40+'Emissions GEI'!S64+'Emissions GEI'!S67+'Emissions GEI'!S68)*'Global Warming Potential GWP'!$E$6/1000</f>
        <v>987.22743863844084</v>
      </c>
      <c r="T117" s="521">
        <f>('Emissions GEI'!T8+'Emissions GEI'!T39+'Emissions GEI'!T40+'Emissions GEI'!T64+'Emissions GEI'!T67+'Emissions GEI'!T68)*'Global Warming Potential GWP'!$E$6/1000</f>
        <v>891.62604002566627</v>
      </c>
      <c r="W117" s="146"/>
      <c r="X117" s="146"/>
    </row>
    <row r="118" spans="2:24" x14ac:dyDescent="0.35">
      <c r="D118" s="50"/>
      <c r="E118" s="50"/>
      <c r="F118" s="50"/>
      <c r="G118" s="50"/>
      <c r="H118" s="50"/>
    </row>
  </sheetData>
  <mergeCells count="51">
    <mergeCell ref="D2:T2"/>
    <mergeCell ref="B4:B8"/>
    <mergeCell ref="B9:B15"/>
    <mergeCell ref="B61:B62"/>
    <mergeCell ref="B16:B17"/>
    <mergeCell ref="B18:B21"/>
    <mergeCell ref="B23:B26"/>
    <mergeCell ref="B27:B30"/>
    <mergeCell ref="B31:B34"/>
    <mergeCell ref="B35:B40"/>
    <mergeCell ref="B59:B60"/>
    <mergeCell ref="B43:B58"/>
    <mergeCell ref="B83:C83"/>
    <mergeCell ref="B63:B64"/>
    <mergeCell ref="B65:B68"/>
    <mergeCell ref="B76:B81"/>
    <mergeCell ref="B70:B71"/>
    <mergeCell ref="B104:C104"/>
    <mergeCell ref="B101:C101"/>
    <mergeCell ref="B103:C103"/>
    <mergeCell ref="B86:C86"/>
    <mergeCell ref="B87:C87"/>
    <mergeCell ref="B90:C90"/>
    <mergeCell ref="B91:C91"/>
    <mergeCell ref="B92:C92"/>
    <mergeCell ref="B96:C96"/>
    <mergeCell ref="B97:C97"/>
    <mergeCell ref="B98:C98"/>
    <mergeCell ref="B99:C99"/>
    <mergeCell ref="B100:C100"/>
    <mergeCell ref="B84:C84"/>
    <mergeCell ref="B85:C85"/>
    <mergeCell ref="B93:C93"/>
    <mergeCell ref="B94:C94"/>
    <mergeCell ref="B95:C95"/>
    <mergeCell ref="B109:C109"/>
    <mergeCell ref="B110:C110"/>
    <mergeCell ref="B88:C88"/>
    <mergeCell ref="B117:C117"/>
    <mergeCell ref="B113:C113"/>
    <mergeCell ref="B106:C106"/>
    <mergeCell ref="B107:C107"/>
    <mergeCell ref="B108:C108"/>
    <mergeCell ref="B111:C111"/>
    <mergeCell ref="B112:C112"/>
    <mergeCell ref="B114:C114"/>
    <mergeCell ref="B115:C115"/>
    <mergeCell ref="B116:C116"/>
    <mergeCell ref="B102:C102"/>
    <mergeCell ref="B89:C89"/>
    <mergeCell ref="B105:C105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44013-349E-4035-B8BA-781B293215DD}">
  <dimension ref="B1:D19"/>
  <sheetViews>
    <sheetView showGridLines="0" topLeftCell="B1" zoomScale="85" zoomScaleNormal="85" workbookViewId="0">
      <selection activeCell="C8" sqref="C8"/>
    </sheetView>
  </sheetViews>
  <sheetFormatPr baseColWidth="10" defaultRowHeight="14.5" x14ac:dyDescent="0.35"/>
  <cols>
    <col min="1" max="1" width="3.453125" customWidth="1"/>
    <col min="2" max="2" width="11.453125" style="2"/>
    <col min="3" max="3" width="110" style="455" bestFit="1" customWidth="1"/>
    <col min="4" max="4" width="101.453125" bestFit="1" customWidth="1"/>
  </cols>
  <sheetData>
    <row r="1" spans="2:4" ht="15" thickBot="1" x14ac:dyDescent="0.4"/>
    <row r="2" spans="2:4" ht="15" thickBot="1" x14ac:dyDescent="0.4">
      <c r="B2" s="496" t="s">
        <v>66</v>
      </c>
      <c r="C2" s="497" t="s">
        <v>64</v>
      </c>
      <c r="D2" s="498" t="s">
        <v>68</v>
      </c>
    </row>
    <row r="3" spans="2:4" x14ac:dyDescent="0.35">
      <c r="B3" s="457" t="s">
        <v>65</v>
      </c>
      <c r="C3" s="458" t="s">
        <v>67</v>
      </c>
      <c r="D3" s="459" t="s">
        <v>488</v>
      </c>
    </row>
    <row r="4" spans="2:4" x14ac:dyDescent="0.35">
      <c r="B4" s="329" t="s">
        <v>70</v>
      </c>
      <c r="C4" s="456" t="s">
        <v>393</v>
      </c>
      <c r="D4" s="460" t="s">
        <v>71</v>
      </c>
    </row>
    <row r="5" spans="2:4" x14ac:dyDescent="0.35">
      <c r="B5" s="329" t="s">
        <v>72</v>
      </c>
      <c r="C5" s="48" t="s">
        <v>137</v>
      </c>
      <c r="D5" s="330" t="s">
        <v>301</v>
      </c>
    </row>
    <row r="6" spans="2:4" s="1" customFormat="1" x14ac:dyDescent="0.35">
      <c r="B6" s="329" t="s">
        <v>73</v>
      </c>
      <c r="C6" s="48" t="s">
        <v>102</v>
      </c>
      <c r="D6" s="330" t="s">
        <v>78</v>
      </c>
    </row>
    <row r="7" spans="2:4" ht="29" x14ac:dyDescent="0.35">
      <c r="B7" s="329" t="s">
        <v>74</v>
      </c>
      <c r="C7" s="48" t="s">
        <v>394</v>
      </c>
      <c r="D7" s="98" t="s">
        <v>71</v>
      </c>
    </row>
    <row r="8" spans="2:4" x14ac:dyDescent="0.35">
      <c r="B8" s="329" t="s">
        <v>75</v>
      </c>
      <c r="C8" s="48" t="s">
        <v>282</v>
      </c>
      <c r="D8" s="98" t="s">
        <v>71</v>
      </c>
    </row>
    <row r="9" spans="2:4" x14ac:dyDescent="0.35">
      <c r="B9" s="329" t="s">
        <v>76</v>
      </c>
      <c r="C9" s="48" t="s">
        <v>538</v>
      </c>
      <c r="D9" s="98" t="s">
        <v>71</v>
      </c>
    </row>
    <row r="10" spans="2:4" x14ac:dyDescent="0.35">
      <c r="B10" s="329" t="s">
        <v>77</v>
      </c>
      <c r="C10" s="48" t="s">
        <v>403</v>
      </c>
      <c r="D10" s="98" t="s">
        <v>357</v>
      </c>
    </row>
    <row r="11" spans="2:4" x14ac:dyDescent="0.35">
      <c r="B11" s="329" t="s">
        <v>82</v>
      </c>
      <c r="C11" s="48" t="s">
        <v>401</v>
      </c>
      <c r="D11" s="98" t="s">
        <v>402</v>
      </c>
    </row>
    <row r="12" spans="2:4" x14ac:dyDescent="0.35">
      <c r="B12" s="329" t="s">
        <v>83</v>
      </c>
      <c r="C12" s="48" t="s">
        <v>404</v>
      </c>
      <c r="D12" s="98" t="s">
        <v>71</v>
      </c>
    </row>
    <row r="13" spans="2:4" x14ac:dyDescent="0.35">
      <c r="B13" s="329" t="s">
        <v>84</v>
      </c>
      <c r="C13" s="48" t="s">
        <v>407</v>
      </c>
      <c r="D13" s="98" t="s">
        <v>71</v>
      </c>
    </row>
    <row r="14" spans="2:4" x14ac:dyDescent="0.35">
      <c r="B14" s="329" t="s">
        <v>85</v>
      </c>
      <c r="C14" s="456" t="s">
        <v>397</v>
      </c>
      <c r="D14" s="479" t="s">
        <v>388</v>
      </c>
    </row>
    <row r="15" spans="2:4" x14ac:dyDescent="0.35">
      <c r="B15" s="329" t="s">
        <v>105</v>
      </c>
      <c r="C15" s="456" t="s">
        <v>399</v>
      </c>
      <c r="D15" s="98" t="s">
        <v>71</v>
      </c>
    </row>
    <row r="16" spans="2:4" ht="29" x14ac:dyDescent="0.35">
      <c r="B16" s="329" t="s">
        <v>107</v>
      </c>
      <c r="C16" s="456" t="s">
        <v>406</v>
      </c>
      <c r="D16" s="330" t="s">
        <v>405</v>
      </c>
    </row>
    <row r="17" spans="2:4" x14ac:dyDescent="0.35">
      <c r="B17" s="329" t="s">
        <v>108</v>
      </c>
      <c r="C17" s="456" t="s">
        <v>395</v>
      </c>
      <c r="D17" s="479" t="s">
        <v>396</v>
      </c>
    </row>
    <row r="18" spans="2:4" x14ac:dyDescent="0.35">
      <c r="B18" s="329" t="s">
        <v>174</v>
      </c>
      <c r="C18" s="456" t="s">
        <v>398</v>
      </c>
      <c r="D18" s="98" t="s">
        <v>357</v>
      </c>
    </row>
    <row r="19" spans="2:4" x14ac:dyDescent="0.35">
      <c r="B19" s="329" t="s">
        <v>453</v>
      </c>
      <c r="C19" s="48" t="s">
        <v>454</v>
      </c>
      <c r="D19" s="330" t="s">
        <v>455</v>
      </c>
    </row>
  </sheetData>
  <hyperlinks>
    <hyperlink ref="D3" r:id="rId1" xr:uid="{CB022BEE-90CE-4FAD-95F0-6FF98F0E6889}"/>
    <hyperlink ref="D6" r:id="rId2" xr:uid="{5EC40E6F-9896-4079-AAC1-CCC7478256D8}"/>
    <hyperlink ref="D5" r:id="rId3" xr:uid="{83EB949E-1ACB-4FDC-BDAC-5DBF471A4E5D}"/>
    <hyperlink ref="D14" r:id="rId4" xr:uid="{E22E0845-1C0F-4A70-9EE4-A4FB7FEDBEE7}"/>
    <hyperlink ref="D17" r:id="rId5" xr:uid="{0211CE19-AE37-4DB1-A377-1C63EDD0BCBC}"/>
    <hyperlink ref="D16" r:id="rId6" xr:uid="{51629AFF-9C7F-4549-AC8A-19D459404B90}"/>
    <hyperlink ref="D19" r:id="rId7" xr:uid="{7C2550B3-4271-4199-A818-A27709715E33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FE7AF24C04954491C86467E44D5D3F" ma:contentTypeVersion="1" ma:contentTypeDescription="Create a new document." ma:contentTypeScope="" ma:versionID="a2d20bfa859f81238ec0f30d82f64af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E5BC90D-BA93-4223-BB6E-ABB4AA00EDDF}"/>
</file>

<file path=customXml/itemProps2.xml><?xml version="1.0" encoding="utf-8"?>
<ds:datastoreItem xmlns:ds="http://schemas.openxmlformats.org/officeDocument/2006/customXml" ds:itemID="{259CFF98-ACDB-466E-94E1-FF009555E23A}"/>
</file>

<file path=customXml/itemProps3.xml><?xml version="1.0" encoding="utf-8"?>
<ds:datastoreItem xmlns:ds="http://schemas.openxmlformats.org/officeDocument/2006/customXml" ds:itemID="{6EFE59E6-3C8F-499F-B646-0D07CE6FBB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Introduction</vt:lpstr>
      <vt:lpstr>Activity Data Rep. Mauritius</vt:lpstr>
      <vt:lpstr>Hoja2</vt:lpstr>
      <vt:lpstr>Activity Data Mauritius Island</vt:lpstr>
      <vt:lpstr>Activity Data Rodrigues Island</vt:lpstr>
      <vt:lpstr>Emissions GEI HFCs</vt:lpstr>
      <vt:lpstr>Emissions GEI</vt:lpstr>
      <vt:lpstr>Emissions CO2eq.</vt:lpstr>
      <vt:lpstr>Inf Source</vt:lpstr>
      <vt:lpstr>Activity Data Calculations</vt:lpstr>
      <vt:lpstr>Transport Data 14-16</vt:lpstr>
      <vt:lpstr>Transport QA-QC</vt:lpstr>
      <vt:lpstr>Emission Factors EF</vt:lpstr>
      <vt:lpstr>Conversion Factors CF</vt:lpstr>
      <vt:lpstr>Global Warming Potential GWP</vt:lpstr>
      <vt:lpstr>Comparissons</vt:lpstr>
      <vt:lpstr>Comparisson with TNC</vt:lpstr>
      <vt:lpstr>Reference Approach</vt:lpstr>
      <vt:lpstr>Activity Data IPCC Software</vt:lpstr>
      <vt:lpstr>Cualitative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Amaia de Vega Gomez</dc:creator>
  <cp:lastModifiedBy>Amaia de Vega Gomez</cp:lastModifiedBy>
  <dcterms:created xsi:type="dcterms:W3CDTF">2019-04-04T08:52:03Z</dcterms:created>
  <dcterms:modified xsi:type="dcterms:W3CDTF">2020-11-07T18:03:14Z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0x01010081FE7AF24C04954491C86467E44D5D3F</vt:lpwstr>
  </property>
</Properties>
</file>