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440" activeTab="3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  <sheet name="Parameters" sheetId="14" r:id="rId6"/>
  </sheets>
  <calcPr calcId="145621"/>
</workbook>
</file>

<file path=xl/calcChain.xml><?xml version="1.0" encoding="utf-8"?>
<calcChain xmlns="http://schemas.openxmlformats.org/spreadsheetml/2006/main">
  <c r="L16" i="1" l="1"/>
  <c r="L14" i="1" l="1"/>
  <c r="L15" i="1"/>
  <c r="W80" i="1"/>
  <c r="U80" i="1"/>
  <c r="T80" i="1"/>
  <c r="S80" i="1"/>
  <c r="U59" i="1"/>
  <c r="R60" i="1"/>
  <c r="U60" i="1" s="1"/>
  <c r="U61" i="1" s="1"/>
  <c r="S64" i="1" s="1"/>
  <c r="S65" i="1" s="1"/>
  <c r="R59" i="1"/>
  <c r="T49" i="1"/>
  <c r="S47" i="1"/>
  <c r="S46" i="1"/>
  <c r="S45" i="1"/>
  <c r="N9" i="14"/>
  <c r="S43" i="1"/>
  <c r="S42" i="1"/>
  <c r="T35" i="14"/>
  <c r="S21" i="1"/>
  <c r="T41" i="14"/>
  <c r="R69" i="1" l="1"/>
  <c r="R71" i="1" s="1"/>
  <c r="R70" i="1"/>
  <c r="P35" i="14"/>
  <c r="P34" i="14"/>
  <c r="R21" i="1" s="1"/>
  <c r="R23" i="1" l="1"/>
  <c r="R24" i="1"/>
  <c r="R25" i="1"/>
  <c r="R73" i="1"/>
  <c r="R72" i="1"/>
  <c r="O31" i="14"/>
  <c r="O29" i="14"/>
  <c r="O14" i="14"/>
  <c r="P14" i="14" s="1"/>
  <c r="R9" i="14"/>
  <c r="L9" i="14"/>
  <c r="Q12" i="14" s="1"/>
  <c r="Q13" i="14" s="1"/>
  <c r="Q14" i="14" s="1"/>
  <c r="Q16" i="14" s="1"/>
  <c r="Q17" i="14" s="1"/>
  <c r="Q18" i="14" s="1"/>
  <c r="Q19" i="14" s="1"/>
  <c r="K9" i="14"/>
  <c r="J9" i="14"/>
  <c r="I9" i="14"/>
  <c r="H9" i="14"/>
  <c r="G9" i="14"/>
  <c r="F9" i="14"/>
  <c r="E9" i="14"/>
  <c r="R8" i="14"/>
  <c r="R7" i="14"/>
  <c r="T34" i="14" s="1"/>
  <c r="T36" i="14" l="1"/>
  <c r="R39" i="1"/>
  <c r="T39" i="1" s="1"/>
  <c r="T40" i="14"/>
  <c r="T42" i="14" s="1"/>
  <c r="T15" i="1" s="1"/>
  <c r="S81" i="1"/>
  <c r="T81" i="1" s="1"/>
  <c r="U81" i="1" s="1"/>
  <c r="W81" i="1" s="1"/>
  <c r="R26" i="1"/>
  <c r="S23" i="1" s="1"/>
  <c r="G14" i="1" l="1"/>
  <c r="T31" i="1" s="1"/>
  <c r="T34" i="1" s="1"/>
  <c r="I14" i="1" s="1"/>
  <c r="E14" i="1"/>
  <c r="S24" i="1"/>
  <c r="G15" i="1" s="1"/>
  <c r="E15" i="1" s="1"/>
  <c r="S25" i="1"/>
  <c r="G16" i="1" s="1"/>
  <c r="E16" i="1" s="1"/>
  <c r="S26" i="1"/>
  <c r="D15" i="13"/>
  <c r="D16" i="13"/>
  <c r="D14" i="13"/>
  <c r="C10" i="13"/>
  <c r="C10" i="11"/>
  <c r="D15" i="11"/>
  <c r="D16" i="11"/>
  <c r="D14" i="11"/>
  <c r="D15" i="10"/>
  <c r="D16" i="10"/>
  <c r="D14" i="10"/>
  <c r="C10" i="10"/>
  <c r="C10" i="4"/>
  <c r="D15" i="4"/>
  <c r="D16" i="4"/>
  <c r="D14" i="4"/>
  <c r="K20" i="13" l="1"/>
  <c r="I20" i="13"/>
  <c r="M18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20" i="11" l="1"/>
  <c r="I20" i="11"/>
  <c r="M18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20" i="10"/>
  <c r="I20" i="10"/>
  <c r="M18" i="10"/>
  <c r="L16" i="4"/>
  <c r="L15" i="4"/>
  <c r="L14" i="4"/>
  <c r="K16" i="4"/>
  <c r="K15" i="4"/>
  <c r="K14" i="4"/>
  <c r="J16" i="4"/>
  <c r="J15" i="4"/>
  <c r="J14" i="4"/>
  <c r="I16" i="4"/>
  <c r="I15" i="4"/>
  <c r="I14" i="4"/>
  <c r="H16" i="4"/>
  <c r="H15" i="4"/>
  <c r="H14" i="4"/>
  <c r="G16" i="4"/>
  <c r="G15" i="4"/>
  <c r="G14" i="4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F16" i="4"/>
  <c r="F15" i="4"/>
  <c r="E16" i="4"/>
  <c r="E15" i="4"/>
  <c r="E16" i="10" l="1"/>
  <c r="E16" i="13"/>
  <c r="E15" i="11"/>
  <c r="E15" i="13"/>
  <c r="F15" i="11"/>
  <c r="F15" i="13"/>
  <c r="G14" i="11"/>
  <c r="G14" i="13"/>
  <c r="G16" i="11"/>
  <c r="G16" i="13"/>
  <c r="H14" i="11"/>
  <c r="H14" i="13"/>
  <c r="H16" i="11"/>
  <c r="H16" i="13"/>
  <c r="I14" i="11"/>
  <c r="I14" i="13"/>
  <c r="I16" i="11"/>
  <c r="I16" i="13"/>
  <c r="J14" i="11"/>
  <c r="J14" i="13"/>
  <c r="J16" i="11"/>
  <c r="J16" i="13"/>
  <c r="K14" i="11"/>
  <c r="K14" i="13"/>
  <c r="K16" i="11"/>
  <c r="K16" i="13"/>
  <c r="L14" i="11"/>
  <c r="L14" i="13"/>
  <c r="L16" i="11"/>
  <c r="L16" i="13"/>
  <c r="F16" i="11"/>
  <c r="F16" i="13"/>
  <c r="M16" i="13" s="1"/>
  <c r="G15" i="11"/>
  <c r="G15" i="13"/>
  <c r="H15" i="11"/>
  <c r="H15" i="13"/>
  <c r="I15" i="10"/>
  <c r="I15" i="13"/>
  <c r="J15" i="10"/>
  <c r="J15" i="13"/>
  <c r="K15" i="11"/>
  <c r="K15" i="13"/>
  <c r="L15" i="11"/>
  <c r="L15" i="13"/>
  <c r="F16" i="10"/>
  <c r="F15" i="10"/>
  <c r="K14" i="10"/>
  <c r="K16" i="10"/>
  <c r="K15" i="10"/>
  <c r="J14" i="10"/>
  <c r="J16" i="10"/>
  <c r="J15" i="11"/>
  <c r="H14" i="10"/>
  <c r="H16" i="10"/>
  <c r="H15" i="10"/>
  <c r="L14" i="10"/>
  <c r="L16" i="10"/>
  <c r="L15" i="10"/>
  <c r="I14" i="10"/>
  <c r="I16" i="10"/>
  <c r="I15" i="11"/>
  <c r="G15" i="10"/>
  <c r="G14" i="10"/>
  <c r="G16" i="10"/>
  <c r="E15" i="10"/>
  <c r="E16" i="11"/>
  <c r="F14" i="4"/>
  <c r="F14" i="13" s="1"/>
  <c r="M16" i="11" l="1"/>
  <c r="M15" i="11"/>
  <c r="M15" i="10"/>
  <c r="M15" i="13"/>
  <c r="M16" i="10"/>
  <c r="F14" i="11"/>
  <c r="F14" i="10"/>
  <c r="M16" i="4"/>
  <c r="M15" i="4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14" i="13" l="1"/>
  <c r="N15" i="13"/>
  <c r="N16" i="13"/>
  <c r="M14" i="4"/>
  <c r="E14" i="10"/>
  <c r="M14" i="10" s="1"/>
  <c r="E14" i="11"/>
  <c r="M14" i="11" s="1"/>
  <c r="B8" i="1"/>
  <c r="N14" i="10" l="1"/>
  <c r="N14" i="4"/>
  <c r="N15" i="4"/>
  <c r="N16" i="4"/>
  <c r="N16" i="10"/>
  <c r="N15" i="10"/>
  <c r="N14" i="11"/>
  <c r="N15" i="11"/>
  <c r="N16" i="11"/>
</calcChain>
</file>

<file path=xl/sharedStrings.xml><?xml version="1.0" encoding="utf-8"?>
<sst xmlns="http://schemas.openxmlformats.org/spreadsheetml/2006/main" count="312" uniqueCount="186">
  <si>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</si>
  <si>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</si>
  <si>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</si>
  <si>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</si>
  <si>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</si>
  <si>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</si>
  <si>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</si>
  <si>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</si>
  <si>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</si>
  <si>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</si>
  <si>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</si>
  <si>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</si>
  <si>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</si>
  <si>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</si>
  <si>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</si>
  <si>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</si>
  <si>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</si>
  <si>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</si>
  <si>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</si>
  <si>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</si>
  <si>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</si>
  <si>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</si>
  <si>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L</t>
  </si>
  <si>
    <t>VL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</si>
  <si>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</si>
  <si>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</si>
  <si>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</si>
  <si>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</si>
  <si>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</si>
  <si>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</si>
  <si>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</si>
  <si>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</si>
  <si>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</si>
  <si>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</si>
  <si>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</si>
  <si>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</si>
  <si>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</si>
  <si>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</si>
  <si>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</si>
  <si>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</si>
  <si>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</si>
  <si>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</si>
  <si>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</si>
  <si>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</si>
  <si>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</si>
  <si>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</si>
  <si>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</si>
  <si>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</si>
  <si>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</si>
  <si>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</si>
  <si>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GHG reduction (tCO2)</t>
  </si>
  <si>
    <t>job creation (number)</t>
  </si>
  <si>
    <t>m70</t>
  </si>
  <si>
    <t>m60</t>
  </si>
  <si>
    <t>l</t>
  </si>
  <si>
    <t>m65</t>
  </si>
  <si>
    <t>h80</t>
  </si>
  <si>
    <t>l30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</si>
  <si>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</si>
  <si>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</si>
  <si>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</si>
  <si>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</si>
  <si>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</si>
  <si>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</si>
  <si>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</si>
  <si>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</si>
  <si>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</si>
  <si>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</si>
  <si>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</si>
  <si>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</si>
  <si>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</si>
  <si>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</si>
  <si>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Agriculture (Livestock)</t>
  </si>
  <si>
    <t>Biogas</t>
  </si>
  <si>
    <t>Composting</t>
  </si>
  <si>
    <t>Fertigation</t>
  </si>
  <si>
    <t>e80</t>
  </si>
  <si>
    <t>vl5</t>
  </si>
  <si>
    <t>vl15</t>
  </si>
  <si>
    <t>Allocation of GHG emission reductions</t>
  </si>
  <si>
    <t xml:space="preserve">total reductions in 2030  </t>
  </si>
  <si>
    <t>tCO2</t>
  </si>
  <si>
    <t>biogas</t>
  </si>
  <si>
    <t>composting</t>
  </si>
  <si>
    <t>fertigation</t>
  </si>
  <si>
    <t>calculating share of technologies in 2030</t>
  </si>
  <si>
    <t>pig</t>
  </si>
  <si>
    <t>excrement</t>
  </si>
  <si>
    <t>avoided energy bill</t>
  </si>
  <si>
    <t>- comparing with equivalent LPG</t>
  </si>
  <si>
    <t>LPG emission</t>
  </si>
  <si>
    <t>tCO2e/tLPG</t>
  </si>
  <si>
    <t>LPG equivalent</t>
  </si>
  <si>
    <t>LPG cost</t>
  </si>
  <si>
    <t>savings</t>
  </si>
  <si>
    <t>estimating financing cost</t>
  </si>
  <si>
    <t>Livestock</t>
  </si>
  <si>
    <t>animal</t>
  </si>
  <si>
    <t>availability of waste per day (kg)</t>
  </si>
  <si>
    <t>Gas production per Kg waste (m3)</t>
  </si>
  <si>
    <t>gas production per animal per day m3</t>
  </si>
  <si>
    <r>
      <t>Cattle, dairy</t>
    </r>
    <r>
      <rPr>
        <b/>
        <vertAlign val="superscript"/>
        <sz val="11"/>
        <color theme="1"/>
        <rFont val="Times New Roman"/>
        <family val="1"/>
      </rPr>
      <t>2</t>
    </r>
  </si>
  <si>
    <t>cattle</t>
  </si>
  <si>
    <r>
      <t>Cattle, non-dairy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</si>
  <si>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pig </t>
  </si>
  <si>
    <t>Total</t>
  </si>
  <si>
    <t>poultry</t>
  </si>
  <si>
    <r>
      <t>Goats</t>
    </r>
    <r>
      <rPr>
        <b/>
        <vertAlign val="superscript"/>
        <sz val="11"/>
        <color theme="1"/>
        <rFont val="Times New Roman"/>
        <family val="1"/>
      </rPr>
      <t>1</t>
    </r>
  </si>
  <si>
    <r>
      <t>Sheep</t>
    </r>
    <r>
      <rPr>
        <b/>
        <vertAlign val="superscript"/>
        <sz val="11"/>
        <color theme="1"/>
        <rFont val="Times New Roman"/>
        <family val="1"/>
      </rPr>
      <t>1</t>
    </r>
  </si>
  <si>
    <t>Buffaloes</t>
  </si>
  <si>
    <t>1 bag</t>
  </si>
  <si>
    <t>kg</t>
  </si>
  <si>
    <t>Asses</t>
  </si>
  <si>
    <t>N/A</t>
  </si>
  <si>
    <t>price</t>
  </si>
  <si>
    <t>Rs/bag</t>
  </si>
  <si>
    <r>
      <t>Horses</t>
    </r>
    <r>
      <rPr>
        <b/>
        <vertAlign val="superscript"/>
        <sz val="11"/>
        <color theme="1"/>
        <rFont val="Times New Roman"/>
        <family val="1"/>
      </rPr>
      <t>4</t>
    </r>
  </si>
  <si>
    <t>compost</t>
  </si>
  <si>
    <t>Mules</t>
  </si>
  <si>
    <r>
      <t>Swine, breeding</t>
    </r>
    <r>
      <rPr>
        <b/>
        <vertAlign val="superscript"/>
        <sz val="11"/>
        <color theme="1"/>
        <rFont val="Times New Roman"/>
        <family val="1"/>
      </rPr>
      <t>2</t>
    </r>
  </si>
  <si>
    <t>labour fraction</t>
  </si>
  <si>
    <r>
      <t>Swine, market</t>
    </r>
    <r>
      <rPr>
        <b/>
        <vertAlign val="superscript"/>
        <sz val="11"/>
        <color theme="1"/>
        <rFont val="Times New Roman"/>
        <family val="1"/>
      </rPr>
      <t>2</t>
    </r>
  </si>
  <si>
    <t>months/yr</t>
  </si>
  <si>
    <r>
      <t>Swine (Total)</t>
    </r>
    <r>
      <rPr>
        <b/>
        <vertAlign val="superscript"/>
        <sz val="11"/>
        <color theme="1"/>
        <rFont val="Times New Roman"/>
        <family val="1"/>
      </rPr>
      <t>2</t>
    </r>
  </si>
  <si>
    <t>rs/month</t>
  </si>
  <si>
    <r>
      <t>Poultry</t>
    </r>
    <r>
      <rPr>
        <b/>
        <vertAlign val="superscript"/>
        <sz val="11"/>
        <color theme="1"/>
        <rFont val="Times New Roman"/>
        <family val="1"/>
      </rPr>
      <t>3</t>
    </r>
  </si>
  <si>
    <r>
      <t>Deer</t>
    </r>
    <r>
      <rPr>
        <b/>
        <vertAlign val="superscript"/>
        <sz val="11"/>
        <color theme="1"/>
        <rFont val="Times New Roman"/>
        <family val="1"/>
      </rPr>
      <t>3</t>
    </r>
  </si>
  <si>
    <t>layers</t>
  </si>
  <si>
    <t>For Biogas</t>
  </si>
  <si>
    <t>cost</t>
  </si>
  <si>
    <t>Rs/m3 generated</t>
  </si>
  <si>
    <t>species</t>
  </si>
  <si>
    <t xml:space="preserve">Swine </t>
  </si>
  <si>
    <t>Calculating excrement generation</t>
  </si>
  <si>
    <t>kg/yr</t>
  </si>
  <si>
    <t>Biogas produced (total capacity)</t>
  </si>
  <si>
    <t>m3/yr</t>
  </si>
  <si>
    <t>density of biogas</t>
  </si>
  <si>
    <t>kg/m3</t>
  </si>
  <si>
    <t>- http://www.biogas-renewable-energy.info/biogas_composition.html</t>
  </si>
  <si>
    <t>tonne</t>
  </si>
  <si>
    <t>Reduction in energy bill (MRs)</t>
  </si>
  <si>
    <t>- calculated in worksheet 'Parameters'</t>
  </si>
  <si>
    <t>total</t>
  </si>
  <si>
    <t>(m3)</t>
  </si>
  <si>
    <t>Rs/m3</t>
  </si>
  <si>
    <t>cost, MRs</t>
  </si>
  <si>
    <t>Incremental cost (MRs/tCO2)</t>
  </si>
  <si>
    <t>area cattle</t>
  </si>
  <si>
    <t>head/m2</t>
  </si>
  <si>
    <t>density pig</t>
  </si>
  <si>
    <t>density cattle</t>
  </si>
  <si>
    <t>m2</t>
  </si>
  <si>
    <t>area pig</t>
  </si>
  <si>
    <t>Total area</t>
  </si>
  <si>
    <t>- calculates effective area of shed required</t>
  </si>
  <si>
    <t>Rs/m2</t>
  </si>
  <si>
    <t>- cost of shed</t>
  </si>
  <si>
    <t>total cost of sheds</t>
  </si>
  <si>
    <t>- calculates the costs for tank, pump and accessories</t>
  </si>
  <si>
    <t>excrement rates</t>
  </si>
  <si>
    <t>m3/head/week</t>
  </si>
  <si>
    <t>- data in Table 3.3 from NRC Canada as provided by FAREI</t>
  </si>
  <si>
    <t>calculating total excrement</t>
  </si>
  <si>
    <t>m3/week</t>
  </si>
  <si>
    <t>effective excrement used for fertigation</t>
  </si>
  <si>
    <t>calculating number of tanks required assuming a retention time of half week - i.e. 3.5 days</t>
  </si>
  <si>
    <t>retention volume</t>
  </si>
  <si>
    <t>m3</t>
  </si>
  <si>
    <t>number of 9m3 tanks</t>
  </si>
  <si>
    <t>cost per 9m3 tank</t>
  </si>
  <si>
    <t>Rs</t>
  </si>
  <si>
    <t>tank</t>
  </si>
  <si>
    <t>cost pump</t>
  </si>
  <si>
    <t>rs/pump</t>
  </si>
  <si>
    <t>pump</t>
  </si>
  <si>
    <t>subtotal</t>
  </si>
  <si>
    <t>accessories</t>
  </si>
  <si>
    <t>MRs</t>
  </si>
  <si>
    <t>Calculating jobs created</t>
  </si>
  <si>
    <t xml:space="preserve">biogas </t>
  </si>
  <si>
    <t>- 4 companies each employing 25 persons</t>
  </si>
  <si>
    <t>persons</t>
  </si>
  <si>
    <t>- assumes that labour cost is 1/3 of total investment costs for compost only</t>
  </si>
  <si>
    <t xml:space="preserve">fertigation </t>
  </si>
  <si>
    <t>- 6 companies with 15 persons each or 10 persons for each of 9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</si>
</sst>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7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2" borderId="0" xfId="0" applyFill="1"/>
    <xf numFmtId="0" fontId="1" fillId="0" borderId="2" xfId="0" applyFont="1" applyBorder="1"/>
    <xf numFmtId="165" fontId="0" fillId="0" borderId="2" xfId="0" applyNumberFormat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quotePrefix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/>
    </xf>
    <xf numFmtId="0" fontId="5" fillId="16" borderId="2" xfId="0" applyFont="1" applyFill="1" applyBorder="1" applyAlignment="1">
      <alignment vertical="center"/>
    </xf>
    <xf numFmtId="0" fontId="5" fillId="16" borderId="20" xfId="0" applyFont="1" applyFill="1" applyBorder="1" applyAlignment="1">
      <alignment horizontal="right" vertical="center"/>
    </xf>
    <xf numFmtId="0" fontId="0" fillId="0" borderId="21" xfId="0" applyBorder="1"/>
    <xf numFmtId="0" fontId="0" fillId="0" borderId="21" xfId="0" applyBorder="1" applyAlignment="1">
      <alignment wrapText="1"/>
    </xf>
    <xf numFmtId="0" fontId="5" fillId="0" borderId="5" xfId="0" applyFont="1" applyBorder="1" applyAlignment="1">
      <alignment vertical="center"/>
    </xf>
    <xf numFmtId="0" fontId="7" fillId="17" borderId="10" xfId="0" applyFont="1" applyFill="1" applyBorder="1" applyAlignment="1">
      <alignment horizontal="right" vertical="center"/>
    </xf>
    <xf numFmtId="2" fontId="0" fillId="0" borderId="21" xfId="0" applyNumberFormat="1" applyBorder="1"/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right" vertical="center"/>
    </xf>
    <xf numFmtId="166" fontId="0" fillId="0" borderId="0" xfId="1" applyNumberFormat="1" applyFont="1"/>
    <xf numFmtId="166" fontId="0" fillId="0" borderId="0" xfId="0" applyNumberFormat="1"/>
    <xf numFmtId="3" fontId="0" fillId="0" borderId="0" xfId="0" applyNumberFormat="1"/>
    <xf numFmtId="2" fontId="0" fillId="0" borderId="0" xfId="0" applyNumberFormat="1"/>
    <xf numFmtId="0" fontId="9" fillId="0" borderId="5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3" fontId="7" fillId="17" borderId="10" xfId="0" applyNumberFormat="1" applyFont="1" applyFill="1" applyBorder="1" applyAlignment="1">
      <alignment horizontal="right" vertical="center"/>
    </xf>
    <xf numFmtId="3" fontId="7" fillId="17" borderId="1" xfId="0" applyNumberFormat="1" applyFont="1" applyFill="1" applyBorder="1" applyAlignment="1">
      <alignment horizontal="right" vertical="center"/>
    </xf>
    <xf numFmtId="1" fontId="11" fillId="18" borderId="21" xfId="0" applyNumberFormat="1" applyFont="1" applyFill="1" applyBorder="1"/>
    <xf numFmtId="1" fontId="12" fillId="0" borderId="21" xfId="0" applyNumberFormat="1" applyFont="1" applyBorder="1"/>
    <xf numFmtId="0" fontId="5" fillId="16" borderId="21" xfId="0" applyFont="1" applyFill="1" applyBorder="1" applyAlignment="1">
      <alignment vertical="center"/>
    </xf>
    <xf numFmtId="0" fontId="5" fillId="16" borderId="21" xfId="0" applyFont="1" applyFill="1" applyBorder="1" applyAlignment="1">
      <alignment horizontal="right" vertical="center"/>
    </xf>
    <xf numFmtId="0" fontId="13" fillId="19" borderId="21" xfId="0" applyFont="1" applyFill="1" applyBorder="1" applyAlignment="1">
      <alignment horizontal="right"/>
    </xf>
    <xf numFmtId="0" fontId="13" fillId="0" borderId="21" xfId="0" applyFont="1" applyBorder="1" applyAlignment="1">
      <alignment horizontal="right"/>
    </xf>
    <xf numFmtId="3" fontId="13" fillId="0" borderId="21" xfId="0" applyNumberFormat="1" applyFont="1" applyBorder="1"/>
    <xf numFmtId="3" fontId="13" fillId="17" borderId="21" xfId="0" applyNumberFormat="1" applyFont="1" applyFill="1" applyBorder="1" applyAlignment="1">
      <alignment horizontal="right"/>
    </xf>
    <xf numFmtId="3" fontId="13" fillId="17" borderId="21" xfId="0" applyNumberFormat="1" applyFont="1" applyFill="1" applyBorder="1"/>
    <xf numFmtId="0" fontId="13" fillId="17" borderId="21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right"/>
    </xf>
    <xf numFmtId="0" fontId="7" fillId="17" borderId="0" xfId="0" applyFont="1" applyFill="1" applyBorder="1" applyAlignment="1">
      <alignment horizontal="right" vertical="center"/>
    </xf>
    <xf numFmtId="0" fontId="1" fillId="0" borderId="0" xfId="0" applyFont="1"/>
    <xf numFmtId="4" fontId="0" fillId="0" borderId="13" xfId="0" applyNumberFormat="1" applyBorder="1" applyAlignment="1">
      <alignment horizontal="center"/>
    </xf>
    <xf numFmtId="9" fontId="0" fillId="0" borderId="0" xfId="0" applyNumberFormat="1"/>
    <xf numFmtId="167" fontId="0" fillId="0" borderId="11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opLeftCell="C10" zoomScale="80" zoomScaleNormal="80" workbookViewId="0">
      <selection activeCell="L17" sqref="L17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</cols>
  <sheetData>
    <row r="1" spans="1:22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22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22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22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22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22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22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22" hidden="1" x14ac:dyDescent="0.25">
      <c r="B8">
        <f>MAX(B2:B7)</f>
        <v>0.83333333333333337</v>
      </c>
    </row>
    <row r="9" spans="1:22" hidden="1" x14ac:dyDescent="0.25"/>
    <row r="10" spans="1:22" ht="15.75" thickBot="1" x14ac:dyDescent="0.3">
      <c r="C10" s="145" t="s">
        <v>72</v>
      </c>
      <c r="D10" s="145"/>
      <c r="M10" s="9"/>
      <c r="N10" s="47" t="s">
        <v>23</v>
      </c>
      <c r="O10" s="48">
        <v>0</v>
      </c>
    </row>
    <row r="11" spans="1:22" x14ac:dyDescent="0.25">
      <c r="D11" s="1"/>
      <c r="E11" s="6"/>
      <c r="F11" s="144" t="s">
        <v>8</v>
      </c>
      <c r="G11" s="144"/>
      <c r="H11" s="144"/>
      <c r="I11" s="144"/>
      <c r="J11" s="144"/>
      <c r="K11" s="144"/>
      <c r="L11" s="144"/>
      <c r="M11" s="39"/>
      <c r="N11" s="47" t="s">
        <v>30</v>
      </c>
      <c r="O11" s="48">
        <v>5</v>
      </c>
    </row>
    <row r="12" spans="1:22" ht="37.5" customHeight="1" thickBot="1" x14ac:dyDescent="0.3">
      <c r="D12" s="1"/>
      <c r="E12" s="44" t="s">
        <v>1</v>
      </c>
      <c r="F12" s="43" t="s">
        <v>2</v>
      </c>
      <c r="G12" s="42" t="s">
        <v>6</v>
      </c>
      <c r="H12" s="148" t="s">
        <v>4</v>
      </c>
      <c r="I12" s="149"/>
      <c r="J12" s="150"/>
      <c r="K12" s="146" t="s">
        <v>7</v>
      </c>
      <c r="L12" s="147"/>
      <c r="N12" s="48" t="s">
        <v>31</v>
      </c>
      <c r="O12" s="48">
        <v>10</v>
      </c>
    </row>
    <row r="13" spans="1:22" ht="60" customHeight="1" thickBot="1" x14ac:dyDescent="0.3">
      <c r="D13" s="2" t="s">
        <v>9</v>
      </c>
      <c r="E13" s="46" t="s">
        <v>147</v>
      </c>
      <c r="F13" s="13" t="s">
        <v>26</v>
      </c>
      <c r="G13" s="11" t="s">
        <v>50</v>
      </c>
      <c r="H13" s="41" t="s">
        <v>28</v>
      </c>
      <c r="I13" s="40" t="s">
        <v>141</v>
      </c>
      <c r="J13" s="8" t="s">
        <v>29</v>
      </c>
      <c r="K13" s="14" t="s">
        <v>49</v>
      </c>
      <c r="L13" s="45" t="s">
        <v>51</v>
      </c>
      <c r="N13" s="49" t="s">
        <v>32</v>
      </c>
      <c r="O13" s="48">
        <v>15</v>
      </c>
    </row>
    <row r="14" spans="1:22" x14ac:dyDescent="0.25">
      <c r="D14" s="3" t="s">
        <v>73</v>
      </c>
      <c r="E14" s="60">
        <f>T39/G14</f>
        <v>14.712326810940237</v>
      </c>
      <c r="F14" s="28" t="s">
        <v>59</v>
      </c>
      <c r="G14" s="66">
        <f>$T$15*S23</f>
        <v>411.79778547978111</v>
      </c>
      <c r="H14" s="31" t="s">
        <v>57</v>
      </c>
      <c r="I14" s="67">
        <f>T34</f>
        <v>2.339726120371215</v>
      </c>
      <c r="J14" s="34" t="s">
        <v>54</v>
      </c>
      <c r="K14" s="31" t="s">
        <v>56</v>
      </c>
      <c r="L14" s="139">
        <f>R84</f>
        <v>100</v>
      </c>
      <c r="N14" s="48" t="s">
        <v>33</v>
      </c>
      <c r="O14" s="48">
        <v>20</v>
      </c>
      <c r="Q14" s="100" t="s">
        <v>79</v>
      </c>
      <c r="R14" s="94"/>
      <c r="S14" s="94"/>
      <c r="T14" s="94"/>
    </row>
    <row r="15" spans="1:22" x14ac:dyDescent="0.25">
      <c r="D15" s="4" t="s">
        <v>74</v>
      </c>
      <c r="E15" s="136">
        <f>T49/G15</f>
        <v>4.4767558653887651E-2</v>
      </c>
      <c r="F15" s="29" t="s">
        <v>76</v>
      </c>
      <c r="G15" s="142">
        <f t="shared" ref="G15:G16" si="2">$T$15*S24</f>
        <v>391.82391283864939</v>
      </c>
      <c r="H15" s="32" t="s">
        <v>55</v>
      </c>
      <c r="I15" s="68">
        <v>0</v>
      </c>
      <c r="J15" s="35" t="s">
        <v>52</v>
      </c>
      <c r="K15" s="32" t="s">
        <v>78</v>
      </c>
      <c r="L15" s="140">
        <f>W80</f>
        <v>60.906189093750001</v>
      </c>
      <c r="N15" s="48" t="s">
        <v>22</v>
      </c>
      <c r="O15" s="48">
        <v>25</v>
      </c>
      <c r="Q15" t="s">
        <v>80</v>
      </c>
      <c r="T15">
        <f>Parameters!T42</f>
        <v>2797.4621999999999</v>
      </c>
      <c r="U15" t="s">
        <v>81</v>
      </c>
      <c r="V15" s="101" t="s">
        <v>142</v>
      </c>
    </row>
    <row r="16" spans="1:22" ht="15.75" thickBot="1" x14ac:dyDescent="0.3">
      <c r="D16" s="5" t="s">
        <v>75</v>
      </c>
      <c r="E16" s="138">
        <f>R73/G16</f>
        <v>7.0195522601713307E-3</v>
      </c>
      <c r="F16" s="30" t="s">
        <v>59</v>
      </c>
      <c r="G16" s="143">
        <f t="shared" si="2"/>
        <v>1993.8405016815695</v>
      </c>
      <c r="H16" s="33" t="s">
        <v>77</v>
      </c>
      <c r="I16" s="69">
        <v>0</v>
      </c>
      <c r="J16" s="36" t="s">
        <v>77</v>
      </c>
      <c r="K16" s="33" t="s">
        <v>77</v>
      </c>
      <c r="L16" s="141">
        <f>R87</f>
        <v>90</v>
      </c>
      <c r="N16" s="48" t="s">
        <v>34</v>
      </c>
      <c r="O16" s="48">
        <v>30</v>
      </c>
      <c r="Q16" t="s">
        <v>85</v>
      </c>
    </row>
    <row r="17" spans="4:21" x14ac:dyDescent="0.25">
      <c r="G17" s="7"/>
      <c r="N17" s="48" t="s">
        <v>35</v>
      </c>
      <c r="O17" s="48">
        <v>35</v>
      </c>
      <c r="R17" s="102" t="s">
        <v>102</v>
      </c>
      <c r="S17" t="s">
        <v>86</v>
      </c>
    </row>
    <row r="18" spans="4:21" x14ac:dyDescent="0.25">
      <c r="D18" s="22"/>
      <c r="E18" s="23"/>
      <c r="F18" s="25" t="s">
        <v>15</v>
      </c>
      <c r="G18" s="26" t="s">
        <v>11</v>
      </c>
      <c r="H18" s="26">
        <v>0</v>
      </c>
      <c r="I18" s="23"/>
      <c r="J18" s="23"/>
      <c r="K18" s="23"/>
      <c r="L18" s="23"/>
      <c r="N18" s="48" t="s">
        <v>36</v>
      </c>
      <c r="O18" s="48">
        <v>40</v>
      </c>
      <c r="Q18" s="102" t="s">
        <v>82</v>
      </c>
      <c r="R18" s="102">
        <v>0.08</v>
      </c>
      <c r="S18">
        <v>0.3</v>
      </c>
    </row>
    <row r="19" spans="4:21" x14ac:dyDescent="0.25">
      <c r="D19" s="22"/>
      <c r="E19" s="23"/>
      <c r="F19" s="25"/>
      <c r="G19" s="26" t="s">
        <v>58</v>
      </c>
      <c r="H19" s="26">
        <v>5</v>
      </c>
      <c r="I19" s="23"/>
      <c r="J19" s="23"/>
      <c r="K19" s="23"/>
      <c r="L19" s="23"/>
      <c r="N19" s="48" t="s">
        <v>37</v>
      </c>
      <c r="O19" s="48">
        <v>45</v>
      </c>
      <c r="Q19" s="102" t="s">
        <v>83</v>
      </c>
      <c r="R19" s="102">
        <v>7.0000000000000007E-2</v>
      </c>
      <c r="S19">
        <v>0.3</v>
      </c>
    </row>
    <row r="20" spans="4:21" x14ac:dyDescent="0.25">
      <c r="D20" s="22"/>
      <c r="E20" s="23"/>
      <c r="F20" s="25"/>
      <c r="G20" s="26" t="s">
        <v>59</v>
      </c>
      <c r="H20" s="26">
        <v>10</v>
      </c>
      <c r="I20" s="23"/>
      <c r="J20" s="23"/>
      <c r="K20" s="23"/>
      <c r="L20" s="23"/>
      <c r="N20" s="48" t="s">
        <v>12</v>
      </c>
      <c r="O20" s="48">
        <v>50</v>
      </c>
      <c r="Q20" s="102" t="s">
        <v>84</v>
      </c>
      <c r="R20">
        <v>0.83</v>
      </c>
      <c r="S20">
        <v>0.4</v>
      </c>
    </row>
    <row r="21" spans="4:21" x14ac:dyDescent="0.25">
      <c r="D21" s="22"/>
      <c r="E21" s="23"/>
      <c r="F21" s="25"/>
      <c r="G21" s="26" t="s">
        <v>60</v>
      </c>
      <c r="H21" s="26">
        <v>15</v>
      </c>
      <c r="I21" s="23"/>
      <c r="J21" s="23"/>
      <c r="K21" s="23"/>
      <c r="L21" s="23"/>
      <c r="N21" s="48" t="s">
        <v>38</v>
      </c>
      <c r="O21" s="48">
        <v>55</v>
      </c>
      <c r="Q21" s="102" t="s">
        <v>87</v>
      </c>
      <c r="R21" s="102">
        <f>Parameters!P34</f>
        <v>46866000</v>
      </c>
      <c r="S21">
        <f>Parameters!P35</f>
        <v>19710000</v>
      </c>
    </row>
    <row r="22" spans="4:21" x14ac:dyDescent="0.25">
      <c r="D22" s="22"/>
      <c r="E22" s="23"/>
      <c r="F22" s="25"/>
      <c r="G22" s="26" t="s">
        <v>61</v>
      </c>
      <c r="H22" s="26">
        <v>20</v>
      </c>
      <c r="I22" s="23"/>
      <c r="J22" s="23"/>
      <c r="K22" s="23"/>
      <c r="L22" s="23"/>
      <c r="N22" s="48" t="s">
        <v>39</v>
      </c>
      <c r="O22" s="48">
        <v>60</v>
      </c>
    </row>
    <row r="23" spans="4:21" x14ac:dyDescent="0.25">
      <c r="D23" s="22"/>
      <c r="E23" s="23"/>
      <c r="F23" s="25" t="s">
        <v>14</v>
      </c>
      <c r="G23" s="26" t="s">
        <v>21</v>
      </c>
      <c r="H23" s="26">
        <v>25</v>
      </c>
      <c r="I23" s="23"/>
      <c r="J23" s="23"/>
      <c r="K23" s="23"/>
      <c r="L23" s="23"/>
      <c r="M23" s="23"/>
      <c r="N23" s="48" t="s">
        <v>40</v>
      </c>
      <c r="O23" s="48">
        <v>65</v>
      </c>
      <c r="Q23" s="102" t="s">
        <v>82</v>
      </c>
      <c r="R23">
        <f>R18*R21+S18*S21</f>
        <v>9662280</v>
      </c>
      <c r="S23">
        <f>R23/$R$26</f>
        <v>0.14720405711997864</v>
      </c>
    </row>
    <row r="24" spans="4:21" x14ac:dyDescent="0.25">
      <c r="D24" s="22"/>
      <c r="E24" s="23"/>
      <c r="F24" s="25"/>
      <c r="G24" s="26" t="s">
        <v>62</v>
      </c>
      <c r="H24" s="26">
        <v>30</v>
      </c>
      <c r="I24" s="23"/>
      <c r="J24" s="23"/>
      <c r="K24" s="23"/>
      <c r="L24" s="23"/>
      <c r="M24" s="23"/>
      <c r="N24" s="48" t="s">
        <v>41</v>
      </c>
      <c r="O24" s="48">
        <v>70</v>
      </c>
      <c r="Q24" s="102" t="s">
        <v>83</v>
      </c>
      <c r="R24">
        <f>R19*R21+S19*S21</f>
        <v>9193620</v>
      </c>
      <c r="S24">
        <f t="shared" ref="S24:S26" si="3">R24/$R$26</f>
        <v>0.14006405978913652</v>
      </c>
    </row>
    <row r="25" spans="4:21" x14ac:dyDescent="0.25">
      <c r="D25" s="22"/>
      <c r="E25" s="23"/>
      <c r="F25" s="25"/>
      <c r="G25" s="26" t="s">
        <v>63</v>
      </c>
      <c r="H25" s="26">
        <v>35</v>
      </c>
      <c r="I25" s="23"/>
      <c r="J25" s="23"/>
      <c r="K25" s="23"/>
      <c r="L25" s="23"/>
      <c r="M25" s="23"/>
      <c r="N25" s="48" t="s">
        <v>21</v>
      </c>
      <c r="O25" s="48">
        <v>75</v>
      </c>
      <c r="Q25" s="102" t="s">
        <v>84</v>
      </c>
      <c r="R25">
        <f>R20*R21+S20*S21</f>
        <v>46782780</v>
      </c>
      <c r="S25">
        <f t="shared" si="3"/>
        <v>0.71273188309088487</v>
      </c>
    </row>
    <row r="26" spans="4:21" x14ac:dyDescent="0.25">
      <c r="D26" s="22"/>
      <c r="E26" s="23"/>
      <c r="F26" s="25"/>
      <c r="G26" s="26" t="s">
        <v>64</v>
      </c>
      <c r="H26" s="26">
        <v>40</v>
      </c>
      <c r="I26" s="23"/>
      <c r="J26" s="23"/>
      <c r="K26" s="23"/>
      <c r="L26" s="23"/>
      <c r="M26" s="23"/>
      <c r="N26" s="48" t="s">
        <v>42</v>
      </c>
      <c r="O26" s="48">
        <v>80</v>
      </c>
      <c r="R26">
        <f>SUM(R23:R25)</f>
        <v>65638680</v>
      </c>
      <c r="S26">
        <f t="shared" si="3"/>
        <v>1</v>
      </c>
    </row>
    <row r="27" spans="4:21" x14ac:dyDescent="0.25">
      <c r="D27" s="22"/>
      <c r="E27" s="23"/>
      <c r="F27" s="25"/>
      <c r="G27" s="26" t="s">
        <v>65</v>
      </c>
      <c r="H27" s="26">
        <v>45</v>
      </c>
      <c r="I27" s="23"/>
      <c r="J27" s="23"/>
      <c r="K27" s="23"/>
      <c r="L27" s="23"/>
      <c r="M27" s="23"/>
      <c r="N27" s="48" t="s">
        <v>43</v>
      </c>
      <c r="O27" s="48">
        <v>85</v>
      </c>
    </row>
    <row r="28" spans="4:21" x14ac:dyDescent="0.25">
      <c r="F28" s="25" t="s">
        <v>17</v>
      </c>
      <c r="G28" s="26" t="s">
        <v>12</v>
      </c>
      <c r="H28" s="26">
        <v>50</v>
      </c>
      <c r="I28" s="24"/>
      <c r="J28" s="23"/>
      <c r="M28" s="23"/>
      <c r="N28" s="48" t="s">
        <v>44</v>
      </c>
      <c r="O28" s="48">
        <v>90</v>
      </c>
      <c r="Q28" s="103" t="s">
        <v>88</v>
      </c>
      <c r="R28" s="94"/>
    </row>
    <row r="29" spans="4:21" x14ac:dyDescent="0.25">
      <c r="F29" s="25"/>
      <c r="G29" s="26" t="s">
        <v>66</v>
      </c>
      <c r="H29" s="26">
        <v>55</v>
      </c>
      <c r="I29" s="24"/>
      <c r="J29" s="23"/>
      <c r="M29" s="23"/>
      <c r="N29" s="48" t="s">
        <v>45</v>
      </c>
      <c r="O29" s="48">
        <v>95</v>
      </c>
      <c r="Q29" s="101" t="s">
        <v>89</v>
      </c>
    </row>
    <row r="30" spans="4:21" x14ac:dyDescent="0.25">
      <c r="F30" s="25"/>
      <c r="G30" s="26" t="s">
        <v>53</v>
      </c>
      <c r="H30" s="26">
        <v>60</v>
      </c>
      <c r="I30" s="24"/>
      <c r="J30" s="23"/>
      <c r="M30" s="23"/>
      <c r="N30" s="48" t="s">
        <v>11</v>
      </c>
      <c r="O30" s="48">
        <v>100</v>
      </c>
      <c r="Q30" t="s">
        <v>90</v>
      </c>
      <c r="T30">
        <v>3.3778411199999994</v>
      </c>
      <c r="U30" t="s">
        <v>91</v>
      </c>
    </row>
    <row r="31" spans="4:21" x14ac:dyDescent="0.25">
      <c r="F31" s="25"/>
      <c r="G31" s="26" t="s">
        <v>55</v>
      </c>
      <c r="H31" s="26">
        <v>65</v>
      </c>
      <c r="I31" s="24"/>
      <c r="J31" s="23"/>
      <c r="M31" s="23"/>
      <c r="Q31" t="s">
        <v>92</v>
      </c>
      <c r="T31">
        <f>G14/T30</f>
        <v>121.91153190762897</v>
      </c>
    </row>
    <row r="32" spans="4:21" x14ac:dyDescent="0.25">
      <c r="F32" s="25"/>
      <c r="G32" s="26" t="s">
        <v>52</v>
      </c>
      <c r="H32" s="26">
        <v>70</v>
      </c>
      <c r="I32" s="24"/>
      <c r="J32" s="23"/>
      <c r="M32" s="23"/>
      <c r="Q32" t="s">
        <v>93</v>
      </c>
      <c r="R32">
        <v>2015</v>
      </c>
      <c r="T32">
        <v>19192</v>
      </c>
    </row>
    <row r="33" spans="6:23" x14ac:dyDescent="0.25">
      <c r="F33" s="25" t="s">
        <v>18</v>
      </c>
      <c r="G33" s="26" t="s">
        <v>13</v>
      </c>
      <c r="H33" s="26">
        <v>75</v>
      </c>
      <c r="I33" s="24"/>
      <c r="J33" s="23"/>
    </row>
    <row r="34" spans="6:23" x14ac:dyDescent="0.25">
      <c r="F34" s="25"/>
      <c r="G34" s="26" t="s">
        <v>67</v>
      </c>
      <c r="H34" s="26">
        <v>80</v>
      </c>
      <c r="I34" s="24"/>
      <c r="J34" s="23"/>
      <c r="Q34" t="s">
        <v>94</v>
      </c>
      <c r="T34">
        <f>T31*T32/1000000</f>
        <v>2.339726120371215</v>
      </c>
    </row>
    <row r="35" spans="6:23" x14ac:dyDescent="0.25">
      <c r="F35" s="25"/>
      <c r="G35" s="26" t="s">
        <v>68</v>
      </c>
      <c r="H35" s="26">
        <v>85</v>
      </c>
      <c r="I35" s="24"/>
      <c r="J35" s="23"/>
    </row>
    <row r="36" spans="6:23" x14ac:dyDescent="0.25">
      <c r="F36" s="25"/>
      <c r="G36" s="26" t="s">
        <v>69</v>
      </c>
      <c r="H36" s="26">
        <v>90</v>
      </c>
      <c r="I36" s="24"/>
      <c r="J36" s="23"/>
    </row>
    <row r="37" spans="6:23" x14ac:dyDescent="0.25">
      <c r="F37" s="25"/>
      <c r="G37" s="26" t="s">
        <v>70</v>
      </c>
      <c r="H37" s="26">
        <v>95</v>
      </c>
      <c r="I37" s="24"/>
      <c r="J37" s="23"/>
      <c r="Q37" s="100" t="s">
        <v>95</v>
      </c>
      <c r="R37" s="94"/>
      <c r="S37" s="94"/>
    </row>
    <row r="38" spans="6:23" x14ac:dyDescent="0.25">
      <c r="F38" s="25" t="s">
        <v>19</v>
      </c>
      <c r="G38" s="26" t="s">
        <v>20</v>
      </c>
      <c r="H38" s="26">
        <v>100</v>
      </c>
      <c r="I38" s="24"/>
      <c r="J38" s="23"/>
      <c r="R38" t="s">
        <v>144</v>
      </c>
      <c r="S38" t="s">
        <v>145</v>
      </c>
      <c r="T38" t="s">
        <v>146</v>
      </c>
    </row>
    <row r="39" spans="6:23" x14ac:dyDescent="0.25">
      <c r="Q39" s="135" t="s">
        <v>73</v>
      </c>
      <c r="R39">
        <f>Parameters!T34*R18+Parameters!T35*S18</f>
        <v>605850.36</v>
      </c>
      <c r="S39">
        <v>10000</v>
      </c>
      <c r="T39">
        <f>R39*S39/1000000</f>
        <v>6058.5036</v>
      </c>
    </row>
    <row r="41" spans="6:23" x14ac:dyDescent="0.25">
      <c r="Q41" s="135" t="s">
        <v>74</v>
      </c>
      <c r="S41" s="101" t="s">
        <v>155</v>
      </c>
    </row>
    <row r="42" spans="6:23" x14ac:dyDescent="0.25">
      <c r="Q42" t="s">
        <v>151</v>
      </c>
      <c r="S42">
        <f>40/100</f>
        <v>0.4</v>
      </c>
      <c r="T42" t="s">
        <v>149</v>
      </c>
    </row>
    <row r="43" spans="6:23" x14ac:dyDescent="0.25">
      <c r="Q43" t="s">
        <v>150</v>
      </c>
      <c r="S43">
        <f>200/100</f>
        <v>2</v>
      </c>
      <c r="T43" t="s">
        <v>149</v>
      </c>
    </row>
    <row r="45" spans="6:23" x14ac:dyDescent="0.25">
      <c r="Q45" t="s">
        <v>148</v>
      </c>
      <c r="S45">
        <f>Parameters!N9*R19/S42</f>
        <v>2247</v>
      </c>
      <c r="T45" t="s">
        <v>152</v>
      </c>
      <c r="U45">
        <v>3000</v>
      </c>
      <c r="V45" t="s">
        <v>156</v>
      </c>
      <c r="W45" s="101" t="s">
        <v>157</v>
      </c>
    </row>
    <row r="46" spans="6:23" x14ac:dyDescent="0.25">
      <c r="Q46" t="s">
        <v>153</v>
      </c>
      <c r="S46">
        <f>Parameters!M15*S19/S43</f>
        <v>3600</v>
      </c>
      <c r="T46" t="s">
        <v>152</v>
      </c>
    </row>
    <row r="47" spans="6:23" x14ac:dyDescent="0.25">
      <c r="Q47" t="s">
        <v>154</v>
      </c>
      <c r="S47">
        <f>S45+S46</f>
        <v>5847</v>
      </c>
      <c r="T47" t="s">
        <v>152</v>
      </c>
    </row>
    <row r="49" spans="17:22" x14ac:dyDescent="0.25">
      <c r="Q49" t="s">
        <v>158</v>
      </c>
      <c r="T49">
        <f>S47*U45/1000000</f>
        <v>17.541</v>
      </c>
      <c r="U49" t="s">
        <v>178</v>
      </c>
    </row>
    <row r="51" spans="17:22" x14ac:dyDescent="0.25">
      <c r="Q51" s="135" t="s">
        <v>84</v>
      </c>
    </row>
    <row r="52" spans="17:22" x14ac:dyDescent="0.25">
      <c r="Q52" s="101" t="s">
        <v>159</v>
      </c>
    </row>
    <row r="54" spans="17:22" x14ac:dyDescent="0.25">
      <c r="Q54" t="s">
        <v>160</v>
      </c>
    </row>
    <row r="55" spans="17:22" x14ac:dyDescent="0.25">
      <c r="Q55" t="s">
        <v>102</v>
      </c>
      <c r="R55">
        <v>0.2</v>
      </c>
      <c r="S55" t="s">
        <v>161</v>
      </c>
      <c r="U55" s="101" t="s">
        <v>162</v>
      </c>
    </row>
    <row r="56" spans="17:22" x14ac:dyDescent="0.25">
      <c r="Q56" t="s">
        <v>86</v>
      </c>
      <c r="R56">
        <v>0.05</v>
      </c>
      <c r="S56" t="s">
        <v>161</v>
      </c>
    </row>
    <row r="58" spans="17:22" x14ac:dyDescent="0.25">
      <c r="Q58" t="s">
        <v>163</v>
      </c>
      <c r="U58" t="s">
        <v>165</v>
      </c>
    </row>
    <row r="59" spans="17:22" x14ac:dyDescent="0.25">
      <c r="Q59" t="s">
        <v>102</v>
      </c>
      <c r="R59">
        <f>Parameters!N9*R55</f>
        <v>2568</v>
      </c>
      <c r="S59" t="s">
        <v>164</v>
      </c>
      <c r="U59">
        <f>R59*R20</f>
        <v>2131.44</v>
      </c>
      <c r="V59" t="s">
        <v>164</v>
      </c>
    </row>
    <row r="60" spans="17:22" x14ac:dyDescent="0.25">
      <c r="Q60" t="s">
        <v>86</v>
      </c>
      <c r="R60">
        <f>Parameters!M15*R56</f>
        <v>1200</v>
      </c>
      <c r="S60" t="s">
        <v>164</v>
      </c>
      <c r="U60">
        <f>R60*S20</f>
        <v>480</v>
      </c>
      <c r="V60" t="s">
        <v>164</v>
      </c>
    </row>
    <row r="61" spans="17:22" x14ac:dyDescent="0.25">
      <c r="U61">
        <f>U59+U60</f>
        <v>2611.44</v>
      </c>
      <c r="V61" t="s">
        <v>164</v>
      </c>
    </row>
    <row r="62" spans="17:22" x14ac:dyDescent="0.25">
      <c r="Q62" t="s">
        <v>166</v>
      </c>
    </row>
    <row r="64" spans="17:22" x14ac:dyDescent="0.25">
      <c r="Q64" t="s">
        <v>167</v>
      </c>
      <c r="S64">
        <f>U61/2</f>
        <v>1305.72</v>
      </c>
      <c r="T64" t="s">
        <v>168</v>
      </c>
    </row>
    <row r="65" spans="17:23" x14ac:dyDescent="0.25">
      <c r="Q65" t="s">
        <v>169</v>
      </c>
      <c r="S65">
        <f>S64/9</f>
        <v>145.08000000000001</v>
      </c>
    </row>
    <row r="66" spans="17:23" x14ac:dyDescent="0.25">
      <c r="Q66" t="s">
        <v>170</v>
      </c>
      <c r="S66" s="117">
        <v>37700</v>
      </c>
      <c r="T66" t="s">
        <v>171</v>
      </c>
    </row>
    <row r="67" spans="17:23" x14ac:dyDescent="0.25">
      <c r="Q67" t="s">
        <v>173</v>
      </c>
      <c r="S67">
        <v>50000</v>
      </c>
      <c r="T67" t="s">
        <v>174</v>
      </c>
    </row>
    <row r="69" spans="17:23" x14ac:dyDescent="0.25">
      <c r="Q69" t="s">
        <v>172</v>
      </c>
      <c r="R69">
        <f>S65*S66</f>
        <v>5469516.0000000009</v>
      </c>
    </row>
    <row r="70" spans="17:23" x14ac:dyDescent="0.25">
      <c r="Q70" t="s">
        <v>175</v>
      </c>
      <c r="R70">
        <f>S65*S67</f>
        <v>7254000.0000000009</v>
      </c>
    </row>
    <row r="71" spans="17:23" x14ac:dyDescent="0.25">
      <c r="Q71" t="s">
        <v>176</v>
      </c>
      <c r="R71">
        <f>R69+R70</f>
        <v>12723516.000000002</v>
      </c>
    </row>
    <row r="72" spans="17:23" x14ac:dyDescent="0.25">
      <c r="Q72" t="s">
        <v>177</v>
      </c>
      <c r="R72">
        <f>R71*T72</f>
        <v>1272351.6000000003</v>
      </c>
      <c r="T72" s="137">
        <v>0.1</v>
      </c>
    </row>
    <row r="73" spans="17:23" x14ac:dyDescent="0.25">
      <c r="Q73" t="s">
        <v>105</v>
      </c>
      <c r="R73">
        <f>(R71+R72)/1000000</f>
        <v>13.995867600000002</v>
      </c>
      <c r="S73" t="s">
        <v>178</v>
      </c>
    </row>
    <row r="76" spans="17:23" x14ac:dyDescent="0.25">
      <c r="Q76" s="100" t="s">
        <v>179</v>
      </c>
      <c r="R76" s="100"/>
      <c r="S76" s="100"/>
    </row>
    <row r="77" spans="17:23" x14ac:dyDescent="0.25">
      <c r="Q77" s="101" t="s">
        <v>183</v>
      </c>
    </row>
    <row r="78" spans="17:23" x14ac:dyDescent="0.25">
      <c r="T78">
        <v>0.33333299999999999</v>
      </c>
      <c r="U78">
        <v>12</v>
      </c>
      <c r="W78">
        <v>8000</v>
      </c>
    </row>
    <row r="80" spans="17:23" x14ac:dyDescent="0.25">
      <c r="Q80" t="s">
        <v>117</v>
      </c>
      <c r="S80">
        <f>T49</f>
        <v>17.541</v>
      </c>
      <c r="T80">
        <f t="shared" ref="T80:T81" si="4">S80*$T$78</f>
        <v>5.8469941529999998</v>
      </c>
      <c r="U80">
        <f t="shared" ref="U80:U81" si="5">T80/$U$78</f>
        <v>0.48724951275</v>
      </c>
      <c r="W80">
        <f t="shared" ref="W80:W81" si="6">U80*1000000/$W$78</f>
        <v>60.906189093750001</v>
      </c>
    </row>
    <row r="81" spans="17:23" x14ac:dyDescent="0.25">
      <c r="Q81" t="s">
        <v>84</v>
      </c>
      <c r="S81">
        <f>R73</f>
        <v>13.995867600000002</v>
      </c>
      <c r="T81">
        <f t="shared" si="4"/>
        <v>4.6652845347108007</v>
      </c>
      <c r="U81">
        <f t="shared" si="5"/>
        <v>0.38877371122590004</v>
      </c>
      <c r="W81">
        <f t="shared" si="6"/>
        <v>48.596713903237507</v>
      </c>
    </row>
    <row r="83" spans="17:23" x14ac:dyDescent="0.25">
      <c r="Q83" t="s">
        <v>180</v>
      </c>
      <c r="R83" s="101" t="s">
        <v>181</v>
      </c>
    </row>
    <row r="84" spans="17:23" x14ac:dyDescent="0.25">
      <c r="R84">
        <v>100</v>
      </c>
      <c r="S84" t="s">
        <v>182</v>
      </c>
    </row>
    <row r="86" spans="17:23" x14ac:dyDescent="0.25">
      <c r="Q86" t="s">
        <v>184</v>
      </c>
      <c r="S86" s="101" t="s">
        <v>185</v>
      </c>
    </row>
    <row r="87" spans="17:23" x14ac:dyDescent="0.25">
      <c r="R87">
        <v>90</v>
      </c>
      <c r="S87" t="s">
        <v>182</v>
      </c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B10" workbookViewId="0">
      <selection activeCell="D26" sqref="D26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45" t="str">
        <f>PM!C10</f>
        <v>Agriculture (Livestock)</v>
      </c>
      <c r="D10" s="145"/>
    </row>
    <row r="11" spans="1:15" x14ac:dyDescent="0.25">
      <c r="D11" s="1"/>
      <c r="E11" s="6"/>
      <c r="F11" s="144" t="s">
        <v>8</v>
      </c>
      <c r="G11" s="144"/>
      <c r="H11" s="144"/>
      <c r="I11" s="144"/>
      <c r="J11" s="144"/>
      <c r="K11" s="144"/>
      <c r="L11" s="144"/>
      <c r="M11" s="39"/>
      <c r="N11" s="9"/>
      <c r="O11" s="9"/>
    </row>
    <row r="12" spans="1:15" ht="25.5" thickBot="1" x14ac:dyDescent="0.3">
      <c r="D12" s="1"/>
      <c r="E12" s="37" t="s">
        <v>1</v>
      </c>
      <c r="F12" s="38" t="s">
        <v>2</v>
      </c>
      <c r="G12" s="10" t="s">
        <v>6</v>
      </c>
      <c r="H12" s="148" t="s">
        <v>4</v>
      </c>
      <c r="I12" s="149"/>
      <c r="J12" s="150"/>
      <c r="K12" s="146" t="s">
        <v>7</v>
      </c>
      <c r="L12" s="147"/>
      <c r="M12" s="50"/>
    </row>
    <row r="13" spans="1:15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40" t="s">
        <v>48</v>
      </c>
      <c r="J13" s="8" t="s">
        <v>24</v>
      </c>
      <c r="K13" s="14" t="s">
        <v>47</v>
      </c>
      <c r="L13" s="45" t="s">
        <v>5</v>
      </c>
      <c r="M13" s="79" t="s">
        <v>16</v>
      </c>
      <c r="N13" s="80" t="s">
        <v>71</v>
      </c>
    </row>
    <row r="14" spans="1:15" ht="15.75" thickBot="1" x14ac:dyDescent="0.3">
      <c r="D14" s="3" t="str">
        <f>PM!D14</f>
        <v>Biogas</v>
      </c>
      <c r="E14" s="60">
        <f>100*(1-(PM!E14-MIN(PM!$E$14:$E$16))/(MAX(PM!$E$14:$E$16)-MIN(PM!$E$14:$E$16)))</f>
        <v>0</v>
      </c>
      <c r="F14" s="18">
        <f>VLOOKUP(PM!F14,PM!$G$18:$H$38,2,FALSE)</f>
        <v>10</v>
      </c>
      <c r="G14" s="52">
        <f>100*(PM!G14-MIN(PM!$G$14:$G$16))/(MAX(PM!$G$14:$G$16)-MIN(PM!$G$14:$G$16))</f>
        <v>1.2467956187368909</v>
      </c>
      <c r="H14" s="18">
        <f>VLOOKUP(PM!H14,PM!$N$10:$O$30,2,FALSE)</f>
        <v>30</v>
      </c>
      <c r="I14" s="53">
        <f>100*(PM!I14-MIN(PM!$I$14:$I$16))/(MAX(PM!$I$14:$I$16)-MIN(PM!$I$14:$I$16))</f>
        <v>100</v>
      </c>
      <c r="J14" s="17">
        <f>VLOOKUP(PM!J14,PM!$N$10:$O$30,2,FALSE)</f>
        <v>25</v>
      </c>
      <c r="K14" s="16">
        <f>VLOOKUP(PM!K14,PM!$N$10:$O$30,2,FALSE)</f>
        <v>80</v>
      </c>
      <c r="L14" s="54">
        <f>100*(PM!L14-MIN(PM!$L$14:$L$16))/(MAX(PM!$L$14:$L$16)-MIN(PM!$L$14:$L$16))</f>
        <v>100</v>
      </c>
      <c r="M14" s="27">
        <f t="shared" ref="M14:M16" si="2">SUM(E14:L14)</f>
        <v>346.24679561873688</v>
      </c>
      <c r="N14" s="78">
        <f>RANK(M14,$M$14:$M$16,0)</f>
        <v>1</v>
      </c>
    </row>
    <row r="15" spans="1:15" ht="15.75" thickBot="1" x14ac:dyDescent="0.3">
      <c r="D15" s="3" t="str">
        <f>PM!D15</f>
        <v>Composting</v>
      </c>
      <c r="E15" s="60">
        <f>100*(1-(PM!E15-MIN(PM!$E$14:$E$16))/(MAX(PM!$E$14:$E$16)-MIN(PM!$E$14:$E$16)))</f>
        <v>99.743303518044925</v>
      </c>
      <c r="F15" s="18">
        <f>VLOOKUP(PM!F15,PM!$G$18:$H$38,2,FALSE)</f>
        <v>80</v>
      </c>
      <c r="G15" s="52">
        <f>100*(PM!G15-MIN(PM!$G$14:$G$16))/(MAX(PM!$G$14:$G$16)-MIN(PM!$G$14:$G$16))</f>
        <v>0</v>
      </c>
      <c r="H15" s="18">
        <f>VLOOKUP(PM!H15,PM!$N$10:$O$30,2,FALSE)</f>
        <v>65</v>
      </c>
      <c r="I15" s="53">
        <f>100*(PM!I15-MIN(PM!$I$14:$I$16))/(MAX(PM!$I$14:$I$16)-MIN(PM!$I$14:$I$16))</f>
        <v>0</v>
      </c>
      <c r="J15" s="17">
        <f>VLOOKUP(PM!J15,PM!$N$10:$O$30,2,FALSE)</f>
        <v>70</v>
      </c>
      <c r="K15" s="16">
        <f>VLOOKUP(PM!K15,PM!$N$10:$O$30,2,FALSE)</f>
        <v>15</v>
      </c>
      <c r="L15" s="54">
        <f>100*(PM!L15-MIN(PM!$L$14:$L$16))/(MAX(PM!$L$14:$L$16)-MIN(PM!$L$14:$L$16))</f>
        <v>0</v>
      </c>
      <c r="M15" s="97">
        <f t="shared" si="2"/>
        <v>329.74330351804491</v>
      </c>
      <c r="N15" s="98">
        <f>RANK(M15,$M$14:$M$16,0)</f>
        <v>2</v>
      </c>
    </row>
    <row r="16" spans="1:15" ht="15.75" thickBot="1" x14ac:dyDescent="0.3">
      <c r="D16" s="95" t="str">
        <f>PM!D16</f>
        <v>Fertigation</v>
      </c>
      <c r="E16" s="96">
        <f>100*(1-(PM!E16-MIN(PM!$E$14:$E$16))/(MAX(PM!$E$14:$E$16)-MIN(PM!$E$14:$E$16)))</f>
        <v>100</v>
      </c>
      <c r="F16" s="18">
        <f>VLOOKUP(PM!F16,PM!$G$18:$H$38,2,FALSE)</f>
        <v>10</v>
      </c>
      <c r="G16" s="55">
        <f>100*(PM!G16-MIN(PM!$G$14:$G$16))/(MAX(PM!$G$14:$G$16)-MIN(PM!$G$14:$G$16))</f>
        <v>100</v>
      </c>
      <c r="H16" s="18">
        <f>VLOOKUP(PM!H16,PM!$N$10:$O$30,2,FALSE)</f>
        <v>5</v>
      </c>
      <c r="I16" s="53">
        <f>100*(PM!I16-MIN(PM!$I$14:$I$16))/(MAX(PM!$I$14:$I$16)-MIN(PM!$I$14:$I$16))</f>
        <v>0</v>
      </c>
      <c r="J16" s="17">
        <f>VLOOKUP(PM!J16,PM!$N$10:$O$30,2,FALSE)</f>
        <v>5</v>
      </c>
      <c r="K16" s="16">
        <f>VLOOKUP(PM!K16,PM!$N$10:$O$30,2,FALSE)</f>
        <v>5</v>
      </c>
      <c r="L16" s="54">
        <f>100*(PM!L16-MIN(PM!$L$14:$L$16))/(MAX(PM!$L$14:$L$16)-MIN(PM!$L$14:$L$16))</f>
        <v>74.420503480766357</v>
      </c>
      <c r="M16" s="73">
        <f t="shared" si="2"/>
        <v>299.42050348076634</v>
      </c>
      <c r="N16" s="99">
        <f>RANK(M16,$M$14:$M$16,0)</f>
        <v>3</v>
      </c>
    </row>
    <row r="17" spans="4:16" x14ac:dyDescent="0.25">
      <c r="F17" s="7"/>
      <c r="H17" s="7"/>
      <c r="I17" s="7"/>
      <c r="J17" s="7"/>
      <c r="K17" s="7"/>
      <c r="L17" s="7"/>
      <c r="M17" s="7"/>
    </row>
    <row r="18" spans="4:16" x14ac:dyDescent="0.25">
      <c r="D18" s="22"/>
      <c r="E18" s="23"/>
      <c r="F18" s="23"/>
      <c r="G18" s="23"/>
      <c r="H18" s="23"/>
      <c r="I18" s="23"/>
      <c r="J18" s="23"/>
      <c r="K18" s="23"/>
      <c r="L18" s="23"/>
      <c r="M18" s="23"/>
    </row>
    <row r="19" spans="4:16" x14ac:dyDescent="0.25">
      <c r="N19" s="23"/>
    </row>
    <row r="21" spans="4:16" x14ac:dyDescent="0.25">
      <c r="F21" s="9"/>
    </row>
    <row r="22" spans="4:16" x14ac:dyDescent="0.25">
      <c r="F22" s="9"/>
      <c r="P22" s="9"/>
    </row>
    <row r="23" spans="4:16" x14ac:dyDescent="0.25">
      <c r="O23" s="23"/>
      <c r="P23" s="51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0" workbookViewId="0">
      <selection activeCell="G24" sqref="G24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45" t="str">
        <f>PM!C10</f>
        <v>Agriculture (Livestock)</v>
      </c>
      <c r="D10" s="145"/>
    </row>
    <row r="11" spans="1:16" x14ac:dyDescent="0.25">
      <c r="D11" s="1"/>
      <c r="E11" s="6"/>
      <c r="F11" s="144" t="s">
        <v>8</v>
      </c>
      <c r="G11" s="144"/>
      <c r="H11" s="144"/>
      <c r="I11" s="144"/>
      <c r="J11" s="144"/>
      <c r="K11" s="144"/>
      <c r="L11" s="144"/>
      <c r="M11" s="39"/>
      <c r="N11" s="9"/>
      <c r="O11" s="9"/>
    </row>
    <row r="12" spans="1:16" ht="25.5" thickBot="1" x14ac:dyDescent="0.3">
      <c r="D12" s="1"/>
      <c r="E12" s="37" t="s">
        <v>1</v>
      </c>
      <c r="F12" s="38" t="s">
        <v>2</v>
      </c>
      <c r="G12" s="10" t="s">
        <v>6</v>
      </c>
      <c r="H12" s="148" t="s">
        <v>4</v>
      </c>
      <c r="I12" s="149"/>
      <c r="J12" s="150"/>
      <c r="K12" s="146" t="s">
        <v>7</v>
      </c>
      <c r="L12" s="147"/>
      <c r="M12" s="50"/>
    </row>
    <row r="13" spans="1:16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40" t="s">
        <v>25</v>
      </c>
      <c r="J13" s="8" t="s">
        <v>24</v>
      </c>
      <c r="K13" s="14" t="s">
        <v>47</v>
      </c>
      <c r="L13" s="45" t="s">
        <v>5</v>
      </c>
      <c r="M13" s="79" t="s">
        <v>16</v>
      </c>
      <c r="N13" s="81" t="s">
        <v>71</v>
      </c>
      <c r="O13" s="22"/>
      <c r="P13" s="76"/>
    </row>
    <row r="14" spans="1:16" ht="15.75" thickBot="1" x14ac:dyDescent="0.3">
      <c r="D14" s="3" t="str">
        <f>PM!D14</f>
        <v>Biogas</v>
      </c>
      <c r="E14" s="20">
        <f>$E$18*scoring!E14</f>
        <v>0</v>
      </c>
      <c r="F14" s="52">
        <f>$F$18*scoring!F14</f>
        <v>1.5</v>
      </c>
      <c r="G14" s="52">
        <f>$G$18*scoring!G14</f>
        <v>0.31169890468422273</v>
      </c>
      <c r="H14" s="52">
        <f>$H$18*scoring!H14</f>
        <v>4.5</v>
      </c>
      <c r="I14" s="53">
        <f>$I$18*scoring!I14</f>
        <v>10</v>
      </c>
      <c r="J14" s="61">
        <f>$J$18*scoring!J14</f>
        <v>1.25</v>
      </c>
      <c r="K14" s="20">
        <f>$K$18*scoring!K14</f>
        <v>4</v>
      </c>
      <c r="L14" s="64">
        <f>$L$18*scoring!L14</f>
        <v>10</v>
      </c>
      <c r="M14" s="27">
        <f t="shared" ref="M14:M16" si="2">SUM(E14:L14)</f>
        <v>31.561698904684221</v>
      </c>
      <c r="N14" s="82">
        <f>RANK(M14,$M$14:$M$16,0)</f>
        <v>3</v>
      </c>
      <c r="O14" s="22"/>
      <c r="P14" s="77"/>
    </row>
    <row r="15" spans="1:16" ht="15.75" thickBot="1" x14ac:dyDescent="0.3">
      <c r="D15" s="3" t="str">
        <f>PM!D15</f>
        <v>Composting</v>
      </c>
      <c r="E15" s="20">
        <f>$E$18*scoring!E15</f>
        <v>14.961495527706738</v>
      </c>
      <c r="F15" s="52">
        <f>$F$18*scoring!F15</f>
        <v>12</v>
      </c>
      <c r="G15" s="52">
        <f>$G$18*scoring!G15</f>
        <v>0</v>
      </c>
      <c r="H15" s="52">
        <f>$H$18*scoring!H15</f>
        <v>9.75</v>
      </c>
      <c r="I15" s="53">
        <f>$I$18*scoring!I15</f>
        <v>0</v>
      </c>
      <c r="J15" s="61">
        <f>$J$18*scoring!J15</f>
        <v>3.5</v>
      </c>
      <c r="K15" s="20">
        <f>$K$18*scoring!K15</f>
        <v>0.75</v>
      </c>
      <c r="L15" s="62">
        <f>$L$18*scoring!L15</f>
        <v>0</v>
      </c>
      <c r="M15" s="27">
        <f t="shared" si="2"/>
        <v>40.961495527706738</v>
      </c>
      <c r="N15" s="82">
        <f>RANK(M15,$M$14:$M$16,0)</f>
        <v>2</v>
      </c>
      <c r="O15" s="22"/>
      <c r="P15" s="77"/>
    </row>
    <row r="16" spans="1:16" ht="15.75" thickBot="1" x14ac:dyDescent="0.3">
      <c r="D16" s="3" t="str">
        <f>PM!D16</f>
        <v>Fertigation</v>
      </c>
      <c r="E16" s="63">
        <f>$E$18*scoring!E16</f>
        <v>15</v>
      </c>
      <c r="F16" s="52">
        <f>$F$18*scoring!F16</f>
        <v>1.5</v>
      </c>
      <c r="G16" s="52">
        <f>$G$18*scoring!G16</f>
        <v>25</v>
      </c>
      <c r="H16" s="52">
        <f>$H$18*scoring!H16</f>
        <v>0.75</v>
      </c>
      <c r="I16" s="53">
        <f>$I$18*scoring!I16</f>
        <v>0</v>
      </c>
      <c r="J16" s="61">
        <f>$J$18*scoring!J16</f>
        <v>0.25</v>
      </c>
      <c r="K16" s="20">
        <f>$K$18*scoring!K16</f>
        <v>0.25</v>
      </c>
      <c r="L16" s="65">
        <f>$L$18*scoring!L16</f>
        <v>7.442050348076636</v>
      </c>
      <c r="M16" s="27">
        <f t="shared" si="2"/>
        <v>50.192050348076634</v>
      </c>
      <c r="N16" s="82">
        <f>RANK(M16,$M$14:$M$16,0)</f>
        <v>1</v>
      </c>
      <c r="O16" s="22"/>
      <c r="P16" s="77"/>
    </row>
    <row r="17" spans="4:16" x14ac:dyDescent="0.25">
      <c r="D17" s="7"/>
      <c r="F17" s="7"/>
      <c r="G17" s="7"/>
      <c r="H17" s="7"/>
      <c r="I17" s="7"/>
      <c r="J17" s="7"/>
      <c r="K17" s="7"/>
      <c r="L17" s="7"/>
      <c r="M17" s="7"/>
      <c r="N17" s="7"/>
      <c r="O17" s="22"/>
      <c r="P17" s="77"/>
    </row>
    <row r="18" spans="4:16" x14ac:dyDescent="0.25">
      <c r="D18" s="15" t="s">
        <v>10</v>
      </c>
      <c r="E18" s="19">
        <v>0.15</v>
      </c>
      <c r="F18" s="19">
        <v>0.15</v>
      </c>
      <c r="G18" s="19">
        <v>0.25</v>
      </c>
      <c r="H18" s="57">
        <v>0.15</v>
      </c>
      <c r="I18" s="57">
        <v>0.1</v>
      </c>
      <c r="J18" s="57">
        <v>0.05</v>
      </c>
      <c r="K18" s="59">
        <v>0.05</v>
      </c>
      <c r="L18" s="59">
        <v>0.1</v>
      </c>
      <c r="M18" s="56">
        <f>SUM(E18:L18)</f>
        <v>1.0000000000000002</v>
      </c>
      <c r="O18" s="22"/>
      <c r="P18" s="77"/>
    </row>
    <row r="19" spans="4:16" x14ac:dyDescent="0.25">
      <c r="N19" s="23"/>
      <c r="O19" s="22"/>
      <c r="P19" s="77"/>
    </row>
    <row r="20" spans="4:16" x14ac:dyDescent="0.25">
      <c r="I20" s="58">
        <f>SUM(H18:J18)</f>
        <v>0.3</v>
      </c>
      <c r="K20" s="151">
        <f>SUM(K18:L18)</f>
        <v>0.15000000000000002</v>
      </c>
      <c r="L20" s="151"/>
      <c r="O20" s="22"/>
      <c r="P20" s="77"/>
    </row>
    <row r="21" spans="4:16" x14ac:dyDescent="0.25">
      <c r="F21" s="9"/>
      <c r="O21" s="22"/>
      <c r="P21" s="77"/>
    </row>
    <row r="22" spans="4:16" x14ac:dyDescent="0.25">
      <c r="F22" s="9"/>
      <c r="P22" s="9"/>
    </row>
    <row r="23" spans="4:16" x14ac:dyDescent="0.25">
      <c r="O23" s="23"/>
      <c r="P23" s="51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10" zoomScale="90" zoomScaleNormal="90" workbookViewId="0">
      <selection activeCell="D11" sqref="D11:N17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45" t="str">
        <f>PM!C10</f>
        <v>Agriculture (Livestock)</v>
      </c>
      <c r="D10" s="145"/>
    </row>
    <row r="11" spans="1:17" x14ac:dyDescent="0.25">
      <c r="D11" s="1"/>
      <c r="E11" s="6"/>
      <c r="F11" s="152" t="s">
        <v>8</v>
      </c>
      <c r="G11" s="152"/>
      <c r="H11" s="152"/>
      <c r="I11" s="152"/>
      <c r="J11" s="152"/>
      <c r="K11" s="152"/>
      <c r="L11" s="152"/>
      <c r="M11" s="39"/>
      <c r="N11" s="9"/>
      <c r="O11" s="9"/>
    </row>
    <row r="12" spans="1:17" ht="25.5" thickBot="1" x14ac:dyDescent="0.3">
      <c r="D12" s="158"/>
      <c r="E12" s="84" t="s">
        <v>1</v>
      </c>
      <c r="F12" s="85" t="s">
        <v>2</v>
      </c>
      <c r="G12" s="86" t="s">
        <v>6</v>
      </c>
      <c r="H12" s="153" t="s">
        <v>4</v>
      </c>
      <c r="I12" s="154"/>
      <c r="J12" s="155"/>
      <c r="K12" s="156" t="s">
        <v>7</v>
      </c>
      <c r="L12" s="157"/>
      <c r="M12" s="50"/>
      <c r="N12" s="9"/>
      <c r="O12" s="9"/>
      <c r="P12" s="9"/>
    </row>
    <row r="13" spans="1:17" ht="55.5" customHeight="1" thickBot="1" x14ac:dyDescent="0.3">
      <c r="D13" s="2" t="s">
        <v>9</v>
      </c>
      <c r="E13" s="87" t="s">
        <v>0</v>
      </c>
      <c r="F13" s="88" t="s">
        <v>3</v>
      </c>
      <c r="G13" s="89" t="s">
        <v>27</v>
      </c>
      <c r="H13" s="90" t="s">
        <v>46</v>
      </c>
      <c r="I13" s="91" t="s">
        <v>25</v>
      </c>
      <c r="J13" s="92" t="s">
        <v>24</v>
      </c>
      <c r="K13" s="90" t="s">
        <v>47</v>
      </c>
      <c r="L13" s="93" t="s">
        <v>5</v>
      </c>
      <c r="M13" s="21" t="s">
        <v>16</v>
      </c>
      <c r="N13" s="72" t="s">
        <v>71</v>
      </c>
      <c r="O13" s="75"/>
      <c r="P13" s="76"/>
      <c r="Q13" s="9"/>
    </row>
    <row r="14" spans="1:17" ht="15.75" thickBot="1" x14ac:dyDescent="0.3">
      <c r="D14" s="3" t="str">
        <f>PM!D14</f>
        <v>Biogas</v>
      </c>
      <c r="E14" s="20">
        <f>$E$18*scoring!E14</f>
        <v>0</v>
      </c>
      <c r="F14" s="52">
        <f>$F$18*scoring!F14</f>
        <v>1</v>
      </c>
      <c r="G14" s="52">
        <f>$G$18*scoring!G14</f>
        <v>0.37403868562106729</v>
      </c>
      <c r="H14" s="52">
        <f>$H$18*scoring!H14</f>
        <v>1.5</v>
      </c>
      <c r="I14" s="53">
        <f>$I$18*scoring!I14</f>
        <v>10</v>
      </c>
      <c r="J14" s="61">
        <f>$J$18*scoring!J14</f>
        <v>1.25</v>
      </c>
      <c r="K14" s="20">
        <f>$K$18*scoring!K14</f>
        <v>4</v>
      </c>
      <c r="L14" s="54">
        <f>$L$18*scoring!L14</f>
        <v>15</v>
      </c>
      <c r="M14" s="73">
        <f t="shared" ref="M14:M16" si="2">SUM(E14:L14)</f>
        <v>33.124038685621066</v>
      </c>
      <c r="N14" s="74">
        <f>RANK(M14,$M$14:$M$16,0)</f>
        <v>3</v>
      </c>
      <c r="O14" s="75"/>
      <c r="P14" s="77"/>
      <c r="Q14" s="9"/>
    </row>
    <row r="15" spans="1:17" ht="15.75" thickBot="1" x14ac:dyDescent="0.3">
      <c r="D15" s="3" t="str">
        <f>PM!D15</f>
        <v>Composting</v>
      </c>
      <c r="E15" s="20">
        <f>$E$18*scoring!E15</f>
        <v>19.948660703608986</v>
      </c>
      <c r="F15" s="52">
        <f>$F$18*scoring!F15</f>
        <v>8</v>
      </c>
      <c r="G15" s="52">
        <f>$G$18*scoring!G15</f>
        <v>0</v>
      </c>
      <c r="H15" s="52">
        <f>$H$18*scoring!H15</f>
        <v>3.25</v>
      </c>
      <c r="I15" s="53">
        <f>$I$18*scoring!I15</f>
        <v>0</v>
      </c>
      <c r="J15" s="61">
        <f>$J$18*scoring!J15</f>
        <v>3.5</v>
      </c>
      <c r="K15" s="20">
        <f>$K$18*scoring!K15</f>
        <v>0.75</v>
      </c>
      <c r="L15" s="64">
        <f>$L$18*scoring!L15</f>
        <v>0</v>
      </c>
      <c r="M15" s="27">
        <f t="shared" si="2"/>
        <v>35.448660703608986</v>
      </c>
      <c r="N15" s="71">
        <f>RANK(M15,$M$14:$M$16,0)</f>
        <v>2</v>
      </c>
      <c r="O15" s="75"/>
      <c r="P15" s="77"/>
      <c r="Q15" s="9"/>
    </row>
    <row r="16" spans="1:17" ht="15.75" thickBot="1" x14ac:dyDescent="0.3">
      <c r="D16" s="3" t="str">
        <f>PM!D16</f>
        <v>Fertigation</v>
      </c>
      <c r="E16" s="20">
        <f>$E$18*scoring!E16</f>
        <v>20</v>
      </c>
      <c r="F16" s="52">
        <f>$F$18*scoring!F16</f>
        <v>1</v>
      </c>
      <c r="G16" s="52">
        <f>$G$18*scoring!G16</f>
        <v>30</v>
      </c>
      <c r="H16" s="52">
        <f>$H$18*scoring!H16</f>
        <v>0.25</v>
      </c>
      <c r="I16" s="53">
        <f>$I$18*scoring!I16</f>
        <v>0</v>
      </c>
      <c r="J16" s="61">
        <f>$J$18*scoring!J16</f>
        <v>0.25</v>
      </c>
      <c r="K16" s="20">
        <f>$K$18*scoring!K16</f>
        <v>0.25</v>
      </c>
      <c r="L16" s="62">
        <f>$L$18*scoring!L16</f>
        <v>11.163075522114953</v>
      </c>
      <c r="M16" s="73">
        <f t="shared" si="2"/>
        <v>62.913075522114951</v>
      </c>
      <c r="N16" s="74">
        <f>RANK(M16,$M$14:$M$16,0)</f>
        <v>1</v>
      </c>
      <c r="O16" s="75"/>
      <c r="P16" s="77"/>
      <c r="Q16" s="9"/>
    </row>
    <row r="17" spans="4:17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2"/>
      <c r="P17" s="77"/>
      <c r="Q17" s="9"/>
    </row>
    <row r="18" spans="4:17" x14ac:dyDescent="0.25">
      <c r="D18" s="15" t="s">
        <v>10</v>
      </c>
      <c r="E18" s="19">
        <v>0.2</v>
      </c>
      <c r="F18" s="19">
        <v>0.1</v>
      </c>
      <c r="G18" s="19">
        <v>0.3</v>
      </c>
      <c r="H18" s="57">
        <v>0.05</v>
      </c>
      <c r="I18" s="57">
        <v>0.1</v>
      </c>
      <c r="J18" s="57">
        <v>0.05</v>
      </c>
      <c r="K18" s="59">
        <v>0.05</v>
      </c>
      <c r="L18" s="59">
        <v>0.15</v>
      </c>
      <c r="M18" s="56">
        <f>SUM(E18:L18)</f>
        <v>1.0000000000000002</v>
      </c>
      <c r="N18" s="23"/>
      <c r="O18" s="22"/>
      <c r="P18" s="77"/>
      <c r="Q18" s="9"/>
    </row>
    <row r="19" spans="4:17" x14ac:dyDescent="0.25">
      <c r="O19" s="22"/>
      <c r="P19" s="77"/>
      <c r="Q19" s="9"/>
    </row>
    <row r="20" spans="4:17" x14ac:dyDescent="0.25">
      <c r="I20" s="58">
        <f>SUM(H18:J18)</f>
        <v>0.2</v>
      </c>
      <c r="K20" s="151">
        <f>SUM(K18:L18)</f>
        <v>0.2</v>
      </c>
      <c r="L20" s="151"/>
      <c r="O20" s="22"/>
      <c r="P20" s="77"/>
      <c r="Q20" s="9"/>
    </row>
    <row r="21" spans="4:17" x14ac:dyDescent="0.25">
      <c r="F21" s="9"/>
      <c r="O21" s="22"/>
      <c r="P21" s="77"/>
      <c r="Q21" s="9"/>
    </row>
    <row r="22" spans="4:17" x14ac:dyDescent="0.25">
      <c r="F22" s="9"/>
      <c r="P22" s="9"/>
    </row>
    <row r="23" spans="4:17" x14ac:dyDescent="0.25">
      <c r="O23" s="23"/>
      <c r="P23" s="51"/>
    </row>
  </sheetData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0" zoomScale="90" zoomScaleNormal="90" workbookViewId="0">
      <selection activeCell="E27" sqref="E27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45" t="str">
        <f>PM!C10</f>
        <v>Agriculture (Livestock)</v>
      </c>
      <c r="D10" s="145"/>
    </row>
    <row r="11" spans="1:17" x14ac:dyDescent="0.25">
      <c r="D11" s="1"/>
      <c r="E11" s="6"/>
      <c r="F11" s="144" t="s">
        <v>8</v>
      </c>
      <c r="G11" s="144"/>
      <c r="H11" s="144"/>
      <c r="I11" s="144"/>
      <c r="J11" s="144"/>
      <c r="K11" s="144"/>
      <c r="L11" s="144"/>
      <c r="M11" s="39"/>
      <c r="N11" s="9"/>
      <c r="O11" s="9"/>
    </row>
    <row r="12" spans="1:17" ht="25.5" thickBot="1" x14ac:dyDescent="0.3">
      <c r="D12" s="1"/>
      <c r="E12" s="37" t="s">
        <v>1</v>
      </c>
      <c r="F12" s="38" t="s">
        <v>2</v>
      </c>
      <c r="G12" s="10" t="s">
        <v>6</v>
      </c>
      <c r="H12" s="148" t="s">
        <v>4</v>
      </c>
      <c r="I12" s="149"/>
      <c r="J12" s="150"/>
      <c r="K12" s="146" t="s">
        <v>7</v>
      </c>
      <c r="L12" s="147"/>
      <c r="M12" s="50"/>
    </row>
    <row r="13" spans="1:17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27</v>
      </c>
      <c r="H13" s="14" t="s">
        <v>46</v>
      </c>
      <c r="I13" s="40" t="s">
        <v>25</v>
      </c>
      <c r="J13" s="8" t="s">
        <v>24</v>
      </c>
      <c r="K13" s="14" t="s">
        <v>47</v>
      </c>
      <c r="L13" s="45" t="s">
        <v>5</v>
      </c>
      <c r="M13" s="79" t="s">
        <v>16</v>
      </c>
      <c r="N13" s="81" t="s">
        <v>71</v>
      </c>
      <c r="O13" s="22"/>
      <c r="P13" s="76"/>
      <c r="Q13" s="9"/>
    </row>
    <row r="14" spans="1:17" ht="15.75" thickBot="1" x14ac:dyDescent="0.3">
      <c r="D14" s="3" t="str">
        <f>PM!D14</f>
        <v>Biogas</v>
      </c>
      <c r="E14" s="20">
        <f>$E$18*scoring!E14</f>
        <v>0</v>
      </c>
      <c r="F14" s="52">
        <f>$F$18*scoring!F14</f>
        <v>1</v>
      </c>
      <c r="G14" s="52">
        <f>$G$18*scoring!G14</f>
        <v>0.43637846655791179</v>
      </c>
      <c r="H14" s="52">
        <f>$H$18*scoring!H14</f>
        <v>1.5</v>
      </c>
      <c r="I14" s="53">
        <f>$I$18*scoring!I14</f>
        <v>10</v>
      </c>
      <c r="J14" s="61">
        <f>$J$18*scoring!J14</f>
        <v>1.25</v>
      </c>
      <c r="K14" s="20">
        <f>$K$18*scoring!K14</f>
        <v>4</v>
      </c>
      <c r="L14" s="54">
        <f>$L$18*scoring!L14</f>
        <v>15</v>
      </c>
      <c r="M14" s="27">
        <f t="shared" ref="M14:M16" si="2">SUM(E14:L14)</f>
        <v>33.186378466557912</v>
      </c>
      <c r="N14" s="82">
        <f>RANK(M14,$M$14:$M$16,0)</f>
        <v>2</v>
      </c>
      <c r="O14" s="22"/>
      <c r="P14" s="77"/>
      <c r="Q14" s="9"/>
    </row>
    <row r="15" spans="1:17" ht="15.75" thickBot="1" x14ac:dyDescent="0.3">
      <c r="D15" s="3" t="str">
        <f>PM!D15</f>
        <v>Composting</v>
      </c>
      <c r="E15" s="20">
        <f>$E$18*scoring!E15</f>
        <v>14.961495527706738</v>
      </c>
      <c r="F15" s="52">
        <f>$F$18*scoring!F15</f>
        <v>8</v>
      </c>
      <c r="G15" s="52">
        <f>$G$18*scoring!G15</f>
        <v>0</v>
      </c>
      <c r="H15" s="52">
        <f>$H$18*scoring!H15</f>
        <v>3.25</v>
      </c>
      <c r="I15" s="53">
        <f>$I$18*scoring!I15</f>
        <v>0</v>
      </c>
      <c r="J15" s="61">
        <f>$J$18*scoring!J15</f>
        <v>3.5</v>
      </c>
      <c r="K15" s="20">
        <f>$K$18*scoring!K15</f>
        <v>0.75</v>
      </c>
      <c r="L15" s="64">
        <f>$L$18*scoring!L15</f>
        <v>0</v>
      </c>
      <c r="M15" s="27">
        <f t="shared" si="2"/>
        <v>30.461495527706738</v>
      </c>
      <c r="N15" s="82">
        <f>RANK(M15,$M$14:$M$16,0)</f>
        <v>3</v>
      </c>
      <c r="O15" s="22"/>
      <c r="P15" s="77"/>
      <c r="Q15" s="9"/>
    </row>
    <row r="16" spans="1:17" ht="15.75" thickBot="1" x14ac:dyDescent="0.3">
      <c r="D16" s="3" t="str">
        <f>PM!D16</f>
        <v>Fertigation</v>
      </c>
      <c r="E16" s="20">
        <f>$E$18*scoring!E16</f>
        <v>15</v>
      </c>
      <c r="F16" s="52">
        <f>$F$18*scoring!F16</f>
        <v>1</v>
      </c>
      <c r="G16" s="52">
        <f>$G$18*scoring!G16</f>
        <v>35</v>
      </c>
      <c r="H16" s="52">
        <f>$H$18*scoring!H16</f>
        <v>0.25</v>
      </c>
      <c r="I16" s="53">
        <f>$I$18*scoring!I16</f>
        <v>0</v>
      </c>
      <c r="J16" s="61">
        <f>$J$18*scoring!J16</f>
        <v>0.25</v>
      </c>
      <c r="K16" s="20">
        <f>$K$18*scoring!K16</f>
        <v>0.25</v>
      </c>
      <c r="L16" s="62">
        <f>$L$18*scoring!L16</f>
        <v>11.163075522114953</v>
      </c>
      <c r="M16" s="27">
        <f t="shared" si="2"/>
        <v>62.913075522114951</v>
      </c>
      <c r="N16" s="83">
        <f>RANK(M16,$M$14:$M$16,0)</f>
        <v>1</v>
      </c>
      <c r="O16" s="22"/>
      <c r="P16" s="77"/>
      <c r="Q16" s="9"/>
    </row>
    <row r="17" spans="4:17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O17" s="22"/>
      <c r="P17" s="77"/>
      <c r="Q17" s="9"/>
    </row>
    <row r="18" spans="4:17" x14ac:dyDescent="0.25">
      <c r="D18" s="15" t="s">
        <v>10</v>
      </c>
      <c r="E18" s="19">
        <v>0.15</v>
      </c>
      <c r="F18" s="19">
        <v>0.1</v>
      </c>
      <c r="G18" s="19">
        <v>0.35</v>
      </c>
      <c r="H18" s="57">
        <v>0.05</v>
      </c>
      <c r="I18" s="57">
        <v>0.1</v>
      </c>
      <c r="J18" s="57">
        <v>0.05</v>
      </c>
      <c r="K18" s="70">
        <v>0.05</v>
      </c>
      <c r="L18" s="70">
        <v>0.15</v>
      </c>
      <c r="M18" s="56">
        <f>SUM(E18:L18)</f>
        <v>1</v>
      </c>
      <c r="O18" s="22"/>
      <c r="P18" s="77"/>
      <c r="Q18" s="9"/>
    </row>
    <row r="19" spans="4:17" x14ac:dyDescent="0.25">
      <c r="N19" s="23"/>
      <c r="O19" s="22"/>
      <c r="P19" s="77"/>
      <c r="Q19" s="9"/>
    </row>
    <row r="20" spans="4:17" x14ac:dyDescent="0.25">
      <c r="I20" s="58">
        <f>SUM(H18:J18)</f>
        <v>0.2</v>
      </c>
      <c r="K20" s="151">
        <f>SUM(K18:L18)</f>
        <v>0.2</v>
      </c>
      <c r="L20" s="151"/>
      <c r="O20" s="22"/>
      <c r="P20" s="77"/>
      <c r="Q20" s="9"/>
    </row>
    <row r="21" spans="4:17" x14ac:dyDescent="0.25">
      <c r="F21" s="9"/>
      <c r="O21" s="22"/>
      <c r="P21" s="77"/>
      <c r="Q21" s="9"/>
    </row>
    <row r="22" spans="4:17" x14ac:dyDescent="0.25">
      <c r="F22" s="9"/>
      <c r="P22" s="9"/>
    </row>
    <row r="23" spans="4:17" x14ac:dyDescent="0.25">
      <c r="O23" s="23"/>
      <c r="P23" s="51"/>
    </row>
  </sheetData>
  <mergeCells count="5">
    <mergeCell ref="C10:D10"/>
    <mergeCell ref="F11:L11"/>
    <mergeCell ref="H12:J12"/>
    <mergeCell ref="K12:L12"/>
    <mergeCell ref="K20:L20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V42"/>
  <sheetViews>
    <sheetView topLeftCell="F1" workbookViewId="0">
      <selection activeCell="P8" sqref="P8"/>
    </sheetView>
  </sheetViews>
  <sheetFormatPr defaultRowHeight="15" x14ac:dyDescent="0.25"/>
  <cols>
    <col min="4" max="4" width="28.85546875" customWidth="1"/>
    <col min="15" max="15" width="14.28515625" bestFit="1" customWidth="1"/>
    <col min="16" max="16" width="16.5703125" customWidth="1"/>
    <col min="17" max="17" width="14.5703125" customWidth="1"/>
  </cols>
  <sheetData>
    <row r="5" spans="4:21" ht="15.75" thickBot="1" x14ac:dyDescent="0.3"/>
    <row r="6" spans="4:21" ht="90.75" thickBot="1" x14ac:dyDescent="0.3">
      <c r="D6" s="104" t="s">
        <v>96</v>
      </c>
      <c r="E6" s="105">
        <v>2006</v>
      </c>
      <c r="F6" s="105">
        <v>2007</v>
      </c>
      <c r="G6" s="105">
        <v>2008</v>
      </c>
      <c r="H6" s="105">
        <v>2009</v>
      </c>
      <c r="I6" s="105">
        <v>2010</v>
      </c>
      <c r="J6" s="105">
        <v>2011</v>
      </c>
      <c r="K6" s="105">
        <v>2012</v>
      </c>
      <c r="L6" s="105">
        <v>2013</v>
      </c>
      <c r="M6" s="127">
        <v>2030</v>
      </c>
      <c r="O6" s="106" t="s">
        <v>97</v>
      </c>
      <c r="P6" s="107" t="s">
        <v>98</v>
      </c>
      <c r="Q6" s="107" t="s">
        <v>99</v>
      </c>
      <c r="R6" s="107" t="s">
        <v>100</v>
      </c>
    </row>
    <row r="7" spans="4:21" ht="17.25" thickBot="1" x14ac:dyDescent="0.3">
      <c r="D7" s="108" t="s">
        <v>101</v>
      </c>
      <c r="E7" s="109">
        <v>2237</v>
      </c>
      <c r="F7" s="109">
        <v>2163</v>
      </c>
      <c r="G7" s="109">
        <v>2457</v>
      </c>
      <c r="H7" s="109">
        <v>2316</v>
      </c>
      <c r="I7" s="109">
        <v>2679</v>
      </c>
      <c r="J7" s="109">
        <v>2525</v>
      </c>
      <c r="K7" s="109">
        <v>3022</v>
      </c>
      <c r="L7" s="109">
        <v>2874</v>
      </c>
      <c r="M7" s="133">
        <v>3400</v>
      </c>
      <c r="O7" s="106" t="s">
        <v>102</v>
      </c>
      <c r="P7" s="106">
        <v>10</v>
      </c>
      <c r="Q7" s="106">
        <v>3.6999999999999998E-2</v>
      </c>
      <c r="R7" s="110">
        <f>P7*Q7</f>
        <v>0.37</v>
      </c>
    </row>
    <row r="8" spans="4:21" ht="17.25" thickBot="1" x14ac:dyDescent="0.3">
      <c r="D8" s="108" t="s">
        <v>103</v>
      </c>
      <c r="E8" s="109">
        <v>7016</v>
      </c>
      <c r="F8" s="109">
        <v>6815</v>
      </c>
      <c r="G8" s="109">
        <v>6967</v>
      </c>
      <c r="H8" s="109">
        <v>7006</v>
      </c>
      <c r="I8" s="109">
        <v>6846</v>
      </c>
      <c r="J8" s="109">
        <v>5991</v>
      </c>
      <c r="K8" s="109">
        <v>6099</v>
      </c>
      <c r="L8" s="109">
        <v>6127</v>
      </c>
      <c r="M8" s="133">
        <v>7140</v>
      </c>
      <c r="O8" s="106" t="s">
        <v>104</v>
      </c>
      <c r="P8" s="106">
        <v>2.25</v>
      </c>
      <c r="Q8" s="106">
        <v>7.9000000000000001E-2</v>
      </c>
      <c r="R8" s="110">
        <f t="shared" ref="R8:R9" si="0">P8*Q8</f>
        <v>0.17774999999999999</v>
      </c>
    </row>
    <row r="9" spans="4:21" ht="15.75" thickBot="1" x14ac:dyDescent="0.3">
      <c r="D9" s="108" t="s">
        <v>105</v>
      </c>
      <c r="E9" s="109">
        <f>SUM(E7:E8)</f>
        <v>9253</v>
      </c>
      <c r="F9" s="109">
        <f t="shared" ref="F9:L9" si="1">SUM(F7:F8)</f>
        <v>8978</v>
      </c>
      <c r="G9" s="109">
        <f t="shared" si="1"/>
        <v>9424</v>
      </c>
      <c r="H9" s="109">
        <f t="shared" si="1"/>
        <v>9322</v>
      </c>
      <c r="I9" s="109">
        <f t="shared" si="1"/>
        <v>9525</v>
      </c>
      <c r="J9" s="109">
        <f t="shared" si="1"/>
        <v>8516</v>
      </c>
      <c r="K9" s="109">
        <f t="shared" si="1"/>
        <v>9121</v>
      </c>
      <c r="L9" s="109">
        <f t="shared" si="1"/>
        <v>9001</v>
      </c>
      <c r="M9" s="133">
        <v>2300</v>
      </c>
      <c r="N9" s="134">
        <f>SUM(M7:M9)</f>
        <v>12840</v>
      </c>
      <c r="O9" s="106" t="s">
        <v>106</v>
      </c>
      <c r="P9" s="106">
        <v>0.18</v>
      </c>
      <c r="Q9" s="106">
        <v>6.2E-2</v>
      </c>
      <c r="R9" s="110">
        <f t="shared" si="0"/>
        <v>1.116E-2</v>
      </c>
    </row>
    <row r="10" spans="4:21" ht="17.25" thickBot="1" x14ac:dyDescent="0.3">
      <c r="D10" s="108" t="s">
        <v>107</v>
      </c>
      <c r="E10" s="111">
        <v>24547</v>
      </c>
      <c r="F10" s="111">
        <v>25300</v>
      </c>
      <c r="G10" s="111">
        <v>26598</v>
      </c>
      <c r="H10" s="111">
        <v>26696</v>
      </c>
      <c r="I10" s="111">
        <v>28267</v>
      </c>
      <c r="J10" s="111">
        <v>28284</v>
      </c>
      <c r="K10" s="111">
        <v>27529</v>
      </c>
      <c r="L10" s="111">
        <v>25933</v>
      </c>
      <c r="M10" s="129">
        <v>30000</v>
      </c>
    </row>
    <row r="11" spans="4:21" ht="17.25" thickBot="1" x14ac:dyDescent="0.3">
      <c r="D11" s="108" t="s">
        <v>108</v>
      </c>
      <c r="E11" s="111">
        <v>1278</v>
      </c>
      <c r="F11" s="111">
        <v>1191</v>
      </c>
      <c r="G11" s="111">
        <v>1652</v>
      </c>
      <c r="H11" s="111">
        <v>2130</v>
      </c>
      <c r="I11" s="111">
        <v>2096</v>
      </c>
      <c r="J11" s="111">
        <v>1994</v>
      </c>
      <c r="K11" s="111">
        <v>2262</v>
      </c>
      <c r="L11" s="111">
        <v>2540</v>
      </c>
      <c r="M11" s="128">
        <v>4000</v>
      </c>
    </row>
    <row r="12" spans="4:21" ht="15.75" thickBot="1" x14ac:dyDescent="0.3">
      <c r="D12" s="108" t="s">
        <v>109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30">
        <v>5800000</v>
      </c>
      <c r="P12" t="s">
        <v>102</v>
      </c>
      <c r="Q12">
        <f>L9*P7*365</f>
        <v>32853650</v>
      </c>
      <c r="S12" t="s">
        <v>110</v>
      </c>
      <c r="T12">
        <v>20</v>
      </c>
      <c r="U12" t="s">
        <v>111</v>
      </c>
    </row>
    <row r="13" spans="4:21" ht="15.75" thickBot="1" x14ac:dyDescent="0.3">
      <c r="D13" s="108" t="s">
        <v>112</v>
      </c>
      <c r="E13" s="112" t="s">
        <v>113</v>
      </c>
      <c r="F13" s="112" t="s">
        <v>113</v>
      </c>
      <c r="G13" s="112" t="s">
        <v>113</v>
      </c>
      <c r="H13" s="112" t="s">
        <v>113</v>
      </c>
      <c r="I13" s="112" t="s">
        <v>113</v>
      </c>
      <c r="J13" s="112" t="s">
        <v>113</v>
      </c>
      <c r="K13" s="112" t="s">
        <v>113</v>
      </c>
      <c r="L13" s="112" t="s">
        <v>113</v>
      </c>
      <c r="M13" s="131">
        <v>690000</v>
      </c>
      <c r="O13" s="113"/>
      <c r="Q13">
        <f>Q12*T14</f>
        <v>2299755.5</v>
      </c>
      <c r="S13" t="s">
        <v>114</v>
      </c>
      <c r="T13">
        <v>25</v>
      </c>
      <c r="U13" t="s">
        <v>115</v>
      </c>
    </row>
    <row r="14" spans="4:21" ht="17.25" thickBot="1" x14ac:dyDescent="0.3">
      <c r="D14" s="108" t="s">
        <v>116</v>
      </c>
      <c r="E14" s="109">
        <v>655</v>
      </c>
      <c r="F14" s="114" t="s">
        <v>113</v>
      </c>
      <c r="G14" s="114" t="s">
        <v>113</v>
      </c>
      <c r="H14" s="114" t="s">
        <v>113</v>
      </c>
      <c r="I14" s="114" t="s">
        <v>113</v>
      </c>
      <c r="J14" s="114" t="s">
        <v>113</v>
      </c>
      <c r="K14" s="109">
        <v>824</v>
      </c>
      <c r="L14" s="109">
        <v>855</v>
      </c>
      <c r="M14" s="132">
        <v>9000</v>
      </c>
      <c r="O14" s="115">
        <f>P9*750000*365</f>
        <v>49275000</v>
      </c>
      <c r="P14" s="116">
        <f>O14*Q9</f>
        <v>3055050</v>
      </c>
      <c r="Q14">
        <f>Q13*T15</f>
        <v>1609828.8499999999</v>
      </c>
      <c r="R14" t="s">
        <v>117</v>
      </c>
      <c r="T14">
        <v>7.0000000000000007E-2</v>
      </c>
    </row>
    <row r="15" spans="4:21" ht="15.75" thickBot="1" x14ac:dyDescent="0.3">
      <c r="D15" s="108" t="s">
        <v>118</v>
      </c>
      <c r="E15" s="112" t="s">
        <v>113</v>
      </c>
      <c r="F15" s="112" t="s">
        <v>113</v>
      </c>
      <c r="G15" s="112" t="s">
        <v>113</v>
      </c>
      <c r="H15" s="112" t="s">
        <v>113</v>
      </c>
      <c r="I15" s="112" t="s">
        <v>113</v>
      </c>
      <c r="J15" s="112" t="s">
        <v>113</v>
      </c>
      <c r="K15" s="112" t="s">
        <v>113</v>
      </c>
      <c r="L15" s="112" t="s">
        <v>113</v>
      </c>
      <c r="M15" s="133">
        <v>24000</v>
      </c>
      <c r="T15">
        <v>0.7</v>
      </c>
    </row>
    <row r="16" spans="4:21" ht="17.25" thickBot="1" x14ac:dyDescent="0.3">
      <c r="D16" s="108" t="s">
        <v>119</v>
      </c>
      <c r="E16" s="111">
        <v>2375</v>
      </c>
      <c r="F16" s="111">
        <v>2774</v>
      </c>
      <c r="G16" s="111">
        <v>1387</v>
      </c>
      <c r="H16" s="111">
        <v>3003</v>
      </c>
      <c r="I16" s="111">
        <v>4338</v>
      </c>
      <c r="J16" s="111">
        <v>3873</v>
      </c>
      <c r="K16" s="111">
        <v>3178</v>
      </c>
      <c r="L16" s="111">
        <v>3270</v>
      </c>
      <c r="M16" s="128">
        <v>18000</v>
      </c>
      <c r="Q16" s="117">
        <f>(Q14/T12)*T13</f>
        <v>2012286.0624999998</v>
      </c>
      <c r="S16" t="s">
        <v>120</v>
      </c>
      <c r="U16" s="118">
        <v>0.33333333333333298</v>
      </c>
    </row>
    <row r="17" spans="4:22" ht="17.25" thickBot="1" x14ac:dyDescent="0.3">
      <c r="D17" s="108" t="s">
        <v>121</v>
      </c>
      <c r="E17" s="111">
        <v>12944</v>
      </c>
      <c r="F17" s="111">
        <v>14639</v>
      </c>
      <c r="G17" s="111">
        <v>5312</v>
      </c>
      <c r="H17" s="111">
        <v>11105</v>
      </c>
      <c r="I17" s="111">
        <v>17989</v>
      </c>
      <c r="J17" s="111">
        <v>19412</v>
      </c>
      <c r="K17" s="111">
        <v>12109</v>
      </c>
      <c r="L17" s="111">
        <v>12691</v>
      </c>
      <c r="Q17">
        <f>Q16*U16</f>
        <v>670762.02083333256</v>
      </c>
      <c r="U17">
        <v>12</v>
      </c>
      <c r="V17" t="s">
        <v>122</v>
      </c>
    </row>
    <row r="18" spans="4:22" ht="17.25" thickBot="1" x14ac:dyDescent="0.3">
      <c r="D18" s="108" t="s">
        <v>123</v>
      </c>
      <c r="E18" s="111">
        <v>15319</v>
      </c>
      <c r="F18" s="111">
        <v>17413</v>
      </c>
      <c r="G18" s="111">
        <v>6699</v>
      </c>
      <c r="H18" s="111">
        <v>14108</v>
      </c>
      <c r="I18" s="111">
        <v>22327</v>
      </c>
      <c r="J18" s="111">
        <v>23285</v>
      </c>
      <c r="K18" s="111">
        <v>15287</v>
      </c>
      <c r="L18" s="111">
        <v>15961</v>
      </c>
      <c r="Q18">
        <f>Q17/U17</f>
        <v>55896.83506944438</v>
      </c>
      <c r="U18">
        <v>8000</v>
      </c>
      <c r="V18" t="s">
        <v>124</v>
      </c>
    </row>
    <row r="19" spans="4:22" ht="17.25" thickBot="1" x14ac:dyDescent="0.3">
      <c r="D19" s="119" t="s">
        <v>125</v>
      </c>
      <c r="E19" s="120">
        <v>4847414</v>
      </c>
      <c r="F19" s="120">
        <v>5263179</v>
      </c>
      <c r="G19" s="120">
        <v>5494594</v>
      </c>
      <c r="H19" s="120">
        <v>5586732</v>
      </c>
      <c r="I19" s="120">
        <v>5863089</v>
      </c>
      <c r="J19" s="120">
        <v>5978020</v>
      </c>
      <c r="K19" s="120">
        <v>6059956</v>
      </c>
      <c r="L19" s="120">
        <v>5997932</v>
      </c>
      <c r="Q19">
        <f>Q18/U18</f>
        <v>6.9871043836805473</v>
      </c>
    </row>
    <row r="20" spans="4:22" ht="17.25" thickBot="1" x14ac:dyDescent="0.3">
      <c r="D20" s="119" t="s">
        <v>126</v>
      </c>
      <c r="E20" s="121">
        <v>16000</v>
      </c>
      <c r="F20" s="121">
        <v>16000</v>
      </c>
      <c r="G20" s="121">
        <v>16000</v>
      </c>
      <c r="H20" s="121">
        <v>16000</v>
      </c>
      <c r="I20" s="121">
        <v>16000</v>
      </c>
      <c r="J20" s="121">
        <v>16000</v>
      </c>
      <c r="K20" s="121">
        <v>16000</v>
      </c>
      <c r="L20" s="122">
        <v>16000</v>
      </c>
    </row>
    <row r="21" spans="4:22" x14ac:dyDescent="0.25">
      <c r="D21" s="123" t="s">
        <v>127</v>
      </c>
      <c r="E21" s="123">
        <v>761666.66666666663</v>
      </c>
      <c r="F21" s="123">
        <v>706000</v>
      </c>
      <c r="G21" s="123">
        <v>706000</v>
      </c>
      <c r="H21" s="123">
        <v>569666.66666666663</v>
      </c>
      <c r="I21" s="123">
        <v>618000</v>
      </c>
      <c r="J21" s="123">
        <v>618000</v>
      </c>
      <c r="K21" s="123">
        <v>678666.66666666663</v>
      </c>
      <c r="L21" s="124">
        <v>685000</v>
      </c>
    </row>
    <row r="24" spans="4:22" x14ac:dyDescent="0.25">
      <c r="O24" t="s">
        <v>82</v>
      </c>
    </row>
    <row r="25" spans="4:22" x14ac:dyDescent="0.25">
      <c r="D25" t="s">
        <v>128</v>
      </c>
      <c r="O25" t="s">
        <v>129</v>
      </c>
      <c r="P25" s="117">
        <v>20000</v>
      </c>
      <c r="Q25" t="s">
        <v>130</v>
      </c>
    </row>
    <row r="27" spans="4:22" x14ac:dyDescent="0.25">
      <c r="D27" s="125" t="s">
        <v>131</v>
      </c>
      <c r="E27" s="126">
        <v>2006</v>
      </c>
      <c r="F27" s="126">
        <v>2007</v>
      </c>
      <c r="G27" s="126">
        <v>2008</v>
      </c>
      <c r="H27" s="126">
        <v>2009</v>
      </c>
      <c r="I27" s="126">
        <v>2010</v>
      </c>
      <c r="J27" s="126">
        <v>2011</v>
      </c>
      <c r="K27" s="126">
        <v>2012</v>
      </c>
      <c r="L27" s="126">
        <v>2013</v>
      </c>
    </row>
    <row r="28" spans="4:22" x14ac:dyDescent="0.25">
      <c r="D28" s="106" t="s">
        <v>102</v>
      </c>
      <c r="E28" s="106">
        <v>9253</v>
      </c>
      <c r="F28" s="106">
        <v>8978</v>
      </c>
      <c r="G28" s="106">
        <v>9424</v>
      </c>
      <c r="H28" s="106">
        <v>9322</v>
      </c>
      <c r="I28" s="106">
        <v>9525</v>
      </c>
      <c r="J28" s="106">
        <v>8516</v>
      </c>
      <c r="K28" s="106">
        <v>9121</v>
      </c>
      <c r="L28" s="106">
        <v>9001</v>
      </c>
    </row>
    <row r="29" spans="4:22" x14ac:dyDescent="0.25">
      <c r="D29" s="123" t="s">
        <v>127</v>
      </c>
      <c r="E29" s="123">
        <v>761666.66666666663</v>
      </c>
      <c r="F29" s="123">
        <v>706000</v>
      </c>
      <c r="G29" s="123">
        <v>706000</v>
      </c>
      <c r="H29" s="123">
        <v>569666.66666666663</v>
      </c>
      <c r="I29" s="123">
        <v>618000</v>
      </c>
      <c r="J29" s="123">
        <v>618000</v>
      </c>
      <c r="K29" s="123">
        <v>678666.66666666663</v>
      </c>
      <c r="L29" s="124">
        <v>685000</v>
      </c>
      <c r="O29">
        <f>25*1.5</f>
        <v>37.5</v>
      </c>
    </row>
    <row r="30" spans="4:22" x14ac:dyDescent="0.25">
      <c r="D30" s="106" t="s">
        <v>132</v>
      </c>
      <c r="E30" s="106">
        <v>15319</v>
      </c>
      <c r="F30" s="106">
        <v>17413</v>
      </c>
      <c r="G30" s="106">
        <v>6699</v>
      </c>
      <c r="H30" s="106">
        <v>14108</v>
      </c>
      <c r="I30" s="106">
        <v>22327</v>
      </c>
      <c r="J30" s="106">
        <v>23285</v>
      </c>
      <c r="K30" s="106">
        <v>15287</v>
      </c>
      <c r="L30" s="106">
        <v>15961</v>
      </c>
    </row>
    <row r="31" spans="4:22" x14ac:dyDescent="0.25">
      <c r="O31">
        <f>2000*100</f>
        <v>200000</v>
      </c>
    </row>
    <row r="33" spans="15:21" x14ac:dyDescent="0.25">
      <c r="O33" t="s">
        <v>133</v>
      </c>
      <c r="S33" t="s">
        <v>135</v>
      </c>
    </row>
    <row r="34" spans="15:21" x14ac:dyDescent="0.25">
      <c r="O34" t="s">
        <v>102</v>
      </c>
      <c r="P34">
        <f>(M7+M8+M9)*P7*365</f>
        <v>46866000</v>
      </c>
      <c r="Q34" t="s">
        <v>134</v>
      </c>
      <c r="S34" t="s">
        <v>102</v>
      </c>
      <c r="T34">
        <f>(M7+M8+M9)*R7*365</f>
        <v>1734042</v>
      </c>
      <c r="U34" t="s">
        <v>136</v>
      </c>
    </row>
    <row r="35" spans="15:21" x14ac:dyDescent="0.25">
      <c r="O35" t="s">
        <v>86</v>
      </c>
      <c r="P35">
        <f>M15*P8*365</f>
        <v>19710000</v>
      </c>
      <c r="Q35" t="s">
        <v>134</v>
      </c>
      <c r="S35" t="s">
        <v>86</v>
      </c>
      <c r="T35">
        <f>M15*R8*365</f>
        <v>1557090</v>
      </c>
      <c r="U35" t="s">
        <v>136</v>
      </c>
    </row>
    <row r="36" spans="15:21" x14ac:dyDescent="0.25">
      <c r="S36" t="s">
        <v>143</v>
      </c>
      <c r="T36">
        <f>T34+T35</f>
        <v>3291132</v>
      </c>
    </row>
    <row r="37" spans="15:21" x14ac:dyDescent="0.25">
      <c r="S37" t="s">
        <v>137</v>
      </c>
    </row>
    <row r="38" spans="15:21" x14ac:dyDescent="0.25">
      <c r="S38">
        <v>0.85</v>
      </c>
      <c r="T38" t="s">
        <v>138</v>
      </c>
      <c r="U38" s="101" t="s">
        <v>139</v>
      </c>
    </row>
    <row r="40" spans="15:21" x14ac:dyDescent="0.25">
      <c r="S40" t="s">
        <v>102</v>
      </c>
      <c r="T40">
        <f>T34*$S$38/1000</f>
        <v>1473.9357</v>
      </c>
      <c r="U40" t="s">
        <v>140</v>
      </c>
    </row>
    <row r="41" spans="15:21" x14ac:dyDescent="0.25">
      <c r="S41" t="s">
        <v>86</v>
      </c>
      <c r="T41">
        <f>T35*$S$38/1000</f>
        <v>1323.5264999999999</v>
      </c>
      <c r="U41" t="s">
        <v>140</v>
      </c>
    </row>
    <row r="42" spans="15:21" x14ac:dyDescent="0.25">
      <c r="T42">
        <f>T40+T41</f>
        <v>2797.4621999999999</v>
      </c>
      <c r="U42" t="s">
        <v>140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758AD9-82DE-475F-9897-D63B393B98F5}"/>
</file>

<file path=customXml/itemProps2.xml><?xml version="1.0" encoding="utf-8"?>
<ds:datastoreItem xmlns:ds="http://schemas.openxmlformats.org/officeDocument/2006/customXml" ds:itemID="{8F5DE68B-5C63-47C4-B44C-8880B3612489}"/>
</file>

<file path=customXml/itemProps3.xml><?xml version="1.0" encoding="utf-8"?>
<ds:datastoreItem xmlns:ds="http://schemas.openxmlformats.org/officeDocument/2006/customXml" ds:itemID="{9B7CDE2D-2FA8-44BE-9944-BC973F7F5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PM</vt:lpstr>
      <vt:lpstr>scoring</vt:lpstr>
      <vt:lpstr>weighting</vt:lpstr>
      <vt:lpstr>sensitivity analysis (1)</vt:lpstr>
      <vt:lpstr>sensitivity analysis (2)</vt:lpstr>
      <vt:lpstr>Parameters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2016-09-12T07:38:10Z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