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440" activeTab="2"/>
  </bookViews>
  <sheets>
    <sheet name="PM" sheetId="1" r:id="rId1"/>
    <sheet name="scoring" sheetId="4" r:id="rId2"/>
    <sheet name="weighting" sheetId="10" r:id="rId3"/>
    <sheet name="sensitivity analysis (1)" sheetId="11" r:id="rId4"/>
    <sheet name="sensitivity analysis (2)" sheetId="13" r:id="rId5"/>
  </sheets>
  <calcPr calcId="145621"/>
</workbook>
</file>

<file path=xl/calcChain.xml><?xml version="1.0" encoding="utf-8"?>
<calcChain xmlns="http://schemas.openxmlformats.org/spreadsheetml/2006/main">
  <c r="E16" i="1" l="1"/>
  <c r="E15" i="1" l="1"/>
  <c r="E14" i="1"/>
  <c r="E17" i="1"/>
  <c r="I16" i="1" l="1"/>
  <c r="I14" i="1"/>
  <c r="T20" i="1"/>
  <c r="T19" i="1"/>
  <c r="S20" i="1" l="1"/>
  <c r="S19" i="1"/>
  <c r="R19" i="1"/>
  <c r="S17" i="1" l="1"/>
  <c r="D15" i="13" l="1"/>
  <c r="D16" i="13"/>
  <c r="D17" i="13"/>
  <c r="D14" i="13"/>
  <c r="C10" i="13"/>
  <c r="C10" i="11"/>
  <c r="D15" i="11"/>
  <c r="D16" i="11"/>
  <c r="D17" i="11"/>
  <c r="D14" i="11"/>
  <c r="D15" i="10"/>
  <c r="D16" i="10"/>
  <c r="D17" i="10"/>
  <c r="D14" i="10"/>
  <c r="C10" i="10"/>
  <c r="C10" i="4"/>
  <c r="D15" i="4"/>
  <c r="D16" i="4"/>
  <c r="D17" i="4"/>
  <c r="D14" i="4"/>
  <c r="K21" i="13" l="1"/>
  <c r="I21" i="13"/>
  <c r="M19" i="13"/>
  <c r="D7" i="13"/>
  <c r="B7" i="13"/>
  <c r="D6" i="13"/>
  <c r="B6" i="13"/>
  <c r="D5" i="13"/>
  <c r="B5" i="13"/>
  <c r="D4" i="13"/>
  <c r="B4" i="13"/>
  <c r="D3" i="13"/>
  <c r="B3" i="13"/>
  <c r="D2" i="13"/>
  <c r="B2" i="13"/>
  <c r="B8" i="13" s="1"/>
  <c r="D1" i="13"/>
  <c r="B1" i="13"/>
  <c r="K21" i="11" l="1"/>
  <c r="I21" i="11"/>
  <c r="M19" i="11"/>
  <c r="D7" i="11"/>
  <c r="B7" i="11"/>
  <c r="D6" i="11"/>
  <c r="B6" i="11"/>
  <c r="D5" i="11"/>
  <c r="B5" i="11"/>
  <c r="D4" i="11"/>
  <c r="B4" i="11"/>
  <c r="D3" i="11"/>
  <c r="B3" i="11"/>
  <c r="D2" i="11"/>
  <c r="B2" i="11"/>
  <c r="B8" i="11" s="1"/>
  <c r="D1" i="11"/>
  <c r="B1" i="11"/>
  <c r="K21" i="10"/>
  <c r="I21" i="10"/>
  <c r="M19" i="10"/>
  <c r="L17" i="4"/>
  <c r="L16" i="4"/>
  <c r="L15" i="4"/>
  <c r="L14" i="4"/>
  <c r="K17" i="4"/>
  <c r="K16" i="4"/>
  <c r="K15" i="4"/>
  <c r="K14" i="4"/>
  <c r="J17" i="4"/>
  <c r="J16" i="4"/>
  <c r="J15" i="4"/>
  <c r="J14" i="4"/>
  <c r="I17" i="4"/>
  <c r="I16" i="4"/>
  <c r="I15" i="4"/>
  <c r="I14" i="4"/>
  <c r="H17" i="4"/>
  <c r="H16" i="4"/>
  <c r="H15" i="4"/>
  <c r="H14" i="4"/>
  <c r="G17" i="4"/>
  <c r="G16" i="4"/>
  <c r="G15" i="4"/>
  <c r="G14" i="4"/>
  <c r="G14" i="13" s="1"/>
  <c r="D7" i="10"/>
  <c r="B7" i="10"/>
  <c r="D6" i="10"/>
  <c r="B6" i="10"/>
  <c r="D5" i="10"/>
  <c r="B5" i="10"/>
  <c r="D4" i="10"/>
  <c r="B4" i="10"/>
  <c r="D3" i="10"/>
  <c r="B3" i="10"/>
  <c r="D2" i="10"/>
  <c r="B2" i="10"/>
  <c r="B8" i="10" s="1"/>
  <c r="D1" i="10"/>
  <c r="B1" i="10"/>
  <c r="F17" i="4"/>
  <c r="F16" i="4"/>
  <c r="F15" i="4"/>
  <c r="E17" i="4"/>
  <c r="E16" i="4"/>
  <c r="E15" i="4"/>
  <c r="E16" i="10" l="1"/>
  <c r="E16" i="13"/>
  <c r="E15" i="11"/>
  <c r="E15" i="13"/>
  <c r="E17" i="11"/>
  <c r="E17" i="13"/>
  <c r="F15" i="11"/>
  <c r="F15" i="13"/>
  <c r="F17" i="11"/>
  <c r="F17" i="13"/>
  <c r="G14" i="11"/>
  <c r="G16" i="11"/>
  <c r="G16" i="13"/>
  <c r="H14" i="11"/>
  <c r="H14" i="13"/>
  <c r="H16" i="11"/>
  <c r="H16" i="13"/>
  <c r="I14" i="11"/>
  <c r="I14" i="13"/>
  <c r="I16" i="11"/>
  <c r="I16" i="13"/>
  <c r="J14" i="11"/>
  <c r="J14" i="13"/>
  <c r="J16" i="11"/>
  <c r="J16" i="13"/>
  <c r="K14" i="11"/>
  <c r="K14" i="13"/>
  <c r="K16" i="11"/>
  <c r="K16" i="13"/>
  <c r="L14" i="11"/>
  <c r="L14" i="13"/>
  <c r="L16" i="11"/>
  <c r="L16" i="13"/>
  <c r="F16" i="11"/>
  <c r="F16" i="13"/>
  <c r="M16" i="13" s="1"/>
  <c r="G15" i="11"/>
  <c r="G15" i="13"/>
  <c r="G17" i="11"/>
  <c r="G17" i="13"/>
  <c r="H15" i="11"/>
  <c r="H15" i="13"/>
  <c r="H17" i="11"/>
  <c r="H17" i="13"/>
  <c r="I15" i="10"/>
  <c r="I15" i="13"/>
  <c r="I17" i="10"/>
  <c r="I17" i="13"/>
  <c r="J15" i="10"/>
  <c r="J15" i="13"/>
  <c r="J17" i="10"/>
  <c r="J17" i="13"/>
  <c r="K15" i="11"/>
  <c r="K15" i="13"/>
  <c r="K17" i="11"/>
  <c r="K17" i="13"/>
  <c r="L15" i="11"/>
  <c r="L15" i="13"/>
  <c r="L17" i="11"/>
  <c r="L17" i="13"/>
  <c r="F17" i="10"/>
  <c r="F16" i="10"/>
  <c r="F15" i="10"/>
  <c r="K14" i="10"/>
  <c r="K16" i="10"/>
  <c r="K15" i="10"/>
  <c r="K17" i="10"/>
  <c r="J14" i="10"/>
  <c r="J16" i="10"/>
  <c r="J15" i="11"/>
  <c r="J17" i="11"/>
  <c r="H14" i="10"/>
  <c r="H16" i="10"/>
  <c r="H15" i="10"/>
  <c r="H17" i="10"/>
  <c r="L14" i="10"/>
  <c r="L16" i="10"/>
  <c r="L15" i="10"/>
  <c r="L17" i="10"/>
  <c r="I14" i="10"/>
  <c r="I16" i="10"/>
  <c r="I15" i="11"/>
  <c r="I17" i="11"/>
  <c r="G15" i="10"/>
  <c r="G17" i="10"/>
  <c r="G14" i="10"/>
  <c r="G16" i="10"/>
  <c r="E15" i="10"/>
  <c r="E17" i="10"/>
  <c r="E16" i="11"/>
  <c r="M16" i="11" s="1"/>
  <c r="F14" i="4"/>
  <c r="F14" i="13" s="1"/>
  <c r="M17" i="11" l="1"/>
  <c r="M15" i="11"/>
  <c r="M15" i="10"/>
  <c r="M17" i="13"/>
  <c r="M15" i="13"/>
  <c r="M16" i="10"/>
  <c r="F14" i="11"/>
  <c r="F14" i="10"/>
  <c r="M17" i="10"/>
  <c r="M17" i="4"/>
  <c r="M16" i="4"/>
  <c r="M15" i="4"/>
  <c r="E14" i="4"/>
  <c r="E14" i="13" s="1"/>
  <c r="M14" i="13" s="1"/>
  <c r="D7" i="4"/>
  <c r="B7" i="4"/>
  <c r="D6" i="4"/>
  <c r="B6" i="4"/>
  <c r="D5" i="4"/>
  <c r="B5" i="4"/>
  <c r="D4" i="4"/>
  <c r="B4" i="4"/>
  <c r="D3" i="4"/>
  <c r="B3" i="4"/>
  <c r="D2" i="4"/>
  <c r="B2" i="4"/>
  <c r="B8" i="4" s="1"/>
  <c r="D1" i="4"/>
  <c r="B1" i="4"/>
  <c r="D7" i="1"/>
  <c r="D6" i="1"/>
  <c r="D5" i="1"/>
  <c r="D4" i="1"/>
  <c r="D3" i="1"/>
  <c r="D2" i="1"/>
  <c r="D1" i="1"/>
  <c r="B7" i="1"/>
  <c r="B6" i="1"/>
  <c r="B5" i="1"/>
  <c r="B4" i="1"/>
  <c r="B3" i="1"/>
  <c r="B2" i="1"/>
  <c r="B1" i="1"/>
  <c r="N14" i="13" l="1"/>
  <c r="N15" i="13"/>
  <c r="N16" i="13"/>
  <c r="N17" i="13"/>
  <c r="M14" i="4"/>
  <c r="E14" i="10"/>
  <c r="M14" i="10" s="1"/>
  <c r="E14" i="11"/>
  <c r="M14" i="11" s="1"/>
  <c r="B8" i="1"/>
  <c r="N14" i="10" l="1"/>
  <c r="N14" i="4"/>
  <c r="N17" i="10"/>
  <c r="N15" i="4"/>
  <c r="N16" i="4"/>
  <c r="N16" i="10"/>
  <c r="N17" i="4"/>
  <c r="N15" i="10"/>
  <c r="N14" i="11"/>
  <c r="N15" i="11"/>
  <c r="N17" i="11"/>
  <c r="N16" i="11"/>
</calcChain>
</file>

<file path=xl/sharedStrings.xml><?xml version="1.0" encoding="utf-8"?>
<sst xmlns="http://schemas.openxmlformats.org/spreadsheetml/2006/main" count="177" uniqueCount="106">
  <si>
    <t>Direct cost</t>
  </si>
  <si>
    <t>Public Financing</t>
  </si>
  <si>
    <t>Implementation Barriers</t>
  </si>
  <si>
    <t>Ease of implementation</t>
  </si>
  <si>
    <t>Economic</t>
  </si>
  <si>
    <t>Job creation</t>
  </si>
  <si>
    <t>Climate</t>
  </si>
  <si>
    <t>Social</t>
  </si>
  <si>
    <t>CRITERIA AND INDICATORS</t>
  </si>
  <si>
    <t>TECHNOLOGY</t>
  </si>
  <si>
    <t>WEIGHTS</t>
  </si>
  <si>
    <t>VH</t>
  </si>
  <si>
    <t>M</t>
  </si>
  <si>
    <t>E</t>
  </si>
  <si>
    <t>Hard = 25</t>
  </si>
  <si>
    <t>Very Hard = 0</t>
  </si>
  <si>
    <t>TOTAL</t>
  </si>
  <si>
    <t>Moderate = 50</t>
  </si>
  <si>
    <t>Easy = 75</t>
  </si>
  <si>
    <t>Very Easy = 100</t>
  </si>
  <si>
    <t>VE</t>
  </si>
  <si>
    <t>H</t>
  </si>
  <si>
    <t>m</t>
  </si>
  <si>
    <t>L</t>
  </si>
  <si>
    <t>VL</t>
  </si>
  <si>
    <t>h</t>
  </si>
  <si>
    <t>replicability</t>
  </si>
  <si>
    <t>Energy bill</t>
  </si>
  <si>
    <t>Ease of implementation (0-100)</t>
  </si>
  <si>
    <t>GHG reduction (tCO2/kW)</t>
  </si>
  <si>
    <t>catalysing private invest (0-100)</t>
  </si>
  <si>
    <t>replicability (0-100)</t>
  </si>
  <si>
    <t>VL5</t>
  </si>
  <si>
    <t>VL10</t>
  </si>
  <si>
    <t>VL15</t>
  </si>
  <si>
    <t>VL20</t>
  </si>
  <si>
    <t>L30</t>
  </si>
  <si>
    <t>L35</t>
  </si>
  <si>
    <t>L40</t>
  </si>
  <si>
    <t>L45</t>
  </si>
  <si>
    <t>M55</t>
  </si>
  <si>
    <t>M60</t>
  </si>
  <si>
    <t>M65</t>
  </si>
  <si>
    <t>M70</t>
  </si>
  <si>
    <t>H80</t>
  </si>
  <si>
    <t>H85</t>
  </si>
  <si>
    <t>H90</t>
  </si>
  <si>
    <t>H95</t>
  </si>
  <si>
    <t>catalysing private investment</t>
  </si>
  <si>
    <t>Impact on health</t>
  </si>
  <si>
    <t>Reduction in energy bill</t>
  </si>
  <si>
    <t>positive impact on health (0-100)</t>
  </si>
  <si>
    <t>job creation (number)</t>
  </si>
  <si>
    <t>Reduction in energy bill (MRs)</t>
  </si>
  <si>
    <t>m70</t>
  </si>
  <si>
    <t>m60</t>
  </si>
  <si>
    <t>m65</t>
  </si>
  <si>
    <t>vh5</t>
  </si>
  <si>
    <t>vh10</t>
  </si>
  <si>
    <t>vh15</t>
  </si>
  <si>
    <t>vh20</t>
  </si>
  <si>
    <t>h30</t>
  </si>
  <si>
    <t>h35</t>
  </si>
  <si>
    <t>h40</t>
  </si>
  <si>
    <t>h45</t>
  </si>
  <si>
    <t>m55</t>
  </si>
  <si>
    <t>E80</t>
  </si>
  <si>
    <t>E85</t>
  </si>
  <si>
    <t>E90</t>
  </si>
  <si>
    <t>E95</t>
  </si>
  <si>
    <t>RANK</t>
  </si>
  <si>
    <t>ENERGY INDUSTRIES</t>
  </si>
  <si>
    <t>LFG capture</t>
  </si>
  <si>
    <t>e85</t>
  </si>
  <si>
    <t>vl10</t>
  </si>
  <si>
    <t>vl15</t>
  </si>
  <si>
    <t>Recycling of paper and textile</t>
  </si>
  <si>
    <t>l40</t>
  </si>
  <si>
    <t>vl20</t>
  </si>
  <si>
    <t>WTE</t>
  </si>
  <si>
    <t>vl5</t>
  </si>
  <si>
    <t>Composting</t>
  </si>
  <si>
    <t>Solid Waste</t>
  </si>
  <si>
    <t>GHG reduction (GgCO2)</t>
  </si>
  <si>
    <t>Calculating avoided energy bill, MRs</t>
  </si>
  <si>
    <t>- LFG capture</t>
  </si>
  <si>
    <t>GWh</t>
  </si>
  <si>
    <t>(assumption is made that electricity will be generated alternatively with fuel oil)</t>
  </si>
  <si>
    <t xml:space="preserve">fuel consumption to generate electricity from fuel oil </t>
  </si>
  <si>
    <t>MWh/t(fuel)</t>
  </si>
  <si>
    <t>LFG</t>
  </si>
  <si>
    <t>fuel oil, t</t>
  </si>
  <si>
    <t>- price of fuel oil in 2015, Rs/tonne</t>
  </si>
  <si>
    <t>avoided bill, MRs</t>
  </si>
  <si>
    <t>(i)compost plant of 600 Tonnes daily capacity</t>
  </si>
  <si>
    <t>At present, the plant is designed for 600 Tonnes daily capacity, the appx cost being Rs 150- 200 M and the additional job created - 10</t>
  </si>
  <si>
    <t>(ii) enhance LPG capture</t>
  </si>
  <si>
    <t>Appx cost - Rs 20 M</t>
  </si>
  <si>
    <t>No additional job creation</t>
  </si>
  <si>
    <t>(iii) Paper and textile waste recycling</t>
  </si>
  <si>
    <t>Appx cost - Rs 10 M</t>
  </si>
  <si>
    <t>Additional job about 10- 15 jobs created (difficult to assess)</t>
  </si>
  <si>
    <t>(iv) WTE</t>
  </si>
  <si>
    <t>Appx cost - Rs 6 billion</t>
  </si>
  <si>
    <t>Additional job - 30</t>
  </si>
  <si>
    <t>Incremental cost (mRs/GgCO2)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</si>
</sst>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70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808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1" fillId="1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6" borderId="4" xfId="0" applyFill="1" applyBorder="1"/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9" borderId="0" xfId="0" applyFont="1" applyFill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0" fillId="0" borderId="14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6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0" borderId="17" xfId="0" applyBorder="1"/>
    <xf numFmtId="0" fontId="0" fillId="0" borderId="0" xfId="0" applyFill="1"/>
    <xf numFmtId="164" fontId="0" fillId="0" borderId="12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3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" fillId="6" borderId="4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2" borderId="0" xfId="0" applyFill="1"/>
    <xf numFmtId="0" fontId="1" fillId="0" borderId="2" xfId="0" applyFont="1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1" fillId="2" borderId="0" xfId="0" applyFont="1" applyFill="1"/>
    <xf numFmtId="0" fontId="0" fillId="0" borderId="0" xfId="0" quotePrefix="1"/>
    <xf numFmtId="3" fontId="0" fillId="0" borderId="0" xfId="0" applyNumberFormat="1"/>
    <xf numFmtId="0" fontId="0" fillId="3" borderId="7" xfId="0" applyFill="1" applyBorder="1" applyAlignment="1">
      <alignment horizontal="center"/>
    </xf>
    <xf numFmtId="0" fontId="0" fillId="2" borderId="0" xfId="0" applyFill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C13" zoomScale="80" zoomScaleNormal="80" workbookViewId="0">
      <selection activeCell="L17" sqref="L17"/>
    </sheetView>
  </sheetViews>
  <sheetFormatPr defaultRowHeight="15" x14ac:dyDescent="0.25"/>
  <cols>
    <col min="1" max="1" width="0" hidden="1" customWidth="1"/>
    <col min="2" max="2" width="1.5703125" hidden="1" customWidth="1"/>
    <col min="3" max="3" width="1.28515625" customWidth="1"/>
    <col min="4" max="4" width="29.5703125" customWidth="1"/>
    <col min="5" max="5" width="9.7109375" customWidth="1"/>
    <col min="6" max="6" width="13.5703125" customWidth="1"/>
    <col min="7" max="7" width="12.85546875" customWidth="1"/>
    <col min="8" max="8" width="9.85546875" customWidth="1"/>
    <col min="9" max="9" width="11.140625" customWidth="1"/>
    <col min="10" max="10" width="11.42578125" customWidth="1"/>
    <col min="11" max="11" width="11.5703125" customWidth="1"/>
    <col min="12" max="12" width="9.42578125" customWidth="1"/>
    <col min="13" max="15" width="10.42578125" customWidth="1"/>
  </cols>
  <sheetData>
    <row r="1" spans="1:21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21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21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21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21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21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21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21" hidden="1" x14ac:dyDescent="0.25">
      <c r="B8">
        <f>MAX(B2:B7)</f>
        <v>0.83333333333333337</v>
      </c>
    </row>
    <row r="9" spans="1:21" hidden="1" x14ac:dyDescent="0.25"/>
    <row r="10" spans="1:21" ht="15.75" thickBot="1" x14ac:dyDescent="0.3">
      <c r="C10" s="110" t="s">
        <v>82</v>
      </c>
      <c r="D10" s="110"/>
      <c r="M10" s="9"/>
      <c r="N10" s="51" t="s">
        <v>24</v>
      </c>
      <c r="O10" s="52">
        <v>0</v>
      </c>
    </row>
    <row r="11" spans="1:21" x14ac:dyDescent="0.25">
      <c r="D11" s="1"/>
      <c r="E11" s="6"/>
      <c r="F11" s="109" t="s">
        <v>8</v>
      </c>
      <c r="G11" s="109"/>
      <c r="H11" s="109"/>
      <c r="I11" s="109"/>
      <c r="J11" s="109"/>
      <c r="K11" s="109"/>
      <c r="L11" s="109"/>
      <c r="M11" s="40"/>
      <c r="N11" s="51" t="s">
        <v>32</v>
      </c>
      <c r="O11" s="52">
        <v>5</v>
      </c>
    </row>
    <row r="12" spans="1:21" ht="37.5" customHeight="1" thickBot="1" x14ac:dyDescent="0.3">
      <c r="D12" s="1"/>
      <c r="E12" s="45" t="s">
        <v>1</v>
      </c>
      <c r="F12" s="44" t="s">
        <v>2</v>
      </c>
      <c r="G12" s="43" t="s">
        <v>6</v>
      </c>
      <c r="H12" s="113" t="s">
        <v>4</v>
      </c>
      <c r="I12" s="114"/>
      <c r="J12" s="115"/>
      <c r="K12" s="111" t="s">
        <v>7</v>
      </c>
      <c r="L12" s="112"/>
      <c r="N12" s="52" t="s">
        <v>33</v>
      </c>
      <c r="O12" s="52">
        <v>10</v>
      </c>
    </row>
    <row r="13" spans="1:21" ht="60" customHeight="1" thickBot="1" x14ac:dyDescent="0.3">
      <c r="D13" s="2" t="s">
        <v>9</v>
      </c>
      <c r="E13" s="50" t="s">
        <v>105</v>
      </c>
      <c r="F13" s="13" t="s">
        <v>28</v>
      </c>
      <c r="G13" s="11" t="s">
        <v>83</v>
      </c>
      <c r="H13" s="42" t="s">
        <v>30</v>
      </c>
      <c r="I13" s="41" t="s">
        <v>53</v>
      </c>
      <c r="J13" s="8" t="s">
        <v>31</v>
      </c>
      <c r="K13" s="14" t="s">
        <v>51</v>
      </c>
      <c r="L13" s="46" t="s">
        <v>52</v>
      </c>
      <c r="N13" s="53" t="s">
        <v>34</v>
      </c>
      <c r="O13" s="52">
        <v>15</v>
      </c>
    </row>
    <row r="14" spans="1:21" x14ac:dyDescent="0.25">
      <c r="D14" s="3" t="s">
        <v>72</v>
      </c>
      <c r="E14" s="124">
        <f>20/G14</f>
        <v>4.975124378109453E-2</v>
      </c>
      <c r="F14" s="28" t="s">
        <v>73</v>
      </c>
      <c r="G14" s="70">
        <v>402</v>
      </c>
      <c r="H14" s="32" t="s">
        <v>74</v>
      </c>
      <c r="I14" s="73">
        <f>T19</f>
        <v>110.09709219563308</v>
      </c>
      <c r="J14" s="35" t="s">
        <v>74</v>
      </c>
      <c r="K14" s="32" t="s">
        <v>75</v>
      </c>
      <c r="L14" s="47">
        <v>0</v>
      </c>
      <c r="N14" s="52" t="s">
        <v>35</v>
      </c>
      <c r="O14" s="52">
        <v>20</v>
      </c>
      <c r="Q14" s="106" t="s">
        <v>84</v>
      </c>
      <c r="R14" s="102"/>
      <c r="S14" s="102"/>
      <c r="T14" s="102"/>
      <c r="U14" t="s">
        <v>87</v>
      </c>
    </row>
    <row r="15" spans="1:21" x14ac:dyDescent="0.25">
      <c r="D15" s="4" t="s">
        <v>76</v>
      </c>
      <c r="E15" s="125">
        <f>10/G15</f>
        <v>0.90909090909090906</v>
      </c>
      <c r="F15" s="29" t="s">
        <v>56</v>
      </c>
      <c r="G15" s="71">
        <v>11</v>
      </c>
      <c r="H15" s="33" t="s">
        <v>77</v>
      </c>
      <c r="I15" s="74">
        <v>0</v>
      </c>
      <c r="J15" s="36" t="s">
        <v>78</v>
      </c>
      <c r="K15" s="33" t="s">
        <v>77</v>
      </c>
      <c r="L15" s="48">
        <v>12</v>
      </c>
      <c r="N15" s="52" t="s">
        <v>23</v>
      </c>
      <c r="O15" s="52">
        <v>25</v>
      </c>
      <c r="Q15" s="107" t="s">
        <v>85</v>
      </c>
      <c r="S15" t="s">
        <v>86</v>
      </c>
    </row>
    <row r="16" spans="1:21" x14ac:dyDescent="0.25">
      <c r="D16" s="4" t="s">
        <v>79</v>
      </c>
      <c r="E16" s="125">
        <f>T35/G16</f>
        <v>5.1294642857142856</v>
      </c>
      <c r="F16" s="30" t="s">
        <v>25</v>
      </c>
      <c r="G16" s="71">
        <v>784</v>
      </c>
      <c r="H16" s="33" t="s">
        <v>54</v>
      </c>
      <c r="I16" s="74">
        <f>T20</f>
        <v>573.715511040975</v>
      </c>
      <c r="J16" s="36" t="s">
        <v>80</v>
      </c>
      <c r="K16" s="33" t="s">
        <v>74</v>
      </c>
      <c r="L16" s="48">
        <v>30</v>
      </c>
      <c r="N16" s="52" t="s">
        <v>36</v>
      </c>
      <c r="O16" s="52">
        <v>30</v>
      </c>
      <c r="Q16">
        <v>2014</v>
      </c>
      <c r="R16">
        <v>15.92</v>
      </c>
      <c r="S16">
        <v>21.33</v>
      </c>
      <c r="U16" t="s">
        <v>88</v>
      </c>
    </row>
    <row r="17" spans="4:22" ht="15.75" thickBot="1" x14ac:dyDescent="0.3">
      <c r="D17" s="5" t="s">
        <v>81</v>
      </c>
      <c r="E17" s="126">
        <f>175/G17</f>
        <v>0.44529262086513993</v>
      </c>
      <c r="F17" s="31" t="s">
        <v>22</v>
      </c>
      <c r="G17" s="72">
        <v>393</v>
      </c>
      <c r="H17" s="34" t="s">
        <v>65</v>
      </c>
      <c r="I17" s="75">
        <v>0</v>
      </c>
      <c r="J17" s="37" t="s">
        <v>78</v>
      </c>
      <c r="K17" s="34" t="s">
        <v>78</v>
      </c>
      <c r="L17" s="49">
        <v>10</v>
      </c>
      <c r="N17" s="52" t="s">
        <v>37</v>
      </c>
      <c r="O17" s="52">
        <v>35</v>
      </c>
      <c r="Q17">
        <v>2030</v>
      </c>
      <c r="R17">
        <v>34.375</v>
      </c>
      <c r="S17">
        <f>R17/R16*S16</f>
        <v>46.056454145728644</v>
      </c>
      <c r="U17">
        <v>4.8513242999999999</v>
      </c>
      <c r="V17" t="s">
        <v>89</v>
      </c>
    </row>
    <row r="18" spans="4:22" x14ac:dyDescent="0.25">
      <c r="N18" s="52" t="s">
        <v>38</v>
      </c>
      <c r="O18" s="52">
        <v>40</v>
      </c>
      <c r="S18" t="s">
        <v>91</v>
      </c>
      <c r="T18" t="s">
        <v>93</v>
      </c>
    </row>
    <row r="19" spans="4:22" x14ac:dyDescent="0.25">
      <c r="D19" s="22"/>
      <c r="E19" s="23"/>
      <c r="F19" s="25" t="s">
        <v>15</v>
      </c>
      <c r="G19" s="26" t="s">
        <v>11</v>
      </c>
      <c r="H19" s="26">
        <v>0</v>
      </c>
      <c r="I19" s="23"/>
      <c r="J19" s="23"/>
      <c r="K19" s="23"/>
      <c r="L19" s="23"/>
      <c r="N19" s="52" t="s">
        <v>39</v>
      </c>
      <c r="O19" s="52">
        <v>45</v>
      </c>
      <c r="Q19" t="s">
        <v>90</v>
      </c>
      <c r="R19">
        <f>S17</f>
        <v>46.056454145728644</v>
      </c>
      <c r="S19" s="108">
        <f>R19*1000/$U$17</f>
        <v>9493.5838747635662</v>
      </c>
      <c r="T19">
        <f>S19*$U$19/1000000</f>
        <v>110.09709219563308</v>
      </c>
      <c r="U19">
        <v>11597</v>
      </c>
      <c r="V19" s="107" t="s">
        <v>92</v>
      </c>
    </row>
    <row r="20" spans="4:22" x14ac:dyDescent="0.25">
      <c r="D20" s="22"/>
      <c r="E20" s="23"/>
      <c r="F20" s="25"/>
      <c r="G20" s="26" t="s">
        <v>57</v>
      </c>
      <c r="H20" s="26">
        <v>5</v>
      </c>
      <c r="I20" s="23"/>
      <c r="J20" s="23"/>
      <c r="K20" s="23"/>
      <c r="L20" s="23"/>
      <c r="N20" s="52" t="s">
        <v>12</v>
      </c>
      <c r="O20" s="52">
        <v>50</v>
      </c>
      <c r="Q20" t="s">
        <v>79</v>
      </c>
      <c r="R20">
        <v>240</v>
      </c>
      <c r="S20" s="108">
        <f>R20*1000/$U$17</f>
        <v>49471.027941793131</v>
      </c>
      <c r="T20">
        <f>S20*$U$19/1000000</f>
        <v>573.715511040975</v>
      </c>
    </row>
    <row r="21" spans="4:22" x14ac:dyDescent="0.25">
      <c r="D21" s="22"/>
      <c r="E21" s="23"/>
      <c r="F21" s="25"/>
      <c r="G21" s="26" t="s">
        <v>58</v>
      </c>
      <c r="H21" s="26">
        <v>10</v>
      </c>
      <c r="I21" s="23"/>
      <c r="J21" s="23"/>
      <c r="K21" s="23"/>
      <c r="L21" s="23"/>
      <c r="N21" s="52" t="s">
        <v>40</v>
      </c>
      <c r="O21" s="52">
        <v>55</v>
      </c>
    </row>
    <row r="22" spans="4:22" x14ac:dyDescent="0.25">
      <c r="D22" s="22"/>
      <c r="E22" s="23"/>
      <c r="F22" s="25"/>
      <c r="G22" s="26" t="s">
        <v>59</v>
      </c>
      <c r="H22" s="26">
        <v>15</v>
      </c>
      <c r="I22" s="23"/>
      <c r="J22" s="23"/>
      <c r="K22" s="23"/>
      <c r="L22" s="23"/>
      <c r="N22" s="52" t="s">
        <v>41</v>
      </c>
      <c r="O22" s="52">
        <v>60</v>
      </c>
    </row>
    <row r="23" spans="4:22" x14ac:dyDescent="0.25">
      <c r="D23" s="22"/>
      <c r="E23" s="23"/>
      <c r="F23" s="25"/>
      <c r="G23" s="26" t="s">
        <v>60</v>
      </c>
      <c r="H23" s="26">
        <v>20</v>
      </c>
      <c r="I23" s="23"/>
      <c r="J23" s="23"/>
      <c r="K23" s="23"/>
      <c r="L23" s="23"/>
      <c r="M23" s="23"/>
      <c r="N23" s="52" t="s">
        <v>42</v>
      </c>
      <c r="O23" s="52">
        <v>65</v>
      </c>
    </row>
    <row r="24" spans="4:22" x14ac:dyDescent="0.25">
      <c r="D24" s="22"/>
      <c r="E24" s="23"/>
      <c r="F24" s="25" t="s">
        <v>14</v>
      </c>
      <c r="G24" s="26" t="s">
        <v>21</v>
      </c>
      <c r="H24" s="26">
        <v>25</v>
      </c>
      <c r="I24" s="23"/>
      <c r="J24" s="23"/>
      <c r="K24" s="23"/>
      <c r="L24" s="23"/>
      <c r="M24" s="23"/>
      <c r="N24" s="52" t="s">
        <v>43</v>
      </c>
      <c r="O24" s="52">
        <v>70</v>
      </c>
    </row>
    <row r="25" spans="4:22" x14ac:dyDescent="0.25">
      <c r="D25" s="22"/>
      <c r="E25" s="23"/>
      <c r="F25" s="25"/>
      <c r="G25" s="26" t="s">
        <v>61</v>
      </c>
      <c r="H25" s="26">
        <v>30</v>
      </c>
      <c r="I25" s="23"/>
      <c r="J25" s="23"/>
      <c r="K25" s="23"/>
      <c r="L25" s="23"/>
      <c r="M25" s="23"/>
      <c r="N25" s="52" t="s">
        <v>21</v>
      </c>
      <c r="O25" s="52">
        <v>75</v>
      </c>
    </row>
    <row r="26" spans="4:22" ht="15.75" x14ac:dyDescent="0.25">
      <c r="D26" s="22"/>
      <c r="E26" s="23"/>
      <c r="F26" s="25"/>
      <c r="G26" s="26" t="s">
        <v>62</v>
      </c>
      <c r="H26" s="26">
        <v>35</v>
      </c>
      <c r="I26" s="23"/>
      <c r="J26" s="23"/>
      <c r="K26" s="23"/>
      <c r="L26" s="23"/>
      <c r="M26" s="23"/>
      <c r="N26" s="52" t="s">
        <v>44</v>
      </c>
      <c r="O26" s="52">
        <v>80</v>
      </c>
      <c r="Q26" s="123" t="s">
        <v>94</v>
      </c>
    </row>
    <row r="27" spans="4:22" ht="15.75" x14ac:dyDescent="0.25">
      <c r="D27" s="22"/>
      <c r="E27" s="23"/>
      <c r="F27" s="25"/>
      <c r="G27" s="26" t="s">
        <v>63</v>
      </c>
      <c r="H27" s="26">
        <v>40</v>
      </c>
      <c r="I27" s="23"/>
      <c r="J27" s="23"/>
      <c r="K27" s="23"/>
      <c r="L27" s="23"/>
      <c r="M27" s="23"/>
      <c r="N27" s="52" t="s">
        <v>45</v>
      </c>
      <c r="O27" s="52">
        <v>85</v>
      </c>
      <c r="Q27" s="123" t="s">
        <v>95</v>
      </c>
    </row>
    <row r="28" spans="4:22" ht="15.75" x14ac:dyDescent="0.25">
      <c r="D28" s="22"/>
      <c r="E28" s="23"/>
      <c r="F28" s="25"/>
      <c r="G28" s="26" t="s">
        <v>64</v>
      </c>
      <c r="H28" s="26">
        <v>45</v>
      </c>
      <c r="I28" s="23"/>
      <c r="J28" s="23"/>
      <c r="K28" s="23"/>
      <c r="L28" s="23"/>
      <c r="M28" s="23"/>
      <c r="N28" s="52" t="s">
        <v>46</v>
      </c>
      <c r="O28" s="52">
        <v>90</v>
      </c>
      <c r="Q28" s="123" t="s">
        <v>96</v>
      </c>
    </row>
    <row r="29" spans="4:22" ht="15.75" x14ac:dyDescent="0.25">
      <c r="F29" s="25" t="s">
        <v>17</v>
      </c>
      <c r="G29" s="26" t="s">
        <v>12</v>
      </c>
      <c r="H29" s="26">
        <v>50</v>
      </c>
      <c r="I29" s="24"/>
      <c r="J29" s="23"/>
      <c r="M29" s="23"/>
      <c r="N29" s="52" t="s">
        <v>47</v>
      </c>
      <c r="O29" s="52">
        <v>95</v>
      </c>
      <c r="Q29" s="123" t="s">
        <v>97</v>
      </c>
    </row>
    <row r="30" spans="4:22" ht="15.75" x14ac:dyDescent="0.25">
      <c r="F30" s="25"/>
      <c r="G30" s="26" t="s">
        <v>65</v>
      </c>
      <c r="H30" s="26">
        <v>55</v>
      </c>
      <c r="I30" s="24"/>
      <c r="J30" s="23"/>
      <c r="M30" s="23"/>
      <c r="N30" s="52" t="s">
        <v>11</v>
      </c>
      <c r="O30" s="52">
        <v>100</v>
      </c>
      <c r="Q30" s="123" t="s">
        <v>98</v>
      </c>
    </row>
    <row r="31" spans="4:22" ht="15.75" x14ac:dyDescent="0.25">
      <c r="F31" s="25"/>
      <c r="G31" s="26" t="s">
        <v>55</v>
      </c>
      <c r="H31" s="26">
        <v>60</v>
      </c>
      <c r="I31" s="24"/>
      <c r="J31" s="23"/>
      <c r="M31" s="23"/>
      <c r="Q31" s="123" t="s">
        <v>99</v>
      </c>
    </row>
    <row r="32" spans="4:22" ht="15.75" x14ac:dyDescent="0.25">
      <c r="F32" s="25"/>
      <c r="G32" s="26" t="s">
        <v>56</v>
      </c>
      <c r="H32" s="26">
        <v>65</v>
      </c>
      <c r="I32" s="24"/>
      <c r="J32" s="23"/>
      <c r="M32" s="23"/>
      <c r="Q32" s="123" t="s">
        <v>100</v>
      </c>
    </row>
    <row r="33" spans="6:20" ht="15.75" x14ac:dyDescent="0.25">
      <c r="F33" s="25"/>
      <c r="G33" s="26" t="s">
        <v>54</v>
      </c>
      <c r="H33" s="26">
        <v>70</v>
      </c>
      <c r="I33" s="24"/>
      <c r="J33" s="23"/>
      <c r="Q33" s="123" t="s">
        <v>101</v>
      </c>
    </row>
    <row r="34" spans="6:20" ht="15.75" x14ac:dyDescent="0.25">
      <c r="F34" s="25" t="s">
        <v>18</v>
      </c>
      <c r="G34" s="26" t="s">
        <v>13</v>
      </c>
      <c r="H34" s="26">
        <v>75</v>
      </c>
      <c r="I34" s="24"/>
      <c r="J34" s="23"/>
      <c r="Q34" s="123" t="s">
        <v>102</v>
      </c>
    </row>
    <row r="35" spans="6:20" ht="15.75" x14ac:dyDescent="0.25">
      <c r="F35" s="25"/>
      <c r="G35" s="26" t="s">
        <v>66</v>
      </c>
      <c r="H35" s="26">
        <v>80</v>
      </c>
      <c r="I35" s="24"/>
      <c r="J35" s="23"/>
      <c r="Q35" s="123" t="s">
        <v>103</v>
      </c>
      <c r="T35">
        <v>4021.5</v>
      </c>
    </row>
    <row r="36" spans="6:20" ht="15.75" x14ac:dyDescent="0.25">
      <c r="F36" s="25"/>
      <c r="G36" s="26" t="s">
        <v>67</v>
      </c>
      <c r="H36" s="26">
        <v>85</v>
      </c>
      <c r="I36" s="24"/>
      <c r="J36" s="23"/>
      <c r="Q36" s="123" t="s">
        <v>104</v>
      </c>
    </row>
    <row r="37" spans="6:20" x14ac:dyDescent="0.25">
      <c r="F37" s="25"/>
      <c r="G37" s="26" t="s">
        <v>68</v>
      </c>
      <c r="H37" s="26">
        <v>90</v>
      </c>
      <c r="I37" s="24"/>
      <c r="J37" s="23"/>
    </row>
    <row r="38" spans="6:20" x14ac:dyDescent="0.25">
      <c r="F38" s="25"/>
      <c r="G38" s="26" t="s">
        <v>69</v>
      </c>
      <c r="H38" s="26">
        <v>95</v>
      </c>
      <c r="I38" s="24"/>
      <c r="J38" s="23"/>
    </row>
    <row r="39" spans="6:20" x14ac:dyDescent="0.25">
      <c r="F39" s="25" t="s">
        <v>19</v>
      </c>
      <c r="G39" s="26" t="s">
        <v>20</v>
      </c>
      <c r="H39" s="26">
        <v>100</v>
      </c>
      <c r="I39" s="24"/>
      <c r="J39" s="23"/>
    </row>
  </sheetData>
  <mergeCells count="4">
    <mergeCell ref="F11:L11"/>
    <mergeCell ref="C10:D10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B10" workbookViewId="0">
      <selection activeCell="E22" sqref="E22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10.42578125" customWidth="1"/>
    <col min="10" max="10" width="11.7109375" customWidth="1"/>
    <col min="12" max="12" width="9.85546875" customWidth="1"/>
    <col min="14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10" t="str">
        <f>PM!C10</f>
        <v>Solid Waste</v>
      </c>
      <c r="D10" s="110"/>
    </row>
    <row r="11" spans="1:15" x14ac:dyDescent="0.25">
      <c r="D11" s="1"/>
      <c r="E11" s="6"/>
      <c r="F11" s="109" t="s">
        <v>8</v>
      </c>
      <c r="G11" s="109"/>
      <c r="H11" s="109"/>
      <c r="I11" s="109"/>
      <c r="J11" s="109"/>
      <c r="K11" s="109"/>
      <c r="L11" s="109"/>
      <c r="M11" s="40"/>
      <c r="N11" s="9"/>
      <c r="O11" s="9"/>
    </row>
    <row r="12" spans="1:15" ht="25.5" thickBot="1" x14ac:dyDescent="0.3">
      <c r="D12" s="1"/>
      <c r="E12" s="38" t="s">
        <v>1</v>
      </c>
      <c r="F12" s="39" t="s">
        <v>2</v>
      </c>
      <c r="G12" s="10" t="s">
        <v>6</v>
      </c>
      <c r="H12" s="113" t="s">
        <v>4</v>
      </c>
      <c r="I12" s="114"/>
      <c r="J12" s="115"/>
      <c r="K12" s="111" t="s">
        <v>7</v>
      </c>
      <c r="L12" s="112"/>
      <c r="M12" s="54"/>
    </row>
    <row r="13" spans="1:15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29</v>
      </c>
      <c r="H13" s="14" t="s">
        <v>48</v>
      </c>
      <c r="I13" s="41" t="s">
        <v>50</v>
      </c>
      <c r="J13" s="8" t="s">
        <v>26</v>
      </c>
      <c r="K13" s="14" t="s">
        <v>49</v>
      </c>
      <c r="L13" s="46" t="s">
        <v>5</v>
      </c>
      <c r="M13" s="86" t="s">
        <v>16</v>
      </c>
      <c r="N13" s="87" t="s">
        <v>70</v>
      </c>
    </row>
    <row r="14" spans="1:15" ht="15.75" thickBot="1" x14ac:dyDescent="0.3">
      <c r="D14" s="3" t="str">
        <f>PM!D14</f>
        <v>LFG capture</v>
      </c>
      <c r="E14" s="64">
        <f>100*(1-(PM!E14-MIN(PM!$E$14:$E$17))/(MAX(PM!$E$14:$E$17)-MIN(PM!$E$14:$E$17)))</f>
        <v>100</v>
      </c>
      <c r="F14" s="18">
        <f>VLOOKUP(PM!F14,PM!$G$19:$H$39,2,FALSE)</f>
        <v>85</v>
      </c>
      <c r="G14" s="56">
        <f>100*(PM!G14-MIN(PM!$G$14:$G$17))/(MAX(PM!$G$14:$G$17)-MIN(PM!$G$14:$G$17))</f>
        <v>50.582147477360934</v>
      </c>
      <c r="H14" s="18">
        <f>VLOOKUP(PM!H14,PM!$N$10:$O$30,2,FALSE)</f>
        <v>10</v>
      </c>
      <c r="I14" s="57">
        <f>100*(PM!I14-MIN(PM!$I$14:$I$17))/(MAX(PM!$I$14:$I$17)-MIN(PM!$I$14:$I$17))</f>
        <v>19.190189227386934</v>
      </c>
      <c r="J14" s="17">
        <f>VLOOKUP(PM!J14,PM!$N$10:$O$30,2,FALSE)</f>
        <v>10</v>
      </c>
      <c r="K14" s="16">
        <f>VLOOKUP(PM!K14,PM!$N$10:$O$30,2,FALSE)</f>
        <v>15</v>
      </c>
      <c r="L14" s="58">
        <f>100*(PM!L14-MIN(PM!$L$14:$L$17))/(MAX(PM!$L$14:$L$17)-MIN(PM!$L$14:$L$17))</f>
        <v>0</v>
      </c>
      <c r="M14" s="27">
        <f t="shared" ref="M14:M17" si="2">SUM(E14:L14)</f>
        <v>289.77233670474789</v>
      </c>
      <c r="N14" s="84">
        <f>RANK(M14,$M$14:$M$17,0)</f>
        <v>3</v>
      </c>
    </row>
    <row r="15" spans="1:15" ht="15.75" thickBot="1" x14ac:dyDescent="0.3">
      <c r="D15" s="3" t="str">
        <f>PM!D15</f>
        <v>Recycling of paper and textile</v>
      </c>
      <c r="E15" s="64">
        <f>100*(1-(PM!E15-MIN(PM!$E$14:$E$17))/(MAX(PM!$E$14:$E$17)-MIN(PM!$E$14:$E$17)))</f>
        <v>83.082909246724398</v>
      </c>
      <c r="F15" s="18">
        <f>VLOOKUP(PM!F15,PM!$G$19:$H$39,2,FALSE)</f>
        <v>65</v>
      </c>
      <c r="G15" s="56">
        <f>100*(PM!G15-MIN(PM!$G$14:$G$17))/(MAX(PM!$G$14:$G$17)-MIN(PM!$G$14:$G$17))</f>
        <v>0</v>
      </c>
      <c r="H15" s="18">
        <f>VLOOKUP(PM!H15,PM!$N$10:$O$30,2,FALSE)</f>
        <v>40</v>
      </c>
      <c r="I15" s="57">
        <f>100*(PM!I15-MIN(PM!$I$14:$I$17))/(MAX(PM!$I$14:$I$17)-MIN(PM!$I$14:$I$17))</f>
        <v>0</v>
      </c>
      <c r="J15" s="17">
        <f>VLOOKUP(PM!J15,PM!$N$10:$O$30,2,FALSE)</f>
        <v>20</v>
      </c>
      <c r="K15" s="16">
        <f>VLOOKUP(PM!K15,PM!$N$10:$O$30,2,FALSE)</f>
        <v>40</v>
      </c>
      <c r="L15" s="58">
        <f>100*(PM!L15-MIN(PM!$L$14:$L$17))/(MAX(PM!$L$14:$L$17)-MIN(PM!$L$14:$L$17))</f>
        <v>40</v>
      </c>
      <c r="M15" s="27">
        <f t="shared" si="2"/>
        <v>288.0829092467244</v>
      </c>
      <c r="N15" s="84">
        <f>RANK(M15,$M$14:$M$17,0)</f>
        <v>4</v>
      </c>
    </row>
    <row r="16" spans="1:15" ht="15.75" thickBot="1" x14ac:dyDescent="0.3">
      <c r="D16" s="3" t="str">
        <f>PM!D16</f>
        <v>WTE</v>
      </c>
      <c r="E16" s="64">
        <f>100*(1-(PM!E16-MIN(PM!$E$14:$E$17))/(MAX(PM!$E$14:$E$17)-MIN(PM!$E$14:$E$17)))</f>
        <v>0</v>
      </c>
      <c r="F16" s="18">
        <f>VLOOKUP(PM!F16,PM!$G$19:$H$39,2,FALSE)</f>
        <v>25</v>
      </c>
      <c r="G16" s="56">
        <f>100*(PM!G16-MIN(PM!$G$14:$G$17))/(MAX(PM!$G$14:$G$17)-MIN(PM!$G$14:$G$17))</f>
        <v>100</v>
      </c>
      <c r="H16" s="18">
        <f>VLOOKUP(PM!H16,PM!$N$10:$O$30,2,FALSE)</f>
        <v>70</v>
      </c>
      <c r="I16" s="57">
        <f>100*(PM!I16-MIN(PM!$I$14:$I$17))/(MAX(PM!$I$14:$I$17)-MIN(PM!$I$14:$I$17))</f>
        <v>100</v>
      </c>
      <c r="J16" s="17">
        <f>VLOOKUP(PM!J16,PM!$N$10:$O$30,2,FALSE)</f>
        <v>5</v>
      </c>
      <c r="K16" s="16">
        <f>VLOOKUP(PM!K16,PM!$N$10:$O$30,2,FALSE)</f>
        <v>10</v>
      </c>
      <c r="L16" s="58">
        <f>100*(PM!L16-MIN(PM!$L$14:$L$17))/(MAX(PM!$L$14:$L$17)-MIN(PM!$L$14:$L$17))</f>
        <v>100</v>
      </c>
      <c r="M16" s="27">
        <f t="shared" si="2"/>
        <v>410</v>
      </c>
      <c r="N16" s="84">
        <f>RANK(M16,$M$14:$M$17,0)</f>
        <v>1</v>
      </c>
    </row>
    <row r="17" spans="4:16" ht="15.75" thickBot="1" x14ac:dyDescent="0.3">
      <c r="D17" s="103" t="str">
        <f>PM!D17</f>
        <v>Composting</v>
      </c>
      <c r="E17" s="104">
        <f>100*(1-(PM!E17-MIN(PM!$E$14:$E$17))/(MAX(PM!$E$14:$E$17)-MIN(PM!$E$14:$E$17)))</f>
        <v>92.213312566697397</v>
      </c>
      <c r="F17" s="105">
        <f>VLOOKUP(PM!F17,PM!$G$19:$H$39,2,FALSE)</f>
        <v>50</v>
      </c>
      <c r="G17" s="59">
        <f>100*(PM!G17-MIN(PM!$G$14:$G$17))/(MAX(PM!$G$14:$G$17)-MIN(PM!$G$14:$G$17))</f>
        <v>49.417852522639066</v>
      </c>
      <c r="H17" s="18">
        <f>VLOOKUP(PM!H17,PM!$N$10:$O$30,2,FALSE)</f>
        <v>55</v>
      </c>
      <c r="I17" s="57">
        <f>100*(PM!I17-MIN(PM!$I$14:$I$17))/(MAX(PM!$I$14:$I$17)-MIN(PM!$I$14:$I$17))</f>
        <v>0</v>
      </c>
      <c r="J17" s="17">
        <f>VLOOKUP(PM!J17,PM!$N$10:$O$30,2,FALSE)</f>
        <v>20</v>
      </c>
      <c r="K17" s="16">
        <f>VLOOKUP(PM!K17,PM!$N$10:$O$30,2,FALSE)</f>
        <v>20</v>
      </c>
      <c r="L17" s="58">
        <f>100*(PM!L17-MIN(PM!$L$14:$L$17))/(MAX(PM!$L$14:$L$17)-MIN(PM!$L$14:$L$17))</f>
        <v>33.333333333333336</v>
      </c>
      <c r="M17" s="27">
        <f t="shared" si="2"/>
        <v>319.96449842266981</v>
      </c>
      <c r="N17" s="85">
        <f>RANK(M17,$M$14:$M$17,0)</f>
        <v>2</v>
      </c>
    </row>
    <row r="18" spans="4:16" x14ac:dyDescent="0.25">
      <c r="H18" s="7"/>
      <c r="I18" s="7"/>
      <c r="J18" s="7"/>
      <c r="K18" s="7"/>
      <c r="L18" s="7"/>
      <c r="M18" s="7"/>
    </row>
    <row r="19" spans="4:16" x14ac:dyDescent="0.25">
      <c r="D19" s="22"/>
      <c r="E19" s="23"/>
      <c r="F19" s="23"/>
      <c r="G19" s="23"/>
      <c r="H19" s="23"/>
      <c r="I19" s="23"/>
      <c r="J19" s="23"/>
      <c r="K19" s="23"/>
      <c r="L19" s="23"/>
      <c r="M19" s="23"/>
    </row>
    <row r="20" spans="4:16" x14ac:dyDescent="0.25">
      <c r="N20" s="23"/>
    </row>
    <row r="22" spans="4:16" x14ac:dyDescent="0.25">
      <c r="F22" s="9"/>
      <c r="P22" s="9"/>
    </row>
    <row r="23" spans="4:16" x14ac:dyDescent="0.25">
      <c r="F23" s="9"/>
      <c r="O23" s="23"/>
      <c r="P23" s="55"/>
    </row>
  </sheetData>
  <mergeCells count="4">
    <mergeCell ref="C10:D10"/>
    <mergeCell ref="F11:L11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0" workbookViewId="0">
      <selection activeCell="D11" sqref="D11:N18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5703125" customWidth="1"/>
  </cols>
  <sheetData>
    <row r="1" spans="1:16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6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6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6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6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6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6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6" hidden="1" x14ac:dyDescent="0.25">
      <c r="B8">
        <f>MAX(B2:B7)</f>
        <v>0.83333333333333337</v>
      </c>
    </row>
    <row r="9" spans="1:16" hidden="1" x14ac:dyDescent="0.25"/>
    <row r="10" spans="1:16" ht="15.75" thickBot="1" x14ac:dyDescent="0.3">
      <c r="C10" s="110" t="str">
        <f>PM!C10</f>
        <v>Solid Waste</v>
      </c>
      <c r="D10" s="110"/>
    </row>
    <row r="11" spans="1:16" x14ac:dyDescent="0.25">
      <c r="D11" s="1"/>
      <c r="E11" s="6"/>
      <c r="F11" s="109" t="s">
        <v>8</v>
      </c>
      <c r="G11" s="109"/>
      <c r="H11" s="109"/>
      <c r="I11" s="109"/>
      <c r="J11" s="109"/>
      <c r="K11" s="109"/>
      <c r="L11" s="109"/>
      <c r="M11" s="40"/>
      <c r="N11" s="9"/>
      <c r="O11" s="9"/>
    </row>
    <row r="12" spans="1:16" ht="25.5" thickBot="1" x14ac:dyDescent="0.3">
      <c r="D12" s="1"/>
      <c r="E12" s="38" t="s">
        <v>1</v>
      </c>
      <c r="F12" s="39" t="s">
        <v>2</v>
      </c>
      <c r="G12" s="10" t="s">
        <v>6</v>
      </c>
      <c r="H12" s="113" t="s">
        <v>4</v>
      </c>
      <c r="I12" s="114"/>
      <c r="J12" s="115"/>
      <c r="K12" s="111" t="s">
        <v>7</v>
      </c>
      <c r="L12" s="112"/>
      <c r="M12" s="54"/>
    </row>
    <row r="13" spans="1:16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29</v>
      </c>
      <c r="H13" s="14" t="s">
        <v>48</v>
      </c>
      <c r="I13" s="41" t="s">
        <v>27</v>
      </c>
      <c r="J13" s="8" t="s">
        <v>26</v>
      </c>
      <c r="K13" s="14" t="s">
        <v>49</v>
      </c>
      <c r="L13" s="46" t="s">
        <v>5</v>
      </c>
      <c r="M13" s="86" t="s">
        <v>16</v>
      </c>
      <c r="N13" s="88" t="s">
        <v>70</v>
      </c>
      <c r="O13" s="22"/>
      <c r="P13" s="82"/>
    </row>
    <row r="14" spans="1:16" ht="15.75" thickBot="1" x14ac:dyDescent="0.3">
      <c r="D14" s="3" t="str">
        <f>PM!D14</f>
        <v>LFG capture</v>
      </c>
      <c r="E14" s="20">
        <f>$E$19*scoring!E14</f>
        <v>15</v>
      </c>
      <c r="F14" s="56">
        <f>$F$19*scoring!F14</f>
        <v>12.75</v>
      </c>
      <c r="G14" s="56">
        <f>$G$19*scoring!G14</f>
        <v>12.645536869340233</v>
      </c>
      <c r="H14" s="56">
        <f>$H$19*scoring!H14</f>
        <v>1.5</v>
      </c>
      <c r="I14" s="57">
        <f>$I$19*scoring!I14</f>
        <v>1.9190189227386936</v>
      </c>
      <c r="J14" s="65">
        <f>$J$19*scoring!J14</f>
        <v>0.5</v>
      </c>
      <c r="K14" s="20">
        <f>$K$19*scoring!K14</f>
        <v>0.75</v>
      </c>
      <c r="L14" s="68">
        <f>$L$19*scoring!L14</f>
        <v>0</v>
      </c>
      <c r="M14" s="27">
        <f t="shared" ref="M14:M17" si="2">SUM(E14:L14)</f>
        <v>45.064555792078927</v>
      </c>
      <c r="N14" s="89">
        <f>RANK(M14,$M$14:$M$17,0)</f>
        <v>3</v>
      </c>
      <c r="O14" s="22"/>
      <c r="P14" s="83"/>
    </row>
    <row r="15" spans="1:16" ht="15.75" thickBot="1" x14ac:dyDescent="0.3">
      <c r="D15" s="3" t="str">
        <f>PM!D15</f>
        <v>Recycling of paper and textile</v>
      </c>
      <c r="E15" s="20">
        <f>$E$19*scoring!E15</f>
        <v>12.46243638700866</v>
      </c>
      <c r="F15" s="56">
        <f>$F$19*scoring!F15</f>
        <v>9.75</v>
      </c>
      <c r="G15" s="56">
        <f>$G$19*scoring!G15</f>
        <v>0</v>
      </c>
      <c r="H15" s="56">
        <f>$H$19*scoring!H15</f>
        <v>6</v>
      </c>
      <c r="I15" s="57">
        <f>$I$19*scoring!I15</f>
        <v>0</v>
      </c>
      <c r="J15" s="65">
        <f>$J$19*scoring!J15</f>
        <v>1</v>
      </c>
      <c r="K15" s="20">
        <f>$K$19*scoring!K15</f>
        <v>2</v>
      </c>
      <c r="L15" s="66">
        <f>$L$19*scoring!L15</f>
        <v>4</v>
      </c>
      <c r="M15" s="27">
        <f t="shared" si="2"/>
        <v>35.212436387008658</v>
      </c>
      <c r="N15" s="89">
        <f>RANK(M15,$M$14:$M$17,0)</f>
        <v>4</v>
      </c>
      <c r="O15" s="22"/>
      <c r="P15" s="83"/>
    </row>
    <row r="16" spans="1:16" ht="15.75" thickBot="1" x14ac:dyDescent="0.3">
      <c r="D16" s="3" t="str">
        <f>PM!D16</f>
        <v>WTE</v>
      </c>
      <c r="E16" s="20">
        <f>$E$19*scoring!E16</f>
        <v>0</v>
      </c>
      <c r="F16" s="56">
        <f>$F$19*scoring!F16</f>
        <v>3.75</v>
      </c>
      <c r="G16" s="56">
        <f>$G$19*scoring!G16</f>
        <v>25</v>
      </c>
      <c r="H16" s="56">
        <f>$H$19*scoring!H16</f>
        <v>10.5</v>
      </c>
      <c r="I16" s="57">
        <f>$I$19*scoring!I16</f>
        <v>10</v>
      </c>
      <c r="J16" s="65">
        <f>$J$19*scoring!J16</f>
        <v>0.25</v>
      </c>
      <c r="K16" s="20">
        <f>$K$19*scoring!K16</f>
        <v>0.5</v>
      </c>
      <c r="L16" s="69">
        <f>$L$19*scoring!L16</f>
        <v>10</v>
      </c>
      <c r="M16" s="27">
        <f t="shared" si="2"/>
        <v>60</v>
      </c>
      <c r="N16" s="89">
        <f>RANK(M16,$M$14:$M$17,0)</f>
        <v>1</v>
      </c>
      <c r="O16" s="22"/>
      <c r="P16" s="83"/>
    </row>
    <row r="17" spans="4:16" ht="15.75" thickBot="1" x14ac:dyDescent="0.3">
      <c r="D17" s="3" t="str">
        <f>PM!D17</f>
        <v>Composting</v>
      </c>
      <c r="E17" s="20">
        <f>$E$19*scoring!E17</f>
        <v>13.831996885004608</v>
      </c>
      <c r="F17" s="56">
        <f>$F$19*scoring!F17</f>
        <v>7.5</v>
      </c>
      <c r="G17" s="56">
        <f>$G$19*scoring!G17</f>
        <v>12.354463130659767</v>
      </c>
      <c r="H17" s="56">
        <f>$H$19*scoring!H17</f>
        <v>8.25</v>
      </c>
      <c r="I17" s="57">
        <f>$I$19*scoring!I17</f>
        <v>0</v>
      </c>
      <c r="J17" s="65">
        <f>$J$19*scoring!J17</f>
        <v>1</v>
      </c>
      <c r="K17" s="20">
        <f>$K$19*scoring!K17</f>
        <v>1</v>
      </c>
      <c r="L17" s="69">
        <f>$L$19*scoring!L17</f>
        <v>3.3333333333333339</v>
      </c>
      <c r="M17" s="27">
        <f t="shared" si="2"/>
        <v>47.269793348997709</v>
      </c>
      <c r="N17" s="90">
        <f>RANK(M17,$M$14:$M$17,0)</f>
        <v>2</v>
      </c>
      <c r="O17" s="22"/>
      <c r="P17" s="83"/>
    </row>
    <row r="18" spans="4:16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O18" s="22"/>
      <c r="P18" s="83"/>
    </row>
    <row r="19" spans="4:16" x14ac:dyDescent="0.25">
      <c r="D19" s="15" t="s">
        <v>10</v>
      </c>
      <c r="E19" s="19">
        <v>0.15</v>
      </c>
      <c r="F19" s="19">
        <v>0.15</v>
      </c>
      <c r="G19" s="19">
        <v>0.25</v>
      </c>
      <c r="H19" s="61">
        <v>0.15</v>
      </c>
      <c r="I19" s="61">
        <v>0.1</v>
      </c>
      <c r="J19" s="61">
        <v>0.05</v>
      </c>
      <c r="K19" s="63">
        <v>0.05</v>
      </c>
      <c r="L19" s="63">
        <v>0.1</v>
      </c>
      <c r="M19" s="60">
        <f>SUM(E19:L19)</f>
        <v>1.0000000000000002</v>
      </c>
      <c r="O19" s="22"/>
      <c r="P19" s="83"/>
    </row>
    <row r="20" spans="4:16" x14ac:dyDescent="0.25">
      <c r="N20" s="23"/>
      <c r="O20" s="22"/>
      <c r="P20" s="83"/>
    </row>
    <row r="21" spans="4:16" x14ac:dyDescent="0.25">
      <c r="I21" s="62">
        <f>SUM(H19:J19)</f>
        <v>0.3</v>
      </c>
      <c r="K21" s="116">
        <f>SUM(K19:L19)</f>
        <v>0.15000000000000002</v>
      </c>
      <c r="L21" s="116"/>
      <c r="O21" s="22"/>
      <c r="P21" s="83"/>
    </row>
    <row r="22" spans="4:16" x14ac:dyDescent="0.25">
      <c r="F22" s="9"/>
      <c r="P22" s="9"/>
    </row>
    <row r="23" spans="4:16" x14ac:dyDescent="0.25">
      <c r="F23" s="9"/>
      <c r="O23" s="23"/>
      <c r="P23" s="55"/>
    </row>
    <row r="25" spans="4:16" x14ac:dyDescent="0.25">
      <c r="E25" s="9"/>
    </row>
  </sheetData>
  <sortState ref="O14:P21">
    <sortCondition descending="1" ref="P14:P21"/>
  </sortState>
  <mergeCells count="5">
    <mergeCell ref="C10:D10"/>
    <mergeCell ref="F11:L11"/>
    <mergeCell ref="H12:J12"/>
    <mergeCell ref="K12:L12"/>
    <mergeCell ref="K21:L2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0" zoomScale="90" zoomScaleNormal="90" workbookViewId="0">
      <selection activeCell="F27" sqref="F27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7" width="10.42578125" customWidth="1"/>
    <col min="8" max="8" width="11.710937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0" t="str">
        <f>PM!C10</f>
        <v>Solid Waste</v>
      </c>
      <c r="D10" s="110"/>
    </row>
    <row r="11" spans="1:17" x14ac:dyDescent="0.25">
      <c r="D11" s="1"/>
      <c r="E11" s="6"/>
      <c r="F11" s="117" t="s">
        <v>8</v>
      </c>
      <c r="G11" s="117"/>
      <c r="H11" s="117"/>
      <c r="I11" s="117"/>
      <c r="J11" s="117"/>
      <c r="K11" s="117"/>
      <c r="L11" s="117"/>
      <c r="M11" s="40"/>
      <c r="N11" s="9"/>
      <c r="O11" s="9"/>
    </row>
    <row r="12" spans="1:17" ht="25.5" thickBot="1" x14ac:dyDescent="0.3">
      <c r="D12" s="91" t="s">
        <v>71</v>
      </c>
      <c r="E12" s="92" t="s">
        <v>1</v>
      </c>
      <c r="F12" s="93" t="s">
        <v>2</v>
      </c>
      <c r="G12" s="94" t="s">
        <v>6</v>
      </c>
      <c r="H12" s="118" t="s">
        <v>4</v>
      </c>
      <c r="I12" s="119"/>
      <c r="J12" s="120"/>
      <c r="K12" s="121" t="s">
        <v>7</v>
      </c>
      <c r="L12" s="122"/>
      <c r="M12" s="54"/>
      <c r="N12" s="9"/>
      <c r="O12" s="9"/>
      <c r="P12" s="9"/>
    </row>
    <row r="13" spans="1:17" ht="55.5" customHeight="1" thickBot="1" x14ac:dyDescent="0.3">
      <c r="D13" s="2" t="s">
        <v>9</v>
      </c>
      <c r="E13" s="95" t="s">
        <v>0</v>
      </c>
      <c r="F13" s="96" t="s">
        <v>3</v>
      </c>
      <c r="G13" s="97" t="s">
        <v>29</v>
      </c>
      <c r="H13" s="98" t="s">
        <v>48</v>
      </c>
      <c r="I13" s="99" t="s">
        <v>27</v>
      </c>
      <c r="J13" s="100" t="s">
        <v>26</v>
      </c>
      <c r="K13" s="98" t="s">
        <v>49</v>
      </c>
      <c r="L13" s="101" t="s">
        <v>5</v>
      </c>
      <c r="M13" s="21" t="s">
        <v>16</v>
      </c>
      <c r="N13" s="78" t="s">
        <v>70</v>
      </c>
      <c r="O13" s="81"/>
      <c r="P13" s="82"/>
      <c r="Q13" s="9"/>
    </row>
    <row r="14" spans="1:17" ht="15.75" thickBot="1" x14ac:dyDescent="0.3">
      <c r="D14" s="3" t="str">
        <f>PM!D14</f>
        <v>LFG capture</v>
      </c>
      <c r="E14" s="20">
        <f>$E$19*scoring!E14</f>
        <v>20</v>
      </c>
      <c r="F14" s="56">
        <f>$F$19*scoring!F14</f>
        <v>8.5</v>
      </c>
      <c r="G14" s="56">
        <f>$G$19*scoring!G14</f>
        <v>15.174644243208279</v>
      </c>
      <c r="H14" s="56">
        <f>$H$19*scoring!H14</f>
        <v>0.5</v>
      </c>
      <c r="I14" s="57">
        <f>$I$19*scoring!I14</f>
        <v>1.9190189227386936</v>
      </c>
      <c r="J14" s="65">
        <f>$J$19*scoring!J14</f>
        <v>0.5</v>
      </c>
      <c r="K14" s="20">
        <f>$K$19*scoring!K14</f>
        <v>0.75</v>
      </c>
      <c r="L14" s="58">
        <f>$L$19*scoring!L14</f>
        <v>0</v>
      </c>
      <c r="M14" s="79">
        <f t="shared" ref="M14:M17" si="2">SUM(E14:L14)</f>
        <v>47.343663165946971</v>
      </c>
      <c r="N14" s="80">
        <f>RANK(M14,$M$14:$M$17,0)</f>
        <v>3</v>
      </c>
      <c r="O14" s="81"/>
      <c r="P14" s="83"/>
      <c r="Q14" s="9"/>
    </row>
    <row r="15" spans="1:17" ht="15.75" thickBot="1" x14ac:dyDescent="0.3">
      <c r="D15" s="3" t="str">
        <f>PM!D15</f>
        <v>Recycling of paper and textile</v>
      </c>
      <c r="E15" s="20">
        <f>$E$19*scoring!E15</f>
        <v>16.616581849344879</v>
      </c>
      <c r="F15" s="56">
        <f>$F$19*scoring!F15</f>
        <v>6.5</v>
      </c>
      <c r="G15" s="56">
        <f>$G$19*scoring!G15</f>
        <v>0</v>
      </c>
      <c r="H15" s="56">
        <f>$H$19*scoring!H15</f>
        <v>2</v>
      </c>
      <c r="I15" s="57">
        <f>$I$19*scoring!I15</f>
        <v>0</v>
      </c>
      <c r="J15" s="65">
        <f>$J$19*scoring!J15</f>
        <v>1</v>
      </c>
      <c r="K15" s="20">
        <f>$K$19*scoring!K15</f>
        <v>2</v>
      </c>
      <c r="L15" s="68">
        <f>$L$19*scoring!L15</f>
        <v>6</v>
      </c>
      <c r="M15" s="27">
        <f t="shared" si="2"/>
        <v>34.116581849344882</v>
      </c>
      <c r="N15" s="77">
        <f>RANK(M15,$M$14:$M$17,0)</f>
        <v>4</v>
      </c>
      <c r="O15" s="81"/>
      <c r="P15" s="83"/>
      <c r="Q15" s="9"/>
    </row>
    <row r="16" spans="1:17" ht="15.75" thickBot="1" x14ac:dyDescent="0.3">
      <c r="D16" s="3" t="str">
        <f>PM!D16</f>
        <v>WTE</v>
      </c>
      <c r="E16" s="20">
        <f>$E$19*scoring!E16</f>
        <v>0</v>
      </c>
      <c r="F16" s="56">
        <f>$F$19*scoring!F16</f>
        <v>2.5</v>
      </c>
      <c r="G16" s="56">
        <f>$G$19*scoring!G16</f>
        <v>30</v>
      </c>
      <c r="H16" s="56">
        <f>$H$19*scoring!H16</f>
        <v>3.5</v>
      </c>
      <c r="I16" s="57">
        <f>$I$19*scoring!I16</f>
        <v>10</v>
      </c>
      <c r="J16" s="65">
        <f>$J$19*scoring!J16</f>
        <v>0.25</v>
      </c>
      <c r="K16" s="20">
        <f>$K$19*scoring!K16</f>
        <v>0.5</v>
      </c>
      <c r="L16" s="66">
        <f>$L$19*scoring!L16</f>
        <v>15</v>
      </c>
      <c r="M16" s="79">
        <f t="shared" si="2"/>
        <v>61.75</v>
      </c>
      <c r="N16" s="80">
        <f>RANK(M16,$M$14:$M$17,0)</f>
        <v>1</v>
      </c>
      <c r="O16" s="81"/>
      <c r="P16" s="83"/>
      <c r="Q16" s="9"/>
    </row>
    <row r="17" spans="4:17" ht="15.75" thickBot="1" x14ac:dyDescent="0.3">
      <c r="D17" s="3" t="str">
        <f>PM!D17</f>
        <v>Composting</v>
      </c>
      <c r="E17" s="20">
        <f>$E$19*scoring!E17</f>
        <v>18.442662513339481</v>
      </c>
      <c r="F17" s="56">
        <f>$F$19*scoring!F17</f>
        <v>5</v>
      </c>
      <c r="G17" s="56">
        <f>$G$19*scoring!G17</f>
        <v>14.825355756791719</v>
      </c>
      <c r="H17" s="56">
        <f>$H$19*scoring!H17</f>
        <v>2.75</v>
      </c>
      <c r="I17" s="57">
        <f>$I$19*scoring!I17</f>
        <v>0</v>
      </c>
      <c r="J17" s="65">
        <f>$J$19*scoring!J17</f>
        <v>1</v>
      </c>
      <c r="K17" s="20">
        <f>$K$19*scoring!K17</f>
        <v>1</v>
      </c>
      <c r="L17" s="69">
        <f>$L$19*scoring!L17</f>
        <v>5</v>
      </c>
      <c r="M17" s="27">
        <f t="shared" si="2"/>
        <v>48.018018270131201</v>
      </c>
      <c r="N17" s="77">
        <f>RANK(M17,$M$14:$M$17,0)</f>
        <v>2</v>
      </c>
      <c r="O17" s="81"/>
      <c r="P17" s="83"/>
      <c r="Q17" s="9"/>
    </row>
    <row r="18" spans="4:17" x14ac:dyDescent="0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2"/>
      <c r="P18" s="83"/>
      <c r="Q18" s="9"/>
    </row>
    <row r="19" spans="4:17" x14ac:dyDescent="0.25">
      <c r="D19" s="15" t="s">
        <v>10</v>
      </c>
      <c r="E19" s="19">
        <v>0.2</v>
      </c>
      <c r="F19" s="19">
        <v>0.1</v>
      </c>
      <c r="G19" s="19">
        <v>0.3</v>
      </c>
      <c r="H19" s="61">
        <v>0.05</v>
      </c>
      <c r="I19" s="61">
        <v>0.1</v>
      </c>
      <c r="J19" s="61">
        <v>0.05</v>
      </c>
      <c r="K19" s="63">
        <v>0.05</v>
      </c>
      <c r="L19" s="63">
        <v>0.15</v>
      </c>
      <c r="M19" s="60">
        <f>SUM(E19:L19)</f>
        <v>1.0000000000000002</v>
      </c>
      <c r="N19" s="23"/>
      <c r="O19" s="22"/>
      <c r="P19" s="83"/>
      <c r="Q19" s="9"/>
    </row>
    <row r="20" spans="4:17" x14ac:dyDescent="0.25">
      <c r="O20" s="22"/>
      <c r="P20" s="83"/>
      <c r="Q20" s="9"/>
    </row>
    <row r="21" spans="4:17" x14ac:dyDescent="0.25">
      <c r="I21" s="62">
        <f>SUM(H19:J19)</f>
        <v>0.2</v>
      </c>
      <c r="K21" s="116">
        <f>SUM(K19:L19)</f>
        <v>0.2</v>
      </c>
      <c r="L21" s="116"/>
      <c r="O21" s="22"/>
      <c r="P21" s="83"/>
      <c r="Q21" s="9"/>
    </row>
    <row r="22" spans="4:17" x14ac:dyDescent="0.25">
      <c r="F22" s="9"/>
      <c r="P22" s="9"/>
    </row>
    <row r="23" spans="4:17" x14ac:dyDescent="0.25">
      <c r="F23" s="9"/>
      <c r="O23" s="23"/>
      <c r="P23" s="55"/>
    </row>
  </sheetData>
  <mergeCells count="5">
    <mergeCell ref="C10:D10"/>
    <mergeCell ref="F11:L11"/>
    <mergeCell ref="H12:J12"/>
    <mergeCell ref="K12:L12"/>
    <mergeCell ref="K21:L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0" zoomScale="90" zoomScaleNormal="90" workbookViewId="0">
      <selection activeCell="G15" sqref="G15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0" t="str">
        <f>PM!C10</f>
        <v>Solid Waste</v>
      </c>
      <c r="D10" s="110"/>
    </row>
    <row r="11" spans="1:17" x14ac:dyDescent="0.25">
      <c r="D11" s="1"/>
      <c r="E11" s="6"/>
      <c r="F11" s="109" t="s">
        <v>8</v>
      </c>
      <c r="G11" s="109"/>
      <c r="H11" s="109"/>
      <c r="I11" s="109"/>
      <c r="J11" s="109"/>
      <c r="K11" s="109"/>
      <c r="L11" s="109"/>
      <c r="M11" s="40"/>
      <c r="N11" s="9"/>
      <c r="O11" s="9"/>
    </row>
    <row r="12" spans="1:17" ht="25.5" thickBot="1" x14ac:dyDescent="0.3">
      <c r="D12" s="1"/>
      <c r="E12" s="38" t="s">
        <v>1</v>
      </c>
      <c r="F12" s="39" t="s">
        <v>2</v>
      </c>
      <c r="G12" s="10" t="s">
        <v>6</v>
      </c>
      <c r="H12" s="113" t="s">
        <v>4</v>
      </c>
      <c r="I12" s="114"/>
      <c r="J12" s="115"/>
      <c r="K12" s="111" t="s">
        <v>7</v>
      </c>
      <c r="L12" s="112"/>
      <c r="M12" s="54"/>
    </row>
    <row r="13" spans="1:17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29</v>
      </c>
      <c r="H13" s="14" t="s">
        <v>48</v>
      </c>
      <c r="I13" s="41" t="s">
        <v>27</v>
      </c>
      <c r="J13" s="8" t="s">
        <v>26</v>
      </c>
      <c r="K13" s="14" t="s">
        <v>49</v>
      </c>
      <c r="L13" s="46" t="s">
        <v>5</v>
      </c>
      <c r="M13" s="86" t="s">
        <v>16</v>
      </c>
      <c r="N13" s="88" t="s">
        <v>70</v>
      </c>
      <c r="O13" s="22"/>
      <c r="P13" s="82"/>
      <c r="Q13" s="9"/>
    </row>
    <row r="14" spans="1:17" ht="15.75" thickBot="1" x14ac:dyDescent="0.3">
      <c r="D14" s="3" t="str">
        <f>PM!D14</f>
        <v>LFG capture</v>
      </c>
      <c r="E14" s="20">
        <f>$E$19*scoring!E14</f>
        <v>15</v>
      </c>
      <c r="F14" s="56">
        <f>$F$19*scoring!F14</f>
        <v>8.5</v>
      </c>
      <c r="G14" s="56">
        <f>$G$19*scoring!G14</f>
        <v>17.703751617076325</v>
      </c>
      <c r="H14" s="56">
        <f>$H$19*scoring!H14</f>
        <v>0.5</v>
      </c>
      <c r="I14" s="57">
        <f>$I$19*scoring!I14</f>
        <v>1.9190189227386936</v>
      </c>
      <c r="J14" s="65">
        <f>$J$19*scoring!J14</f>
        <v>0.5</v>
      </c>
      <c r="K14" s="20">
        <f>$K$19*scoring!K14</f>
        <v>0.75</v>
      </c>
      <c r="L14" s="58">
        <f>$L$19*scoring!L14</f>
        <v>0</v>
      </c>
      <c r="M14" s="27">
        <f t="shared" ref="M14:M17" si="2">SUM(E14:L14)</f>
        <v>44.872770539815015</v>
      </c>
      <c r="N14" s="89">
        <f>RANK(M14,$M$14:$M$17,0)</f>
        <v>3</v>
      </c>
      <c r="O14" s="22"/>
      <c r="P14" s="83"/>
      <c r="Q14" s="9"/>
    </row>
    <row r="15" spans="1:17" ht="15.75" thickBot="1" x14ac:dyDescent="0.3">
      <c r="D15" s="3" t="str">
        <f>PM!D15</f>
        <v>Recycling of paper and textile</v>
      </c>
      <c r="E15" s="20">
        <f>$E$19*scoring!E15</f>
        <v>12.46243638700866</v>
      </c>
      <c r="F15" s="56">
        <f>$F$19*scoring!F15</f>
        <v>6.5</v>
      </c>
      <c r="G15" s="56">
        <f>$G$19*scoring!G15</f>
        <v>0</v>
      </c>
      <c r="H15" s="56">
        <f>$H$19*scoring!H15</f>
        <v>2</v>
      </c>
      <c r="I15" s="57">
        <f>$I$19*scoring!I15</f>
        <v>0</v>
      </c>
      <c r="J15" s="65">
        <f>$J$19*scoring!J15</f>
        <v>1</v>
      </c>
      <c r="K15" s="20">
        <f>$K$19*scoring!K15</f>
        <v>2</v>
      </c>
      <c r="L15" s="68">
        <f>$L$19*scoring!L15</f>
        <v>6</v>
      </c>
      <c r="M15" s="27">
        <f t="shared" si="2"/>
        <v>29.962436387008658</v>
      </c>
      <c r="N15" s="89">
        <f>RANK(M15,$M$14:$M$17,0)</f>
        <v>4</v>
      </c>
      <c r="O15" s="22"/>
      <c r="P15" s="83"/>
      <c r="Q15" s="9"/>
    </row>
    <row r="16" spans="1:17" ht="15.75" thickBot="1" x14ac:dyDescent="0.3">
      <c r="D16" s="3" t="str">
        <f>PM!D16</f>
        <v>WTE</v>
      </c>
      <c r="E16" s="20">
        <f>$E$19*scoring!E16</f>
        <v>0</v>
      </c>
      <c r="F16" s="56">
        <f>$F$19*scoring!F16</f>
        <v>2.5</v>
      </c>
      <c r="G16" s="56">
        <f>$G$19*scoring!G16</f>
        <v>35</v>
      </c>
      <c r="H16" s="56">
        <f>$H$19*scoring!H16</f>
        <v>3.5</v>
      </c>
      <c r="I16" s="57">
        <f>$I$19*scoring!I16</f>
        <v>10</v>
      </c>
      <c r="J16" s="65">
        <f>$J$19*scoring!J16</f>
        <v>0.25</v>
      </c>
      <c r="K16" s="20">
        <f>$K$19*scoring!K16</f>
        <v>0.5</v>
      </c>
      <c r="L16" s="66">
        <f>$L$19*scoring!L16</f>
        <v>15</v>
      </c>
      <c r="M16" s="27">
        <f t="shared" si="2"/>
        <v>66.75</v>
      </c>
      <c r="N16" s="89">
        <f>RANK(M16,$M$14:$M$17,0)</f>
        <v>1</v>
      </c>
      <c r="O16" s="22"/>
      <c r="P16" s="83"/>
      <c r="Q16" s="9"/>
    </row>
    <row r="17" spans="4:17" ht="15.75" thickBot="1" x14ac:dyDescent="0.3">
      <c r="D17" s="3" t="str">
        <f>PM!D17</f>
        <v>Composting</v>
      </c>
      <c r="E17" s="67">
        <f>$E$19*scoring!E17</f>
        <v>13.831996885004608</v>
      </c>
      <c r="F17" s="56">
        <f>$F$19*scoring!F17</f>
        <v>5</v>
      </c>
      <c r="G17" s="56">
        <f>$G$19*scoring!G17</f>
        <v>17.296248382923672</v>
      </c>
      <c r="H17" s="56">
        <f>$H$19*scoring!H17</f>
        <v>2.75</v>
      </c>
      <c r="I17" s="57">
        <f>$I$19*scoring!I17</f>
        <v>0</v>
      </c>
      <c r="J17" s="65">
        <f>$J$19*scoring!J17</f>
        <v>1</v>
      </c>
      <c r="K17" s="20">
        <f>$K$19*scoring!K17</f>
        <v>1</v>
      </c>
      <c r="L17" s="69">
        <f>$L$19*scoring!L17</f>
        <v>5</v>
      </c>
      <c r="M17" s="27">
        <f t="shared" si="2"/>
        <v>45.878245267928278</v>
      </c>
      <c r="N17" s="90">
        <f>RANK(M17,$M$14:$M$17,0)</f>
        <v>2</v>
      </c>
      <c r="O17" s="22"/>
      <c r="P17" s="83"/>
      <c r="Q17" s="9"/>
    </row>
    <row r="18" spans="4:17" x14ac:dyDescent="0.25">
      <c r="D18" s="7"/>
      <c r="F18" s="7"/>
      <c r="G18" s="7"/>
      <c r="H18" s="7"/>
      <c r="I18" s="7"/>
      <c r="J18" s="7"/>
      <c r="K18" s="7"/>
      <c r="L18" s="7"/>
      <c r="M18" s="7"/>
      <c r="O18" s="22"/>
      <c r="P18" s="83"/>
      <c r="Q18" s="9"/>
    </row>
    <row r="19" spans="4:17" x14ac:dyDescent="0.25">
      <c r="D19" s="15" t="s">
        <v>10</v>
      </c>
      <c r="E19" s="19">
        <v>0.15</v>
      </c>
      <c r="F19" s="19">
        <v>0.1</v>
      </c>
      <c r="G19" s="19">
        <v>0.35</v>
      </c>
      <c r="H19" s="61">
        <v>0.05</v>
      </c>
      <c r="I19" s="61">
        <v>0.1</v>
      </c>
      <c r="J19" s="61">
        <v>0.05</v>
      </c>
      <c r="K19" s="76">
        <v>0.05</v>
      </c>
      <c r="L19" s="76">
        <v>0.15</v>
      </c>
      <c r="M19" s="60">
        <f>SUM(E19:L19)</f>
        <v>1</v>
      </c>
      <c r="O19" s="22"/>
      <c r="P19" s="83"/>
      <c r="Q19" s="9"/>
    </row>
    <row r="20" spans="4:17" x14ac:dyDescent="0.25">
      <c r="N20" s="23"/>
      <c r="O20" s="22"/>
      <c r="P20" s="83"/>
      <c r="Q20" s="9"/>
    </row>
    <row r="21" spans="4:17" x14ac:dyDescent="0.25">
      <c r="I21" s="62">
        <f>SUM(H19:J19)</f>
        <v>0.2</v>
      </c>
      <c r="K21" s="116">
        <f>SUM(K19:L19)</f>
        <v>0.2</v>
      </c>
      <c r="L21" s="116"/>
      <c r="O21" s="22"/>
      <c r="P21" s="83"/>
      <c r="Q21" s="9"/>
    </row>
    <row r="22" spans="4:17" x14ac:dyDescent="0.25">
      <c r="F22" s="9"/>
      <c r="P22" s="9"/>
    </row>
    <row r="23" spans="4:17" x14ac:dyDescent="0.25">
      <c r="F23" s="9"/>
      <c r="O23" s="23"/>
      <c r="P23" s="55"/>
    </row>
  </sheetData>
  <mergeCells count="5">
    <mergeCell ref="C10:D10"/>
    <mergeCell ref="F11:L11"/>
    <mergeCell ref="H12:J12"/>
    <mergeCell ref="K12:L12"/>
    <mergeCell ref="K21:L2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A948B5-9F5A-44AC-A70D-5E6099284C19}"/>
</file>

<file path=customXml/itemProps2.xml><?xml version="1.0" encoding="utf-8"?>
<ds:datastoreItem xmlns:ds="http://schemas.openxmlformats.org/officeDocument/2006/customXml" ds:itemID="{A18A2096-5EDA-467D-8D0D-88150CF76ECB}"/>
</file>

<file path=customXml/itemProps3.xml><?xml version="1.0" encoding="utf-8"?>
<ds:datastoreItem xmlns:ds="http://schemas.openxmlformats.org/officeDocument/2006/customXml" ds:itemID="{23D4D227-5F01-4213-95EC-C7A5DFEFD7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</vt:lpstr>
      <vt:lpstr>scoring</vt:lpstr>
      <vt:lpstr>weighting</vt:lpstr>
      <vt:lpstr>sensitivity analysis (1)</vt:lpstr>
      <vt:lpstr>sensitivity analysis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2012-01-30T16:49:38Z</dcterms:created>
  <dcterms:modified xsi:type="dcterms:W3CDTF">2016-09-13T04:37:39Z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