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355" windowHeight="4440" activeTab="2"/>
  </bookViews>
  <sheets>
    <sheet name="PM" sheetId="1" r:id="rId1"/>
    <sheet name="scoring" sheetId="4" r:id="rId2"/>
    <sheet name="weighting" sheetId="10" r:id="rId3"/>
    <sheet name="sensitivity analysis (1)" sheetId="11" r:id="rId4"/>
    <sheet name="sensitivity analysis (2)" sheetId="13" r:id="rId5"/>
  </sheets>
  <calcPr calcId="145621"/>
</workbook>
</file>

<file path=xl/calcChain.xml><?xml version="1.0" encoding="utf-8"?>
<calcChain xmlns="http://schemas.openxmlformats.org/spreadsheetml/2006/main">
  <c r="E19" i="1" l="1"/>
  <c r="E16" i="1"/>
  <c r="E15" i="1"/>
  <c r="L14" i="4"/>
  <c r="U46" i="1"/>
  <c r="V35" i="1"/>
  <c r="X43" i="1"/>
  <c r="X42" i="1"/>
  <c r="X41" i="1"/>
  <c r="X38" i="1"/>
  <c r="W38" i="1"/>
  <c r="V38" i="1"/>
  <c r="R45" i="1" l="1"/>
  <c r="R41" i="1"/>
  <c r="R35" i="1"/>
  <c r="R37" i="1" s="1"/>
  <c r="I15" i="1"/>
  <c r="I16" i="1"/>
  <c r="I17" i="1"/>
  <c r="I18" i="1"/>
  <c r="I19" i="1"/>
  <c r="I14" i="1"/>
  <c r="U26" i="1"/>
  <c r="U27" i="1"/>
  <c r="U28" i="1"/>
  <c r="U29" i="1"/>
  <c r="U30" i="1"/>
  <c r="U25" i="1"/>
  <c r="S30" i="1"/>
  <c r="R30" i="1"/>
  <c r="S26" i="1"/>
  <c r="R26" i="1"/>
  <c r="T25" i="1"/>
  <c r="S25" i="1"/>
  <c r="R25" i="1"/>
  <c r="E18" i="1"/>
  <c r="E17" i="1"/>
  <c r="U18" i="1"/>
  <c r="U17" i="1"/>
  <c r="T17" i="1"/>
  <c r="T18" i="1"/>
  <c r="S18" i="1"/>
  <c r="S17" i="1"/>
  <c r="E14" i="1"/>
  <c r="R48" i="1" l="1"/>
  <c r="L19" i="1" s="1"/>
  <c r="C10" i="13"/>
  <c r="C10" i="11"/>
  <c r="C10" i="10"/>
  <c r="C10" i="4"/>
  <c r="D15" i="13"/>
  <c r="D16" i="13"/>
  <c r="D17" i="13"/>
  <c r="D18" i="13"/>
  <c r="D19" i="13"/>
  <c r="D14" i="13"/>
  <c r="D15" i="11"/>
  <c r="D16" i="11"/>
  <c r="D17" i="11"/>
  <c r="D18" i="11"/>
  <c r="D19" i="11"/>
  <c r="D14" i="11"/>
  <c r="D15" i="10"/>
  <c r="D16" i="10"/>
  <c r="D17" i="10"/>
  <c r="D18" i="10"/>
  <c r="D19" i="10"/>
  <c r="D14" i="10"/>
  <c r="D15" i="4"/>
  <c r="D16" i="4"/>
  <c r="D17" i="4"/>
  <c r="D18" i="4"/>
  <c r="D19" i="4"/>
  <c r="D14" i="4"/>
  <c r="K23" i="13" l="1"/>
  <c r="I23" i="13"/>
  <c r="M21" i="13"/>
  <c r="D7" i="13"/>
  <c r="B7" i="13"/>
  <c r="D6" i="13"/>
  <c r="B6" i="13"/>
  <c r="D5" i="13"/>
  <c r="B5" i="13"/>
  <c r="D4" i="13"/>
  <c r="B4" i="13"/>
  <c r="D3" i="13"/>
  <c r="B3" i="13"/>
  <c r="D2" i="13"/>
  <c r="B2" i="13"/>
  <c r="B8" i="13" s="1"/>
  <c r="D1" i="13"/>
  <c r="B1" i="13"/>
  <c r="K23" i="11" l="1"/>
  <c r="I23" i="11"/>
  <c r="M21" i="11"/>
  <c r="D7" i="11"/>
  <c r="B7" i="11"/>
  <c r="D6" i="11"/>
  <c r="B6" i="11"/>
  <c r="D5" i="11"/>
  <c r="B5" i="11"/>
  <c r="D4" i="11"/>
  <c r="B4" i="11"/>
  <c r="D3" i="11"/>
  <c r="B3" i="11"/>
  <c r="D2" i="11"/>
  <c r="B2" i="11"/>
  <c r="B8" i="11" s="1"/>
  <c r="D1" i="11"/>
  <c r="B1" i="11"/>
  <c r="K23" i="10"/>
  <c r="I23" i="10"/>
  <c r="M21" i="10"/>
  <c r="L19" i="4"/>
  <c r="L18" i="4"/>
  <c r="L17" i="4"/>
  <c r="L16" i="4"/>
  <c r="L15" i="4"/>
  <c r="K19" i="4"/>
  <c r="K18" i="4"/>
  <c r="K17" i="4"/>
  <c r="K16" i="4"/>
  <c r="K15" i="4"/>
  <c r="K14" i="4"/>
  <c r="J19" i="4"/>
  <c r="J18" i="4"/>
  <c r="J17" i="4"/>
  <c r="J16" i="4"/>
  <c r="J15" i="4"/>
  <c r="J14" i="4"/>
  <c r="I19" i="4"/>
  <c r="I18" i="4"/>
  <c r="I17" i="4"/>
  <c r="I16" i="4"/>
  <c r="I15" i="4"/>
  <c r="I14" i="4"/>
  <c r="H19" i="4"/>
  <c r="H18" i="4"/>
  <c r="H17" i="4"/>
  <c r="H16" i="4"/>
  <c r="H15" i="4"/>
  <c r="H14" i="4"/>
  <c r="G19" i="4"/>
  <c r="G18" i="4"/>
  <c r="G17" i="4"/>
  <c r="G16" i="4"/>
  <c r="G15" i="4"/>
  <c r="G14" i="4"/>
  <c r="D7" i="10"/>
  <c r="B7" i="10"/>
  <c r="D6" i="10"/>
  <c r="B6" i="10"/>
  <c r="D5" i="10"/>
  <c r="B5" i="10"/>
  <c r="D4" i="10"/>
  <c r="B4" i="10"/>
  <c r="D3" i="10"/>
  <c r="B3" i="10"/>
  <c r="D2" i="10"/>
  <c r="B2" i="10"/>
  <c r="B8" i="10" s="1"/>
  <c r="D1" i="10"/>
  <c r="B1" i="10"/>
  <c r="F19" i="4"/>
  <c r="F18" i="4"/>
  <c r="F17" i="4"/>
  <c r="F16" i="4"/>
  <c r="F15" i="4"/>
  <c r="E19" i="4"/>
  <c r="E19" i="13" s="1"/>
  <c r="E18" i="4"/>
  <c r="E17" i="4"/>
  <c r="E16" i="4"/>
  <c r="E15" i="4"/>
  <c r="E16" i="10" l="1"/>
  <c r="E16" i="13"/>
  <c r="E15" i="11"/>
  <c r="E15" i="13"/>
  <c r="E17" i="11"/>
  <c r="E17" i="13"/>
  <c r="F15" i="11"/>
  <c r="F15" i="13"/>
  <c r="F17" i="11"/>
  <c r="F17" i="13"/>
  <c r="G14" i="11"/>
  <c r="G14" i="13"/>
  <c r="G16" i="11"/>
  <c r="G16" i="13"/>
  <c r="G18" i="11"/>
  <c r="G18" i="13"/>
  <c r="G19" i="11"/>
  <c r="G19" i="13"/>
  <c r="H14" i="11"/>
  <c r="H14" i="13"/>
  <c r="H16" i="11"/>
  <c r="H16" i="13"/>
  <c r="H18" i="11"/>
  <c r="H18" i="13"/>
  <c r="H19" i="11"/>
  <c r="H19" i="13"/>
  <c r="I14" i="11"/>
  <c r="I14" i="13"/>
  <c r="I16" i="11"/>
  <c r="I16" i="13"/>
  <c r="I18" i="11"/>
  <c r="I18" i="13"/>
  <c r="I19" i="11"/>
  <c r="I19" i="13"/>
  <c r="J14" i="11"/>
  <c r="J14" i="13"/>
  <c r="J16" i="11"/>
  <c r="J16" i="13"/>
  <c r="J18" i="11"/>
  <c r="J18" i="13"/>
  <c r="J19" i="11"/>
  <c r="J19" i="13"/>
  <c r="K14" i="11"/>
  <c r="K14" i="13"/>
  <c r="K16" i="11"/>
  <c r="K16" i="13"/>
  <c r="K18" i="11"/>
  <c r="K18" i="13"/>
  <c r="K19" i="11"/>
  <c r="K19" i="13"/>
  <c r="L14" i="11"/>
  <c r="L14" i="13"/>
  <c r="L16" i="11"/>
  <c r="L16" i="13"/>
  <c r="L18" i="11"/>
  <c r="L18" i="13"/>
  <c r="L19" i="11"/>
  <c r="L19" i="13"/>
  <c r="E18" i="10"/>
  <c r="E18" i="13"/>
  <c r="F16" i="11"/>
  <c r="F16" i="13"/>
  <c r="M16" i="13" s="1"/>
  <c r="F18" i="11"/>
  <c r="F18" i="13"/>
  <c r="M18" i="13" s="1"/>
  <c r="F19" i="11"/>
  <c r="F19" i="13"/>
  <c r="M19" i="13" s="1"/>
  <c r="G15" i="11"/>
  <c r="G15" i="13"/>
  <c r="G17" i="11"/>
  <c r="G17" i="13"/>
  <c r="H15" i="11"/>
  <c r="H15" i="13"/>
  <c r="H17" i="11"/>
  <c r="H17" i="13"/>
  <c r="I15" i="10"/>
  <c r="I15" i="13"/>
  <c r="I17" i="10"/>
  <c r="I17" i="13"/>
  <c r="J15" i="10"/>
  <c r="J15" i="13"/>
  <c r="J17" i="10"/>
  <c r="J17" i="13"/>
  <c r="K15" i="11"/>
  <c r="K15" i="13"/>
  <c r="K17" i="11"/>
  <c r="K17" i="13"/>
  <c r="L15" i="11"/>
  <c r="L15" i="13"/>
  <c r="L17" i="11"/>
  <c r="L17" i="13"/>
  <c r="F19" i="10"/>
  <c r="F18" i="10"/>
  <c r="F17" i="10"/>
  <c r="F16" i="10"/>
  <c r="F15" i="10"/>
  <c r="M19" i="4"/>
  <c r="K14" i="10"/>
  <c r="K16" i="10"/>
  <c r="K18" i="10"/>
  <c r="K19" i="10"/>
  <c r="K15" i="10"/>
  <c r="K17" i="10"/>
  <c r="J14" i="10"/>
  <c r="J16" i="10"/>
  <c r="J18" i="10"/>
  <c r="J19" i="10"/>
  <c r="J15" i="11"/>
  <c r="J17" i="11"/>
  <c r="H14" i="10"/>
  <c r="H16" i="10"/>
  <c r="H18" i="10"/>
  <c r="H19" i="10"/>
  <c r="H15" i="10"/>
  <c r="H17" i="10"/>
  <c r="L14" i="10"/>
  <c r="L16" i="10"/>
  <c r="L18" i="10"/>
  <c r="L19" i="10"/>
  <c r="L15" i="10"/>
  <c r="L17" i="10"/>
  <c r="I14" i="10"/>
  <c r="I16" i="10"/>
  <c r="I18" i="10"/>
  <c r="I19" i="10"/>
  <c r="I15" i="11"/>
  <c r="I17" i="11"/>
  <c r="G15" i="10"/>
  <c r="G17" i="10"/>
  <c r="G14" i="10"/>
  <c r="G16" i="10"/>
  <c r="G18" i="10"/>
  <c r="G19" i="10"/>
  <c r="E15" i="10"/>
  <c r="E17" i="10"/>
  <c r="E16" i="11"/>
  <c r="M16" i="11" s="1"/>
  <c r="E18" i="11"/>
  <c r="E19" i="11"/>
  <c r="M19" i="11" s="1"/>
  <c r="E19" i="10"/>
  <c r="F14" i="4"/>
  <c r="F14" i="13" s="1"/>
  <c r="M17" i="11" l="1"/>
  <c r="M15" i="11"/>
  <c r="M18" i="11"/>
  <c r="M15" i="10"/>
  <c r="M17" i="13"/>
  <c r="M15" i="13"/>
  <c r="M16" i="10"/>
  <c r="M18" i="10"/>
  <c r="F14" i="11"/>
  <c r="F14" i="10"/>
  <c r="M17" i="10"/>
  <c r="M19" i="10"/>
  <c r="M18" i="4"/>
  <c r="M17" i="4"/>
  <c r="M16" i="4"/>
  <c r="M15" i="4"/>
  <c r="E14" i="4"/>
  <c r="E14" i="13" s="1"/>
  <c r="M14" i="13" s="1"/>
  <c r="D7" i="4"/>
  <c r="B7" i="4"/>
  <c r="D6" i="4"/>
  <c r="B6" i="4"/>
  <c r="D5" i="4"/>
  <c r="B5" i="4"/>
  <c r="D4" i="4"/>
  <c r="B4" i="4"/>
  <c r="D3" i="4"/>
  <c r="B3" i="4"/>
  <c r="D2" i="4"/>
  <c r="B2" i="4"/>
  <c r="B8" i="4" s="1"/>
  <c r="D1" i="4"/>
  <c r="B1" i="4"/>
  <c r="D7" i="1"/>
  <c r="D6" i="1"/>
  <c r="D5" i="1"/>
  <c r="D4" i="1"/>
  <c r="D3" i="1"/>
  <c r="D2" i="1"/>
  <c r="D1" i="1"/>
  <c r="B7" i="1"/>
  <c r="B6" i="1"/>
  <c r="B5" i="1"/>
  <c r="B4" i="1"/>
  <c r="B3" i="1"/>
  <c r="B2" i="1"/>
  <c r="B1" i="1"/>
  <c r="N14" i="13" l="1"/>
  <c r="N15" i="13"/>
  <c r="N16" i="13"/>
  <c r="N19" i="13"/>
  <c r="N17" i="13"/>
  <c r="N18" i="13"/>
  <c r="M14" i="4"/>
  <c r="E14" i="10"/>
  <c r="M14" i="10" s="1"/>
  <c r="E14" i="11"/>
  <c r="M14" i="11" s="1"/>
  <c r="B8" i="1"/>
  <c r="N14" i="10" l="1"/>
  <c r="N14" i="4"/>
  <c r="N19" i="4"/>
  <c r="N17" i="10"/>
  <c r="N15" i="4"/>
  <c r="N19" i="10"/>
  <c r="N16" i="4"/>
  <c r="N16" i="10"/>
  <c r="N17" i="4"/>
  <c r="N15" i="10"/>
  <c r="N18" i="10"/>
  <c r="N18" i="4"/>
  <c r="N14" i="11"/>
  <c r="N18" i="11"/>
  <c r="N19" i="11"/>
  <c r="N15" i="11"/>
  <c r="N17" i="11"/>
  <c r="N16" i="11"/>
</calcChain>
</file>

<file path=xl/sharedStrings.xml><?xml version="1.0" encoding="utf-8"?>
<sst xmlns="http://schemas.openxmlformats.org/spreadsheetml/2006/main" count="222" uniqueCount="143">
  <si>
    <t>Direct cost</t>
  </si>
  <si>
    <t>Public Financing</t>
  </si>
  <si>
    <t>Implementation Barriers</t>
  </si>
  <si>
    <t>Ease of implementation</t>
  </si>
  <si>
    <t>Economic</t>
  </si>
  <si>
    <t>Job creation</t>
  </si>
  <si>
    <t>Climate</t>
  </si>
  <si>
    <t>Social</t>
  </si>
  <si>
    <t>CRITERIA AND INDICATORS</t>
  </si>
  <si>
    <t>TECHNOLOGY</t>
  </si>
  <si>
    <t>WEIGHTS</t>
  </si>
  <si>
    <t>VH</t>
  </si>
  <si>
    <t>M</t>
  </si>
  <si>
    <t>E</t>
  </si>
  <si>
    <t>Hard = 25</t>
  </si>
  <si>
    <t>Very Hard = 0</t>
  </si>
  <si>
    <t>TOTAL</t>
  </si>
  <si>
    <t>Moderate = 50</t>
  </si>
  <si>
    <t>Easy = 75</t>
  </si>
  <si>
    <t>Very Easy = 100</t>
  </si>
  <si>
    <t>VE</t>
  </si>
  <si>
    <t>H</t>
  </si>
  <si>
    <t>L</t>
  </si>
  <si>
    <t>VL</t>
  </si>
  <si>
    <t>replicability</t>
  </si>
  <si>
    <t>Energy bill</t>
  </si>
  <si>
    <t>Ease of implementation (0-100)</t>
  </si>
  <si>
    <t>GHG reduction (tCO2/kW)</t>
  </si>
  <si>
    <t>catalysing private invest (0-100)</t>
  </si>
  <si>
    <t>replicability (0-100)</t>
  </si>
  <si>
    <t>VL5</t>
  </si>
  <si>
    <t>VL10</t>
  </si>
  <si>
    <t>VL15</t>
  </si>
  <si>
    <t>VL20</t>
  </si>
  <si>
    <t>L30</t>
  </si>
  <si>
    <t>L35</t>
  </si>
  <si>
    <t>L40</t>
  </si>
  <si>
    <t>L45</t>
  </si>
  <si>
    <t>M55</t>
  </si>
  <si>
    <t>M60</t>
  </si>
  <si>
    <t>M65</t>
  </si>
  <si>
    <t>M70</t>
  </si>
  <si>
    <t>H80</t>
  </si>
  <si>
    <t>H85</t>
  </si>
  <si>
    <t>H90</t>
  </si>
  <si>
    <t>H95</t>
  </si>
  <si>
    <t>catalysing private investment</t>
  </si>
  <si>
    <t>Impact on health</t>
  </si>
  <si>
    <t>Reduction in energy bill</t>
  </si>
  <si>
    <t>positive impact on health (0-100)</t>
  </si>
  <si>
    <t>Reduction in energy bill (MRs)</t>
  </si>
  <si>
    <t>m70</t>
  </si>
  <si>
    <t>m60</t>
  </si>
  <si>
    <t>m65</t>
  </si>
  <si>
    <t>vh5</t>
  </si>
  <si>
    <t>vh10</t>
  </si>
  <si>
    <t>vh15</t>
  </si>
  <si>
    <t>vh20</t>
  </si>
  <si>
    <t>h30</t>
  </si>
  <si>
    <t>h35</t>
  </si>
  <si>
    <t>h40</t>
  </si>
  <si>
    <t>h45</t>
  </si>
  <si>
    <t>m55</t>
  </si>
  <si>
    <t>E80</t>
  </si>
  <si>
    <t>E85</t>
  </si>
  <si>
    <t>E90</t>
  </si>
  <si>
    <t>E95</t>
  </si>
  <si>
    <t>RANK</t>
  </si>
  <si>
    <t>ENERGY INDUSTRIES</t>
  </si>
  <si>
    <t>GHG reduction</t>
  </si>
  <si>
    <t>Road Transport</t>
  </si>
  <si>
    <t>Improved fuel efficiency</t>
  </si>
  <si>
    <t>Improved vehicle inspection</t>
  </si>
  <si>
    <t>Ethanol blend</t>
  </si>
  <si>
    <t>Express Rail</t>
  </si>
  <si>
    <t>Hybrid cars</t>
  </si>
  <si>
    <t>Eletric cars</t>
  </si>
  <si>
    <t>e80</t>
  </si>
  <si>
    <t>GHG reduction (GgCO2e)</t>
  </si>
  <si>
    <t>Incremental cost (mRs/GgCO2e)</t>
  </si>
  <si>
    <t>calculating the incremental cost of electric and hybrid vehicles</t>
  </si>
  <si>
    <t>- calculations are done using the PAX km travelled in 2030</t>
  </si>
  <si>
    <t>electric</t>
  </si>
  <si>
    <t>hybrid</t>
  </si>
  <si>
    <t>PAX km</t>
  </si>
  <si>
    <t>Occupancy</t>
  </si>
  <si>
    <t>distance travelled</t>
  </si>
  <si>
    <t>km/yr</t>
  </si>
  <si>
    <t>Vehicles</t>
  </si>
  <si>
    <t>dif wrt conventional</t>
  </si>
  <si>
    <t>incre cost</t>
  </si>
  <si>
    <t>vl5</t>
  </si>
  <si>
    <t>l</t>
  </si>
  <si>
    <t>ve</t>
  </si>
  <si>
    <t>m</t>
  </si>
  <si>
    <t>h</t>
  </si>
  <si>
    <t>h90</t>
  </si>
  <si>
    <t>l40</t>
  </si>
  <si>
    <t>vl15</t>
  </si>
  <si>
    <t>Calculating reduction in energy bill in 2030</t>
  </si>
  <si>
    <t>- uses tonnes of diesel and gasolene displaced by different options</t>
  </si>
  <si>
    <t>Technology</t>
  </si>
  <si>
    <t>IFE</t>
  </si>
  <si>
    <t>IVI</t>
  </si>
  <si>
    <t>ethanol</t>
  </si>
  <si>
    <t>LRT</t>
  </si>
  <si>
    <t>gaso (t)</t>
  </si>
  <si>
    <t>diesel (t)</t>
  </si>
  <si>
    <t>prices, Rs/tonne</t>
  </si>
  <si>
    <t>gasolene</t>
  </si>
  <si>
    <t>diesel</t>
  </si>
  <si>
    <t>LPG (t)</t>
  </si>
  <si>
    <t>LPG</t>
  </si>
  <si>
    <t>avoided, mRs</t>
  </si>
  <si>
    <t>2015 prices</t>
  </si>
  <si>
    <t>Calculating net job creation</t>
  </si>
  <si>
    <t>- Calculating buses retired</t>
  </si>
  <si>
    <t>distance/yr</t>
  </si>
  <si>
    <t>buses</t>
  </si>
  <si>
    <t>person/bus</t>
  </si>
  <si>
    <t>total loss</t>
  </si>
  <si>
    <t>- jobs created</t>
  </si>
  <si>
    <t>stations</t>
  </si>
  <si>
    <t>persons per station</t>
  </si>
  <si>
    <t>total sta</t>
  </si>
  <si>
    <t>person/train</t>
  </si>
  <si>
    <t>num trains</t>
  </si>
  <si>
    <t>total train</t>
  </si>
  <si>
    <t>rail</t>
  </si>
  <si>
    <t>operation</t>
  </si>
  <si>
    <t>maintain</t>
  </si>
  <si>
    <t>total rail</t>
  </si>
  <si>
    <t>net job created</t>
  </si>
  <si>
    <t>h85</t>
  </si>
  <si>
    <t>l30</t>
  </si>
  <si>
    <t>Net job creation (number)</t>
  </si>
  <si>
    <t>Net job creation</t>
  </si>
  <si>
    <t>km - 1 way</t>
  </si>
  <si>
    <t>trips/bus</t>
  </si>
  <si>
    <t>Route 2 &amp; 2A</t>
  </si>
  <si>
    <t>Route 3</t>
  </si>
  <si>
    <t>h80</t>
  </si>
  <si>
    <t>vl10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</si>
</sst>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1" fillId="1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0" xfId="0" applyBorder="1"/>
    <xf numFmtId="0" fontId="0" fillId="6" borderId="4" xfId="0" applyFill="1" applyBorder="1"/>
    <xf numFmtId="0" fontId="0" fillId="0" borderId="5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9" borderId="0" xfId="0" applyFont="1" applyFill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9" borderId="0" xfId="0" applyFill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0" borderId="9" xfId="0" applyBorder="1"/>
    <xf numFmtId="0" fontId="0" fillId="0" borderId="14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6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0" fontId="0" fillId="6" borderId="0" xfId="0" applyFill="1" applyBorder="1" applyAlignment="1">
      <alignment wrapText="1"/>
    </xf>
    <xf numFmtId="0" fontId="0" fillId="0" borderId="17" xfId="0" applyBorder="1"/>
    <xf numFmtId="0" fontId="0" fillId="0" borderId="0" xfId="0" applyFill="1"/>
    <xf numFmtId="164" fontId="0" fillId="0" borderId="12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164" fontId="0" fillId="0" borderId="8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 vertical="top" wrapText="1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3" borderId="0" xfId="0" applyFill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3" xfId="0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1" fillId="6" borderId="4" xfId="0" applyFont="1" applyFill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2" xfId="0" applyFont="1" applyBorder="1"/>
    <xf numFmtId="0" fontId="0" fillId="0" borderId="2" xfId="0" applyBorder="1" applyAlignment="1">
      <alignment horizontal="center" vertical="top" wrapText="1"/>
    </xf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1" fillId="2" borderId="0" xfId="0" applyFont="1" applyFill="1"/>
    <xf numFmtId="3" fontId="1" fillId="2" borderId="0" xfId="0" applyNumberFormat="1" applyFont="1" applyFill="1"/>
    <xf numFmtId="0" fontId="0" fillId="6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0" borderId="16" xfId="0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0" xfId="0" applyFill="1"/>
    <xf numFmtId="0" fontId="0" fillId="8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C10" zoomScaleNormal="100" workbookViewId="0">
      <selection activeCell="K18" sqref="K18"/>
    </sheetView>
  </sheetViews>
  <sheetFormatPr defaultRowHeight="15" x14ac:dyDescent="0.25"/>
  <cols>
    <col min="1" max="1" width="0" hidden="1" customWidth="1"/>
    <col min="2" max="2" width="1.5703125" hidden="1" customWidth="1"/>
    <col min="3" max="3" width="1.28515625" customWidth="1"/>
    <col min="4" max="4" width="29.5703125" customWidth="1"/>
    <col min="5" max="5" width="9.7109375" customWidth="1"/>
    <col min="6" max="6" width="13.5703125" customWidth="1"/>
    <col min="7" max="7" width="12.85546875" customWidth="1"/>
    <col min="8" max="8" width="9.85546875" customWidth="1"/>
    <col min="9" max="9" width="11.140625" customWidth="1"/>
    <col min="10" max="10" width="11.42578125" customWidth="1"/>
    <col min="11" max="11" width="11.5703125" customWidth="1"/>
    <col min="12" max="12" width="9.42578125" customWidth="1"/>
    <col min="13" max="15" width="10.42578125" customWidth="1"/>
    <col min="18" max="18" width="11.140625" bestFit="1" customWidth="1"/>
    <col min="20" max="20" width="10.28515625" customWidth="1"/>
    <col min="21" max="21" width="11" bestFit="1" customWidth="1"/>
    <col min="22" max="22" width="10.140625" customWidth="1"/>
  </cols>
  <sheetData>
    <row r="1" spans="1:23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23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23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23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23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23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23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23" hidden="1" x14ac:dyDescent="0.25">
      <c r="B8">
        <f>MAX(B2:B7)</f>
        <v>0.83333333333333337</v>
      </c>
    </row>
    <row r="9" spans="1:23" hidden="1" x14ac:dyDescent="0.25"/>
    <row r="10" spans="1:23" ht="15.75" thickBot="1" x14ac:dyDescent="0.3">
      <c r="C10" s="113" t="s">
        <v>70</v>
      </c>
      <c r="D10" s="113"/>
      <c r="M10" s="9"/>
      <c r="N10" s="51" t="s">
        <v>23</v>
      </c>
      <c r="O10" s="52">
        <v>0</v>
      </c>
    </row>
    <row r="11" spans="1:23" x14ac:dyDescent="0.25">
      <c r="D11" s="1"/>
      <c r="E11" s="6"/>
      <c r="F11" s="112" t="s">
        <v>8</v>
      </c>
      <c r="G11" s="112"/>
      <c r="H11" s="112"/>
      <c r="I11" s="112"/>
      <c r="J11" s="112"/>
      <c r="K11" s="112"/>
      <c r="L11" s="112"/>
      <c r="M11" s="40"/>
      <c r="N11" s="51" t="s">
        <v>30</v>
      </c>
      <c r="O11" s="52">
        <v>5</v>
      </c>
    </row>
    <row r="12" spans="1:23" ht="37.5" customHeight="1" thickBot="1" x14ac:dyDescent="0.3">
      <c r="D12" s="1"/>
      <c r="E12" s="45" t="s">
        <v>1</v>
      </c>
      <c r="F12" s="44" t="s">
        <v>2</v>
      </c>
      <c r="G12" s="43" t="s">
        <v>6</v>
      </c>
      <c r="H12" s="116" t="s">
        <v>4</v>
      </c>
      <c r="I12" s="117"/>
      <c r="J12" s="118"/>
      <c r="K12" s="114" t="s">
        <v>7</v>
      </c>
      <c r="L12" s="115"/>
      <c r="N12" s="52" t="s">
        <v>31</v>
      </c>
      <c r="O12" s="52">
        <v>10</v>
      </c>
    </row>
    <row r="13" spans="1:23" ht="60" customHeight="1" thickBot="1" x14ac:dyDescent="0.3">
      <c r="D13" s="2" t="s">
        <v>9</v>
      </c>
      <c r="E13" s="50" t="s">
        <v>79</v>
      </c>
      <c r="F13" s="13" t="s">
        <v>26</v>
      </c>
      <c r="G13" s="11" t="s">
        <v>78</v>
      </c>
      <c r="H13" s="42" t="s">
        <v>28</v>
      </c>
      <c r="I13" s="109" t="s">
        <v>50</v>
      </c>
      <c r="J13" s="8" t="s">
        <v>29</v>
      </c>
      <c r="K13" s="14" t="s">
        <v>49</v>
      </c>
      <c r="L13" s="46" t="s">
        <v>135</v>
      </c>
      <c r="N13" s="53" t="s">
        <v>32</v>
      </c>
      <c r="O13" s="52">
        <v>15</v>
      </c>
    </row>
    <row r="14" spans="1:23" x14ac:dyDescent="0.25">
      <c r="D14" s="3" t="s">
        <v>71</v>
      </c>
      <c r="E14" s="64">
        <f>0/G14</f>
        <v>0</v>
      </c>
      <c r="F14" s="28" t="s">
        <v>93</v>
      </c>
      <c r="G14" s="72">
        <v>19</v>
      </c>
      <c r="H14" s="106" t="s">
        <v>91</v>
      </c>
      <c r="I14" s="111">
        <f>U25</f>
        <v>121.15563400000001</v>
      </c>
      <c r="J14" s="35" t="s">
        <v>92</v>
      </c>
      <c r="K14" s="32" t="s">
        <v>94</v>
      </c>
      <c r="L14" s="47">
        <v>0</v>
      </c>
      <c r="N14" s="52" t="s">
        <v>33</v>
      </c>
      <c r="O14" s="52">
        <v>20</v>
      </c>
      <c r="Q14" s="104" t="s">
        <v>80</v>
      </c>
      <c r="R14" s="101"/>
      <c r="S14" s="101"/>
      <c r="T14" s="101"/>
      <c r="U14" s="101"/>
      <c r="V14" s="101"/>
    </row>
    <row r="15" spans="1:23" x14ac:dyDescent="0.25">
      <c r="D15" s="4" t="s">
        <v>72</v>
      </c>
      <c r="E15" s="70">
        <f>(55+40+25)/G15</f>
        <v>1.875</v>
      </c>
      <c r="F15" s="29" t="s">
        <v>77</v>
      </c>
      <c r="G15" s="73">
        <v>64</v>
      </c>
      <c r="H15" s="107" t="s">
        <v>92</v>
      </c>
      <c r="I15" s="110">
        <f t="shared" ref="I15:I19" si="2">U26</f>
        <v>402.68599399999999</v>
      </c>
      <c r="J15" s="36" t="s">
        <v>98</v>
      </c>
      <c r="K15" s="33" t="s">
        <v>52</v>
      </c>
      <c r="L15" s="48">
        <v>300</v>
      </c>
      <c r="N15" s="52" t="s">
        <v>22</v>
      </c>
      <c r="O15" s="52">
        <v>25</v>
      </c>
      <c r="Q15" s="102" t="s">
        <v>81</v>
      </c>
    </row>
    <row r="16" spans="1:23" x14ac:dyDescent="0.25">
      <c r="D16" s="4" t="s">
        <v>73</v>
      </c>
      <c r="E16" s="70">
        <f>(4*35+200)/G16</f>
        <v>16.634050880626223</v>
      </c>
      <c r="F16" s="30" t="s">
        <v>95</v>
      </c>
      <c r="G16" s="73">
        <v>20.440000000000001</v>
      </c>
      <c r="H16" s="107" t="s">
        <v>134</v>
      </c>
      <c r="I16" s="110">
        <f t="shared" si="2"/>
        <v>140.569681</v>
      </c>
      <c r="J16" s="36" t="s">
        <v>142</v>
      </c>
      <c r="K16" s="33" t="s">
        <v>97</v>
      </c>
      <c r="L16" s="48">
        <v>15</v>
      </c>
      <c r="N16" s="52" t="s">
        <v>34</v>
      </c>
      <c r="O16" s="52">
        <v>30</v>
      </c>
      <c r="R16" t="s">
        <v>84</v>
      </c>
      <c r="S16" t="s">
        <v>88</v>
      </c>
      <c r="T16" t="s">
        <v>89</v>
      </c>
      <c r="U16" t="s">
        <v>90</v>
      </c>
      <c r="V16" t="s">
        <v>85</v>
      </c>
      <c r="W16">
        <v>1.9</v>
      </c>
    </row>
    <row r="17" spans="4:24" x14ac:dyDescent="0.25">
      <c r="D17" s="4" t="s">
        <v>75</v>
      </c>
      <c r="E17" s="70">
        <f>U18/G17</f>
        <v>363.26446574369896</v>
      </c>
      <c r="F17" s="30" t="s">
        <v>77</v>
      </c>
      <c r="G17" s="73">
        <v>14.085000000000001</v>
      </c>
      <c r="H17" s="107" t="s">
        <v>53</v>
      </c>
      <c r="I17" s="110">
        <f t="shared" si="2"/>
        <v>96.859277000000006</v>
      </c>
      <c r="J17" s="36" t="s">
        <v>95</v>
      </c>
      <c r="K17" s="33" t="s">
        <v>94</v>
      </c>
      <c r="L17" s="48">
        <v>0</v>
      </c>
      <c r="N17" s="52" t="s">
        <v>35</v>
      </c>
      <c r="O17" s="52">
        <v>35</v>
      </c>
      <c r="Q17" t="s">
        <v>82</v>
      </c>
      <c r="R17" s="103">
        <v>96640426</v>
      </c>
      <c r="S17" s="103">
        <f>ROUND(R17/$W$16/$W$17,0)</f>
        <v>3768</v>
      </c>
      <c r="T17" s="103">
        <f>35*(35000-16000)</f>
        <v>665000</v>
      </c>
      <c r="U17">
        <f>S17*T17/1000000</f>
        <v>2505.7199999999998</v>
      </c>
      <c r="V17" t="s">
        <v>86</v>
      </c>
      <c r="W17" s="103">
        <v>13500</v>
      </c>
      <c r="X17" t="s">
        <v>87</v>
      </c>
    </row>
    <row r="18" spans="4:24" x14ac:dyDescent="0.25">
      <c r="D18" s="4" t="s">
        <v>76</v>
      </c>
      <c r="E18" s="70">
        <f>U17/G18</f>
        <v>335.2133779264214</v>
      </c>
      <c r="F18" s="30" t="s">
        <v>94</v>
      </c>
      <c r="G18" s="73">
        <v>7.4749999999999996</v>
      </c>
      <c r="H18" s="107" t="s">
        <v>94</v>
      </c>
      <c r="I18" s="110">
        <f t="shared" si="2"/>
        <v>51.404617649999999</v>
      </c>
      <c r="J18" s="36" t="s">
        <v>96</v>
      </c>
      <c r="K18" s="33" t="s">
        <v>134</v>
      </c>
      <c r="L18" s="48">
        <v>0</v>
      </c>
      <c r="N18" s="52" t="s">
        <v>36</v>
      </c>
      <c r="O18" s="52">
        <v>40</v>
      </c>
      <c r="Q18" t="s">
        <v>83</v>
      </c>
      <c r="R18" s="103">
        <v>535683067.55758578</v>
      </c>
      <c r="S18" s="103">
        <f>ROUND(R18/$W$16/$W$17,0)</f>
        <v>20884</v>
      </c>
      <c r="T18" s="103">
        <f>35*(24000-17000)</f>
        <v>245000</v>
      </c>
      <c r="U18">
        <f>S18*T18/1000000</f>
        <v>5116.58</v>
      </c>
    </row>
    <row r="19" spans="4:24" ht="15.75" thickBot="1" x14ac:dyDescent="0.3">
      <c r="D19" s="5" t="s">
        <v>74</v>
      </c>
      <c r="E19" s="71">
        <f>18000/G19</f>
        <v>692.30769230769226</v>
      </c>
      <c r="F19" s="31" t="s">
        <v>55</v>
      </c>
      <c r="G19" s="74">
        <v>26</v>
      </c>
      <c r="H19" s="108" t="s">
        <v>141</v>
      </c>
      <c r="I19" s="110">
        <f t="shared" si="2"/>
        <v>164.97268</v>
      </c>
      <c r="J19" s="37" t="s">
        <v>91</v>
      </c>
      <c r="K19" s="34" t="s">
        <v>133</v>
      </c>
      <c r="L19" s="49">
        <f>R48</f>
        <v>-320</v>
      </c>
      <c r="N19" s="52" t="s">
        <v>37</v>
      </c>
      <c r="O19" s="52">
        <v>45</v>
      </c>
    </row>
    <row r="20" spans="4:24" x14ac:dyDescent="0.25">
      <c r="I20" s="7"/>
      <c r="N20" s="52" t="s">
        <v>12</v>
      </c>
      <c r="O20" s="52">
        <v>50</v>
      </c>
      <c r="T20" s="103"/>
    </row>
    <row r="21" spans="4:24" x14ac:dyDescent="0.25">
      <c r="D21" s="22"/>
      <c r="E21" s="23"/>
      <c r="F21" s="25" t="s">
        <v>15</v>
      </c>
      <c r="G21" s="26" t="s">
        <v>11</v>
      </c>
      <c r="H21" s="26">
        <v>0</v>
      </c>
      <c r="I21" s="23"/>
      <c r="J21" s="23"/>
      <c r="K21" s="23"/>
      <c r="L21" s="23"/>
      <c r="N21" s="52" t="s">
        <v>38</v>
      </c>
      <c r="O21" s="52">
        <v>55</v>
      </c>
      <c r="Q21" s="104" t="s">
        <v>99</v>
      </c>
      <c r="R21" s="104"/>
      <c r="S21" s="104"/>
      <c r="T21" s="105"/>
    </row>
    <row r="22" spans="4:24" x14ac:dyDescent="0.25">
      <c r="D22" s="22"/>
      <c r="E22" s="23"/>
      <c r="F22" s="25"/>
      <c r="G22" s="26" t="s">
        <v>54</v>
      </c>
      <c r="H22" s="26">
        <v>5</v>
      </c>
      <c r="I22" s="23"/>
      <c r="J22" s="23"/>
      <c r="K22" s="23"/>
      <c r="L22" s="23"/>
      <c r="N22" s="52" t="s">
        <v>39</v>
      </c>
      <c r="O22" s="52">
        <v>60</v>
      </c>
      <c r="Q22" s="102" t="s">
        <v>100</v>
      </c>
    </row>
    <row r="23" spans="4:24" x14ac:dyDescent="0.25">
      <c r="D23" s="22"/>
      <c r="E23" s="23"/>
      <c r="F23" s="25"/>
      <c r="G23" s="26" t="s">
        <v>55</v>
      </c>
      <c r="H23" s="26">
        <v>10</v>
      </c>
      <c r="I23" s="23"/>
      <c r="J23" s="23"/>
      <c r="K23" s="23"/>
      <c r="L23" s="23"/>
      <c r="M23" s="23"/>
      <c r="N23" s="52" t="s">
        <v>40</v>
      </c>
      <c r="O23" s="52">
        <v>65</v>
      </c>
    </row>
    <row r="24" spans="4:24" x14ac:dyDescent="0.25">
      <c r="D24" s="22"/>
      <c r="E24" s="23"/>
      <c r="F24" s="25"/>
      <c r="G24" s="26" t="s">
        <v>56</v>
      </c>
      <c r="H24" s="26">
        <v>15</v>
      </c>
      <c r="I24" s="23"/>
      <c r="J24" s="23"/>
      <c r="K24" s="23"/>
      <c r="L24" s="23"/>
      <c r="M24" s="23"/>
      <c r="N24" s="52" t="s">
        <v>41</v>
      </c>
      <c r="O24" s="52">
        <v>70</v>
      </c>
      <c r="Q24" t="s">
        <v>101</v>
      </c>
      <c r="R24" t="s">
        <v>106</v>
      </c>
      <c r="S24" t="s">
        <v>107</v>
      </c>
      <c r="T24" t="s">
        <v>111</v>
      </c>
      <c r="U24" t="s">
        <v>113</v>
      </c>
      <c r="V24" t="s">
        <v>108</v>
      </c>
      <c r="X24" t="s">
        <v>114</v>
      </c>
    </row>
    <row r="25" spans="4:24" x14ac:dyDescent="0.25">
      <c r="D25" s="22"/>
      <c r="E25" s="23"/>
      <c r="F25" s="25"/>
      <c r="G25" s="26" t="s">
        <v>57</v>
      </c>
      <c r="H25" s="26">
        <v>20</v>
      </c>
      <c r="I25" s="23"/>
      <c r="J25" s="23"/>
      <c r="K25" s="23"/>
      <c r="L25" s="23"/>
      <c r="M25" s="23"/>
      <c r="N25" s="52" t="s">
        <v>21</v>
      </c>
      <c r="O25" s="52">
        <v>75</v>
      </c>
      <c r="Q25" t="s">
        <v>102</v>
      </c>
      <c r="R25">
        <f>158119-155747</f>
        <v>2372</v>
      </c>
      <c r="S25">
        <f>241010-237395</f>
        <v>3615</v>
      </c>
      <c r="T25">
        <f>1165-1147</f>
        <v>18</v>
      </c>
      <c r="U25">
        <f>((R25*$W$25)+(S25*$W$26)+(T25*$W$27))/1000000</f>
        <v>121.15563400000001</v>
      </c>
      <c r="V25" t="s">
        <v>109</v>
      </c>
      <c r="W25">
        <v>21899</v>
      </c>
    </row>
    <row r="26" spans="4:24" x14ac:dyDescent="0.25">
      <c r="D26" s="22"/>
      <c r="E26" s="23"/>
      <c r="F26" s="25" t="s">
        <v>14</v>
      </c>
      <c r="G26" s="26" t="s">
        <v>21</v>
      </c>
      <c r="H26" s="26">
        <v>25</v>
      </c>
      <c r="I26" s="23"/>
      <c r="J26" s="23"/>
      <c r="K26" s="23"/>
      <c r="L26" s="23"/>
      <c r="M26" s="23"/>
      <c r="N26" s="52" t="s">
        <v>42</v>
      </c>
      <c r="O26" s="52">
        <v>80</v>
      </c>
      <c r="Q26" t="s">
        <v>103</v>
      </c>
      <c r="R26">
        <f>158119-150213</f>
        <v>7906</v>
      </c>
      <c r="S26">
        <f>241010-228960</f>
        <v>12050</v>
      </c>
      <c r="T26">
        <v>0</v>
      </c>
      <c r="U26">
        <f t="shared" ref="U26:U30" si="3">((R26*$W$25)+(S26*$W$26)+(T26*$W$27))/1000000</f>
        <v>402.68599399999999</v>
      </c>
      <c r="V26" t="s">
        <v>110</v>
      </c>
      <c r="W26">
        <v>19050</v>
      </c>
    </row>
    <row r="27" spans="4:24" x14ac:dyDescent="0.25">
      <c r="D27" s="22"/>
      <c r="E27" s="23"/>
      <c r="F27" s="25"/>
      <c r="G27" s="26" t="s">
        <v>58</v>
      </c>
      <c r="H27" s="26">
        <v>30</v>
      </c>
      <c r="I27" s="23"/>
      <c r="J27" s="23"/>
      <c r="K27" s="23"/>
      <c r="L27" s="23"/>
      <c r="M27" s="23"/>
      <c r="N27" s="52" t="s">
        <v>43</v>
      </c>
      <c r="O27" s="52">
        <v>85</v>
      </c>
      <c r="Q27" t="s">
        <v>104</v>
      </c>
      <c r="R27">
        <v>6419</v>
      </c>
      <c r="U27">
        <f t="shared" si="3"/>
        <v>140.569681</v>
      </c>
      <c r="V27" t="s">
        <v>112</v>
      </c>
      <c r="W27">
        <v>19192</v>
      </c>
    </row>
    <row r="28" spans="4:24" x14ac:dyDescent="0.25">
      <c r="D28" s="22"/>
      <c r="E28" s="23"/>
      <c r="F28" s="25"/>
      <c r="G28" s="26" t="s">
        <v>59</v>
      </c>
      <c r="H28" s="26">
        <v>35</v>
      </c>
      <c r="I28" s="23"/>
      <c r="J28" s="23"/>
      <c r="K28" s="23"/>
      <c r="L28" s="23"/>
      <c r="M28" s="23"/>
      <c r="N28" s="52" t="s">
        <v>44</v>
      </c>
      <c r="O28" s="52">
        <v>90</v>
      </c>
      <c r="Q28" t="s">
        <v>83</v>
      </c>
      <c r="R28">
        <v>4423</v>
      </c>
      <c r="U28">
        <f t="shared" si="3"/>
        <v>96.859277000000006</v>
      </c>
    </row>
    <row r="29" spans="4:24" x14ac:dyDescent="0.25">
      <c r="D29" s="22"/>
      <c r="E29" s="23"/>
      <c r="F29" s="25"/>
      <c r="G29" s="26" t="s">
        <v>60</v>
      </c>
      <c r="H29" s="26">
        <v>40</v>
      </c>
      <c r="I29" s="23"/>
      <c r="J29" s="23"/>
      <c r="K29" s="23"/>
      <c r="L29" s="23"/>
      <c r="M29" s="23"/>
      <c r="N29" s="52" t="s">
        <v>45</v>
      </c>
      <c r="O29" s="52">
        <v>95</v>
      </c>
      <c r="Q29" t="s">
        <v>82</v>
      </c>
      <c r="R29">
        <v>2347.35</v>
      </c>
      <c r="U29">
        <f t="shared" si="3"/>
        <v>51.404617649999999</v>
      </c>
    </row>
    <row r="30" spans="4:24" x14ac:dyDescent="0.25">
      <c r="D30" s="22"/>
      <c r="E30" s="23"/>
      <c r="F30" s="25"/>
      <c r="G30" s="26" t="s">
        <v>61</v>
      </c>
      <c r="H30" s="26">
        <v>45</v>
      </c>
      <c r="I30" s="23"/>
      <c r="J30" s="23"/>
      <c r="K30" s="23"/>
      <c r="L30" s="23"/>
      <c r="M30" s="23"/>
      <c r="N30" s="52" t="s">
        <v>11</v>
      </c>
      <c r="O30" s="52">
        <v>100</v>
      </c>
      <c r="Q30" t="s">
        <v>105</v>
      </c>
      <c r="R30">
        <f>158119-153599</f>
        <v>4520</v>
      </c>
      <c r="S30">
        <f>241010-237546</f>
        <v>3464</v>
      </c>
      <c r="T30">
        <v>0</v>
      </c>
      <c r="U30">
        <f t="shared" si="3"/>
        <v>164.97268</v>
      </c>
    </row>
    <row r="31" spans="4:24" x14ac:dyDescent="0.25">
      <c r="F31" s="25" t="s">
        <v>17</v>
      </c>
      <c r="G31" s="26" t="s">
        <v>12</v>
      </c>
      <c r="H31" s="26">
        <v>50</v>
      </c>
      <c r="I31" s="24"/>
      <c r="J31" s="23"/>
      <c r="M31" s="23"/>
    </row>
    <row r="32" spans="4:24" x14ac:dyDescent="0.25">
      <c r="F32" s="25"/>
      <c r="G32" s="26" t="s">
        <v>62</v>
      </c>
      <c r="H32" s="26">
        <v>55</v>
      </c>
      <c r="I32" s="24"/>
      <c r="J32" s="23"/>
      <c r="M32" s="23"/>
      <c r="Q32" s="104" t="s">
        <v>115</v>
      </c>
      <c r="R32" s="101"/>
      <c r="S32" s="101"/>
    </row>
    <row r="33" spans="6:26" x14ac:dyDescent="0.25">
      <c r="F33" s="25"/>
      <c r="G33" s="26" t="s">
        <v>52</v>
      </c>
      <c r="H33" s="26">
        <v>60</v>
      </c>
      <c r="I33" s="24"/>
      <c r="J33" s="23"/>
      <c r="Q33" s="102" t="s">
        <v>116</v>
      </c>
    </row>
    <row r="34" spans="6:26" x14ac:dyDescent="0.25">
      <c r="F34" s="25"/>
      <c r="G34" s="26" t="s">
        <v>53</v>
      </c>
      <c r="H34" s="26">
        <v>65</v>
      </c>
      <c r="I34" s="24"/>
      <c r="J34" s="23"/>
      <c r="Q34" t="s">
        <v>84</v>
      </c>
      <c r="R34">
        <v>382718000</v>
      </c>
      <c r="U34" t="s">
        <v>85</v>
      </c>
      <c r="V34">
        <v>55</v>
      </c>
    </row>
    <row r="35" spans="6:26" x14ac:dyDescent="0.25">
      <c r="F35" s="25"/>
      <c r="G35" s="26" t="s">
        <v>51</v>
      </c>
      <c r="H35" s="26">
        <v>70</v>
      </c>
      <c r="I35" s="24"/>
      <c r="J35" s="23"/>
      <c r="Q35" t="s">
        <v>118</v>
      </c>
      <c r="R35">
        <f>ROUND(R34/V34/V35,0)</f>
        <v>98</v>
      </c>
      <c r="U35" t="s">
        <v>117</v>
      </c>
      <c r="V35">
        <f>X43</f>
        <v>70814.878333333327</v>
      </c>
      <c r="W35" t="s">
        <v>87</v>
      </c>
    </row>
    <row r="36" spans="6:26" x14ac:dyDescent="0.25">
      <c r="F36" s="25" t="s">
        <v>18</v>
      </c>
      <c r="G36" s="26" t="s">
        <v>13</v>
      </c>
      <c r="H36" s="26">
        <v>75</v>
      </c>
      <c r="I36" s="24"/>
      <c r="J36" s="23"/>
      <c r="Q36" t="s">
        <v>119</v>
      </c>
      <c r="R36">
        <v>6</v>
      </c>
      <c r="V36">
        <v>22</v>
      </c>
      <c r="W36" t="s">
        <v>137</v>
      </c>
    </row>
    <row r="37" spans="6:26" x14ac:dyDescent="0.25">
      <c r="F37" s="25"/>
      <c r="G37" s="26" t="s">
        <v>63</v>
      </c>
      <c r="H37" s="26">
        <v>80</v>
      </c>
      <c r="I37" s="24"/>
      <c r="J37" s="23"/>
      <c r="Q37" t="s">
        <v>120</v>
      </c>
      <c r="R37">
        <f>R35*R36</f>
        <v>588</v>
      </c>
      <c r="V37">
        <v>8</v>
      </c>
      <c r="W37" t="s">
        <v>138</v>
      </c>
      <c r="Y37">
        <v>6</v>
      </c>
      <c r="Z37" t="s">
        <v>138</v>
      </c>
    </row>
    <row r="38" spans="6:26" x14ac:dyDescent="0.25">
      <c r="F38" s="25"/>
      <c r="G38" s="26" t="s">
        <v>64</v>
      </c>
      <c r="H38" s="26">
        <v>85</v>
      </c>
      <c r="I38" s="24"/>
      <c r="J38" s="23"/>
      <c r="V38">
        <f>V36*2*V37*250</f>
        <v>88000</v>
      </c>
      <c r="W38">
        <f>V36*2*Y37*(365-250)</f>
        <v>30360</v>
      </c>
      <c r="X38">
        <f>V38+W38</f>
        <v>118360</v>
      </c>
    </row>
    <row r="39" spans="6:26" x14ac:dyDescent="0.25">
      <c r="F39" s="25"/>
      <c r="G39" s="26" t="s">
        <v>65</v>
      </c>
      <c r="H39" s="26">
        <v>90</v>
      </c>
      <c r="I39" s="24"/>
      <c r="J39" s="23"/>
      <c r="Q39" s="102" t="s">
        <v>121</v>
      </c>
    </row>
    <row r="40" spans="6:26" x14ac:dyDescent="0.25">
      <c r="F40" s="25"/>
      <c r="G40" s="26" t="s">
        <v>66</v>
      </c>
      <c r="H40" s="26">
        <v>95</v>
      </c>
      <c r="I40" s="24"/>
      <c r="J40" s="23"/>
      <c r="Q40" t="s">
        <v>122</v>
      </c>
      <c r="R40">
        <v>19</v>
      </c>
      <c r="S40" t="s">
        <v>123</v>
      </c>
      <c r="U40">
        <v>12</v>
      </c>
    </row>
    <row r="41" spans="6:26" x14ac:dyDescent="0.25">
      <c r="F41" s="25" t="s">
        <v>19</v>
      </c>
      <c r="G41" s="26" t="s">
        <v>20</v>
      </c>
      <c r="H41" s="26">
        <v>100</v>
      </c>
      <c r="I41" s="24"/>
      <c r="J41" s="23"/>
      <c r="Q41" t="s">
        <v>124</v>
      </c>
      <c r="R41">
        <f>R40*U40</f>
        <v>228</v>
      </c>
      <c r="W41" t="s">
        <v>140</v>
      </c>
      <c r="X41">
        <f>1849698/80</f>
        <v>23121.224999999999</v>
      </c>
      <c r="Y41" t="s">
        <v>87</v>
      </c>
      <c r="Z41">
        <v>2015</v>
      </c>
    </row>
    <row r="42" spans="6:26" x14ac:dyDescent="0.25">
      <c r="W42" t="s">
        <v>139</v>
      </c>
      <c r="X42">
        <f>(1718542+1541964+316518)/75</f>
        <v>47693.653333333335</v>
      </c>
      <c r="Y42" t="s">
        <v>87</v>
      </c>
      <c r="Z42">
        <v>2015</v>
      </c>
    </row>
    <row r="43" spans="6:26" x14ac:dyDescent="0.25">
      <c r="Q43" t="s">
        <v>125</v>
      </c>
      <c r="R43">
        <v>3</v>
      </c>
      <c r="T43" t="s">
        <v>128</v>
      </c>
      <c r="X43">
        <f>X41+X42</f>
        <v>70814.878333333327</v>
      </c>
    </row>
    <row r="44" spans="6:26" x14ac:dyDescent="0.25">
      <c r="Q44" t="s">
        <v>126</v>
      </c>
      <c r="R44">
        <v>5</v>
      </c>
      <c r="T44" t="s">
        <v>129</v>
      </c>
      <c r="U44">
        <v>5</v>
      </c>
    </row>
    <row r="45" spans="6:26" x14ac:dyDescent="0.25">
      <c r="Q45" t="s">
        <v>127</v>
      </c>
      <c r="R45">
        <f>R43*R44</f>
        <v>15</v>
      </c>
      <c r="T45" t="s">
        <v>130</v>
      </c>
      <c r="U45">
        <v>20</v>
      </c>
    </row>
    <row r="46" spans="6:26" x14ac:dyDescent="0.25">
      <c r="T46" t="s">
        <v>131</v>
      </c>
      <c r="U46">
        <f>U44+U45</f>
        <v>25</v>
      </c>
    </row>
    <row r="48" spans="6:26" x14ac:dyDescent="0.25">
      <c r="Q48" t="s">
        <v>132</v>
      </c>
      <c r="R48">
        <f>U46+R45+R41-R37</f>
        <v>-320</v>
      </c>
    </row>
  </sheetData>
  <mergeCells count="4">
    <mergeCell ref="F11:L11"/>
    <mergeCell ref="C10:D10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0" workbookViewId="0">
      <selection activeCell="L14" sqref="L14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10.42578125" customWidth="1"/>
    <col min="10" max="10" width="11.7109375" customWidth="1"/>
    <col min="12" max="12" width="9.85546875" customWidth="1"/>
    <col min="14" max="15" width="10.42578125" customWidth="1"/>
  </cols>
  <sheetData>
    <row r="1" spans="1:15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5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5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5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5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5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5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5" hidden="1" x14ac:dyDescent="0.25">
      <c r="B8">
        <f>MAX(B2:B7)</f>
        <v>0.83333333333333337</v>
      </c>
    </row>
    <row r="9" spans="1:15" hidden="1" x14ac:dyDescent="0.25"/>
    <row r="10" spans="1:15" ht="15.75" thickBot="1" x14ac:dyDescent="0.3">
      <c r="C10" s="113" t="str">
        <f>PM!C10</f>
        <v>Road Transport</v>
      </c>
      <c r="D10" s="113"/>
    </row>
    <row r="11" spans="1:15" x14ac:dyDescent="0.25">
      <c r="D11" s="1"/>
      <c r="E11" s="6"/>
      <c r="F11" s="112" t="s">
        <v>8</v>
      </c>
      <c r="G11" s="112"/>
      <c r="H11" s="112"/>
      <c r="I11" s="112"/>
      <c r="J11" s="112"/>
      <c r="K11" s="112"/>
      <c r="L11" s="112"/>
      <c r="M11" s="40"/>
      <c r="N11" s="9"/>
      <c r="O11" s="9"/>
    </row>
    <row r="12" spans="1:15" ht="25.5" thickBot="1" x14ac:dyDescent="0.3">
      <c r="D12" s="1"/>
      <c r="E12" s="38" t="s">
        <v>1</v>
      </c>
      <c r="F12" s="39" t="s">
        <v>2</v>
      </c>
      <c r="G12" s="10" t="s">
        <v>6</v>
      </c>
      <c r="H12" s="116" t="s">
        <v>4</v>
      </c>
      <c r="I12" s="117"/>
      <c r="J12" s="118"/>
      <c r="K12" s="114" t="s">
        <v>7</v>
      </c>
      <c r="L12" s="115"/>
      <c r="M12" s="54"/>
    </row>
    <row r="13" spans="1:15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69</v>
      </c>
      <c r="H13" s="14" t="s">
        <v>46</v>
      </c>
      <c r="I13" s="41" t="s">
        <v>48</v>
      </c>
      <c r="J13" s="8" t="s">
        <v>24</v>
      </c>
      <c r="K13" s="14" t="s">
        <v>47</v>
      </c>
      <c r="L13" s="46" t="s">
        <v>136</v>
      </c>
      <c r="M13" s="84" t="s">
        <v>16</v>
      </c>
      <c r="N13" s="85" t="s">
        <v>67</v>
      </c>
    </row>
    <row r="14" spans="1:15" ht="15.75" thickBot="1" x14ac:dyDescent="0.3">
      <c r="D14" s="3" t="str">
        <f>PM!D14</f>
        <v>Improved fuel efficiency</v>
      </c>
      <c r="E14" s="64">
        <f>100*(1-(PM!E14-MIN(PM!$E$14:$E$19))/(MAX(PM!$E$14:$E$19)-MIN(PM!$E$14:$E$19)))</f>
        <v>100</v>
      </c>
      <c r="F14" s="18">
        <f>VLOOKUP(PM!F14,PM!$G$21:$H$41,2,FALSE)</f>
        <v>100</v>
      </c>
      <c r="G14" s="56">
        <f>100*(PM!G14-MIN(PM!$G$14:$G$19))/(MAX(PM!$G$14:$G$19)-MIN(PM!$G$14:$G$19))</f>
        <v>20.389208314904909</v>
      </c>
      <c r="H14" s="18">
        <f>VLOOKUP(PM!H14,PM!$N$10:$O$30,2,FALSE)</f>
        <v>5</v>
      </c>
      <c r="I14" s="57">
        <f>100*(PM!I14-MIN(PM!$I$14:$I$19))/(MAX(PM!$I$14:$I$19)-MIN(PM!$I$14:$I$19))</f>
        <v>19.856166892406911</v>
      </c>
      <c r="J14" s="17">
        <f>VLOOKUP(PM!J14,PM!$N$10:$O$30,2,FALSE)</f>
        <v>25</v>
      </c>
      <c r="K14" s="16">
        <f>VLOOKUP(PM!K14,PM!$N$10:$O$30,2,FALSE)</f>
        <v>50</v>
      </c>
      <c r="L14" s="58">
        <f>100*(PM!L14-MIN(PM!$L$14:$L$19))/(MAX(PM!$L$14:$L$19)-MIN(PM!$L$14:$L$19))</f>
        <v>51.612903225806448</v>
      </c>
      <c r="M14" s="27">
        <f t="shared" ref="M14:M19" si="2">SUM(E14:L14)</f>
        <v>371.8582784331183</v>
      </c>
      <c r="N14" s="83">
        <f t="shared" ref="N14:N19" si="3">RANK(M14,$M$14:$M$19,0)</f>
        <v>3</v>
      </c>
    </row>
    <row r="15" spans="1:15" ht="15.75" thickBot="1" x14ac:dyDescent="0.3">
      <c r="D15" s="3" t="str">
        <f>PM!D15</f>
        <v>Improved vehicle inspection</v>
      </c>
      <c r="E15" s="64">
        <f>100*(1-(PM!E15-MIN(PM!$E$14:$E$19))/(MAX(PM!$E$14:$E$19)-MIN(PM!$E$14:$E$19)))</f>
        <v>99.729166666666671</v>
      </c>
      <c r="F15" s="18">
        <f>VLOOKUP(PM!F15,PM!$G$21:$H$41,2,FALSE)</f>
        <v>80</v>
      </c>
      <c r="G15" s="56">
        <f>100*(PM!G15-MIN(PM!$G$14:$G$19))/(MAX(PM!$G$14:$G$19)-MIN(PM!$G$14:$G$19))</f>
        <v>100</v>
      </c>
      <c r="H15" s="18">
        <f>VLOOKUP(PM!H15,PM!$N$10:$O$30,2,FALSE)</f>
        <v>25</v>
      </c>
      <c r="I15" s="57">
        <f>100*(PM!I15-MIN(PM!$I$14:$I$19))/(MAX(PM!$I$14:$I$19)-MIN(PM!$I$14:$I$19))</f>
        <v>99.999999999999986</v>
      </c>
      <c r="J15" s="17">
        <f>VLOOKUP(PM!J15,PM!$N$10:$O$30,2,FALSE)</f>
        <v>15</v>
      </c>
      <c r="K15" s="16">
        <f>VLOOKUP(PM!K15,PM!$N$10:$O$30,2,FALSE)</f>
        <v>60</v>
      </c>
      <c r="L15" s="58">
        <f>100*(PM!L15-MIN(PM!$L$14:$L$19))/(MAX(PM!$L$14:$L$19)-MIN(PM!$L$14:$L$19))</f>
        <v>100</v>
      </c>
      <c r="M15" s="27">
        <f t="shared" si="2"/>
        <v>579.72916666666674</v>
      </c>
      <c r="N15" s="83">
        <f t="shared" si="3"/>
        <v>1</v>
      </c>
    </row>
    <row r="16" spans="1:15" ht="15.75" thickBot="1" x14ac:dyDescent="0.3">
      <c r="D16" s="3" t="str">
        <f>PM!D16</f>
        <v>Ethanol blend</v>
      </c>
      <c r="E16" s="64">
        <f>100*(1-(PM!E16-MIN(PM!$E$14:$E$19))/(MAX(PM!$E$14:$E$19)-MIN(PM!$E$14:$E$19)))</f>
        <v>97.597303761687328</v>
      </c>
      <c r="F16" s="18">
        <f>VLOOKUP(PM!F16,PM!$G$21:$H$41,2,FALSE)</f>
        <v>25</v>
      </c>
      <c r="G16" s="56">
        <f>100*(PM!G16-MIN(PM!$G$14:$G$19))/(MAX(PM!$G$14:$G$19)-MIN(PM!$G$14:$G$19))</f>
        <v>22.936753648827956</v>
      </c>
      <c r="H16" s="18">
        <f>VLOOKUP(PM!H16,PM!$N$10:$O$30,2,FALSE)</f>
        <v>30</v>
      </c>
      <c r="I16" s="57">
        <f>100*(PM!I16-MIN(PM!$I$14:$I$19))/(MAX(PM!$I$14:$I$19)-MIN(PM!$I$14:$I$19))</f>
        <v>25.382804029200848</v>
      </c>
      <c r="J16" s="17">
        <f>VLOOKUP(PM!J16,PM!$N$10:$O$30,2,FALSE)</f>
        <v>10</v>
      </c>
      <c r="K16" s="16">
        <f>VLOOKUP(PM!K16,PM!$N$10:$O$30,2,FALSE)</f>
        <v>40</v>
      </c>
      <c r="L16" s="58">
        <f>100*(PM!L16-MIN(PM!$L$14:$L$19))/(MAX(PM!$L$14:$L$19)-MIN(PM!$L$14:$L$19))</f>
        <v>54.032258064516128</v>
      </c>
      <c r="M16" s="27">
        <f t="shared" si="2"/>
        <v>304.94911950423227</v>
      </c>
      <c r="N16" s="83">
        <f t="shared" si="3"/>
        <v>5</v>
      </c>
    </row>
    <row r="17" spans="4:16" ht="15.75" thickBot="1" x14ac:dyDescent="0.3">
      <c r="D17" s="3" t="str">
        <f>PM!D17</f>
        <v>Hybrid cars</v>
      </c>
      <c r="E17" s="64">
        <f>100*(1-(PM!E17-MIN(PM!$E$14:$E$19))/(MAX(PM!$E$14:$E$19)-MIN(PM!$E$14:$E$19)))</f>
        <v>47.528466059243478</v>
      </c>
      <c r="F17" s="18">
        <f>VLOOKUP(PM!F17,PM!$G$21:$H$41,2,FALSE)</f>
        <v>80</v>
      </c>
      <c r="G17" s="56">
        <f>100*(PM!G17-MIN(PM!$G$14:$G$19))/(MAX(PM!$G$14:$G$19)-MIN(PM!$G$14:$G$19))</f>
        <v>11.693940734188415</v>
      </c>
      <c r="H17" s="18">
        <f>VLOOKUP(PM!H17,PM!$N$10:$O$30,2,FALSE)</f>
        <v>65</v>
      </c>
      <c r="I17" s="57">
        <f>100*(PM!I17-MIN(PM!$I$14:$I$19))/(MAX(PM!$I$14:$I$19)-MIN(PM!$I$14:$I$19))</f>
        <v>12.939672413692422</v>
      </c>
      <c r="J17" s="17">
        <f>VLOOKUP(PM!J17,PM!$N$10:$O$30,2,FALSE)</f>
        <v>75</v>
      </c>
      <c r="K17" s="16">
        <f>VLOOKUP(PM!K17,PM!$N$10:$O$30,2,FALSE)</f>
        <v>50</v>
      </c>
      <c r="L17" s="58">
        <f>100*(PM!L17-MIN(PM!$L$14:$L$19))/(MAX(PM!$L$14:$L$19)-MIN(PM!$L$14:$L$19))</f>
        <v>51.612903225806448</v>
      </c>
      <c r="M17" s="27">
        <f t="shared" si="2"/>
        <v>393.77498243293076</v>
      </c>
      <c r="N17" s="83">
        <f t="shared" si="3"/>
        <v>2</v>
      </c>
    </row>
    <row r="18" spans="4:16" ht="15.75" thickBot="1" x14ac:dyDescent="0.3">
      <c r="D18" s="3" t="str">
        <f>PM!D18</f>
        <v>Eletric cars</v>
      </c>
      <c r="E18" s="64">
        <f>100*(1-(PM!E18-MIN(PM!$E$14:$E$19))/(MAX(PM!$E$14:$E$19)-MIN(PM!$E$14:$E$19)))</f>
        <v>51.580289855072458</v>
      </c>
      <c r="F18" s="18">
        <f>VLOOKUP(PM!F18,PM!$G$21:$H$41,2,FALSE)</f>
        <v>50</v>
      </c>
      <c r="G18" s="56">
        <f>100*(PM!G18-MIN(PM!$G$14:$G$19))/(MAX(PM!$G$14:$G$19)-MIN(PM!$G$14:$G$19))</f>
        <v>0</v>
      </c>
      <c r="H18" s="18">
        <f>VLOOKUP(PM!H18,PM!$N$10:$O$30,2,FALSE)</f>
        <v>50</v>
      </c>
      <c r="I18" s="57">
        <f>100*(PM!I18-MIN(PM!$I$14:$I$19))/(MAX(PM!$I$14:$I$19)-MIN(PM!$I$14:$I$19))</f>
        <v>0</v>
      </c>
      <c r="J18" s="17">
        <f>VLOOKUP(PM!J18,PM!$N$10:$O$30,2,FALSE)</f>
        <v>90</v>
      </c>
      <c r="K18" s="16">
        <f>VLOOKUP(PM!K18,PM!$N$10:$O$30,2,FALSE)</f>
        <v>30</v>
      </c>
      <c r="L18" s="58">
        <f>100*(PM!L18-MIN(PM!$L$14:$L$19))/(MAX(PM!$L$14:$L$19)-MIN(PM!$L$14:$L$19))</f>
        <v>51.612903225806448</v>
      </c>
      <c r="M18" s="27">
        <f t="shared" si="2"/>
        <v>323.19319308087893</v>
      </c>
      <c r="N18" s="83">
        <f t="shared" si="3"/>
        <v>4</v>
      </c>
    </row>
    <row r="19" spans="4:16" ht="15.75" thickBot="1" x14ac:dyDescent="0.3">
      <c r="D19" s="99" t="str">
        <f>PM!D19</f>
        <v>Express Rail</v>
      </c>
      <c r="E19" s="64">
        <f>100*(1-(PM!E19-MIN(PM!$E$14:$E$19))/(MAX(PM!$E$14:$E$19)-MIN(PM!$E$14:$E$19)))</f>
        <v>0</v>
      </c>
      <c r="F19" s="100">
        <f>VLOOKUP(PM!F19,PM!$G$21:$H$41,2,FALSE)</f>
        <v>10</v>
      </c>
      <c r="G19" s="59">
        <f>100*(PM!G19-MIN(PM!$G$14:$G$19))/(MAX(PM!$G$14:$G$19)-MIN(PM!$G$14:$G$19))</f>
        <v>32.773109243697476</v>
      </c>
      <c r="H19" s="18">
        <f>VLOOKUP(PM!H19,PM!$N$10:$O$30,2,FALSE)</f>
        <v>80</v>
      </c>
      <c r="I19" s="57">
        <f>100*(PM!I19-MIN(PM!$I$14:$I$19))/(MAX(PM!$I$14:$I$19)-MIN(PM!$I$14:$I$19))</f>
        <v>32.329656507849194</v>
      </c>
      <c r="J19" s="17">
        <f>VLOOKUP(PM!J19,PM!$N$10:$O$30,2,FALSE)</f>
        <v>5</v>
      </c>
      <c r="K19" s="16">
        <f>VLOOKUP(PM!K19,PM!$N$10:$O$30,2,FALSE)</f>
        <v>85</v>
      </c>
      <c r="L19" s="58">
        <f>100*(PM!L19-MIN(PM!$L$14:$L$19))/(MAX(PM!$L$14:$L$19)-MIN(PM!$L$14:$L$19))</f>
        <v>0</v>
      </c>
      <c r="M19" s="27">
        <f t="shared" si="2"/>
        <v>245.10276575154666</v>
      </c>
      <c r="N19" s="83">
        <f t="shared" si="3"/>
        <v>6</v>
      </c>
    </row>
    <row r="20" spans="4:16" x14ac:dyDescent="0.25">
      <c r="E20" s="7"/>
      <c r="H20" s="7"/>
      <c r="I20" s="7"/>
      <c r="J20" s="7"/>
      <c r="K20" s="7"/>
      <c r="L20" s="7"/>
      <c r="M20" s="7"/>
    </row>
    <row r="21" spans="4:16" x14ac:dyDescent="0.25">
      <c r="D21" s="22"/>
      <c r="E21" s="23"/>
      <c r="F21" s="23"/>
      <c r="G21" s="23"/>
      <c r="H21" s="23"/>
      <c r="I21" s="23"/>
      <c r="J21" s="23"/>
      <c r="K21" s="23"/>
      <c r="L21" s="23"/>
      <c r="M21" s="23"/>
    </row>
    <row r="22" spans="4:16" x14ac:dyDescent="0.25">
      <c r="N22" s="23"/>
      <c r="P22" s="9"/>
    </row>
    <row r="23" spans="4:16" x14ac:dyDescent="0.25">
      <c r="O23" s="23"/>
      <c r="P23" s="55"/>
    </row>
    <row r="24" spans="4:16" x14ac:dyDescent="0.25">
      <c r="F24" s="9"/>
    </row>
    <row r="25" spans="4:16" x14ac:dyDescent="0.25">
      <c r="F25" s="9"/>
    </row>
  </sheetData>
  <mergeCells count="4">
    <mergeCell ref="C10:D10"/>
    <mergeCell ref="F11:L11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0" workbookViewId="0">
      <selection activeCell="O20" sqref="O20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5703125" customWidth="1"/>
  </cols>
  <sheetData>
    <row r="1" spans="1:16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6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6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6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6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6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6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6" hidden="1" x14ac:dyDescent="0.25">
      <c r="B8">
        <f>MAX(B2:B7)</f>
        <v>0.83333333333333337</v>
      </c>
    </row>
    <row r="9" spans="1:16" hidden="1" x14ac:dyDescent="0.25"/>
    <row r="10" spans="1:16" ht="15.75" thickBot="1" x14ac:dyDescent="0.3">
      <c r="C10" s="113" t="str">
        <f>PM!C10</f>
        <v>Road Transport</v>
      </c>
      <c r="D10" s="113"/>
    </row>
    <row r="11" spans="1:16" x14ac:dyDescent="0.25">
      <c r="D11" s="1"/>
      <c r="E11" s="6"/>
      <c r="F11" s="112" t="s">
        <v>8</v>
      </c>
      <c r="G11" s="112"/>
      <c r="H11" s="112"/>
      <c r="I11" s="112"/>
      <c r="J11" s="112"/>
      <c r="K11" s="112"/>
      <c r="L11" s="112"/>
      <c r="M11" s="40"/>
      <c r="N11" s="9"/>
      <c r="O11" s="9"/>
    </row>
    <row r="12" spans="1:16" ht="25.5" thickBot="1" x14ac:dyDescent="0.3">
      <c r="D12" s="1"/>
      <c r="E12" s="38" t="s">
        <v>1</v>
      </c>
      <c r="F12" s="39" t="s">
        <v>2</v>
      </c>
      <c r="G12" s="10" t="s">
        <v>6</v>
      </c>
      <c r="H12" s="116" t="s">
        <v>4</v>
      </c>
      <c r="I12" s="117"/>
      <c r="J12" s="118"/>
      <c r="K12" s="114" t="s">
        <v>7</v>
      </c>
      <c r="L12" s="115"/>
      <c r="M12" s="54"/>
    </row>
    <row r="13" spans="1:16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69</v>
      </c>
      <c r="H13" s="14" t="s">
        <v>46</v>
      </c>
      <c r="I13" s="41" t="s">
        <v>25</v>
      </c>
      <c r="J13" s="8" t="s">
        <v>24</v>
      </c>
      <c r="K13" s="14" t="s">
        <v>47</v>
      </c>
      <c r="L13" s="46" t="s">
        <v>5</v>
      </c>
      <c r="M13" s="84" t="s">
        <v>16</v>
      </c>
      <c r="N13" s="86" t="s">
        <v>67</v>
      </c>
      <c r="O13" s="22"/>
      <c r="P13" s="81"/>
    </row>
    <row r="14" spans="1:16" ht="15.75" thickBot="1" x14ac:dyDescent="0.3">
      <c r="D14" s="3" t="str">
        <f>PM!D14</f>
        <v>Improved fuel efficiency</v>
      </c>
      <c r="E14" s="20">
        <f>$E$21*scoring!E14</f>
        <v>15</v>
      </c>
      <c r="F14" s="56">
        <f>$F$21*scoring!F14</f>
        <v>15</v>
      </c>
      <c r="G14" s="56">
        <f>$G$21*scoring!G14</f>
        <v>5.0973020787262273</v>
      </c>
      <c r="H14" s="56">
        <f>$H$21*scoring!H14</f>
        <v>0.75</v>
      </c>
      <c r="I14" s="57">
        <f>$I$21*scoring!I14</f>
        <v>1.9856166892406912</v>
      </c>
      <c r="J14" s="65">
        <f>$J$21*scoring!J14</f>
        <v>1.25</v>
      </c>
      <c r="K14" s="20">
        <f>$K$21*scoring!K14</f>
        <v>2.5</v>
      </c>
      <c r="L14" s="68">
        <f>$L$21*scoring!L14</f>
        <v>5.161290322580645</v>
      </c>
      <c r="M14" s="27">
        <f t="shared" ref="M14:M19" si="2">SUM(E14:L14)</f>
        <v>46.744209090547571</v>
      </c>
      <c r="N14" s="87">
        <f t="shared" ref="N14:N19" si="3">RANK(M14,$M$14:$M$19,0)</f>
        <v>2</v>
      </c>
      <c r="O14" s="22"/>
      <c r="P14" s="82"/>
    </row>
    <row r="15" spans="1:16" ht="15.75" thickBot="1" x14ac:dyDescent="0.3">
      <c r="D15" s="3" t="str">
        <f>PM!D15</f>
        <v>Improved vehicle inspection</v>
      </c>
      <c r="E15" s="20">
        <f>$E$21*scoring!E15</f>
        <v>14.959375</v>
      </c>
      <c r="F15" s="56">
        <f>$F$21*scoring!F15</f>
        <v>12</v>
      </c>
      <c r="G15" s="56">
        <f>$G$21*scoring!G15</f>
        <v>25</v>
      </c>
      <c r="H15" s="56">
        <f>$H$21*scoring!H15</f>
        <v>3.75</v>
      </c>
      <c r="I15" s="57">
        <f>$I$21*scoring!I15</f>
        <v>10</v>
      </c>
      <c r="J15" s="65">
        <f>$J$21*scoring!J15</f>
        <v>0.75</v>
      </c>
      <c r="K15" s="20">
        <f>$K$21*scoring!K15</f>
        <v>3</v>
      </c>
      <c r="L15" s="66">
        <f>$L$21*scoring!L15</f>
        <v>10</v>
      </c>
      <c r="M15" s="27">
        <f t="shared" si="2"/>
        <v>79.459374999999994</v>
      </c>
      <c r="N15" s="87">
        <f t="shared" si="3"/>
        <v>1</v>
      </c>
      <c r="O15" s="22"/>
      <c r="P15" s="82"/>
    </row>
    <row r="16" spans="1:16" ht="15.75" thickBot="1" x14ac:dyDescent="0.3">
      <c r="D16" s="3" t="str">
        <f>PM!D16</f>
        <v>Ethanol blend</v>
      </c>
      <c r="E16" s="20">
        <f>$E$21*scoring!E16</f>
        <v>14.639595564253099</v>
      </c>
      <c r="F16" s="56">
        <f>$F$21*scoring!F16</f>
        <v>3.75</v>
      </c>
      <c r="G16" s="56">
        <f>$G$21*scoring!G16</f>
        <v>5.734188412206989</v>
      </c>
      <c r="H16" s="56">
        <f>$H$21*scoring!H16</f>
        <v>4.5</v>
      </c>
      <c r="I16" s="57">
        <f>$I$21*scoring!I16</f>
        <v>2.5382804029200852</v>
      </c>
      <c r="J16" s="65">
        <f>$J$21*scoring!J16</f>
        <v>0.5</v>
      </c>
      <c r="K16" s="20">
        <f>$K$21*scoring!K16</f>
        <v>2</v>
      </c>
      <c r="L16" s="69">
        <f>$L$21*scoring!L16</f>
        <v>5.403225806451613</v>
      </c>
      <c r="M16" s="27">
        <f t="shared" si="2"/>
        <v>39.065290185831792</v>
      </c>
      <c r="N16" s="87">
        <f t="shared" si="3"/>
        <v>4</v>
      </c>
      <c r="O16" s="22"/>
      <c r="P16" s="82"/>
    </row>
    <row r="17" spans="4:16" ht="15.75" thickBot="1" x14ac:dyDescent="0.3">
      <c r="D17" s="3" t="str">
        <f>PM!D17</f>
        <v>Hybrid cars</v>
      </c>
      <c r="E17" s="20">
        <f>$E$21*scoring!E17</f>
        <v>7.1292699088865215</v>
      </c>
      <c r="F17" s="56">
        <f>$F$21*scoring!F17</f>
        <v>12</v>
      </c>
      <c r="G17" s="56">
        <f>$G$21*scoring!G17</f>
        <v>2.9234851835471036</v>
      </c>
      <c r="H17" s="56">
        <f>$H$21*scoring!H17</f>
        <v>9.75</v>
      </c>
      <c r="I17" s="57">
        <f>$I$21*scoring!I17</f>
        <v>1.2939672413692422</v>
      </c>
      <c r="J17" s="65">
        <f>$J$21*scoring!J17</f>
        <v>3.75</v>
      </c>
      <c r="K17" s="20">
        <f>$K$21*scoring!K17</f>
        <v>2.5</v>
      </c>
      <c r="L17" s="69">
        <f>$L$21*scoring!L17</f>
        <v>5.161290322580645</v>
      </c>
      <c r="M17" s="27">
        <f t="shared" si="2"/>
        <v>44.508012656383514</v>
      </c>
      <c r="N17" s="87">
        <f t="shared" si="3"/>
        <v>3</v>
      </c>
      <c r="O17" s="22"/>
      <c r="P17" s="82"/>
    </row>
    <row r="18" spans="4:16" ht="15.75" thickBot="1" x14ac:dyDescent="0.3">
      <c r="D18" s="3" t="str">
        <f>PM!D18</f>
        <v>Eletric cars</v>
      </c>
      <c r="E18" s="20">
        <f>$E$21*scoring!E18</f>
        <v>7.7370434782608681</v>
      </c>
      <c r="F18" s="56">
        <f>$F$21*scoring!F18</f>
        <v>7.5</v>
      </c>
      <c r="G18" s="56">
        <f>$G$21*scoring!G18</f>
        <v>0</v>
      </c>
      <c r="H18" s="56">
        <f>$H$21*scoring!H18</f>
        <v>7.5</v>
      </c>
      <c r="I18" s="57">
        <f>$I$21*scoring!I18</f>
        <v>0</v>
      </c>
      <c r="J18" s="65">
        <f>$J$21*scoring!J18</f>
        <v>4.5</v>
      </c>
      <c r="K18" s="20">
        <f>$K$21*scoring!K18</f>
        <v>1.5</v>
      </c>
      <c r="L18" s="69">
        <f>$L$21*scoring!L18</f>
        <v>5.161290322580645</v>
      </c>
      <c r="M18" s="27">
        <f t="shared" si="2"/>
        <v>33.898333800841513</v>
      </c>
      <c r="N18" s="87">
        <f t="shared" si="3"/>
        <v>5</v>
      </c>
      <c r="O18" s="22"/>
      <c r="P18" s="82"/>
    </row>
    <row r="19" spans="4:16" ht="15.75" thickBot="1" x14ac:dyDescent="0.3">
      <c r="D19" s="3" t="str">
        <f>PM!D19</f>
        <v>Express Rail</v>
      </c>
      <c r="E19" s="20">
        <f>$E$21*scoring!E19</f>
        <v>0</v>
      </c>
      <c r="F19" s="56">
        <f>$F$21*scoring!F19</f>
        <v>1.5</v>
      </c>
      <c r="G19" s="56">
        <f>$G$21*scoring!G19</f>
        <v>8.1932773109243691</v>
      </c>
      <c r="H19" s="56">
        <f>$H$21*scoring!H19</f>
        <v>12</v>
      </c>
      <c r="I19" s="57">
        <f>$I$21*scoring!I19</f>
        <v>3.2329656507849194</v>
      </c>
      <c r="J19" s="65">
        <f>$J$21*scoring!J19</f>
        <v>0.25</v>
      </c>
      <c r="K19" s="20">
        <f>$K$21*scoring!K19</f>
        <v>4.25</v>
      </c>
      <c r="L19" s="69">
        <f>$L$21*scoring!L19</f>
        <v>0</v>
      </c>
      <c r="M19" s="27">
        <f t="shared" si="2"/>
        <v>29.426242961709288</v>
      </c>
      <c r="N19" s="87">
        <f t="shared" si="3"/>
        <v>6</v>
      </c>
      <c r="O19" s="22"/>
      <c r="P19" s="82"/>
    </row>
    <row r="20" spans="4:16" x14ac:dyDescent="0.25"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2"/>
      <c r="P20" s="82"/>
    </row>
    <row r="21" spans="4:16" x14ac:dyDescent="0.25">
      <c r="D21" s="15" t="s">
        <v>10</v>
      </c>
      <c r="E21" s="19">
        <v>0.15</v>
      </c>
      <c r="F21" s="19">
        <v>0.15</v>
      </c>
      <c r="G21" s="19">
        <v>0.25</v>
      </c>
      <c r="H21" s="61">
        <v>0.15</v>
      </c>
      <c r="I21" s="61">
        <v>0.1</v>
      </c>
      <c r="J21" s="61">
        <v>0.05</v>
      </c>
      <c r="K21" s="63">
        <v>0.05</v>
      </c>
      <c r="L21" s="63">
        <v>0.1</v>
      </c>
      <c r="M21" s="60">
        <f>SUM(E21:L21)</f>
        <v>1.0000000000000002</v>
      </c>
      <c r="O21" s="22"/>
      <c r="P21" s="82"/>
    </row>
    <row r="22" spans="4:16" x14ac:dyDescent="0.25">
      <c r="N22" s="23"/>
      <c r="P22" s="9"/>
    </row>
    <row r="23" spans="4:16" x14ac:dyDescent="0.25">
      <c r="I23" s="62">
        <f>SUM(H21:J21)</f>
        <v>0.3</v>
      </c>
      <c r="K23" s="119">
        <f>SUM(K21:L21)</f>
        <v>0.15000000000000002</v>
      </c>
      <c r="L23" s="119"/>
      <c r="O23" s="23"/>
      <c r="P23" s="55"/>
    </row>
    <row r="24" spans="4:16" x14ac:dyDescent="0.25">
      <c r="F24" s="9"/>
    </row>
    <row r="25" spans="4:16" x14ac:dyDescent="0.25">
      <c r="F25" s="9"/>
    </row>
  </sheetData>
  <sortState ref="O14:P21">
    <sortCondition descending="1" ref="P14:P21"/>
  </sortState>
  <mergeCells count="5">
    <mergeCell ref="C10:D10"/>
    <mergeCell ref="F11:L11"/>
    <mergeCell ref="H12:J12"/>
    <mergeCell ref="K12:L12"/>
    <mergeCell ref="K23:L2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10" zoomScale="90" zoomScaleNormal="90" workbookViewId="0">
      <selection activeCell="C11" sqref="C11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7" width="10.42578125" customWidth="1"/>
    <col min="8" max="8" width="11.710937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13" t="str">
        <f>PM!C10</f>
        <v>Road Transport</v>
      </c>
      <c r="D10" s="113"/>
    </row>
    <row r="11" spans="1:17" x14ac:dyDescent="0.25">
      <c r="D11" s="1"/>
      <c r="E11" s="6"/>
      <c r="F11" s="120" t="s">
        <v>8</v>
      </c>
      <c r="G11" s="120"/>
      <c r="H11" s="120"/>
      <c r="I11" s="120"/>
      <c r="J11" s="120"/>
      <c r="K11" s="120"/>
      <c r="L11" s="120"/>
      <c r="M11" s="40"/>
      <c r="N11" s="9"/>
      <c r="O11" s="9"/>
    </row>
    <row r="12" spans="1:17" ht="25.5" thickBot="1" x14ac:dyDescent="0.3">
      <c r="D12" s="88" t="s">
        <v>68</v>
      </c>
      <c r="E12" s="89" t="s">
        <v>1</v>
      </c>
      <c r="F12" s="90" t="s">
        <v>2</v>
      </c>
      <c r="G12" s="91" t="s">
        <v>6</v>
      </c>
      <c r="H12" s="121" t="s">
        <v>4</v>
      </c>
      <c r="I12" s="122"/>
      <c r="J12" s="123"/>
      <c r="K12" s="124" t="s">
        <v>7</v>
      </c>
      <c r="L12" s="125"/>
      <c r="M12" s="54"/>
      <c r="N12" s="9"/>
      <c r="O12" s="9"/>
      <c r="P12" s="9"/>
    </row>
    <row r="13" spans="1:17" ht="55.5" customHeight="1" thickBot="1" x14ac:dyDescent="0.3">
      <c r="D13" s="2" t="s">
        <v>9</v>
      </c>
      <c r="E13" s="92" t="s">
        <v>0</v>
      </c>
      <c r="F13" s="93" t="s">
        <v>3</v>
      </c>
      <c r="G13" s="94" t="s">
        <v>27</v>
      </c>
      <c r="H13" s="95" t="s">
        <v>46</v>
      </c>
      <c r="I13" s="96" t="s">
        <v>25</v>
      </c>
      <c r="J13" s="97" t="s">
        <v>24</v>
      </c>
      <c r="K13" s="95" t="s">
        <v>47</v>
      </c>
      <c r="L13" s="98" t="s">
        <v>5</v>
      </c>
      <c r="M13" s="21" t="s">
        <v>16</v>
      </c>
      <c r="N13" s="77" t="s">
        <v>67</v>
      </c>
      <c r="O13" s="80"/>
      <c r="P13" s="81"/>
      <c r="Q13" s="9"/>
    </row>
    <row r="14" spans="1:17" ht="15.75" thickBot="1" x14ac:dyDescent="0.3">
      <c r="D14" s="3" t="str">
        <f>PM!D14</f>
        <v>Improved fuel efficiency</v>
      </c>
      <c r="E14" s="20">
        <f>$E$21*scoring!E14</f>
        <v>20</v>
      </c>
      <c r="F14" s="56">
        <f>$F$21*scoring!F14</f>
        <v>10</v>
      </c>
      <c r="G14" s="56">
        <f>$G$21*scoring!G14</f>
        <v>6.1167624944714722</v>
      </c>
      <c r="H14" s="56">
        <f>$H$21*scoring!H14</f>
        <v>0.25</v>
      </c>
      <c r="I14" s="57">
        <f>$I$21*scoring!I14</f>
        <v>1.9856166892406912</v>
      </c>
      <c r="J14" s="65">
        <f>$J$21*scoring!J14</f>
        <v>1.25</v>
      </c>
      <c r="K14" s="20">
        <f>$K$21*scoring!K14</f>
        <v>2.5</v>
      </c>
      <c r="L14" s="58">
        <f>$L$21*scoring!L14</f>
        <v>7.7419354838709671</v>
      </c>
      <c r="M14" s="78">
        <f t="shared" ref="M14:M19" si="2">SUM(E14:L14)</f>
        <v>49.844314667583134</v>
      </c>
      <c r="N14" s="79">
        <f t="shared" ref="N14:N19" si="3">RANK(M14,$M$14:$M$19,0)</f>
        <v>2</v>
      </c>
      <c r="O14" s="80"/>
      <c r="P14" s="82"/>
      <c r="Q14" s="9"/>
    </row>
    <row r="15" spans="1:17" ht="15.75" thickBot="1" x14ac:dyDescent="0.3">
      <c r="D15" s="3" t="str">
        <f>PM!D15</f>
        <v>Improved vehicle inspection</v>
      </c>
      <c r="E15" s="20">
        <f>$E$21*scoring!E15</f>
        <v>19.945833333333336</v>
      </c>
      <c r="F15" s="56">
        <f>$F$21*scoring!F15</f>
        <v>8</v>
      </c>
      <c r="G15" s="56">
        <f>$G$21*scoring!G15</f>
        <v>30</v>
      </c>
      <c r="H15" s="56">
        <f>$H$21*scoring!H15</f>
        <v>1.25</v>
      </c>
      <c r="I15" s="57">
        <f>$I$21*scoring!I15</f>
        <v>10</v>
      </c>
      <c r="J15" s="65">
        <f>$J$21*scoring!J15</f>
        <v>0.75</v>
      </c>
      <c r="K15" s="20">
        <f>$K$21*scoring!K15</f>
        <v>3</v>
      </c>
      <c r="L15" s="68">
        <f>$L$21*scoring!L15</f>
        <v>15</v>
      </c>
      <c r="M15" s="27">
        <f t="shared" si="2"/>
        <v>87.94583333333334</v>
      </c>
      <c r="N15" s="76">
        <f t="shared" si="3"/>
        <v>1</v>
      </c>
      <c r="O15" s="80"/>
      <c r="P15" s="82"/>
      <c r="Q15" s="9"/>
    </row>
    <row r="16" spans="1:17" ht="15.75" thickBot="1" x14ac:dyDescent="0.3">
      <c r="D16" s="3" t="str">
        <f>PM!D16</f>
        <v>Ethanol blend</v>
      </c>
      <c r="E16" s="20">
        <f>$E$21*scoring!E16</f>
        <v>19.519460752337466</v>
      </c>
      <c r="F16" s="56">
        <f>$F$21*scoring!F16</f>
        <v>2.5</v>
      </c>
      <c r="G16" s="56">
        <f>$G$21*scoring!G16</f>
        <v>6.8810260946483863</v>
      </c>
      <c r="H16" s="56">
        <f>$H$21*scoring!H16</f>
        <v>1.5</v>
      </c>
      <c r="I16" s="57">
        <f>$I$21*scoring!I16</f>
        <v>2.5382804029200852</v>
      </c>
      <c r="J16" s="65">
        <f>$J$21*scoring!J16</f>
        <v>0.5</v>
      </c>
      <c r="K16" s="20">
        <f>$K$21*scoring!K16</f>
        <v>2</v>
      </c>
      <c r="L16" s="66">
        <f>$L$21*scoring!L16</f>
        <v>8.1048387096774182</v>
      </c>
      <c r="M16" s="78">
        <f t="shared" si="2"/>
        <v>43.543605959583353</v>
      </c>
      <c r="N16" s="79">
        <f t="shared" si="3"/>
        <v>3</v>
      </c>
      <c r="O16" s="80"/>
      <c r="P16" s="82"/>
      <c r="Q16" s="9"/>
    </row>
    <row r="17" spans="4:17" ht="15.75" thickBot="1" x14ac:dyDescent="0.3">
      <c r="D17" s="3" t="str">
        <f>PM!D17</f>
        <v>Hybrid cars</v>
      </c>
      <c r="E17" s="20">
        <f>$E$21*scoring!E17</f>
        <v>9.5056932118486959</v>
      </c>
      <c r="F17" s="56">
        <f>$F$21*scoring!F17</f>
        <v>8</v>
      </c>
      <c r="G17" s="56">
        <f>$G$21*scoring!G17</f>
        <v>3.5081822202565243</v>
      </c>
      <c r="H17" s="56">
        <f>$H$21*scoring!H17</f>
        <v>3.25</v>
      </c>
      <c r="I17" s="57">
        <f>$I$21*scoring!I17</f>
        <v>1.2939672413692422</v>
      </c>
      <c r="J17" s="65">
        <f>$J$21*scoring!J17</f>
        <v>3.75</v>
      </c>
      <c r="K17" s="20">
        <f>$K$21*scoring!K17</f>
        <v>2.5</v>
      </c>
      <c r="L17" s="69">
        <f>$L$21*scoring!L17</f>
        <v>7.7419354838709671</v>
      </c>
      <c r="M17" s="27">
        <f t="shared" si="2"/>
        <v>39.549778157345429</v>
      </c>
      <c r="N17" s="76">
        <f t="shared" si="3"/>
        <v>4</v>
      </c>
      <c r="O17" s="80"/>
      <c r="P17" s="82"/>
      <c r="Q17" s="9"/>
    </row>
    <row r="18" spans="4:17" ht="15.75" thickBot="1" x14ac:dyDescent="0.3">
      <c r="D18" s="3" t="str">
        <f>PM!D18</f>
        <v>Eletric cars</v>
      </c>
      <c r="E18" s="20">
        <f>$E$21*scoring!E18</f>
        <v>10.316057971014493</v>
      </c>
      <c r="F18" s="56">
        <f>$F$21*scoring!F18</f>
        <v>5</v>
      </c>
      <c r="G18" s="56">
        <f>$G$21*scoring!G18</f>
        <v>0</v>
      </c>
      <c r="H18" s="56">
        <f>$H$21*scoring!H18</f>
        <v>2.5</v>
      </c>
      <c r="I18" s="57">
        <f>$I$21*scoring!I18</f>
        <v>0</v>
      </c>
      <c r="J18" s="65">
        <f>$J$21*scoring!J18</f>
        <v>4.5</v>
      </c>
      <c r="K18" s="20">
        <f>$K$21*scoring!K18</f>
        <v>1.5</v>
      </c>
      <c r="L18" s="69">
        <f>$L$21*scoring!L18</f>
        <v>7.7419354838709671</v>
      </c>
      <c r="M18" s="78">
        <f t="shared" si="2"/>
        <v>31.557993454885462</v>
      </c>
      <c r="N18" s="79">
        <f t="shared" si="3"/>
        <v>5</v>
      </c>
      <c r="O18" s="80"/>
      <c r="P18" s="82"/>
      <c r="Q18" s="9"/>
    </row>
    <row r="19" spans="4:17" ht="15.75" thickBot="1" x14ac:dyDescent="0.3">
      <c r="D19" s="99" t="str">
        <f>PM!D19</f>
        <v>Express Rail</v>
      </c>
      <c r="E19" s="67">
        <f>$E$21*scoring!E19</f>
        <v>0</v>
      </c>
      <c r="F19" s="56">
        <f>$F$21*scoring!F19</f>
        <v>1</v>
      </c>
      <c r="G19" s="56">
        <f>$G$21*scoring!G19</f>
        <v>9.8319327731092425</v>
      </c>
      <c r="H19" s="56">
        <f>$H$21*scoring!H19</f>
        <v>4</v>
      </c>
      <c r="I19" s="57">
        <f>$I$21*scoring!I19</f>
        <v>3.2329656507849194</v>
      </c>
      <c r="J19" s="65">
        <f>$J$21*scoring!J19</f>
        <v>0.25</v>
      </c>
      <c r="K19" s="20">
        <f>$K$21*scoring!K19</f>
        <v>4.25</v>
      </c>
      <c r="L19" s="66">
        <f>$L$21*scoring!L19</f>
        <v>0</v>
      </c>
      <c r="M19" s="78">
        <f t="shared" si="2"/>
        <v>22.564898423894164</v>
      </c>
      <c r="N19" s="79">
        <f t="shared" si="3"/>
        <v>6</v>
      </c>
      <c r="O19" s="80"/>
      <c r="P19" s="82"/>
      <c r="Q19" s="9"/>
    </row>
    <row r="20" spans="4:17" x14ac:dyDescent="0.25">
      <c r="F20" s="7"/>
      <c r="G20" s="7"/>
      <c r="H20" s="7"/>
      <c r="I20" s="7"/>
      <c r="J20" s="7"/>
      <c r="K20" s="7"/>
      <c r="L20" s="7"/>
      <c r="M20" s="7"/>
      <c r="N20" s="7"/>
      <c r="O20" s="80"/>
      <c r="P20" s="82"/>
      <c r="Q20" s="9"/>
    </row>
    <row r="21" spans="4:17" x14ac:dyDescent="0.25">
      <c r="D21" s="15" t="s">
        <v>10</v>
      </c>
      <c r="E21" s="19">
        <v>0.2</v>
      </c>
      <c r="F21" s="19">
        <v>0.1</v>
      </c>
      <c r="G21" s="19">
        <v>0.3</v>
      </c>
      <c r="H21" s="61">
        <v>0.05</v>
      </c>
      <c r="I21" s="61">
        <v>0.1</v>
      </c>
      <c r="J21" s="61">
        <v>0.05</v>
      </c>
      <c r="K21" s="63">
        <v>0.05</v>
      </c>
      <c r="L21" s="63">
        <v>0.15</v>
      </c>
      <c r="M21" s="60">
        <f>SUM(E21:L21)</f>
        <v>1.0000000000000002</v>
      </c>
      <c r="N21" s="23"/>
      <c r="O21" s="22"/>
      <c r="P21" s="82"/>
      <c r="Q21" s="9"/>
    </row>
    <row r="22" spans="4:17" x14ac:dyDescent="0.25">
      <c r="P22" s="9"/>
    </row>
    <row r="23" spans="4:17" x14ac:dyDescent="0.25">
      <c r="I23" s="62">
        <f>SUM(H21:J21)</f>
        <v>0.2</v>
      </c>
      <c r="K23" s="119">
        <f>SUM(K21:L21)</f>
        <v>0.2</v>
      </c>
      <c r="L23" s="119"/>
      <c r="O23" s="23"/>
      <c r="P23" s="55"/>
    </row>
    <row r="24" spans="4:17" x14ac:dyDescent="0.25">
      <c r="F24" s="9"/>
    </row>
    <row r="25" spans="4:17" x14ac:dyDescent="0.25">
      <c r="F25" s="9"/>
    </row>
  </sheetData>
  <mergeCells count="5">
    <mergeCell ref="C10:D10"/>
    <mergeCell ref="F11:L11"/>
    <mergeCell ref="H12:J12"/>
    <mergeCell ref="K12:L12"/>
    <mergeCell ref="K23:L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C10" zoomScale="120" zoomScaleNormal="120" workbookViewId="0">
      <selection activeCell="C11" sqref="C11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13" t="str">
        <f>PM!C10</f>
        <v>Road Transport</v>
      </c>
      <c r="D10" s="113"/>
    </row>
    <row r="11" spans="1:17" x14ac:dyDescent="0.25">
      <c r="D11" s="1"/>
      <c r="E11" s="6"/>
      <c r="F11" s="112" t="s">
        <v>8</v>
      </c>
      <c r="G11" s="112"/>
      <c r="H11" s="112"/>
      <c r="I11" s="112"/>
      <c r="J11" s="112"/>
      <c r="K11" s="112"/>
      <c r="L11" s="112"/>
      <c r="M11" s="40"/>
      <c r="N11" s="9"/>
      <c r="O11" s="9"/>
    </row>
    <row r="12" spans="1:17" ht="25.5" thickBot="1" x14ac:dyDescent="0.3">
      <c r="D12" s="1"/>
      <c r="E12" s="38" t="s">
        <v>1</v>
      </c>
      <c r="F12" s="39" t="s">
        <v>2</v>
      </c>
      <c r="G12" s="10" t="s">
        <v>6</v>
      </c>
      <c r="H12" s="116" t="s">
        <v>4</v>
      </c>
      <c r="I12" s="117"/>
      <c r="J12" s="118"/>
      <c r="K12" s="114" t="s">
        <v>7</v>
      </c>
      <c r="L12" s="115"/>
      <c r="M12" s="54"/>
    </row>
    <row r="13" spans="1:17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69</v>
      </c>
      <c r="H13" s="14" t="s">
        <v>46</v>
      </c>
      <c r="I13" s="41" t="s">
        <v>25</v>
      </c>
      <c r="J13" s="8" t="s">
        <v>24</v>
      </c>
      <c r="K13" s="14" t="s">
        <v>47</v>
      </c>
      <c r="L13" s="46" t="s">
        <v>5</v>
      </c>
      <c r="M13" s="84" t="s">
        <v>16</v>
      </c>
      <c r="N13" s="86" t="s">
        <v>67</v>
      </c>
      <c r="O13" s="22"/>
      <c r="P13" s="81"/>
      <c r="Q13" s="9"/>
    </row>
    <row r="14" spans="1:17" ht="15.75" thickBot="1" x14ac:dyDescent="0.3">
      <c r="D14" s="3" t="str">
        <f>PM!D14</f>
        <v>Improved fuel efficiency</v>
      </c>
      <c r="E14" s="20">
        <f>$E$21*scoring!E14</f>
        <v>15</v>
      </c>
      <c r="F14" s="56">
        <f>$F$21*scoring!F14</f>
        <v>10</v>
      </c>
      <c r="G14" s="56">
        <f>$G$21*scoring!G14</f>
        <v>7.1362229102167181</v>
      </c>
      <c r="H14" s="56">
        <f>$H$21*scoring!H14</f>
        <v>0.25</v>
      </c>
      <c r="I14" s="57">
        <f>$I$21*scoring!I14</f>
        <v>1.9856166892406912</v>
      </c>
      <c r="J14" s="65">
        <f>$J$21*scoring!J14</f>
        <v>1.25</v>
      </c>
      <c r="K14" s="20">
        <f>$K$21*scoring!K14</f>
        <v>2.5</v>
      </c>
      <c r="L14" s="58">
        <f>$L$21*scoring!L14</f>
        <v>7.7419354838709671</v>
      </c>
      <c r="M14" s="27">
        <f t="shared" ref="M14:M19" si="2">SUM(E14:L14)</f>
        <v>45.863775083328377</v>
      </c>
      <c r="N14" s="87">
        <f t="shared" ref="N14:N19" si="3">RANK(M14,$M$14:$M$19,0)</f>
        <v>2</v>
      </c>
      <c r="O14" s="22"/>
      <c r="P14" s="82"/>
      <c r="Q14" s="9"/>
    </row>
    <row r="15" spans="1:17" ht="15.75" thickBot="1" x14ac:dyDescent="0.3">
      <c r="D15" s="3" t="str">
        <f>PM!D15</f>
        <v>Improved vehicle inspection</v>
      </c>
      <c r="E15" s="20">
        <f>$E$21*scoring!E15</f>
        <v>14.959375</v>
      </c>
      <c r="F15" s="56">
        <f>$F$21*scoring!F15</f>
        <v>8</v>
      </c>
      <c r="G15" s="56">
        <f>$G$21*scoring!G15</f>
        <v>35</v>
      </c>
      <c r="H15" s="56">
        <f>$H$21*scoring!H15</f>
        <v>1.25</v>
      </c>
      <c r="I15" s="57">
        <f>$I$21*scoring!I15</f>
        <v>10</v>
      </c>
      <c r="J15" s="65">
        <f>$J$21*scoring!J15</f>
        <v>0.75</v>
      </c>
      <c r="K15" s="20">
        <f>$K$21*scoring!K15</f>
        <v>3</v>
      </c>
      <c r="L15" s="68">
        <f>$L$21*scoring!L15</f>
        <v>15</v>
      </c>
      <c r="M15" s="27">
        <f t="shared" si="2"/>
        <v>87.959374999999994</v>
      </c>
      <c r="N15" s="87">
        <f t="shared" si="3"/>
        <v>1</v>
      </c>
      <c r="O15" s="22"/>
      <c r="P15" s="82"/>
      <c r="Q15" s="9"/>
    </row>
    <row r="16" spans="1:17" ht="15.75" thickBot="1" x14ac:dyDescent="0.3">
      <c r="D16" s="3" t="str">
        <f>PM!D16</f>
        <v>Ethanol blend</v>
      </c>
      <c r="E16" s="20">
        <f>$E$21*scoring!E16</f>
        <v>14.639595564253099</v>
      </c>
      <c r="F16" s="56">
        <f>$F$21*scoring!F16</f>
        <v>2.5</v>
      </c>
      <c r="G16" s="56">
        <f>$G$21*scoring!G16</f>
        <v>8.0278637770897845</v>
      </c>
      <c r="H16" s="56">
        <f>$H$21*scoring!H16</f>
        <v>1.5</v>
      </c>
      <c r="I16" s="57">
        <f>$I$21*scoring!I16</f>
        <v>2.5382804029200852</v>
      </c>
      <c r="J16" s="65">
        <f>$J$21*scoring!J16</f>
        <v>0.5</v>
      </c>
      <c r="K16" s="20">
        <f>$K$21*scoring!K16</f>
        <v>2</v>
      </c>
      <c r="L16" s="66">
        <f>$L$21*scoring!L16</f>
        <v>8.1048387096774182</v>
      </c>
      <c r="M16" s="27">
        <f t="shared" si="2"/>
        <v>39.810578453940387</v>
      </c>
      <c r="N16" s="87">
        <f t="shared" si="3"/>
        <v>3</v>
      </c>
      <c r="O16" s="22"/>
      <c r="P16" s="82"/>
      <c r="Q16" s="9"/>
    </row>
    <row r="17" spans="4:17" ht="15.75" thickBot="1" x14ac:dyDescent="0.3">
      <c r="D17" s="3" t="str">
        <f>PM!D17</f>
        <v>Hybrid cars</v>
      </c>
      <c r="E17" s="20">
        <f>$E$21*scoring!E17</f>
        <v>7.1292699088865215</v>
      </c>
      <c r="F17" s="56">
        <f>$F$21*scoring!F17</f>
        <v>8</v>
      </c>
      <c r="G17" s="56">
        <f>$G$21*scoring!G17</f>
        <v>4.0928792569659445</v>
      </c>
      <c r="H17" s="56">
        <f>$H$21*scoring!H17</f>
        <v>3.25</v>
      </c>
      <c r="I17" s="57">
        <f>$I$21*scoring!I17</f>
        <v>1.2939672413692422</v>
      </c>
      <c r="J17" s="65">
        <f>$J$21*scoring!J17</f>
        <v>3.75</v>
      </c>
      <c r="K17" s="20">
        <f>$K$21*scoring!K17</f>
        <v>2.5</v>
      </c>
      <c r="L17" s="69">
        <f>$L$21*scoring!L17</f>
        <v>7.7419354838709671</v>
      </c>
      <c r="M17" s="27">
        <f t="shared" si="2"/>
        <v>37.75805189109267</v>
      </c>
      <c r="N17" s="87">
        <f t="shared" si="3"/>
        <v>4</v>
      </c>
      <c r="O17" s="22"/>
      <c r="P17" s="82"/>
      <c r="Q17" s="9"/>
    </row>
    <row r="18" spans="4:17" ht="15.75" thickBot="1" x14ac:dyDescent="0.3">
      <c r="D18" s="3" t="str">
        <f>PM!D18</f>
        <v>Eletric cars</v>
      </c>
      <c r="E18" s="20">
        <f>$E$21*scoring!E18</f>
        <v>7.7370434782608681</v>
      </c>
      <c r="F18" s="56">
        <f>$F$21*scoring!F18</f>
        <v>5</v>
      </c>
      <c r="G18" s="56">
        <f>$G$21*scoring!G18</f>
        <v>0</v>
      </c>
      <c r="H18" s="56">
        <f>$H$21*scoring!H18</f>
        <v>2.5</v>
      </c>
      <c r="I18" s="57">
        <f>$I$21*scoring!I18</f>
        <v>0</v>
      </c>
      <c r="J18" s="65">
        <f>$J$21*scoring!J18</f>
        <v>4.5</v>
      </c>
      <c r="K18" s="20">
        <f>$K$21*scoring!K18</f>
        <v>1.5</v>
      </c>
      <c r="L18" s="69">
        <f>$L$21*scoring!L18</f>
        <v>7.7419354838709671</v>
      </c>
      <c r="M18" s="27">
        <f t="shared" si="2"/>
        <v>28.978978962131837</v>
      </c>
      <c r="N18" s="87">
        <f t="shared" si="3"/>
        <v>5</v>
      </c>
      <c r="O18" s="22"/>
      <c r="P18" s="82"/>
      <c r="Q18" s="9"/>
    </row>
    <row r="19" spans="4:17" ht="15.75" thickBot="1" x14ac:dyDescent="0.3">
      <c r="D19" s="99" t="str">
        <f>PM!D19</f>
        <v>Express Rail</v>
      </c>
      <c r="E19" s="20">
        <f>$E$21*scoring!E19</f>
        <v>0</v>
      </c>
      <c r="F19" s="56">
        <f>$F$21*scoring!F19</f>
        <v>1</v>
      </c>
      <c r="G19" s="56">
        <f>$G$21*scoring!G19</f>
        <v>11.470588235294116</v>
      </c>
      <c r="H19" s="56">
        <f>$H$21*scoring!H19</f>
        <v>4</v>
      </c>
      <c r="I19" s="57">
        <f>$I$21*scoring!I19</f>
        <v>3.2329656507849194</v>
      </c>
      <c r="J19" s="65">
        <f>$J$21*scoring!J19</f>
        <v>0.25</v>
      </c>
      <c r="K19" s="20">
        <f>$K$21*scoring!K19</f>
        <v>4.25</v>
      </c>
      <c r="L19" s="66">
        <f>$L$21*scoring!L19</f>
        <v>0</v>
      </c>
      <c r="M19" s="27">
        <f t="shared" si="2"/>
        <v>24.203553886079035</v>
      </c>
      <c r="N19" s="87">
        <f t="shared" si="3"/>
        <v>6</v>
      </c>
      <c r="O19" s="22"/>
      <c r="P19" s="82"/>
      <c r="Q19" s="9"/>
    </row>
    <row r="20" spans="4:17" x14ac:dyDescent="0.25">
      <c r="E20" s="7"/>
      <c r="F20" s="7"/>
      <c r="G20" s="7"/>
      <c r="H20" s="7"/>
      <c r="I20" s="7"/>
      <c r="J20" s="7"/>
      <c r="K20" s="7"/>
      <c r="L20" s="7"/>
      <c r="M20" s="7"/>
      <c r="N20" s="7"/>
      <c r="O20" s="22"/>
      <c r="P20" s="82"/>
      <c r="Q20" s="9"/>
    </row>
    <row r="21" spans="4:17" x14ac:dyDescent="0.25">
      <c r="D21" s="15" t="s">
        <v>10</v>
      </c>
      <c r="E21" s="19">
        <v>0.15</v>
      </c>
      <c r="F21" s="19">
        <v>0.1</v>
      </c>
      <c r="G21" s="19">
        <v>0.35</v>
      </c>
      <c r="H21" s="61">
        <v>0.05</v>
      </c>
      <c r="I21" s="61">
        <v>0.1</v>
      </c>
      <c r="J21" s="61">
        <v>0.05</v>
      </c>
      <c r="K21" s="75">
        <v>0.05</v>
      </c>
      <c r="L21" s="75">
        <v>0.15</v>
      </c>
      <c r="M21" s="60">
        <f>SUM(E21:L21)</f>
        <v>1</v>
      </c>
      <c r="O21" s="22"/>
      <c r="P21" s="82"/>
      <c r="Q21" s="9"/>
    </row>
    <row r="22" spans="4:17" x14ac:dyDescent="0.25">
      <c r="N22" s="23"/>
      <c r="P22" s="9"/>
    </row>
    <row r="23" spans="4:17" x14ac:dyDescent="0.25">
      <c r="I23" s="62">
        <f>SUM(H21:J21)</f>
        <v>0.2</v>
      </c>
      <c r="K23" s="119">
        <f>SUM(K21:L21)</f>
        <v>0.2</v>
      </c>
      <c r="L23" s="119"/>
      <c r="O23" s="23"/>
      <c r="P23" s="55"/>
    </row>
    <row r="24" spans="4:17" x14ac:dyDescent="0.25">
      <c r="F24" s="9"/>
    </row>
    <row r="25" spans="4:17" x14ac:dyDescent="0.25">
      <c r="F25" s="9"/>
    </row>
  </sheetData>
  <mergeCells count="5">
    <mergeCell ref="C10:D10"/>
    <mergeCell ref="F11:L11"/>
    <mergeCell ref="H12:J12"/>
    <mergeCell ref="K12:L12"/>
    <mergeCell ref="K23:L23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E1FFC22-69C2-4C47-99DC-1CD5E33E971B}"/>
</file>

<file path=customXml/itemProps2.xml><?xml version="1.0" encoding="utf-8"?>
<ds:datastoreItem xmlns:ds="http://schemas.openxmlformats.org/officeDocument/2006/customXml" ds:itemID="{406939B6-2E2D-4F7C-8DB0-52F4583CDF3C}"/>
</file>

<file path=customXml/itemProps3.xml><?xml version="1.0" encoding="utf-8"?>
<ds:datastoreItem xmlns:ds="http://schemas.openxmlformats.org/officeDocument/2006/customXml" ds:itemID="{0DECEEFE-1057-4D64-8DCA-2D19B8CF3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PM</vt:lpstr>
      <vt:lpstr>scoring</vt:lpstr>
      <vt:lpstr>weighting</vt:lpstr>
      <vt:lpstr>sensitivity analysis (1)</vt:lpstr>
      <vt:lpstr>sensitivity analysis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2012-01-30T16:49:38Z</dcterms:created>
  <dcterms:modified xsi:type="dcterms:W3CDTF">2016-09-09T07:52:11Z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