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 activeTab="3"/>
  </bookViews>
  <sheets>
    <sheet name="BAUTrees" sheetId="1" r:id="rId1"/>
    <sheet name="Sce1Trees" sheetId="5" r:id="rId2"/>
    <sheet name="Sce2Trees" sheetId="7" r:id="rId3"/>
    <sheet name="Cstock" sheetId="2" r:id="rId4"/>
    <sheet name="Closs" sheetId="3" r:id="rId5"/>
    <sheet name="AFOLU" sheetId="4" r:id="rId6"/>
    <sheet name="StraPlan" sheetId="6" r:id="rId7"/>
    <sheet name="AbanLand" sheetId="8" r:id="rId8"/>
  </sheets>
  <calcPr calcId="145621"/>
</workbook>
</file>

<file path=xl/calcChain.xml><?xml version="1.0" encoding="utf-8"?>
<calcChain xmlns="http://schemas.openxmlformats.org/spreadsheetml/2006/main">
  <c r="AH82" i="2" l="1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81" i="2"/>
  <c r="AF48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AD81" i="2"/>
  <c r="AB81" i="2"/>
  <c r="Y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R81" i="2"/>
  <c r="R48" i="2"/>
  <c r="Q81" i="2"/>
  <c r="Q48" i="2"/>
  <c r="P81" i="2"/>
  <c r="P48" i="2"/>
  <c r="M81" i="2"/>
  <c r="M48" i="2"/>
  <c r="L81" i="2"/>
  <c r="L48" i="2"/>
  <c r="K81" i="2"/>
  <c r="K48" i="2"/>
  <c r="J81" i="2"/>
  <c r="J48" i="2"/>
  <c r="I81" i="2"/>
  <c r="I48" i="2"/>
  <c r="H81" i="2"/>
  <c r="H48" i="2"/>
  <c r="G81" i="2"/>
  <c r="G48" i="2"/>
  <c r="F81" i="2"/>
  <c r="F48" i="2"/>
  <c r="E81" i="2"/>
  <c r="E48" i="2"/>
  <c r="D81" i="2"/>
  <c r="D48" i="2"/>
  <c r="C81" i="2"/>
  <c r="C48" i="2"/>
  <c r="B81" i="2"/>
  <c r="B48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21" i="7"/>
  <c r="K23" i="8"/>
  <c r="K22" i="8"/>
  <c r="K21" i="8"/>
  <c r="K20" i="8"/>
  <c r="K11" i="8"/>
  <c r="K12" i="8"/>
  <c r="K13" i="8"/>
  <c r="K14" i="8"/>
  <c r="K15" i="8"/>
  <c r="K16" i="8"/>
  <c r="K17" i="8"/>
  <c r="K18" i="8"/>
  <c r="K19" i="8"/>
  <c r="K10" i="8"/>
  <c r="J23" i="8"/>
  <c r="J22" i="8"/>
  <c r="J21" i="8"/>
  <c r="J20" i="8"/>
  <c r="J11" i="8"/>
  <c r="J12" i="8"/>
  <c r="J13" i="8"/>
  <c r="J14" i="8"/>
  <c r="J15" i="8"/>
  <c r="J16" i="8"/>
  <c r="J17" i="8"/>
  <c r="J18" i="8"/>
  <c r="J19" i="8"/>
  <c r="J10" i="8"/>
  <c r="I23" i="8"/>
  <c r="I22" i="8"/>
  <c r="I21" i="8"/>
  <c r="I20" i="8"/>
  <c r="I11" i="8"/>
  <c r="I12" i="8"/>
  <c r="I13" i="8"/>
  <c r="I14" i="8"/>
  <c r="I15" i="8"/>
  <c r="I16" i="8"/>
  <c r="I17" i="8"/>
  <c r="I18" i="8"/>
  <c r="I19" i="8"/>
  <c r="I10" i="8"/>
  <c r="K9" i="8"/>
  <c r="J9" i="8"/>
  <c r="I9" i="8"/>
  <c r="H9" i="8"/>
  <c r="H23" i="8"/>
  <c r="H22" i="8"/>
  <c r="H21" i="8"/>
  <c r="H20" i="8"/>
  <c r="H11" i="8"/>
  <c r="H12" i="8"/>
  <c r="H13" i="8"/>
  <c r="H14" i="8"/>
  <c r="H15" i="8"/>
  <c r="H16" i="8"/>
  <c r="H17" i="8"/>
  <c r="H18" i="8"/>
  <c r="H19" i="8"/>
  <c r="H10" i="8"/>
  <c r="G23" i="8"/>
  <c r="G22" i="8"/>
  <c r="G21" i="8"/>
  <c r="G20" i="8"/>
  <c r="G19" i="8"/>
  <c r="G11" i="8"/>
  <c r="G12" i="8"/>
  <c r="G13" i="8"/>
  <c r="G14" i="8"/>
  <c r="G15" i="8"/>
  <c r="G16" i="8"/>
  <c r="G17" i="8"/>
  <c r="G18" i="8"/>
  <c r="G10" i="8"/>
  <c r="E36" i="8"/>
  <c r="E37" i="8" s="1"/>
  <c r="E38" i="8" s="1"/>
  <c r="E39" i="8" s="1"/>
  <c r="E35" i="8"/>
  <c r="E31" i="8"/>
  <c r="E32" i="8" s="1"/>
  <c r="E33" i="8" s="1"/>
  <c r="E34" i="8" s="1"/>
  <c r="E30" i="8"/>
  <c r="E26" i="8"/>
  <c r="E27" i="8" s="1"/>
  <c r="E28" i="8" s="1"/>
  <c r="E29" i="8" s="1"/>
  <c r="E25" i="8"/>
  <c r="E21" i="8"/>
  <c r="E22" i="8" s="1"/>
  <c r="E23" i="8" s="1"/>
  <c r="E24" i="8" s="1"/>
  <c r="E20" i="8"/>
  <c r="E16" i="8"/>
  <c r="E17" i="8" s="1"/>
  <c r="E18" i="8" s="1"/>
  <c r="E19" i="8" s="1"/>
  <c r="E15" i="8"/>
  <c r="C36" i="8"/>
  <c r="C37" i="8" s="1"/>
  <c r="C38" i="8" s="1"/>
  <c r="C39" i="8" s="1"/>
  <c r="C35" i="8"/>
  <c r="C31" i="8"/>
  <c r="C32" i="8"/>
  <c r="C33" i="8" s="1"/>
  <c r="C34" i="8" s="1"/>
  <c r="C30" i="8"/>
  <c r="C25" i="8"/>
  <c r="C21" i="8"/>
  <c r="C22" i="8" s="1"/>
  <c r="C23" i="8" s="1"/>
  <c r="C24" i="8" s="1"/>
  <c r="C26" i="8" s="1"/>
  <c r="C27" i="8" s="1"/>
  <c r="C28" i="8" s="1"/>
  <c r="C29" i="8" s="1"/>
  <c r="C20" i="8"/>
  <c r="C15" i="8"/>
  <c r="C14" i="8"/>
  <c r="D36" i="8"/>
  <c r="D37" i="8" s="1"/>
  <c r="D38" i="8" s="1"/>
  <c r="D39" i="8" s="1"/>
  <c r="D35" i="8"/>
  <c r="D31" i="8"/>
  <c r="D32" i="8" s="1"/>
  <c r="D33" i="8" s="1"/>
  <c r="D34" i="8" s="1"/>
  <c r="D30" i="8"/>
  <c r="D26" i="8"/>
  <c r="D27" i="8" s="1"/>
  <c r="D28" i="8" s="1"/>
  <c r="D29" i="8" s="1"/>
  <c r="D25" i="8"/>
  <c r="D21" i="8"/>
  <c r="D22" i="8" s="1"/>
  <c r="D23" i="8" s="1"/>
  <c r="D24" i="8" s="1"/>
  <c r="D20" i="8"/>
  <c r="D16" i="8"/>
  <c r="D17" i="8" s="1"/>
  <c r="D18" i="8" s="1"/>
  <c r="D19" i="8" s="1"/>
  <c r="D15" i="8"/>
  <c r="C16" i="8"/>
  <c r="C17" i="8" s="1"/>
  <c r="C18" i="8" s="1"/>
  <c r="C19" i="8" s="1"/>
  <c r="B36" i="8"/>
  <c r="B37" i="8" s="1"/>
  <c r="B38" i="8" s="1"/>
  <c r="B39" i="8" s="1"/>
  <c r="B35" i="8"/>
  <c r="B31" i="8"/>
  <c r="B32" i="8" s="1"/>
  <c r="B33" i="8" s="1"/>
  <c r="B34" i="8" s="1"/>
  <c r="B30" i="8"/>
  <c r="B26" i="8"/>
  <c r="B27" i="8" s="1"/>
  <c r="B28" i="8" s="1"/>
  <c r="B29" i="8" s="1"/>
  <c r="B25" i="8"/>
  <c r="B21" i="8"/>
  <c r="B22" i="8"/>
  <c r="B23" i="8"/>
  <c r="B24" i="8" s="1"/>
  <c r="B20" i="8"/>
  <c r="B16" i="8"/>
  <c r="B17" i="8" s="1"/>
  <c r="B18" i="8" s="1"/>
  <c r="B19" i="8" s="1"/>
  <c r="B15" i="8"/>
  <c r="E12" i="8"/>
  <c r="E13" i="8"/>
  <c r="E14" i="8" s="1"/>
  <c r="E11" i="8"/>
  <c r="E10" i="8"/>
  <c r="D12" i="8"/>
  <c r="D13" i="8" s="1"/>
  <c r="D14" i="8" s="1"/>
  <c r="D11" i="8"/>
  <c r="C12" i="8"/>
  <c r="C13" i="8" s="1"/>
  <c r="C11" i="8"/>
  <c r="B12" i="8"/>
  <c r="B13" i="8" s="1"/>
  <c r="B14" i="8" s="1"/>
  <c r="B11" i="8"/>
  <c r="D10" i="8"/>
  <c r="C10" i="8"/>
  <c r="B10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P4" i="8"/>
  <c r="R4" i="8" s="1"/>
  <c r="P5" i="8"/>
  <c r="R5" i="8" s="1"/>
  <c r="P6" i="8"/>
  <c r="R6" i="8" s="1"/>
  <c r="P7" i="8"/>
  <c r="R7" i="8" s="1"/>
  <c r="P8" i="8"/>
  <c r="R8" i="8" s="1"/>
  <c r="P3" i="8"/>
  <c r="R3" i="8" s="1"/>
  <c r="Q1" i="8"/>
  <c r="Q5" i="8" s="1"/>
  <c r="S5" i="8" s="1"/>
  <c r="O9" i="8"/>
  <c r="Q9" i="8" s="1"/>
  <c r="S9" i="8" s="1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Q17" i="7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N17" i="7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O32" i="7" s="1"/>
  <c r="O33" i="7" s="1"/>
  <c r="O34" i="7" s="1"/>
  <c r="J17" i="7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H17" i="7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E17" i="7"/>
  <c r="E18" i="7" s="1"/>
  <c r="E19" i="7" s="1"/>
  <c r="E20" i="7" s="1"/>
  <c r="AB16" i="7"/>
  <c r="Q16" i="7"/>
  <c r="P16" i="7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N16" i="7"/>
  <c r="K16" i="7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J16" i="7"/>
  <c r="I16" i="7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H16" i="7"/>
  <c r="F16" i="7"/>
  <c r="F17" i="7" s="1"/>
  <c r="F18" i="7" s="1"/>
  <c r="F19" i="7" s="1"/>
  <c r="F20" i="7" s="1"/>
  <c r="E16" i="7"/>
  <c r="C16" i="7"/>
  <c r="C17" i="7" s="1"/>
  <c r="AB15" i="7"/>
  <c r="V15" i="7"/>
  <c r="AC15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B14" i="7"/>
  <c r="V14" i="7"/>
  <c r="AC14" i="7" s="1"/>
  <c r="AB13" i="7"/>
  <c r="V13" i="7"/>
  <c r="AC13" i="7" s="1"/>
  <c r="AB12" i="7"/>
  <c r="V12" i="7"/>
  <c r="AC12" i="7" s="1"/>
  <c r="AB11" i="7"/>
  <c r="V11" i="7"/>
  <c r="AC11" i="7" s="1"/>
  <c r="AB10" i="7"/>
  <c r="V10" i="7"/>
  <c r="AC10" i="7" s="1"/>
  <c r="AB9" i="7"/>
  <c r="V9" i="7"/>
  <c r="AC9" i="7" s="1"/>
  <c r="AB8" i="7"/>
  <c r="V8" i="7"/>
  <c r="AC8" i="7" s="1"/>
  <c r="AB7" i="7"/>
  <c r="V7" i="7"/>
  <c r="AC7" i="7" s="1"/>
  <c r="AB6" i="7"/>
  <c r="V6" i="7"/>
  <c r="AC6" i="7" s="1"/>
  <c r="U3" i="8" l="1"/>
  <c r="V3" i="8"/>
  <c r="T3" i="8"/>
  <c r="V7" i="8"/>
  <c r="T7" i="8"/>
  <c r="U7" i="8"/>
  <c r="V5" i="8"/>
  <c r="T5" i="8"/>
  <c r="U5" i="8"/>
  <c r="U8" i="8"/>
  <c r="V8" i="8"/>
  <c r="T8" i="8"/>
  <c r="U6" i="8"/>
  <c r="V6" i="8"/>
  <c r="T6" i="8"/>
  <c r="U4" i="8"/>
  <c r="V4" i="8"/>
  <c r="T4" i="8"/>
  <c r="Q8" i="8"/>
  <c r="S8" i="8" s="1"/>
  <c r="Q6" i="8"/>
  <c r="S6" i="8" s="1"/>
  <c r="Q4" i="8"/>
  <c r="S4" i="8" s="1"/>
  <c r="P9" i="8"/>
  <c r="R9" i="8" s="1"/>
  <c r="Q3" i="8"/>
  <c r="S3" i="8" s="1"/>
  <c r="Q7" i="8"/>
  <c r="S7" i="8" s="1"/>
  <c r="C18" i="7"/>
  <c r="V17" i="7"/>
  <c r="AC17" i="7" s="1"/>
  <c r="V16" i="7"/>
  <c r="AC16" i="7" s="1"/>
  <c r="E26" i="6"/>
  <c r="Q22" i="5"/>
  <c r="Q23" i="5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21" i="5"/>
  <c r="Q20" i="5"/>
  <c r="Q19" i="5"/>
  <c r="Q18" i="5"/>
  <c r="Q17" i="5"/>
  <c r="P22" i="5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21" i="5"/>
  <c r="P20" i="5"/>
  <c r="P19" i="5"/>
  <c r="P18" i="5"/>
  <c r="P17" i="5"/>
  <c r="O34" i="5"/>
  <c r="O33" i="5"/>
  <c r="O32" i="5"/>
  <c r="N22" i="5"/>
  <c r="N23" i="5" s="1"/>
  <c r="N24" i="5" s="1"/>
  <c r="N25" i="5" s="1"/>
  <c r="N26" i="5" s="1"/>
  <c r="N27" i="5" s="1"/>
  <c r="N28" i="5" s="1"/>
  <c r="N29" i="5" s="1"/>
  <c r="N30" i="5" s="1"/>
  <c r="N31" i="5" s="1"/>
  <c r="N21" i="5"/>
  <c r="N20" i="5"/>
  <c r="N19" i="5"/>
  <c r="N18" i="5"/>
  <c r="N17" i="5"/>
  <c r="J22" i="5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21" i="5"/>
  <c r="J20" i="5"/>
  <c r="J19" i="5"/>
  <c r="J18" i="5"/>
  <c r="J17" i="5"/>
  <c r="K22" i="5"/>
  <c r="K23" i="5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21" i="5"/>
  <c r="K20" i="5"/>
  <c r="K19" i="5"/>
  <c r="K18" i="5"/>
  <c r="K17" i="5"/>
  <c r="I22" i="5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21" i="5"/>
  <c r="I20" i="5"/>
  <c r="I19" i="5"/>
  <c r="I18" i="5"/>
  <c r="I17" i="5"/>
  <c r="H22" i="5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21" i="5"/>
  <c r="H20" i="5"/>
  <c r="H19" i="5"/>
  <c r="H18" i="5"/>
  <c r="H17" i="5"/>
  <c r="H16" i="5"/>
  <c r="F22" i="5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21" i="5"/>
  <c r="F20" i="5"/>
  <c r="F19" i="5"/>
  <c r="F18" i="5"/>
  <c r="F17" i="5"/>
  <c r="E22" i="5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21" i="5"/>
  <c r="E20" i="5"/>
  <c r="E19" i="5"/>
  <c r="E18" i="5"/>
  <c r="E17" i="5"/>
  <c r="C22" i="5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21" i="5"/>
  <c r="C20" i="5"/>
  <c r="C19" i="5"/>
  <c r="C18" i="5"/>
  <c r="C17" i="5"/>
  <c r="Y21" i="6"/>
  <c r="Z21" i="6"/>
  <c r="AA21" i="6"/>
  <c r="X21" i="6"/>
  <c r="Y20" i="6"/>
  <c r="Z20" i="6"/>
  <c r="AA20" i="6"/>
  <c r="X20" i="6"/>
  <c r="Y14" i="6"/>
  <c r="Z14" i="6"/>
  <c r="AA14" i="6"/>
  <c r="X14" i="6"/>
  <c r="Y13" i="6"/>
  <c r="Z13" i="6"/>
  <c r="AA13" i="6"/>
  <c r="X13" i="6"/>
  <c r="Y12" i="6"/>
  <c r="Z12" i="6"/>
  <c r="AA12" i="6"/>
  <c r="X12" i="6"/>
  <c r="Y7" i="6"/>
  <c r="Z7" i="6"/>
  <c r="AA7" i="6"/>
  <c r="X7" i="6"/>
  <c r="Y6" i="6"/>
  <c r="Z6" i="6"/>
  <c r="AA6" i="6"/>
  <c r="X6" i="6"/>
  <c r="AH13" i="6"/>
  <c r="AI13" i="6" s="1"/>
  <c r="AG13" i="6"/>
  <c r="AD12" i="6"/>
  <c r="AE12" i="6"/>
  <c r="AF12" i="6"/>
  <c r="AE11" i="6"/>
  <c r="AD11" i="6"/>
  <c r="AI11" i="6"/>
  <c r="Y4" i="6"/>
  <c r="Z4" i="6"/>
  <c r="AA4" i="6"/>
  <c r="Y3" i="6"/>
  <c r="Z3" i="6"/>
  <c r="AA3" i="6"/>
  <c r="X4" i="6"/>
  <c r="X3" i="6"/>
  <c r="X5" i="6" s="1"/>
  <c r="Y5" i="6"/>
  <c r="Z5" i="6"/>
  <c r="AA5" i="6"/>
  <c r="E24" i="6"/>
  <c r="F23" i="6"/>
  <c r="H23" i="6" s="1"/>
  <c r="F22" i="6"/>
  <c r="H22" i="6" s="1"/>
  <c r="F21" i="6"/>
  <c r="H21" i="6" s="1"/>
  <c r="F20" i="6"/>
  <c r="H20" i="6" s="1"/>
  <c r="F19" i="6"/>
  <c r="G18" i="6"/>
  <c r="F18" i="6"/>
  <c r="H18" i="6" s="1"/>
  <c r="H17" i="6"/>
  <c r="I18" i="6" s="1"/>
  <c r="Q22" i="6" s="1"/>
  <c r="F17" i="6"/>
  <c r="F16" i="6"/>
  <c r="H16" i="6" s="1"/>
  <c r="F15" i="6"/>
  <c r="H15" i="6" s="1"/>
  <c r="F14" i="6"/>
  <c r="H14" i="6" s="1"/>
  <c r="F13" i="6"/>
  <c r="G16" i="6" s="1"/>
  <c r="I16" i="6" s="1"/>
  <c r="Q16" i="6" s="1"/>
  <c r="F12" i="6"/>
  <c r="H12" i="6" s="1"/>
  <c r="F11" i="6"/>
  <c r="H11" i="6" s="1"/>
  <c r="F10" i="6"/>
  <c r="F9" i="6"/>
  <c r="H9" i="6" s="1"/>
  <c r="F8" i="6"/>
  <c r="H8" i="6" s="1"/>
  <c r="F7" i="6"/>
  <c r="H7" i="6" s="1"/>
  <c r="F6" i="6"/>
  <c r="F5" i="6"/>
  <c r="H5" i="6" s="1"/>
  <c r="F4" i="6"/>
  <c r="H4" i="6" s="1"/>
  <c r="I5" i="6" s="1"/>
  <c r="Q8" i="6" s="1"/>
  <c r="V9" i="8" l="1"/>
  <c r="T9" i="8"/>
  <c r="U9" i="8"/>
  <c r="C19" i="7"/>
  <c r="V18" i="7"/>
  <c r="AC18" i="7" s="1"/>
  <c r="AI12" i="6"/>
  <c r="G5" i="6"/>
  <c r="G9" i="6"/>
  <c r="I9" i="6" s="1"/>
  <c r="G12" i="6"/>
  <c r="H13" i="6"/>
  <c r="G23" i="6"/>
  <c r="I23" i="6" s="1"/>
  <c r="Q23" i="6" s="1"/>
  <c r="H6" i="6"/>
  <c r="H10" i="6"/>
  <c r="I12" i="6" s="1"/>
  <c r="Q15" i="6" s="1"/>
  <c r="H19" i="6"/>
  <c r="F24" i="6"/>
  <c r="H24" i="6" s="1"/>
  <c r="K1" i="6" s="1"/>
  <c r="C20" i="7" l="1"/>
  <c r="V19" i="7"/>
  <c r="AC19" i="7" s="1"/>
  <c r="AD8" i="6"/>
  <c r="Q17" i="6"/>
  <c r="G24" i="6"/>
  <c r="I24" i="6" s="1"/>
  <c r="Q9" i="6"/>
  <c r="Q3" i="6"/>
  <c r="AE8" i="6"/>
  <c r="AC8" i="6"/>
  <c r="W3" i="6"/>
  <c r="Q24" i="6"/>
  <c r="N1" i="6"/>
  <c r="N19" i="6" s="1"/>
  <c r="M1" i="6"/>
  <c r="M19" i="6" s="1"/>
  <c r="L1" i="6"/>
  <c r="L6" i="6" s="1"/>
  <c r="N6" i="6"/>
  <c r="M10" i="6"/>
  <c r="C21" i="7" l="1"/>
  <c r="V20" i="7"/>
  <c r="AC20" i="7" s="1"/>
  <c r="L19" i="6"/>
  <c r="AF8" i="6"/>
  <c r="Z8" i="6"/>
  <c r="AA8" i="6"/>
  <c r="X8" i="6"/>
  <c r="Y8" i="6"/>
  <c r="Z22" i="6"/>
  <c r="X22" i="6"/>
  <c r="Y22" i="6"/>
  <c r="AA22" i="6"/>
  <c r="AC4" i="6"/>
  <c r="W4" i="6"/>
  <c r="W5" i="6" s="1"/>
  <c r="Q10" i="6"/>
  <c r="Q26" i="6" s="1"/>
  <c r="AD4" i="6"/>
  <c r="AE4" i="6"/>
  <c r="X15" i="6"/>
  <c r="Y15" i="6"/>
  <c r="Z15" i="6"/>
  <c r="AA15" i="6"/>
  <c r="L10" i="6"/>
  <c r="M6" i="6"/>
  <c r="N10" i="6"/>
  <c r="K22" i="6"/>
  <c r="K18" i="6"/>
  <c r="K21" i="6"/>
  <c r="K23" i="6"/>
  <c r="K7" i="6"/>
  <c r="K20" i="6"/>
  <c r="K5" i="6"/>
  <c r="K9" i="6"/>
  <c r="K11" i="6"/>
  <c r="K16" i="6"/>
  <c r="K8" i="6"/>
  <c r="K12" i="6"/>
  <c r="K4" i="6"/>
  <c r="R8" i="6" s="1"/>
  <c r="K13" i="6"/>
  <c r="K14" i="6"/>
  <c r="K15" i="6"/>
  <c r="K17" i="6"/>
  <c r="R22" i="6" s="1"/>
  <c r="N5" i="6"/>
  <c r="N9" i="6"/>
  <c r="N11" i="6"/>
  <c r="N16" i="6"/>
  <c r="N17" i="6"/>
  <c r="N8" i="6"/>
  <c r="N12" i="6"/>
  <c r="N13" i="6"/>
  <c r="N15" i="6"/>
  <c r="N22" i="6"/>
  <c r="N4" i="6"/>
  <c r="U8" i="6" s="1"/>
  <c r="N14" i="6"/>
  <c r="N18" i="6"/>
  <c r="N21" i="6"/>
  <c r="U23" i="6" s="1"/>
  <c r="N23" i="6"/>
  <c r="N7" i="6"/>
  <c r="U9" i="6" s="1"/>
  <c r="N20" i="6"/>
  <c r="K10" i="6"/>
  <c r="R15" i="6" s="1"/>
  <c r="K6" i="6"/>
  <c r="R9" i="6" s="1"/>
  <c r="K19" i="6"/>
  <c r="L22" i="6"/>
  <c r="L18" i="6"/>
  <c r="L21" i="6"/>
  <c r="L23" i="6"/>
  <c r="L7" i="6"/>
  <c r="L20" i="6"/>
  <c r="L13" i="6"/>
  <c r="L15" i="6"/>
  <c r="L5" i="6"/>
  <c r="L9" i="6"/>
  <c r="L11" i="6"/>
  <c r="L16" i="6"/>
  <c r="L8" i="6"/>
  <c r="L12" i="6"/>
  <c r="L4" i="6"/>
  <c r="S8" i="6" s="1"/>
  <c r="L14" i="6"/>
  <c r="L17" i="6"/>
  <c r="M5" i="6"/>
  <c r="M9" i="6"/>
  <c r="M11" i="6"/>
  <c r="T15" i="6" s="1"/>
  <c r="M16" i="6"/>
  <c r="M8" i="6"/>
  <c r="M12" i="6"/>
  <c r="M4" i="6"/>
  <c r="T8" i="6" s="1"/>
  <c r="M13" i="6"/>
  <c r="M14" i="6"/>
  <c r="M17" i="6"/>
  <c r="M22" i="6"/>
  <c r="M18" i="6"/>
  <c r="M21" i="6"/>
  <c r="M23" i="6"/>
  <c r="M7" i="6"/>
  <c r="T9" i="6" s="1"/>
  <c r="M20" i="6"/>
  <c r="M15" i="6"/>
  <c r="C22" i="7" l="1"/>
  <c r="V21" i="7"/>
  <c r="AC21" i="7" s="1"/>
  <c r="T10" i="6"/>
  <c r="T22" i="6"/>
  <c r="T24" i="6" s="1"/>
  <c r="S22" i="6"/>
  <c r="U10" i="6"/>
  <c r="U22" i="6"/>
  <c r="U24" i="6" s="1"/>
  <c r="U15" i="6"/>
  <c r="S15" i="6"/>
  <c r="S17" i="6" s="1"/>
  <c r="Z16" i="6"/>
  <c r="Y16" i="6"/>
  <c r="X16" i="6"/>
  <c r="AA16" i="6"/>
  <c r="X27" i="6"/>
  <c r="Z27" i="6"/>
  <c r="R24" i="6"/>
  <c r="R10" i="6"/>
  <c r="Z23" i="6"/>
  <c r="AA23" i="6"/>
  <c r="Y23" i="6"/>
  <c r="X23" i="6"/>
  <c r="AF4" i="6"/>
  <c r="Y9" i="6"/>
  <c r="X9" i="6"/>
  <c r="X26" i="6" s="1"/>
  <c r="X28" i="6" s="1"/>
  <c r="AA9" i="6"/>
  <c r="Z9" i="6"/>
  <c r="Z26" i="6" s="1"/>
  <c r="Z28" i="6" s="1"/>
  <c r="Y27" i="6"/>
  <c r="AA27" i="6"/>
  <c r="T23" i="6"/>
  <c r="T16" i="6"/>
  <c r="T17" i="6" s="1"/>
  <c r="S16" i="6"/>
  <c r="S9" i="6"/>
  <c r="S10" i="6" s="1"/>
  <c r="S23" i="6"/>
  <c r="M24" i="6"/>
  <c r="M25" i="6" s="1"/>
  <c r="R23" i="6"/>
  <c r="U16" i="6"/>
  <c r="K24" i="6"/>
  <c r="K25" i="6" s="1"/>
  <c r="L24" i="6"/>
  <c r="L25" i="6" s="1"/>
  <c r="N24" i="6"/>
  <c r="N25" i="6" s="1"/>
  <c r="R16" i="6"/>
  <c r="R17" i="6" s="1"/>
  <c r="C23" i="7" l="1"/>
  <c r="V22" i="7"/>
  <c r="AC22" i="7" s="1"/>
  <c r="AA26" i="6"/>
  <c r="AA28" i="6" s="1"/>
  <c r="Y26" i="6"/>
  <c r="Y28" i="6" s="1"/>
  <c r="R26" i="6"/>
  <c r="U17" i="6"/>
  <c r="U26" i="6" s="1"/>
  <c r="S24" i="6"/>
  <c r="S26" i="6" s="1"/>
  <c r="T26" i="6"/>
  <c r="AH74" i="2"/>
  <c r="AH75" i="2" s="1"/>
  <c r="AH76" i="2" s="1"/>
  <c r="AH73" i="2"/>
  <c r="AH50" i="2"/>
  <c r="AH51" i="2" s="1"/>
  <c r="AH52" i="2" s="1"/>
  <c r="AH53" i="2" s="1"/>
  <c r="AH54" i="2" s="1"/>
  <c r="AH55" i="2" s="1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H71" i="2" s="1"/>
  <c r="AH72" i="2" s="1"/>
  <c r="AH49" i="2"/>
  <c r="A57" i="2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K16" i="5"/>
  <c r="I16" i="5"/>
  <c r="P16" i="5"/>
  <c r="V34" i="5"/>
  <c r="N16" i="5"/>
  <c r="E16" i="5"/>
  <c r="C16" i="5"/>
  <c r="Q16" i="5"/>
  <c r="J16" i="5"/>
  <c r="F16" i="5"/>
  <c r="V33" i="5"/>
  <c r="V32" i="5"/>
  <c r="V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B15" i="5"/>
  <c r="A15" i="5"/>
  <c r="AB14" i="5"/>
  <c r="V14" i="5"/>
  <c r="AC14" i="5" s="1"/>
  <c r="AB13" i="5"/>
  <c r="V13" i="5"/>
  <c r="AC13" i="5" s="1"/>
  <c r="AB12" i="5"/>
  <c r="V12" i="5"/>
  <c r="AC12" i="5" s="1"/>
  <c r="AB11" i="5"/>
  <c r="V11" i="5"/>
  <c r="AC11" i="5" s="1"/>
  <c r="AB10" i="5"/>
  <c r="V10" i="5"/>
  <c r="AC10" i="5" s="1"/>
  <c r="AB9" i="5"/>
  <c r="V9" i="5"/>
  <c r="AC9" i="5" s="1"/>
  <c r="AB8" i="5"/>
  <c r="V8" i="5"/>
  <c r="AC8" i="5" s="1"/>
  <c r="AB7" i="5"/>
  <c r="V7" i="5"/>
  <c r="AC7" i="5" s="1"/>
  <c r="AB6" i="5"/>
  <c r="V6" i="5"/>
  <c r="AC6" i="5" s="1"/>
  <c r="AH40" i="2"/>
  <c r="AH41" i="2" s="1"/>
  <c r="AH42" i="2" s="1"/>
  <c r="AH43" i="2" s="1"/>
  <c r="AD40" i="2"/>
  <c r="AD73" i="2" s="1"/>
  <c r="AD41" i="2"/>
  <c r="AD74" i="2" s="1"/>
  <c r="AD42" i="2"/>
  <c r="AD75" i="2" s="1"/>
  <c r="AD43" i="2"/>
  <c r="AD76" i="2" s="1"/>
  <c r="AB40" i="2"/>
  <c r="AB73" i="2" s="1"/>
  <c r="AB41" i="2"/>
  <c r="AB74" i="2" s="1"/>
  <c r="AB42" i="2"/>
  <c r="AB75" i="2" s="1"/>
  <c r="AB43" i="2"/>
  <c r="AB76" i="2" s="1"/>
  <c r="Y40" i="2"/>
  <c r="Y73" i="2" s="1"/>
  <c r="AF73" i="2" s="1"/>
  <c r="Y41" i="2"/>
  <c r="Y74" i="2" s="1"/>
  <c r="AF74" i="2" s="1"/>
  <c r="Y42" i="2"/>
  <c r="Y75" i="2" s="1"/>
  <c r="AF75" i="2" s="1"/>
  <c r="Y43" i="2"/>
  <c r="Y76" i="2" s="1"/>
  <c r="AF76" i="2" s="1"/>
  <c r="C24" i="7" l="1"/>
  <c r="V23" i="7"/>
  <c r="AC23" i="7" s="1"/>
  <c r="AF42" i="2"/>
  <c r="AF40" i="2"/>
  <c r="AF43" i="2"/>
  <c r="AF41" i="2"/>
  <c r="V16" i="5"/>
  <c r="AC16" i="5" s="1"/>
  <c r="V15" i="5"/>
  <c r="AC15" i="5" s="1"/>
  <c r="C25" i="7" l="1"/>
  <c r="V24" i="7"/>
  <c r="AC24" i="7" s="1"/>
  <c r="V17" i="5"/>
  <c r="AC17" i="5" s="1"/>
  <c r="V34" i="1"/>
  <c r="V33" i="1"/>
  <c r="V32" i="1"/>
  <c r="V31" i="1"/>
  <c r="C26" i="7" l="1"/>
  <c r="V25" i="7"/>
  <c r="AC25" i="7" s="1"/>
  <c r="V18" i="5"/>
  <c r="AC18" i="5" s="1"/>
  <c r="Y24" i="2"/>
  <c r="Y57" i="2" s="1"/>
  <c r="Y25" i="2"/>
  <c r="Y58" i="2" s="1"/>
  <c r="Y26" i="2"/>
  <c r="Y59" i="2" s="1"/>
  <c r="Y27" i="2"/>
  <c r="Y60" i="2" s="1"/>
  <c r="Y28" i="2"/>
  <c r="Y61" i="2" s="1"/>
  <c r="Y29" i="2"/>
  <c r="Y62" i="2" s="1"/>
  <c r="Y30" i="2"/>
  <c r="Y63" i="2" s="1"/>
  <c r="Y31" i="2"/>
  <c r="Y64" i="2" s="1"/>
  <c r="Y32" i="2"/>
  <c r="Y65" i="2" s="1"/>
  <c r="Y33" i="2"/>
  <c r="Y66" i="2" s="1"/>
  <c r="Y34" i="2"/>
  <c r="Y67" i="2" s="1"/>
  <c r="Y35" i="2"/>
  <c r="Y68" i="2" s="1"/>
  <c r="Y36" i="2"/>
  <c r="Y69" i="2" s="1"/>
  <c r="Y37" i="2"/>
  <c r="Y70" i="2" s="1"/>
  <c r="Y38" i="2"/>
  <c r="Y71" i="2" s="1"/>
  <c r="Y39" i="2"/>
  <c r="Y72" i="2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R15" i="1"/>
  <c r="V15" i="1" s="1"/>
  <c r="AC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5" i="1"/>
  <c r="K15" i="3"/>
  <c r="K16" i="3" s="1"/>
  <c r="K17" i="3" s="1"/>
  <c r="J16" i="3"/>
  <c r="J15" i="3"/>
  <c r="G15" i="3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H13" i="3"/>
  <c r="H15" i="3"/>
  <c r="E16" i="3"/>
  <c r="F15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C27" i="7" l="1"/>
  <c r="V26" i="7"/>
  <c r="AC26" i="7" s="1"/>
  <c r="V19" i="5"/>
  <c r="AC19" i="5" s="1"/>
  <c r="AB24" i="2"/>
  <c r="F16" i="3"/>
  <c r="AD24" i="2"/>
  <c r="AD57" i="2" s="1"/>
  <c r="J17" i="3"/>
  <c r="AD26" i="2" s="1"/>
  <c r="AD59" i="2" s="1"/>
  <c r="AD25" i="2"/>
  <c r="AD58" i="2" s="1"/>
  <c r="R16" i="1"/>
  <c r="K18" i="3"/>
  <c r="K19" i="3" s="1"/>
  <c r="J18" i="3"/>
  <c r="J19" i="3" s="1"/>
  <c r="AD16" i="2"/>
  <c r="AD49" i="2" s="1"/>
  <c r="AD17" i="2"/>
  <c r="AD50" i="2" s="1"/>
  <c r="AD18" i="2"/>
  <c r="AD51" i="2" s="1"/>
  <c r="AD19" i="2"/>
  <c r="AD52" i="2" s="1"/>
  <c r="AD20" i="2"/>
  <c r="AD53" i="2" s="1"/>
  <c r="AD21" i="2"/>
  <c r="AD54" i="2" s="1"/>
  <c r="AD22" i="2"/>
  <c r="AD55" i="2" s="1"/>
  <c r="AD23" i="2"/>
  <c r="AD56" i="2" s="1"/>
  <c r="AD15" i="2"/>
  <c r="AD48" i="2" s="1"/>
  <c r="AB16" i="2"/>
  <c r="AB17" i="2"/>
  <c r="AB50" i="2" s="1"/>
  <c r="AB18" i="2"/>
  <c r="AB19" i="2"/>
  <c r="AB52" i="2" s="1"/>
  <c r="AB20" i="2"/>
  <c r="AB21" i="2"/>
  <c r="AB54" i="2" s="1"/>
  <c r="AB22" i="2"/>
  <c r="AB23" i="2"/>
  <c r="AB56" i="2" s="1"/>
  <c r="AB15" i="2"/>
  <c r="Y16" i="2"/>
  <c r="Y49" i="2" s="1"/>
  <c r="Y17" i="2"/>
  <c r="Y18" i="2"/>
  <c r="Y51" i="2" s="1"/>
  <c r="Y19" i="2"/>
  <c r="Y20" i="2"/>
  <c r="Y53" i="2" s="1"/>
  <c r="Y21" i="2"/>
  <c r="Y22" i="2"/>
  <c r="Y55" i="2" s="1"/>
  <c r="Y23" i="2"/>
  <c r="Y15" i="2"/>
  <c r="Y48" i="2" s="1"/>
  <c r="F16" i="2"/>
  <c r="U15" i="2"/>
  <c r="U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B10" i="2"/>
  <c r="AB10" i="1"/>
  <c r="V10" i="1"/>
  <c r="V7" i="1"/>
  <c r="AB7" i="1"/>
  <c r="AB8" i="1"/>
  <c r="AB9" i="1"/>
  <c r="AB11" i="1"/>
  <c r="AB12" i="1"/>
  <c r="AB13" i="1"/>
  <c r="AB14" i="1"/>
  <c r="V8" i="1"/>
  <c r="V9" i="1"/>
  <c r="V11" i="1"/>
  <c r="V12" i="1"/>
  <c r="V13" i="1"/>
  <c r="V14" i="1"/>
  <c r="V6" i="1"/>
  <c r="AB6" i="1"/>
  <c r="AC14" i="1" l="1"/>
  <c r="AC13" i="1"/>
  <c r="AC8" i="1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81" i="2"/>
  <c r="O83" i="2"/>
  <c r="O85" i="2"/>
  <c r="O87" i="2"/>
  <c r="O89" i="2"/>
  <c r="O91" i="2"/>
  <c r="O93" i="2"/>
  <c r="O95" i="2"/>
  <c r="O97" i="2"/>
  <c r="O99" i="2"/>
  <c r="O101" i="2"/>
  <c r="O103" i="2"/>
  <c r="O105" i="2"/>
  <c r="O107" i="2"/>
  <c r="O109" i="2"/>
  <c r="O48" i="2"/>
  <c r="N83" i="2"/>
  <c r="V83" i="2" s="1"/>
  <c r="AI83" i="2" s="1"/>
  <c r="AJ83" i="2" s="1"/>
  <c r="N85" i="2"/>
  <c r="V85" i="2" s="1"/>
  <c r="AI85" i="2" s="1"/>
  <c r="AJ85" i="2" s="1"/>
  <c r="N87" i="2"/>
  <c r="V87" i="2" s="1"/>
  <c r="AI87" i="2" s="1"/>
  <c r="AJ87" i="2" s="1"/>
  <c r="N89" i="2"/>
  <c r="V89" i="2" s="1"/>
  <c r="AI89" i="2" s="1"/>
  <c r="AJ89" i="2" s="1"/>
  <c r="N91" i="2"/>
  <c r="V91" i="2" s="1"/>
  <c r="AI91" i="2" s="1"/>
  <c r="AJ91" i="2" s="1"/>
  <c r="N93" i="2"/>
  <c r="V93" i="2" s="1"/>
  <c r="AI93" i="2" s="1"/>
  <c r="AJ93" i="2" s="1"/>
  <c r="N95" i="2"/>
  <c r="V95" i="2" s="1"/>
  <c r="AI95" i="2" s="1"/>
  <c r="AJ95" i="2" s="1"/>
  <c r="N97" i="2"/>
  <c r="V97" i="2" s="1"/>
  <c r="AI97" i="2" s="1"/>
  <c r="AJ97" i="2" s="1"/>
  <c r="N99" i="2"/>
  <c r="V99" i="2" s="1"/>
  <c r="AI99" i="2" s="1"/>
  <c r="AJ99" i="2" s="1"/>
  <c r="N101" i="2"/>
  <c r="V101" i="2" s="1"/>
  <c r="AI101" i="2" s="1"/>
  <c r="AJ101" i="2" s="1"/>
  <c r="N103" i="2"/>
  <c r="V103" i="2" s="1"/>
  <c r="AI103" i="2" s="1"/>
  <c r="AJ103" i="2" s="1"/>
  <c r="N105" i="2"/>
  <c r="V105" i="2" s="1"/>
  <c r="AI105" i="2" s="1"/>
  <c r="AJ105" i="2" s="1"/>
  <c r="N107" i="2"/>
  <c r="V107" i="2" s="1"/>
  <c r="AI107" i="2" s="1"/>
  <c r="AJ107" i="2" s="1"/>
  <c r="N109" i="2"/>
  <c r="V109" i="2" s="1"/>
  <c r="AI109" i="2" s="1"/>
  <c r="AJ109" i="2" s="1"/>
  <c r="N48" i="2"/>
  <c r="N82" i="2"/>
  <c r="V82" i="2" s="1"/>
  <c r="AI82" i="2" s="1"/>
  <c r="AJ82" i="2" s="1"/>
  <c r="N84" i="2"/>
  <c r="V84" i="2" s="1"/>
  <c r="AI84" i="2" s="1"/>
  <c r="AJ84" i="2" s="1"/>
  <c r="N86" i="2"/>
  <c r="V86" i="2" s="1"/>
  <c r="AI86" i="2" s="1"/>
  <c r="AJ86" i="2" s="1"/>
  <c r="N88" i="2"/>
  <c r="V88" i="2" s="1"/>
  <c r="AI88" i="2" s="1"/>
  <c r="AJ88" i="2" s="1"/>
  <c r="N90" i="2"/>
  <c r="V90" i="2" s="1"/>
  <c r="AI90" i="2" s="1"/>
  <c r="AJ90" i="2" s="1"/>
  <c r="N92" i="2"/>
  <c r="V92" i="2" s="1"/>
  <c r="AI92" i="2" s="1"/>
  <c r="AJ92" i="2" s="1"/>
  <c r="N94" i="2"/>
  <c r="V94" i="2" s="1"/>
  <c r="AI94" i="2" s="1"/>
  <c r="AJ94" i="2" s="1"/>
  <c r="N96" i="2"/>
  <c r="V96" i="2" s="1"/>
  <c r="AI96" i="2" s="1"/>
  <c r="AJ96" i="2" s="1"/>
  <c r="N98" i="2"/>
  <c r="V98" i="2" s="1"/>
  <c r="AI98" i="2" s="1"/>
  <c r="AJ98" i="2" s="1"/>
  <c r="N100" i="2"/>
  <c r="V100" i="2" s="1"/>
  <c r="AI100" i="2" s="1"/>
  <c r="AJ100" i="2" s="1"/>
  <c r="N102" i="2"/>
  <c r="V102" i="2" s="1"/>
  <c r="AI102" i="2" s="1"/>
  <c r="AJ102" i="2" s="1"/>
  <c r="N104" i="2"/>
  <c r="V104" i="2" s="1"/>
  <c r="AI104" i="2" s="1"/>
  <c r="AJ104" i="2" s="1"/>
  <c r="N106" i="2"/>
  <c r="V106" i="2" s="1"/>
  <c r="AI106" i="2" s="1"/>
  <c r="AJ106" i="2" s="1"/>
  <c r="N108" i="2"/>
  <c r="V108" i="2" s="1"/>
  <c r="AI108" i="2" s="1"/>
  <c r="AJ108" i="2" s="1"/>
  <c r="N81" i="2"/>
  <c r="V81" i="2" s="1"/>
  <c r="AI81" i="2" s="1"/>
  <c r="AJ81" i="2" s="1"/>
  <c r="C28" i="7"/>
  <c r="V27" i="7"/>
  <c r="AC27" i="7" s="1"/>
  <c r="Q22" i="2"/>
  <c r="Q49" i="2"/>
  <c r="Q51" i="2"/>
  <c r="Q53" i="2"/>
  <c r="Q55" i="2"/>
  <c r="Q57" i="2"/>
  <c r="Q59" i="2"/>
  <c r="Q61" i="2"/>
  <c r="Q63" i="2"/>
  <c r="Q65" i="2"/>
  <c r="Q67" i="2"/>
  <c r="Q69" i="2"/>
  <c r="Q71" i="2"/>
  <c r="Q73" i="2"/>
  <c r="Q75" i="2"/>
  <c r="Q50" i="2"/>
  <c r="Q52" i="2"/>
  <c r="Q54" i="2"/>
  <c r="Q56" i="2"/>
  <c r="Q58" i="2"/>
  <c r="Q60" i="2"/>
  <c r="Q62" i="2"/>
  <c r="Q64" i="2"/>
  <c r="Q66" i="2"/>
  <c r="Q68" i="2"/>
  <c r="Q70" i="2"/>
  <c r="Q72" i="2"/>
  <c r="Q74" i="2"/>
  <c r="Q76" i="2"/>
  <c r="Q41" i="2"/>
  <c r="Q43" i="2"/>
  <c r="Q40" i="2"/>
  <c r="Q42" i="2"/>
  <c r="M50" i="2"/>
  <c r="M52" i="2"/>
  <c r="M54" i="2"/>
  <c r="M56" i="2"/>
  <c r="M58" i="2"/>
  <c r="M60" i="2"/>
  <c r="M62" i="2"/>
  <c r="M64" i="2"/>
  <c r="M66" i="2"/>
  <c r="M68" i="2"/>
  <c r="M70" i="2"/>
  <c r="M72" i="2"/>
  <c r="M74" i="2"/>
  <c r="M76" i="2"/>
  <c r="M49" i="2"/>
  <c r="M53" i="2"/>
  <c r="M57" i="2"/>
  <c r="M61" i="2"/>
  <c r="M65" i="2"/>
  <c r="M69" i="2"/>
  <c r="M73" i="2"/>
  <c r="M51" i="2"/>
  <c r="M55" i="2"/>
  <c r="M59" i="2"/>
  <c r="M63" i="2"/>
  <c r="M67" i="2"/>
  <c r="M71" i="2"/>
  <c r="M75" i="2"/>
  <c r="M41" i="2"/>
  <c r="M43" i="2"/>
  <c r="M40" i="2"/>
  <c r="M42" i="2"/>
  <c r="I22" i="2"/>
  <c r="I50" i="2"/>
  <c r="I52" i="2"/>
  <c r="I54" i="2"/>
  <c r="I56" i="2"/>
  <c r="I58" i="2"/>
  <c r="I60" i="2"/>
  <c r="I62" i="2"/>
  <c r="I64" i="2"/>
  <c r="I66" i="2"/>
  <c r="I68" i="2"/>
  <c r="I70" i="2"/>
  <c r="I72" i="2"/>
  <c r="I74" i="2"/>
  <c r="I76" i="2"/>
  <c r="I49" i="2"/>
  <c r="I53" i="2"/>
  <c r="I57" i="2"/>
  <c r="I61" i="2"/>
  <c r="I65" i="2"/>
  <c r="I69" i="2"/>
  <c r="I73" i="2"/>
  <c r="I51" i="2"/>
  <c r="I55" i="2"/>
  <c r="I59" i="2"/>
  <c r="I63" i="2"/>
  <c r="I67" i="2"/>
  <c r="I71" i="2"/>
  <c r="I75" i="2"/>
  <c r="I41" i="2"/>
  <c r="I43" i="2"/>
  <c r="I40" i="2"/>
  <c r="I42" i="2"/>
  <c r="E50" i="2"/>
  <c r="E52" i="2"/>
  <c r="E54" i="2"/>
  <c r="E56" i="2"/>
  <c r="E58" i="2"/>
  <c r="E60" i="2"/>
  <c r="E62" i="2"/>
  <c r="E64" i="2"/>
  <c r="E66" i="2"/>
  <c r="E68" i="2"/>
  <c r="E70" i="2"/>
  <c r="E72" i="2"/>
  <c r="E74" i="2"/>
  <c r="E76" i="2"/>
  <c r="E49" i="2"/>
  <c r="E51" i="2"/>
  <c r="E53" i="2"/>
  <c r="E55" i="2"/>
  <c r="E57" i="2"/>
  <c r="E59" i="2"/>
  <c r="E61" i="2"/>
  <c r="E63" i="2"/>
  <c r="E65" i="2"/>
  <c r="E67" i="2"/>
  <c r="E69" i="2"/>
  <c r="E71" i="2"/>
  <c r="E73" i="2"/>
  <c r="E75" i="2"/>
  <c r="E41" i="2"/>
  <c r="E43" i="2"/>
  <c r="E40" i="2"/>
  <c r="E42" i="2"/>
  <c r="T50" i="2"/>
  <c r="T52" i="2"/>
  <c r="T54" i="2"/>
  <c r="T56" i="2"/>
  <c r="T58" i="2"/>
  <c r="T60" i="2"/>
  <c r="T62" i="2"/>
  <c r="T64" i="2"/>
  <c r="T66" i="2"/>
  <c r="T68" i="2"/>
  <c r="T70" i="2"/>
  <c r="T72" i="2"/>
  <c r="T74" i="2"/>
  <c r="T76" i="2"/>
  <c r="T51" i="2"/>
  <c r="T55" i="2"/>
  <c r="T59" i="2"/>
  <c r="T63" i="2"/>
  <c r="T67" i="2"/>
  <c r="T71" i="2"/>
  <c r="T75" i="2"/>
  <c r="T49" i="2"/>
  <c r="T53" i="2"/>
  <c r="T57" i="2"/>
  <c r="T61" i="2"/>
  <c r="T65" i="2"/>
  <c r="T69" i="2"/>
  <c r="T73" i="2"/>
  <c r="T48" i="2"/>
  <c r="R23" i="2"/>
  <c r="R50" i="2"/>
  <c r="R52" i="2"/>
  <c r="R54" i="2"/>
  <c r="R56" i="2"/>
  <c r="R58" i="2"/>
  <c r="R60" i="2"/>
  <c r="R62" i="2"/>
  <c r="R64" i="2"/>
  <c r="R66" i="2"/>
  <c r="R68" i="2"/>
  <c r="R70" i="2"/>
  <c r="R72" i="2"/>
  <c r="R74" i="2"/>
  <c r="R51" i="2"/>
  <c r="R55" i="2"/>
  <c r="R59" i="2"/>
  <c r="R63" i="2"/>
  <c r="R67" i="2"/>
  <c r="R71" i="2"/>
  <c r="R75" i="2"/>
  <c r="R49" i="2"/>
  <c r="R53" i="2"/>
  <c r="R57" i="2"/>
  <c r="R61" i="2"/>
  <c r="R65" i="2"/>
  <c r="R69" i="2"/>
  <c r="R73" i="2"/>
  <c r="R76" i="2"/>
  <c r="R41" i="2"/>
  <c r="R43" i="2"/>
  <c r="R40" i="2"/>
  <c r="R42" i="2"/>
  <c r="P49" i="2"/>
  <c r="P51" i="2"/>
  <c r="P53" i="2"/>
  <c r="P55" i="2"/>
  <c r="P57" i="2"/>
  <c r="P59" i="2"/>
  <c r="P61" i="2"/>
  <c r="P63" i="2"/>
  <c r="P65" i="2"/>
  <c r="P67" i="2"/>
  <c r="P69" i="2"/>
  <c r="P71" i="2"/>
  <c r="P73" i="2"/>
  <c r="P75" i="2"/>
  <c r="P50" i="2"/>
  <c r="P52" i="2"/>
  <c r="P54" i="2"/>
  <c r="P56" i="2"/>
  <c r="P58" i="2"/>
  <c r="P60" i="2"/>
  <c r="P62" i="2"/>
  <c r="P64" i="2"/>
  <c r="P66" i="2"/>
  <c r="P68" i="2"/>
  <c r="P70" i="2"/>
  <c r="P72" i="2"/>
  <c r="P74" i="2"/>
  <c r="P76" i="2"/>
  <c r="P41" i="2"/>
  <c r="P43" i="2"/>
  <c r="P40" i="2"/>
  <c r="P42" i="2"/>
  <c r="N23" i="2"/>
  <c r="N50" i="2"/>
  <c r="N52" i="2"/>
  <c r="N54" i="2"/>
  <c r="N56" i="2"/>
  <c r="N58" i="2"/>
  <c r="N60" i="2"/>
  <c r="N62" i="2"/>
  <c r="N64" i="2"/>
  <c r="N66" i="2"/>
  <c r="N68" i="2"/>
  <c r="N70" i="2"/>
  <c r="N72" i="2"/>
  <c r="N74" i="2"/>
  <c r="N76" i="2"/>
  <c r="N49" i="2"/>
  <c r="N53" i="2"/>
  <c r="N57" i="2"/>
  <c r="N61" i="2"/>
  <c r="N65" i="2"/>
  <c r="N69" i="2"/>
  <c r="N73" i="2"/>
  <c r="N51" i="2"/>
  <c r="N55" i="2"/>
  <c r="N59" i="2"/>
  <c r="N63" i="2"/>
  <c r="N67" i="2"/>
  <c r="N71" i="2"/>
  <c r="N75" i="2"/>
  <c r="N41" i="2"/>
  <c r="N43" i="2"/>
  <c r="N40" i="2"/>
  <c r="N42" i="2"/>
  <c r="L50" i="2"/>
  <c r="L52" i="2"/>
  <c r="L54" i="2"/>
  <c r="L56" i="2"/>
  <c r="L58" i="2"/>
  <c r="L60" i="2"/>
  <c r="L62" i="2"/>
  <c r="L64" i="2"/>
  <c r="L66" i="2"/>
  <c r="L68" i="2"/>
  <c r="L70" i="2"/>
  <c r="L72" i="2"/>
  <c r="L74" i="2"/>
  <c r="L76" i="2"/>
  <c r="L49" i="2"/>
  <c r="L53" i="2"/>
  <c r="L57" i="2"/>
  <c r="L61" i="2"/>
  <c r="L65" i="2"/>
  <c r="L69" i="2"/>
  <c r="L73" i="2"/>
  <c r="L51" i="2"/>
  <c r="L55" i="2"/>
  <c r="L59" i="2"/>
  <c r="L63" i="2"/>
  <c r="L67" i="2"/>
  <c r="L71" i="2"/>
  <c r="L75" i="2"/>
  <c r="L41" i="2"/>
  <c r="L43" i="2"/>
  <c r="L40" i="2"/>
  <c r="L42" i="2"/>
  <c r="J23" i="2"/>
  <c r="J50" i="2"/>
  <c r="J52" i="2"/>
  <c r="J54" i="2"/>
  <c r="J56" i="2"/>
  <c r="J58" i="2"/>
  <c r="J60" i="2"/>
  <c r="J62" i="2"/>
  <c r="J64" i="2"/>
  <c r="J66" i="2"/>
  <c r="J68" i="2"/>
  <c r="J70" i="2"/>
  <c r="J72" i="2"/>
  <c r="J74" i="2"/>
  <c r="J76" i="2"/>
  <c r="J49" i="2"/>
  <c r="J53" i="2"/>
  <c r="J57" i="2"/>
  <c r="J61" i="2"/>
  <c r="J65" i="2"/>
  <c r="J69" i="2"/>
  <c r="J73" i="2"/>
  <c r="J51" i="2"/>
  <c r="J55" i="2"/>
  <c r="J59" i="2"/>
  <c r="J63" i="2"/>
  <c r="J67" i="2"/>
  <c r="J71" i="2"/>
  <c r="J75" i="2"/>
  <c r="J41" i="2"/>
  <c r="J43" i="2"/>
  <c r="J40" i="2"/>
  <c r="J42" i="2"/>
  <c r="H50" i="2"/>
  <c r="H49" i="2"/>
  <c r="H52" i="2"/>
  <c r="H54" i="2"/>
  <c r="H56" i="2"/>
  <c r="H58" i="2"/>
  <c r="H60" i="2"/>
  <c r="H62" i="2"/>
  <c r="H64" i="2"/>
  <c r="H66" i="2"/>
  <c r="H68" i="2"/>
  <c r="H70" i="2"/>
  <c r="H72" i="2"/>
  <c r="H74" i="2"/>
  <c r="H76" i="2"/>
  <c r="H51" i="2"/>
  <c r="H53" i="2"/>
  <c r="H55" i="2"/>
  <c r="H57" i="2"/>
  <c r="H59" i="2"/>
  <c r="H61" i="2"/>
  <c r="H63" i="2"/>
  <c r="H65" i="2"/>
  <c r="H67" i="2"/>
  <c r="H69" i="2"/>
  <c r="H71" i="2"/>
  <c r="H73" i="2"/>
  <c r="H75" i="2"/>
  <c r="H41" i="2"/>
  <c r="H43" i="2"/>
  <c r="H40" i="2"/>
  <c r="H42" i="2"/>
  <c r="F23" i="2"/>
  <c r="F50" i="2"/>
  <c r="F52" i="2"/>
  <c r="F54" i="2"/>
  <c r="F56" i="2"/>
  <c r="F58" i="2"/>
  <c r="F60" i="2"/>
  <c r="F62" i="2"/>
  <c r="F64" i="2"/>
  <c r="F66" i="2"/>
  <c r="F68" i="2"/>
  <c r="F70" i="2"/>
  <c r="F72" i="2"/>
  <c r="F74" i="2"/>
  <c r="F76" i="2"/>
  <c r="F49" i="2"/>
  <c r="F51" i="2"/>
  <c r="F53" i="2"/>
  <c r="F55" i="2"/>
  <c r="F57" i="2"/>
  <c r="F59" i="2"/>
  <c r="F61" i="2"/>
  <c r="F63" i="2"/>
  <c r="F65" i="2"/>
  <c r="F67" i="2"/>
  <c r="F69" i="2"/>
  <c r="F71" i="2"/>
  <c r="F73" i="2"/>
  <c r="F75" i="2"/>
  <c r="F41" i="2"/>
  <c r="F43" i="2"/>
  <c r="F40" i="2"/>
  <c r="F42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15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41" i="2"/>
  <c r="D43" i="2"/>
  <c r="D40" i="2"/>
  <c r="D42" i="2"/>
  <c r="U20" i="2"/>
  <c r="U50" i="2"/>
  <c r="U52" i="2"/>
  <c r="U54" i="2"/>
  <c r="U56" i="2"/>
  <c r="U58" i="2"/>
  <c r="U60" i="2"/>
  <c r="U62" i="2"/>
  <c r="U64" i="2"/>
  <c r="U66" i="2"/>
  <c r="U68" i="2"/>
  <c r="U70" i="2"/>
  <c r="U72" i="2"/>
  <c r="U74" i="2"/>
  <c r="U49" i="2"/>
  <c r="U53" i="2"/>
  <c r="U57" i="2"/>
  <c r="U61" i="2"/>
  <c r="U65" i="2"/>
  <c r="U69" i="2"/>
  <c r="U73" i="2"/>
  <c r="U76" i="2"/>
  <c r="U51" i="2"/>
  <c r="U59" i="2"/>
  <c r="U67" i="2"/>
  <c r="U75" i="2"/>
  <c r="U55" i="2"/>
  <c r="U63" i="2"/>
  <c r="U71" i="2"/>
  <c r="U48" i="2"/>
  <c r="U41" i="2"/>
  <c r="U43" i="2"/>
  <c r="U40" i="2"/>
  <c r="U42" i="2"/>
  <c r="P15" i="2"/>
  <c r="L15" i="2"/>
  <c r="H15" i="2"/>
  <c r="P16" i="2"/>
  <c r="L16" i="2"/>
  <c r="H16" i="2"/>
  <c r="D16" i="2"/>
  <c r="U17" i="2"/>
  <c r="R18" i="2"/>
  <c r="N18" i="2"/>
  <c r="J18" i="2"/>
  <c r="F18" i="2"/>
  <c r="U19" i="2"/>
  <c r="R20" i="2"/>
  <c r="N20" i="2"/>
  <c r="J20" i="2"/>
  <c r="F20" i="2"/>
  <c r="U21" i="2"/>
  <c r="R22" i="2"/>
  <c r="N22" i="2"/>
  <c r="J22" i="2"/>
  <c r="F22" i="2"/>
  <c r="U23" i="2"/>
  <c r="AF23" i="2"/>
  <c r="Y56" i="2"/>
  <c r="AF56" i="2" s="1"/>
  <c r="AF21" i="2"/>
  <c r="Y54" i="2"/>
  <c r="AF54" i="2" s="1"/>
  <c r="AF19" i="2"/>
  <c r="Y52" i="2"/>
  <c r="AF52" i="2" s="1"/>
  <c r="AF17" i="2"/>
  <c r="Y50" i="2"/>
  <c r="AF50" i="2" s="1"/>
  <c r="AF15" i="2"/>
  <c r="AB48" i="2"/>
  <c r="AF22" i="2"/>
  <c r="AB55" i="2"/>
  <c r="AF20" i="2"/>
  <c r="AB53" i="2"/>
  <c r="AF18" i="2"/>
  <c r="AB51" i="2"/>
  <c r="AF16" i="2"/>
  <c r="AB49" i="2"/>
  <c r="B49" i="2"/>
  <c r="B51" i="2"/>
  <c r="B53" i="2"/>
  <c r="B55" i="2"/>
  <c r="B57" i="2"/>
  <c r="B59" i="2"/>
  <c r="B61" i="2"/>
  <c r="B63" i="2"/>
  <c r="B65" i="2"/>
  <c r="B67" i="2"/>
  <c r="B69" i="2"/>
  <c r="B71" i="2"/>
  <c r="B73" i="2"/>
  <c r="B75" i="2"/>
  <c r="B15" i="2"/>
  <c r="B50" i="2"/>
  <c r="B52" i="2"/>
  <c r="B54" i="2"/>
  <c r="B56" i="2"/>
  <c r="B58" i="2"/>
  <c r="B60" i="2"/>
  <c r="B62" i="2"/>
  <c r="B64" i="2"/>
  <c r="B66" i="2"/>
  <c r="B68" i="2"/>
  <c r="B70" i="2"/>
  <c r="B72" i="2"/>
  <c r="B74" i="2"/>
  <c r="B76" i="2"/>
  <c r="B16" i="2"/>
  <c r="B41" i="2"/>
  <c r="B40" i="2"/>
  <c r="B42" i="2"/>
  <c r="B43" i="2"/>
  <c r="S50" i="2"/>
  <c r="S52" i="2"/>
  <c r="S54" i="2"/>
  <c r="S56" i="2"/>
  <c r="S58" i="2"/>
  <c r="S60" i="2"/>
  <c r="S62" i="2"/>
  <c r="S64" i="2"/>
  <c r="S66" i="2"/>
  <c r="S68" i="2"/>
  <c r="S70" i="2"/>
  <c r="S72" i="2"/>
  <c r="S74" i="2"/>
  <c r="S76" i="2"/>
  <c r="S51" i="2"/>
  <c r="S55" i="2"/>
  <c r="S59" i="2"/>
  <c r="S63" i="2"/>
  <c r="S67" i="2"/>
  <c r="S71" i="2"/>
  <c r="S75" i="2"/>
  <c r="S49" i="2"/>
  <c r="S53" i="2"/>
  <c r="S57" i="2"/>
  <c r="S61" i="2"/>
  <c r="S65" i="2"/>
  <c r="S69" i="2"/>
  <c r="S73" i="2"/>
  <c r="S48" i="2"/>
  <c r="O49" i="2"/>
  <c r="O51" i="2"/>
  <c r="O53" i="2"/>
  <c r="O55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O57" i="2"/>
  <c r="O61" i="2"/>
  <c r="O65" i="2"/>
  <c r="O69" i="2"/>
  <c r="O73" i="2"/>
  <c r="O59" i="2"/>
  <c r="O63" i="2"/>
  <c r="O67" i="2"/>
  <c r="O71" i="2"/>
  <c r="O75" i="2"/>
  <c r="O41" i="2"/>
  <c r="O43" i="2"/>
  <c r="O40" i="2"/>
  <c r="O42" i="2"/>
  <c r="K17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49" i="2"/>
  <c r="K53" i="2"/>
  <c r="K57" i="2"/>
  <c r="K61" i="2"/>
  <c r="K65" i="2"/>
  <c r="K69" i="2"/>
  <c r="K73" i="2"/>
  <c r="K51" i="2"/>
  <c r="K55" i="2"/>
  <c r="K59" i="2"/>
  <c r="K63" i="2"/>
  <c r="K67" i="2"/>
  <c r="K71" i="2"/>
  <c r="K75" i="2"/>
  <c r="K41" i="2"/>
  <c r="K43" i="2"/>
  <c r="K40" i="2"/>
  <c r="K42" i="2"/>
  <c r="G22" i="2"/>
  <c r="G50" i="2"/>
  <c r="G52" i="2"/>
  <c r="G54" i="2"/>
  <c r="G56" i="2"/>
  <c r="G58" i="2"/>
  <c r="G60" i="2"/>
  <c r="G62" i="2"/>
  <c r="G64" i="2"/>
  <c r="G66" i="2"/>
  <c r="G68" i="2"/>
  <c r="G70" i="2"/>
  <c r="G72" i="2"/>
  <c r="G74" i="2"/>
  <c r="G76" i="2"/>
  <c r="G49" i="2"/>
  <c r="G51" i="2"/>
  <c r="G53" i="2"/>
  <c r="G55" i="2"/>
  <c r="G57" i="2"/>
  <c r="G59" i="2"/>
  <c r="G61" i="2"/>
  <c r="G63" i="2"/>
  <c r="G65" i="2"/>
  <c r="G67" i="2"/>
  <c r="G69" i="2"/>
  <c r="G71" i="2"/>
  <c r="G73" i="2"/>
  <c r="G75" i="2"/>
  <c r="G41" i="2"/>
  <c r="G43" i="2"/>
  <c r="G40" i="2"/>
  <c r="G42" i="2"/>
  <c r="C17" i="2"/>
  <c r="C50" i="2"/>
  <c r="C52" i="2"/>
  <c r="C54" i="2"/>
  <c r="C56" i="2"/>
  <c r="C58" i="2"/>
  <c r="C60" i="2"/>
  <c r="C62" i="2"/>
  <c r="C64" i="2"/>
  <c r="C66" i="2"/>
  <c r="C68" i="2"/>
  <c r="C70" i="2"/>
  <c r="C72" i="2"/>
  <c r="C74" i="2"/>
  <c r="C76" i="2"/>
  <c r="C49" i="2"/>
  <c r="C51" i="2"/>
  <c r="C53" i="2"/>
  <c r="C55" i="2"/>
  <c r="C57" i="2"/>
  <c r="C59" i="2"/>
  <c r="C61" i="2"/>
  <c r="C63" i="2"/>
  <c r="C65" i="2"/>
  <c r="C67" i="2"/>
  <c r="C69" i="2"/>
  <c r="C71" i="2"/>
  <c r="C73" i="2"/>
  <c r="C75" i="2"/>
  <c r="C15" i="2"/>
  <c r="C41" i="2"/>
  <c r="C43" i="2"/>
  <c r="C40" i="2"/>
  <c r="C42" i="2"/>
  <c r="Q15" i="2"/>
  <c r="M15" i="2"/>
  <c r="I15" i="2"/>
  <c r="E15" i="2"/>
  <c r="R16" i="2"/>
  <c r="N16" i="2"/>
  <c r="J16" i="2"/>
  <c r="B18" i="2"/>
  <c r="P18" i="2"/>
  <c r="L18" i="2"/>
  <c r="H18" i="2"/>
  <c r="D18" i="2"/>
  <c r="P20" i="2"/>
  <c r="L20" i="2"/>
  <c r="H20" i="2"/>
  <c r="D20" i="2"/>
  <c r="P22" i="2"/>
  <c r="L22" i="2"/>
  <c r="H22" i="2"/>
  <c r="D22" i="2"/>
  <c r="AF55" i="2"/>
  <c r="AF53" i="2"/>
  <c r="AF51" i="2"/>
  <c r="AF49" i="2"/>
  <c r="AF24" i="2"/>
  <c r="AB57" i="2"/>
  <c r="AF57" i="2" s="1"/>
  <c r="V20" i="5"/>
  <c r="AC20" i="5" s="1"/>
  <c r="AD28" i="2"/>
  <c r="AD61" i="2" s="1"/>
  <c r="O24" i="2"/>
  <c r="O28" i="2"/>
  <c r="O32" i="2"/>
  <c r="O36" i="2"/>
  <c r="O25" i="2"/>
  <c r="O29" i="2"/>
  <c r="O33" i="2"/>
  <c r="O37" i="2"/>
  <c r="O26" i="2"/>
  <c r="O30" i="2"/>
  <c r="O34" i="2"/>
  <c r="O38" i="2"/>
  <c r="O27" i="2"/>
  <c r="O31" i="2"/>
  <c r="O35" i="2"/>
  <c r="O39" i="2"/>
  <c r="AC12" i="1"/>
  <c r="B26" i="2"/>
  <c r="B30" i="2"/>
  <c r="B34" i="2"/>
  <c r="B38" i="2"/>
  <c r="B27" i="2"/>
  <c r="B31" i="2"/>
  <c r="B35" i="2"/>
  <c r="B39" i="2"/>
  <c r="B24" i="2"/>
  <c r="B28" i="2"/>
  <c r="B32" i="2"/>
  <c r="B36" i="2"/>
  <c r="B25" i="2"/>
  <c r="B29" i="2"/>
  <c r="B33" i="2"/>
  <c r="B37" i="2"/>
  <c r="M24" i="2"/>
  <c r="M28" i="2"/>
  <c r="M32" i="2"/>
  <c r="M36" i="2"/>
  <c r="M25" i="2"/>
  <c r="M29" i="2"/>
  <c r="M33" i="2"/>
  <c r="M37" i="2"/>
  <c r="M26" i="2"/>
  <c r="M30" i="2"/>
  <c r="M34" i="2"/>
  <c r="M38" i="2"/>
  <c r="M27" i="2"/>
  <c r="M31" i="2"/>
  <c r="M35" i="2"/>
  <c r="M39" i="2"/>
  <c r="E26" i="2"/>
  <c r="E30" i="2"/>
  <c r="E34" i="2"/>
  <c r="E38" i="2"/>
  <c r="E27" i="2"/>
  <c r="E31" i="2"/>
  <c r="E35" i="2"/>
  <c r="E39" i="2"/>
  <c r="E24" i="2"/>
  <c r="E28" i="2"/>
  <c r="E32" i="2"/>
  <c r="E36" i="2"/>
  <c r="E25" i="2"/>
  <c r="E29" i="2"/>
  <c r="E33" i="2"/>
  <c r="E37" i="2"/>
  <c r="O15" i="2"/>
  <c r="G15" i="2"/>
  <c r="B20" i="2"/>
  <c r="Q17" i="2"/>
  <c r="I17" i="2"/>
  <c r="O19" i="2"/>
  <c r="G19" i="2"/>
  <c r="M21" i="2"/>
  <c r="O23" i="2"/>
  <c r="K23" i="2"/>
  <c r="C23" i="2"/>
  <c r="AC11" i="1"/>
  <c r="AC7" i="1"/>
  <c r="P24" i="2"/>
  <c r="P28" i="2"/>
  <c r="P32" i="2"/>
  <c r="P36" i="2"/>
  <c r="P25" i="2"/>
  <c r="P29" i="2"/>
  <c r="P33" i="2"/>
  <c r="P37" i="2"/>
  <c r="P26" i="2"/>
  <c r="P30" i="2"/>
  <c r="P34" i="2"/>
  <c r="P38" i="2"/>
  <c r="P27" i="2"/>
  <c r="P31" i="2"/>
  <c r="P35" i="2"/>
  <c r="P39" i="2"/>
  <c r="L24" i="2"/>
  <c r="L28" i="2"/>
  <c r="L32" i="2"/>
  <c r="L36" i="2"/>
  <c r="L25" i="2"/>
  <c r="L29" i="2"/>
  <c r="L33" i="2"/>
  <c r="L37" i="2"/>
  <c r="L26" i="2"/>
  <c r="L30" i="2"/>
  <c r="L34" i="2"/>
  <c r="L38" i="2"/>
  <c r="L27" i="2"/>
  <c r="L31" i="2"/>
  <c r="L35" i="2"/>
  <c r="L39" i="2"/>
  <c r="H24" i="2"/>
  <c r="H28" i="2"/>
  <c r="H32" i="2"/>
  <c r="H36" i="2"/>
  <c r="H26" i="2"/>
  <c r="H30" i="2"/>
  <c r="H34" i="2"/>
  <c r="H38" i="2"/>
  <c r="H27" i="2"/>
  <c r="H31" i="2"/>
  <c r="H35" i="2"/>
  <c r="H39" i="2"/>
  <c r="H37" i="2"/>
  <c r="H25" i="2"/>
  <c r="H29" i="2"/>
  <c r="H33" i="2"/>
  <c r="D26" i="2"/>
  <c r="D30" i="2"/>
  <c r="D34" i="2"/>
  <c r="D38" i="2"/>
  <c r="D27" i="2"/>
  <c r="D31" i="2"/>
  <c r="D35" i="2"/>
  <c r="D39" i="2"/>
  <c r="D24" i="2"/>
  <c r="D28" i="2"/>
  <c r="D32" i="2"/>
  <c r="D36" i="2"/>
  <c r="D25" i="2"/>
  <c r="D29" i="2"/>
  <c r="D33" i="2"/>
  <c r="D37" i="2"/>
  <c r="R15" i="2"/>
  <c r="N15" i="2"/>
  <c r="J15" i="2"/>
  <c r="F15" i="2"/>
  <c r="U16" i="2"/>
  <c r="Q16" i="2"/>
  <c r="M16" i="2"/>
  <c r="I16" i="2"/>
  <c r="E16" i="2"/>
  <c r="B17" i="2"/>
  <c r="B21" i="2"/>
  <c r="P17" i="2"/>
  <c r="L17" i="2"/>
  <c r="H17" i="2"/>
  <c r="D17" i="2"/>
  <c r="O18" i="2"/>
  <c r="K18" i="2"/>
  <c r="G18" i="2"/>
  <c r="C18" i="2"/>
  <c r="R19" i="2"/>
  <c r="N19" i="2"/>
  <c r="J19" i="2"/>
  <c r="F19" i="2"/>
  <c r="Q20" i="2"/>
  <c r="M20" i="2"/>
  <c r="I20" i="2"/>
  <c r="E20" i="2"/>
  <c r="P21" i="2"/>
  <c r="L21" i="2"/>
  <c r="H21" i="2"/>
  <c r="D21" i="2"/>
  <c r="O22" i="2"/>
  <c r="K22" i="2"/>
  <c r="C22" i="2"/>
  <c r="G24" i="2"/>
  <c r="G28" i="2"/>
  <c r="G32" i="2"/>
  <c r="G36" i="2"/>
  <c r="G26" i="2"/>
  <c r="G30" i="2"/>
  <c r="G34" i="2"/>
  <c r="G27" i="2"/>
  <c r="G31" i="2"/>
  <c r="G35" i="2"/>
  <c r="G37" i="2"/>
  <c r="G25" i="2"/>
  <c r="G38" i="2"/>
  <c r="G29" i="2"/>
  <c r="G39" i="2"/>
  <c r="G33" i="2"/>
  <c r="B22" i="2"/>
  <c r="Q19" i="2"/>
  <c r="I19" i="2"/>
  <c r="E19" i="2"/>
  <c r="G21" i="2"/>
  <c r="Q23" i="2"/>
  <c r="M23" i="2"/>
  <c r="I23" i="2"/>
  <c r="E23" i="2"/>
  <c r="K20" i="3"/>
  <c r="K21" i="3" s="1"/>
  <c r="K22" i="3" s="1"/>
  <c r="K24" i="2"/>
  <c r="K28" i="2"/>
  <c r="K32" i="2"/>
  <c r="K36" i="2"/>
  <c r="K25" i="2"/>
  <c r="K29" i="2"/>
  <c r="K33" i="2"/>
  <c r="K37" i="2"/>
  <c r="K26" i="2"/>
  <c r="K30" i="2"/>
  <c r="K34" i="2"/>
  <c r="K38" i="2"/>
  <c r="K27" i="2"/>
  <c r="K31" i="2"/>
  <c r="K35" i="2"/>
  <c r="K39" i="2"/>
  <c r="C26" i="2"/>
  <c r="C30" i="2"/>
  <c r="C34" i="2"/>
  <c r="C38" i="2"/>
  <c r="C27" i="2"/>
  <c r="C31" i="2"/>
  <c r="C35" i="2"/>
  <c r="C39" i="2"/>
  <c r="C24" i="2"/>
  <c r="C28" i="2"/>
  <c r="C32" i="2"/>
  <c r="C36" i="2"/>
  <c r="C25" i="2"/>
  <c r="C29" i="2"/>
  <c r="C33" i="2"/>
  <c r="C37" i="2"/>
  <c r="O17" i="2"/>
  <c r="G17" i="2"/>
  <c r="M19" i="2"/>
  <c r="O21" i="2"/>
  <c r="K21" i="2"/>
  <c r="C21" i="2"/>
  <c r="AC6" i="1"/>
  <c r="AC10" i="1"/>
  <c r="R24" i="2"/>
  <c r="R28" i="2"/>
  <c r="R32" i="2"/>
  <c r="R36" i="2"/>
  <c r="R25" i="2"/>
  <c r="R29" i="2"/>
  <c r="R33" i="2"/>
  <c r="R37" i="2"/>
  <c r="R26" i="2"/>
  <c r="R30" i="2"/>
  <c r="R34" i="2"/>
  <c r="R38" i="2"/>
  <c r="R27" i="2"/>
  <c r="R31" i="2"/>
  <c r="R35" i="2"/>
  <c r="R39" i="2"/>
  <c r="N24" i="2"/>
  <c r="N28" i="2"/>
  <c r="N32" i="2"/>
  <c r="N36" i="2"/>
  <c r="N25" i="2"/>
  <c r="N29" i="2"/>
  <c r="N33" i="2"/>
  <c r="N37" i="2"/>
  <c r="N26" i="2"/>
  <c r="N30" i="2"/>
  <c r="N34" i="2"/>
  <c r="N38" i="2"/>
  <c r="N27" i="2"/>
  <c r="N31" i="2"/>
  <c r="N35" i="2"/>
  <c r="N39" i="2"/>
  <c r="J24" i="2"/>
  <c r="J28" i="2"/>
  <c r="J32" i="2"/>
  <c r="J36" i="2"/>
  <c r="J25" i="2"/>
  <c r="J29" i="2"/>
  <c r="J33" i="2"/>
  <c r="J37" i="2"/>
  <c r="J26" i="2"/>
  <c r="J30" i="2"/>
  <c r="J34" i="2"/>
  <c r="J38" i="2"/>
  <c r="J27" i="2"/>
  <c r="J31" i="2"/>
  <c r="J35" i="2"/>
  <c r="J39" i="2"/>
  <c r="F24" i="2"/>
  <c r="F26" i="2"/>
  <c r="F30" i="2"/>
  <c r="F34" i="2"/>
  <c r="F38" i="2"/>
  <c r="F27" i="2"/>
  <c r="F31" i="2"/>
  <c r="F35" i="2"/>
  <c r="F39" i="2"/>
  <c r="F28" i="2"/>
  <c r="F32" i="2"/>
  <c r="F36" i="2"/>
  <c r="F25" i="2"/>
  <c r="F29" i="2"/>
  <c r="F33" i="2"/>
  <c r="F37" i="2"/>
  <c r="U24" i="2"/>
  <c r="U28" i="2"/>
  <c r="U32" i="2"/>
  <c r="U36" i="2"/>
  <c r="U25" i="2"/>
  <c r="U29" i="2"/>
  <c r="U33" i="2"/>
  <c r="U37" i="2"/>
  <c r="U26" i="2"/>
  <c r="U30" i="2"/>
  <c r="U34" i="2"/>
  <c r="U38" i="2"/>
  <c r="U27" i="2"/>
  <c r="U31" i="2"/>
  <c r="U35" i="2"/>
  <c r="U39" i="2"/>
  <c r="O16" i="2"/>
  <c r="K16" i="2"/>
  <c r="G16" i="2"/>
  <c r="C16" i="2"/>
  <c r="B19" i="2"/>
  <c r="B23" i="2"/>
  <c r="R17" i="2"/>
  <c r="N17" i="2"/>
  <c r="J17" i="2"/>
  <c r="F17" i="2"/>
  <c r="U18" i="2"/>
  <c r="Q18" i="2"/>
  <c r="M18" i="2"/>
  <c r="I18" i="2"/>
  <c r="E18" i="2"/>
  <c r="P19" i="2"/>
  <c r="L19" i="2"/>
  <c r="H19" i="2"/>
  <c r="D19" i="2"/>
  <c r="O20" i="2"/>
  <c r="K20" i="2"/>
  <c r="G20" i="2"/>
  <c r="C20" i="2"/>
  <c r="R21" i="2"/>
  <c r="N21" i="2"/>
  <c r="J21" i="2"/>
  <c r="F21" i="2"/>
  <c r="U22" i="2"/>
  <c r="M22" i="2"/>
  <c r="E22" i="2"/>
  <c r="P23" i="2"/>
  <c r="L23" i="2"/>
  <c r="H23" i="2"/>
  <c r="D23" i="2"/>
  <c r="R17" i="1"/>
  <c r="V16" i="1"/>
  <c r="AC16" i="1" s="1"/>
  <c r="F17" i="3"/>
  <c r="AB25" i="2"/>
  <c r="Q24" i="2"/>
  <c r="Q28" i="2"/>
  <c r="Q32" i="2"/>
  <c r="Q36" i="2"/>
  <c r="Q25" i="2"/>
  <c r="Q29" i="2"/>
  <c r="Q33" i="2"/>
  <c r="Q37" i="2"/>
  <c r="Q26" i="2"/>
  <c r="Q30" i="2"/>
  <c r="Q34" i="2"/>
  <c r="Q38" i="2"/>
  <c r="Q27" i="2"/>
  <c r="Q31" i="2"/>
  <c r="Q35" i="2"/>
  <c r="Q39" i="2"/>
  <c r="I24" i="2"/>
  <c r="I28" i="2"/>
  <c r="I32" i="2"/>
  <c r="I36" i="2"/>
  <c r="I25" i="2"/>
  <c r="I29" i="2"/>
  <c r="I33" i="2"/>
  <c r="I26" i="2"/>
  <c r="I30" i="2"/>
  <c r="I34" i="2"/>
  <c r="I38" i="2"/>
  <c r="I27" i="2"/>
  <c r="I31" i="2"/>
  <c r="I35" i="2"/>
  <c r="I39" i="2"/>
  <c r="I37" i="2"/>
  <c r="K15" i="2"/>
  <c r="M17" i="2"/>
  <c r="E17" i="2"/>
  <c r="K19" i="2"/>
  <c r="C19" i="2"/>
  <c r="Q21" i="2"/>
  <c r="I21" i="2"/>
  <c r="E21" i="2"/>
  <c r="G23" i="2"/>
  <c r="J20" i="3"/>
  <c r="AD29" i="2" s="1"/>
  <c r="AD62" i="2" s="1"/>
  <c r="AD27" i="2"/>
  <c r="AD60" i="2" s="1"/>
  <c r="V18" i="2"/>
  <c r="AI18" i="2" s="1"/>
  <c r="AJ18" i="2" s="1"/>
  <c r="AC9" i="1"/>
  <c r="AM84" i="2" l="1"/>
  <c r="C29" i="7"/>
  <c r="V28" i="7"/>
  <c r="AC28" i="7" s="1"/>
  <c r="AF25" i="2"/>
  <c r="AB58" i="2"/>
  <c r="AF58" i="2" s="1"/>
  <c r="V22" i="2"/>
  <c r="AI22" i="2" s="1"/>
  <c r="AJ22" i="2" s="1"/>
  <c r="V20" i="2"/>
  <c r="AI20" i="2" s="1"/>
  <c r="AJ20" i="2" s="1"/>
  <c r="V43" i="2"/>
  <c r="AI43" i="2" s="1"/>
  <c r="AJ43" i="2" s="1"/>
  <c r="V40" i="2"/>
  <c r="AI40" i="2" s="1"/>
  <c r="AJ40" i="2" s="1"/>
  <c r="V76" i="2"/>
  <c r="AI76" i="2" s="1"/>
  <c r="AJ76" i="2" s="1"/>
  <c r="V72" i="2"/>
  <c r="AI72" i="2" s="1"/>
  <c r="AJ72" i="2" s="1"/>
  <c r="V68" i="2"/>
  <c r="AI68" i="2" s="1"/>
  <c r="AJ68" i="2" s="1"/>
  <c r="V64" i="2"/>
  <c r="AI64" i="2" s="1"/>
  <c r="AJ64" i="2" s="1"/>
  <c r="V60" i="2"/>
  <c r="AI60" i="2" s="1"/>
  <c r="AJ60" i="2" s="1"/>
  <c r="V56" i="2"/>
  <c r="AI56" i="2" s="1"/>
  <c r="AJ56" i="2" s="1"/>
  <c r="V52" i="2"/>
  <c r="AI52" i="2" s="1"/>
  <c r="AJ52" i="2" s="1"/>
  <c r="V73" i="2"/>
  <c r="AI73" i="2" s="1"/>
  <c r="AJ73" i="2" s="1"/>
  <c r="V69" i="2"/>
  <c r="AI69" i="2" s="1"/>
  <c r="AJ69" i="2" s="1"/>
  <c r="V65" i="2"/>
  <c r="AI65" i="2" s="1"/>
  <c r="AJ65" i="2" s="1"/>
  <c r="V61" i="2"/>
  <c r="AI61" i="2" s="1"/>
  <c r="AJ61" i="2" s="1"/>
  <c r="V57" i="2"/>
  <c r="AI57" i="2" s="1"/>
  <c r="AJ57" i="2" s="1"/>
  <c r="V53" i="2"/>
  <c r="AI53" i="2" s="1"/>
  <c r="AJ53" i="2" s="1"/>
  <c r="V49" i="2"/>
  <c r="AI49" i="2" s="1"/>
  <c r="AJ49" i="2" s="1"/>
  <c r="V42" i="2"/>
  <c r="AI42" i="2" s="1"/>
  <c r="AJ42" i="2" s="1"/>
  <c r="V41" i="2"/>
  <c r="AI41" i="2" s="1"/>
  <c r="AJ41" i="2" s="1"/>
  <c r="V48" i="2"/>
  <c r="V74" i="2"/>
  <c r="AI74" i="2" s="1"/>
  <c r="AJ74" i="2" s="1"/>
  <c r="V70" i="2"/>
  <c r="AI70" i="2" s="1"/>
  <c r="AJ70" i="2" s="1"/>
  <c r="V66" i="2"/>
  <c r="AI66" i="2" s="1"/>
  <c r="AJ66" i="2" s="1"/>
  <c r="V62" i="2"/>
  <c r="AI62" i="2" s="1"/>
  <c r="AJ62" i="2" s="1"/>
  <c r="V58" i="2"/>
  <c r="AI58" i="2" s="1"/>
  <c r="AJ58" i="2" s="1"/>
  <c r="V54" i="2"/>
  <c r="AI54" i="2" s="1"/>
  <c r="AJ54" i="2" s="1"/>
  <c r="V50" i="2"/>
  <c r="AI50" i="2" s="1"/>
  <c r="AJ50" i="2" s="1"/>
  <c r="V75" i="2"/>
  <c r="AI75" i="2" s="1"/>
  <c r="AJ75" i="2" s="1"/>
  <c r="V71" i="2"/>
  <c r="AI71" i="2" s="1"/>
  <c r="AJ71" i="2" s="1"/>
  <c r="V67" i="2"/>
  <c r="AI67" i="2" s="1"/>
  <c r="AJ67" i="2" s="1"/>
  <c r="V63" i="2"/>
  <c r="AI63" i="2" s="1"/>
  <c r="AJ63" i="2" s="1"/>
  <c r="V59" i="2"/>
  <c r="AI59" i="2" s="1"/>
  <c r="AJ59" i="2" s="1"/>
  <c r="V55" i="2"/>
  <c r="AI55" i="2" s="1"/>
  <c r="AJ55" i="2" s="1"/>
  <c r="V51" i="2"/>
  <c r="AI51" i="2" s="1"/>
  <c r="AJ51" i="2" s="1"/>
  <c r="AN18" i="2" s="1"/>
  <c r="V21" i="5"/>
  <c r="AC21" i="5" s="1"/>
  <c r="J21" i="3"/>
  <c r="F18" i="3"/>
  <c r="AB26" i="2"/>
  <c r="V17" i="2"/>
  <c r="AI17" i="2" s="1"/>
  <c r="AJ17" i="2" s="1"/>
  <c r="V29" i="2"/>
  <c r="V28" i="2"/>
  <c r="V31" i="2"/>
  <c r="V30" i="2"/>
  <c r="V23" i="2"/>
  <c r="AI23" i="2" s="1"/>
  <c r="AJ23" i="2" s="1"/>
  <c r="V15" i="2"/>
  <c r="AI15" i="2" s="1"/>
  <c r="AJ15" i="2" s="1"/>
  <c r="AM81" i="2" s="1"/>
  <c r="V25" i="2"/>
  <c r="AI25" i="2" s="1"/>
  <c r="AJ25" i="2" s="1"/>
  <c r="V24" i="2"/>
  <c r="AI24" i="2" s="1"/>
  <c r="AJ24" i="2" s="1"/>
  <c r="V27" i="2"/>
  <c r="V26" i="2"/>
  <c r="R18" i="1"/>
  <c r="V17" i="1"/>
  <c r="AC17" i="1" s="1"/>
  <c r="V19" i="2"/>
  <c r="AI19" i="2" s="1"/>
  <c r="AJ19" i="2" s="1"/>
  <c r="V16" i="2"/>
  <c r="AI16" i="2" s="1"/>
  <c r="AJ16" i="2" s="1"/>
  <c r="V37" i="2"/>
  <c r="V36" i="2"/>
  <c r="V39" i="2"/>
  <c r="V38" i="2"/>
  <c r="V21" i="2"/>
  <c r="AI21" i="2" s="1"/>
  <c r="AJ21" i="2" s="1"/>
  <c r="V33" i="2"/>
  <c r="V32" i="2"/>
  <c r="V35" i="2"/>
  <c r="V34" i="2"/>
  <c r="K23" i="3"/>
  <c r="K24" i="3"/>
  <c r="AM87" i="2" l="1"/>
  <c r="AN21" i="2"/>
  <c r="AM85" i="2"/>
  <c r="AN19" i="2"/>
  <c r="AM91" i="2"/>
  <c r="AN25" i="2"/>
  <c r="AM89" i="2"/>
  <c r="AN23" i="2"/>
  <c r="AM107" i="2"/>
  <c r="AN41" i="2"/>
  <c r="AM106" i="2"/>
  <c r="AN40" i="2"/>
  <c r="AM86" i="2"/>
  <c r="AN20" i="2"/>
  <c r="AM82" i="2"/>
  <c r="AN16" i="2"/>
  <c r="AM90" i="2"/>
  <c r="AN24" i="2"/>
  <c r="AM83" i="2"/>
  <c r="AN17" i="2"/>
  <c r="AI48" i="2"/>
  <c r="AJ48" i="2" s="1"/>
  <c r="AN15" i="2" s="1"/>
  <c r="AM108" i="2"/>
  <c r="AN42" i="2"/>
  <c r="AM109" i="2"/>
  <c r="AN43" i="2"/>
  <c r="AM88" i="2"/>
  <c r="AN22" i="2"/>
  <c r="C30" i="7"/>
  <c r="V29" i="7"/>
  <c r="AC29" i="7" s="1"/>
  <c r="AF26" i="2"/>
  <c r="AB59" i="2"/>
  <c r="AF59" i="2" s="1"/>
  <c r="AI26" i="2"/>
  <c r="AJ26" i="2" s="1"/>
  <c r="V22" i="5"/>
  <c r="AC22" i="5" s="1"/>
  <c r="AD30" i="2"/>
  <c r="AD63" i="2" s="1"/>
  <c r="J22" i="3"/>
  <c r="K25" i="3"/>
  <c r="F19" i="3"/>
  <c r="AB27" i="2"/>
  <c r="R19" i="1"/>
  <c r="V18" i="1"/>
  <c r="AC18" i="1" s="1"/>
  <c r="K26" i="3"/>
  <c r="K27" i="3"/>
  <c r="AM92" i="2" l="1"/>
  <c r="AN26" i="2"/>
  <c r="V30" i="7"/>
  <c r="AC30" i="7" s="1"/>
  <c r="C31" i="7"/>
  <c r="AF27" i="2"/>
  <c r="AI27" i="2" s="1"/>
  <c r="AJ27" i="2" s="1"/>
  <c r="AB60" i="2"/>
  <c r="AF60" i="2" s="1"/>
  <c r="V23" i="5"/>
  <c r="AC23" i="5" s="1"/>
  <c r="R20" i="1"/>
  <c r="V19" i="1"/>
  <c r="AC19" i="1" s="1"/>
  <c r="F20" i="3"/>
  <c r="AB28" i="2"/>
  <c r="AD31" i="2"/>
  <c r="AD64" i="2" s="1"/>
  <c r="J23" i="3"/>
  <c r="K28" i="3"/>
  <c r="K29" i="3" s="1"/>
  <c r="K30" i="3" s="1"/>
  <c r="AM93" i="2" l="1"/>
  <c r="AN27" i="2"/>
  <c r="C32" i="7"/>
  <c r="V31" i="7"/>
  <c r="AF28" i="2"/>
  <c r="AI28" i="2" s="1"/>
  <c r="AJ28" i="2" s="1"/>
  <c r="AB61" i="2"/>
  <c r="AF61" i="2" s="1"/>
  <c r="V24" i="5"/>
  <c r="AC24" i="5" s="1"/>
  <c r="AD32" i="2"/>
  <c r="AD65" i="2" s="1"/>
  <c r="J24" i="3"/>
  <c r="AD33" i="2" s="1"/>
  <c r="AD66" i="2" s="1"/>
  <c r="R21" i="1"/>
  <c r="V20" i="1"/>
  <c r="AC20" i="1" s="1"/>
  <c r="F21" i="3"/>
  <c r="AB29" i="2"/>
  <c r="AM94" i="2" l="1"/>
  <c r="AN28" i="2"/>
  <c r="V32" i="7"/>
  <c r="C33" i="7"/>
  <c r="AF29" i="2"/>
  <c r="AI29" i="2" s="1"/>
  <c r="AJ29" i="2" s="1"/>
  <c r="AB62" i="2"/>
  <c r="AF62" i="2" s="1"/>
  <c r="V25" i="5"/>
  <c r="AC25" i="5" s="1"/>
  <c r="F22" i="3"/>
  <c r="AB30" i="2"/>
  <c r="J26" i="3"/>
  <c r="AD35" i="2" s="1"/>
  <c r="AD68" i="2" s="1"/>
  <c r="J25" i="3"/>
  <c r="AD34" i="2" s="1"/>
  <c r="AD67" i="2" s="1"/>
  <c r="R22" i="1"/>
  <c r="V21" i="1"/>
  <c r="AC21" i="1" s="1"/>
  <c r="AM95" i="2" l="1"/>
  <c r="AN29" i="2"/>
  <c r="C34" i="7"/>
  <c r="V34" i="7" s="1"/>
  <c r="V33" i="7"/>
  <c r="AF30" i="2"/>
  <c r="AI30" i="2" s="1"/>
  <c r="AJ30" i="2" s="1"/>
  <c r="AB63" i="2"/>
  <c r="AF63" i="2" s="1"/>
  <c r="V26" i="5"/>
  <c r="AC26" i="5" s="1"/>
  <c r="R23" i="1"/>
  <c r="V22" i="1"/>
  <c r="AC22" i="1" s="1"/>
  <c r="J27" i="3"/>
  <c r="AD36" i="2" s="1"/>
  <c r="AD69" i="2" s="1"/>
  <c r="F23" i="3"/>
  <c r="AB31" i="2"/>
  <c r="AM96" i="2" l="1"/>
  <c r="AN30" i="2"/>
  <c r="AF31" i="2"/>
  <c r="AI31" i="2" s="1"/>
  <c r="AJ31" i="2" s="1"/>
  <c r="AB64" i="2"/>
  <c r="AF64" i="2" s="1"/>
  <c r="V27" i="5"/>
  <c r="AC27" i="5" s="1"/>
  <c r="R24" i="1"/>
  <c r="V23" i="1"/>
  <c r="AC23" i="1" s="1"/>
  <c r="F24" i="3"/>
  <c r="AB32" i="2"/>
  <c r="J28" i="3"/>
  <c r="AM97" i="2" l="1"/>
  <c r="AN31" i="2"/>
  <c r="AF32" i="2"/>
  <c r="AI32" i="2" s="1"/>
  <c r="AJ32" i="2" s="1"/>
  <c r="AB65" i="2"/>
  <c r="AF65" i="2" s="1"/>
  <c r="V28" i="5"/>
  <c r="AC28" i="5" s="1"/>
  <c r="F25" i="3"/>
  <c r="AB33" i="2"/>
  <c r="AD37" i="2"/>
  <c r="AD70" i="2" s="1"/>
  <c r="J30" i="3"/>
  <c r="AD39" i="2" s="1"/>
  <c r="AD72" i="2" s="1"/>
  <c r="J29" i="3"/>
  <c r="AD38" i="2" s="1"/>
  <c r="AD71" i="2" s="1"/>
  <c r="R25" i="1"/>
  <c r="V24" i="1"/>
  <c r="AC24" i="1" s="1"/>
  <c r="AM98" i="2" l="1"/>
  <c r="AN32" i="2"/>
  <c r="AF33" i="2"/>
  <c r="AI33" i="2" s="1"/>
  <c r="AJ33" i="2" s="1"/>
  <c r="AB66" i="2"/>
  <c r="AF66" i="2" s="1"/>
  <c r="V30" i="5"/>
  <c r="AC30" i="5" s="1"/>
  <c r="V29" i="5"/>
  <c r="AC29" i="5" s="1"/>
  <c r="R26" i="1"/>
  <c r="V25" i="1"/>
  <c r="AC25" i="1" s="1"/>
  <c r="F26" i="3"/>
  <c r="AB34" i="2"/>
  <c r="AM99" i="2" l="1"/>
  <c r="AN33" i="2"/>
  <c r="AF34" i="2"/>
  <c r="AI34" i="2" s="1"/>
  <c r="AJ34" i="2" s="1"/>
  <c r="AB67" i="2"/>
  <c r="AF67" i="2" s="1"/>
  <c r="F27" i="3"/>
  <c r="AB35" i="2"/>
  <c r="R27" i="1"/>
  <c r="V26" i="1"/>
  <c r="AC26" i="1" s="1"/>
  <c r="AM100" i="2" l="1"/>
  <c r="AN34" i="2"/>
  <c r="AF35" i="2"/>
  <c r="AI35" i="2" s="1"/>
  <c r="AJ35" i="2" s="1"/>
  <c r="AB68" i="2"/>
  <c r="AF68" i="2" s="1"/>
  <c r="R28" i="1"/>
  <c r="V27" i="1"/>
  <c r="AC27" i="1" s="1"/>
  <c r="F28" i="3"/>
  <c r="AB36" i="2"/>
  <c r="AM101" i="2" l="1"/>
  <c r="AN35" i="2"/>
  <c r="AF36" i="2"/>
  <c r="AI36" i="2" s="1"/>
  <c r="AJ36" i="2" s="1"/>
  <c r="AB69" i="2"/>
  <c r="AF69" i="2" s="1"/>
  <c r="F29" i="3"/>
  <c r="AB37" i="2"/>
  <c r="R29" i="1"/>
  <c r="V28" i="1"/>
  <c r="AC28" i="1" s="1"/>
  <c r="AM102" i="2" l="1"/>
  <c r="AN36" i="2"/>
  <c r="AF37" i="2"/>
  <c r="AI37" i="2" s="1"/>
  <c r="AJ37" i="2" s="1"/>
  <c r="AB70" i="2"/>
  <c r="AF70" i="2" s="1"/>
  <c r="R30" i="1"/>
  <c r="V30" i="1" s="1"/>
  <c r="AC30" i="1" s="1"/>
  <c r="V29" i="1"/>
  <c r="AC29" i="1" s="1"/>
  <c r="F30" i="3"/>
  <c r="AB39" i="2" s="1"/>
  <c r="AB38" i="2"/>
  <c r="AM103" i="2" l="1"/>
  <c r="AN37" i="2"/>
  <c r="AF38" i="2"/>
  <c r="AI38" i="2" s="1"/>
  <c r="AJ38" i="2" s="1"/>
  <c r="AB71" i="2"/>
  <c r="AF71" i="2" s="1"/>
  <c r="AF39" i="2"/>
  <c r="AI39" i="2" s="1"/>
  <c r="AJ39" i="2" s="1"/>
  <c r="AB72" i="2"/>
  <c r="AF72" i="2" s="1"/>
  <c r="AM105" i="2" l="1"/>
  <c r="AN39" i="2"/>
  <c r="AM104" i="2"/>
  <c r="AN38" i="2"/>
</calcChain>
</file>

<file path=xl/sharedStrings.xml><?xml version="1.0" encoding="utf-8"?>
<sst xmlns="http://schemas.openxmlformats.org/spreadsheetml/2006/main" count="467" uniqueCount="165">
  <si>
    <t>Calculation of sequestration from tree planting between 2016 and 2020.</t>
  </si>
  <si>
    <t>Year</t>
  </si>
  <si>
    <t>Dry Lowland Forest</t>
  </si>
  <si>
    <t>Casuarina</t>
  </si>
  <si>
    <t>Euc</t>
  </si>
  <si>
    <t>Tabebuia</t>
  </si>
  <si>
    <t>Scrub Land</t>
  </si>
  <si>
    <t>Moist Forest</t>
  </si>
  <si>
    <t>Araucaria</t>
  </si>
  <si>
    <t>Natural</t>
  </si>
  <si>
    <t>Wet Upland Forest</t>
  </si>
  <si>
    <t>Euc Red</t>
  </si>
  <si>
    <t>Cryptonoria</t>
  </si>
  <si>
    <t>Pine&lt;20y</t>
  </si>
  <si>
    <t>Pine&gt;20y</t>
  </si>
  <si>
    <t>Mangrove</t>
  </si>
  <si>
    <t>Dry Lowland Forest, ha</t>
  </si>
  <si>
    <t>Moist Forest, ha</t>
  </si>
  <si>
    <t>Wet Upland Forest, ha</t>
  </si>
  <si>
    <t>Mangrove Forest, ha</t>
  </si>
  <si>
    <t>TYPES OF FOREST, ha</t>
  </si>
  <si>
    <t>AFOLU Land Types</t>
  </si>
  <si>
    <t>Ecological Zone</t>
  </si>
  <si>
    <t>Category</t>
  </si>
  <si>
    <t>Species</t>
  </si>
  <si>
    <t>Climate Region</t>
  </si>
  <si>
    <t>Ecosystem Type</t>
  </si>
  <si>
    <t>Soil Type</t>
  </si>
  <si>
    <t>Age class</t>
  </si>
  <si>
    <t>G.S (m3/ha)</t>
  </si>
  <si>
    <t>C fraction</t>
  </si>
  <si>
    <t>R</t>
  </si>
  <si>
    <t>BCEF</t>
  </si>
  <si>
    <t>AGB</t>
  </si>
  <si>
    <t>AGB growth</t>
  </si>
  <si>
    <t>SOC</t>
  </si>
  <si>
    <t>Litter C</t>
  </si>
  <si>
    <t>Plantation</t>
  </si>
  <si>
    <t>Tropical Dry</t>
  </si>
  <si>
    <t>Tropical Dry Forest</t>
  </si>
  <si>
    <t>LAC</t>
  </si>
  <si>
    <t>&gt; 20 yr</t>
  </si>
  <si>
    <r>
      <t xml:space="preserve">&gt; 200  </t>
    </r>
    <r>
      <rPr>
        <sz val="11"/>
        <color rgb="FFFF0000"/>
        <rFont val="Calibri"/>
        <family val="2"/>
        <scheme val="minor"/>
      </rPr>
      <t>*</t>
    </r>
  </si>
  <si>
    <t xml:space="preserve">       R &lt; 1000mm</t>
  </si>
  <si>
    <t>Sandy M.</t>
  </si>
  <si>
    <t>81-120</t>
  </si>
  <si>
    <t>Euc.</t>
  </si>
  <si>
    <t>41-80</t>
  </si>
  <si>
    <r>
      <t xml:space="preserve">121-200  </t>
    </r>
    <r>
      <rPr>
        <sz val="11"/>
        <color rgb="FFFF0000"/>
        <rFont val="Calibri"/>
        <family val="2"/>
        <scheme val="minor"/>
      </rPr>
      <t>*</t>
    </r>
  </si>
  <si>
    <t>Natural F.</t>
  </si>
  <si>
    <t>Scrubland</t>
  </si>
  <si>
    <t>21-40</t>
  </si>
  <si>
    <t>Tropical Shrubland</t>
  </si>
  <si>
    <r>
      <t xml:space="preserve">&gt; 20 yr  </t>
    </r>
    <r>
      <rPr>
        <sz val="11"/>
        <color rgb="FFFF0000"/>
        <rFont val="Calibri"/>
        <family val="2"/>
        <scheme val="minor"/>
      </rPr>
      <t>*</t>
    </r>
  </si>
  <si>
    <t>Trop. Moist,Short Dry Season</t>
  </si>
  <si>
    <t>Trop. Moist deciduous F.</t>
  </si>
  <si>
    <t>2000mm&gt;R&gt;1000mm</t>
  </si>
  <si>
    <t>41-60</t>
  </si>
  <si>
    <t xml:space="preserve">Euc. </t>
  </si>
  <si>
    <t>Tropical Wet</t>
  </si>
  <si>
    <t>Tropical rainforest</t>
  </si>
  <si>
    <t>HAC</t>
  </si>
  <si>
    <t>R &gt; 2000mm</t>
  </si>
  <si>
    <t>Cryptomeria</t>
  </si>
  <si>
    <t>61-80</t>
  </si>
  <si>
    <t xml:space="preserve">Pinus </t>
  </si>
  <si>
    <t>&lt; 20 yr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</si>
  <si>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Figures marked </t>
    </r>
    <r>
      <rPr>
        <sz val="11"/>
        <color rgb="FFFF0000"/>
        <rFont val="Calibri"/>
        <family val="2"/>
        <scheme val="minor"/>
      </rPr>
      <t xml:space="preserve">* </t>
    </r>
    <r>
      <rPr>
        <sz val="11"/>
        <rFont val="Calibri"/>
        <family val="2"/>
        <scheme val="minor"/>
      </rPr>
      <t>should be checked for consistencies</t>
    </r>
  </si>
  <si>
    <t>TOTAL</t>
  </si>
  <si>
    <t>ha</t>
  </si>
  <si>
    <t>FOREST</t>
  </si>
  <si>
    <t>Fruits</t>
  </si>
  <si>
    <t>Mixed</t>
  </si>
  <si>
    <t>Orchard</t>
  </si>
  <si>
    <t>Sugarcane</t>
  </si>
  <si>
    <t>Tea</t>
  </si>
  <si>
    <t>CROP LAND, ha</t>
  </si>
  <si>
    <t>CROPLAND</t>
  </si>
  <si>
    <t>LAND</t>
  </si>
  <si>
    <t>Wet Upland Forest Pine&lt;20y</t>
  </si>
  <si>
    <t>Wet Upland Forest Euc Red&lt;20</t>
  </si>
  <si>
    <t>Calculation of annual C stock growth, tC/yr</t>
  </si>
  <si>
    <t>Forest type</t>
  </si>
  <si>
    <t>Gw</t>
  </si>
  <si>
    <t>Forest</t>
  </si>
  <si>
    <t>Carbon fractionof dry matter, CF</t>
  </si>
  <si>
    <t>(tC/t(dm))</t>
  </si>
  <si>
    <t>Gtotal</t>
  </si>
  <si>
    <t>Data entry for loss of C from (1) wood removal, (2) removal of fuelwood, and (3) disturbance.</t>
  </si>
  <si>
    <t>WOOD REMOVAL</t>
  </si>
  <si>
    <t>DLL_Euc</t>
  </si>
  <si>
    <t>WUL_P&gt;20y</t>
  </si>
  <si>
    <t>Type of Forest, m3/yr)</t>
  </si>
  <si>
    <t>FUELWOOD REMOVAL</t>
  </si>
  <si>
    <t>DISTURBANCE</t>
  </si>
  <si>
    <t>Area (ha)</t>
  </si>
  <si>
    <t>Frac BioLoss</t>
  </si>
  <si>
    <t>DLL_Scrubland</t>
  </si>
  <si>
    <t>ANNUAL INCREASE IN CARBON STOCK FOR THE DIFFERENT TREE SPECIES AND FOREST TYPE, tC</t>
  </si>
  <si>
    <t>BCEFr</t>
  </si>
  <si>
    <t>FUELWOOD</t>
  </si>
  <si>
    <t>Bw</t>
  </si>
  <si>
    <t>LOSS TOTAL</t>
  </si>
  <si>
    <t>NET INCREASE IN C STOCK</t>
  </si>
  <si>
    <t>tC/yr</t>
  </si>
  <si>
    <t>GgCO2e/yr</t>
  </si>
  <si>
    <t xml:space="preserve">Tree species planted outside State Forest Lands during period Jan - June 2016 </t>
  </si>
  <si>
    <t>Doubled up to get total in 2016</t>
  </si>
  <si>
    <t>Name</t>
  </si>
  <si>
    <t>Qty (Unit)</t>
  </si>
  <si>
    <t>Extent (ha)</t>
  </si>
  <si>
    <t>Exotic</t>
  </si>
  <si>
    <t>Casuarina equisetifolia</t>
  </si>
  <si>
    <t>Tabebuia pallida</t>
  </si>
  <si>
    <t>Native</t>
  </si>
  <si>
    <t>Diospyros tesselaria</t>
  </si>
  <si>
    <t>Dodonaea viscosa</t>
  </si>
  <si>
    <t>Dracaena concinna</t>
  </si>
  <si>
    <t>Doratoxylon apelatum</t>
  </si>
  <si>
    <t>Eucalyptus robusta</t>
  </si>
  <si>
    <t>Ochna mauritiana</t>
  </si>
  <si>
    <t>Cassine orientalis</t>
  </si>
  <si>
    <t>Pinus elliottii</t>
  </si>
  <si>
    <t>Araucaria columnaris</t>
  </si>
  <si>
    <t>Mimusops petiolaris</t>
  </si>
  <si>
    <t>Labourdonnaisia glauca</t>
  </si>
  <si>
    <t>Erythroxylum sideroxyloides</t>
  </si>
  <si>
    <t>Total</t>
  </si>
  <si>
    <t>Trees</t>
  </si>
  <si>
    <t>ratio native to exotic</t>
  </si>
  <si>
    <t>Exptic</t>
  </si>
  <si>
    <t>Sum</t>
  </si>
  <si>
    <t>sum</t>
  </si>
  <si>
    <t xml:space="preserve">Increasing ratio of native trees </t>
  </si>
  <si>
    <t>for native forests</t>
  </si>
  <si>
    <t>ratio DLL to Moist to WUL</t>
  </si>
  <si>
    <t>DLL</t>
  </si>
  <si>
    <t>Moist</t>
  </si>
  <si>
    <t>WUL</t>
  </si>
  <si>
    <t>for exotic species</t>
  </si>
  <si>
    <t>WLL</t>
  </si>
  <si>
    <t>Pinus</t>
  </si>
  <si>
    <t>Eucalyp</t>
  </si>
  <si>
    <t>Tabebuiia</t>
  </si>
  <si>
    <t>Scenarion 1 - net change GgCO2e</t>
  </si>
  <si>
    <t>This worksheet sets the area for afforestation using abandoned sugra cane land.</t>
  </si>
  <si>
    <t>The calculation makes the following assumptions:</t>
  </si>
  <si>
    <t xml:space="preserve"> - 5000 ha is planted between 2021 and 2050, and this is additioal to the Tree Planting scenario in the Strategic Plan 2016 - 2020</t>
  </si>
  <si>
    <t>- all the land is categorised as Dry Low Land (DLL)</t>
  </si>
  <si>
    <t>- 50% of the area is planted with natives and the other half with exotic</t>
  </si>
  <si>
    <t>- for the exotic species, 50% is Eucalyptus, 25% Tabebuia, and 25% Araucaria</t>
  </si>
  <si>
    <t>2021-2025</t>
  </si>
  <si>
    <t>Total area planted, ha</t>
  </si>
  <si>
    <t>2026-2030</t>
  </si>
  <si>
    <t>2031-2035</t>
  </si>
  <si>
    <t>2036-2040</t>
  </si>
  <si>
    <t>2041-2045</t>
  </si>
  <si>
    <t>2046-2050</t>
  </si>
  <si>
    <t>Annual area planted, ha/yr</t>
  </si>
  <si>
    <t>Exotic species breakdown, %</t>
  </si>
  <si>
    <t>Eucalyptus</t>
  </si>
  <si>
    <t>Annual increase in stock of trees, ha/yr</t>
  </si>
  <si>
    <t>Policy Scenario - tree planting under the Strategic Plan 2016 - 2020 (Scenario 1)</t>
  </si>
  <si>
    <t>Scenario 2 - Afforestation of 5000 ha of DLL as per details given in worksheet 'AbanLand'</t>
  </si>
  <si>
    <t>Scenarion 2 - net change GgCO2e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</si>
</sst>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0"/>
    <numFmt numFmtId="166" formatCode="#,##0.00000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" xfId="0" applyFont="1" applyBorder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Font="1" applyBorder="1"/>
    <xf numFmtId="0" fontId="0" fillId="0" borderId="17" xfId="0" applyBorder="1"/>
    <xf numFmtId="0" fontId="0" fillId="0" borderId="18" xfId="0" applyBorder="1"/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/>
    <xf numFmtId="0" fontId="0" fillId="0" borderId="29" xfId="0" applyBorder="1"/>
    <xf numFmtId="0" fontId="0" fillId="0" borderId="30" xfId="0" applyBorder="1"/>
    <xf numFmtId="0" fontId="0" fillId="0" borderId="20" xfId="0" applyBorder="1"/>
    <xf numFmtId="3" fontId="0" fillId="0" borderId="2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3" fontId="0" fillId="3" borderId="30" xfId="0" applyNumberFormat="1" applyFill="1" applyBorder="1" applyAlignment="1">
      <alignment horizontal="center"/>
    </xf>
    <xf numFmtId="3" fontId="0" fillId="4" borderId="3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0" xfId="0" applyFill="1" applyBorder="1"/>
    <xf numFmtId="0" fontId="0" fillId="0" borderId="29" xfId="0" applyFill="1" applyBorder="1"/>
    <xf numFmtId="0" fontId="0" fillId="0" borderId="19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23" xfId="0" applyFill="1" applyBorder="1"/>
    <xf numFmtId="0" fontId="0" fillId="0" borderId="26" xfId="0" applyFill="1" applyBorder="1"/>
    <xf numFmtId="164" fontId="0" fillId="0" borderId="0" xfId="0" applyNumberFormat="1"/>
    <xf numFmtId="0" fontId="0" fillId="4" borderId="0" xfId="0" applyFill="1"/>
    <xf numFmtId="0" fontId="2" fillId="4" borderId="0" xfId="0" applyFont="1" applyFill="1"/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5" borderId="22" xfId="0" applyNumberFormat="1" applyFill="1" applyBorder="1" applyAlignment="1">
      <alignment horizontal="center"/>
    </xf>
    <xf numFmtId="0" fontId="0" fillId="5" borderId="0" xfId="0" applyFill="1"/>
    <xf numFmtId="3" fontId="0" fillId="5" borderId="0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3" fontId="0" fillId="5" borderId="31" xfId="0" applyNumberFormat="1" applyFill="1" applyBorder="1" applyAlignment="1">
      <alignment horizontal="center"/>
    </xf>
    <xf numFmtId="3" fontId="0" fillId="5" borderId="32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33" xfId="0" applyNumberFormat="1" applyFill="1" applyBorder="1" applyAlignment="1">
      <alignment horizontal="center"/>
    </xf>
    <xf numFmtId="3" fontId="0" fillId="5" borderId="28" xfId="0" applyNumberFormat="1" applyFill="1" applyBorder="1" applyAlignment="1">
      <alignment horizontal="center"/>
    </xf>
    <xf numFmtId="3" fontId="0" fillId="5" borderId="21" xfId="0" applyNumberFormat="1" applyFill="1" applyBorder="1" applyAlignment="1">
      <alignment horizontal="center"/>
    </xf>
    <xf numFmtId="3" fontId="0" fillId="5" borderId="29" xfId="0" applyNumberFormat="1" applyFill="1" applyBorder="1"/>
    <xf numFmtId="3" fontId="0" fillId="5" borderId="19" xfId="0" applyNumberFormat="1" applyFill="1" applyBorder="1"/>
    <xf numFmtId="3" fontId="0" fillId="5" borderId="21" xfId="0" applyNumberFormat="1" applyFill="1" applyBorder="1"/>
    <xf numFmtId="0" fontId="2" fillId="5" borderId="0" xfId="0" applyFont="1" applyFill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5" xfId="0" applyFont="1" applyBorder="1"/>
    <xf numFmtId="3" fontId="0" fillId="0" borderId="1" xfId="0" applyNumberFormat="1" applyBorder="1"/>
    <xf numFmtId="0" fontId="4" fillId="0" borderId="36" xfId="0" applyFont="1" applyBorder="1"/>
    <xf numFmtId="0" fontId="4" fillId="6" borderId="36" xfId="0" applyFont="1" applyFill="1" applyBorder="1"/>
    <xf numFmtId="3" fontId="0" fillId="6" borderId="1" xfId="0" applyNumberFormat="1" applyFill="1" applyBorder="1"/>
    <xf numFmtId="0" fontId="0" fillId="6" borderId="19" xfId="0" applyFill="1" applyBorder="1"/>
    <xf numFmtId="0" fontId="0" fillId="6" borderId="0" xfId="0" applyFill="1"/>
    <xf numFmtId="0" fontId="4" fillId="6" borderId="37" xfId="0" applyFont="1" applyFill="1" applyBorder="1"/>
    <xf numFmtId="3" fontId="0" fillId="6" borderId="16" xfId="0" applyNumberFormat="1" applyFill="1" applyBorder="1"/>
    <xf numFmtId="0" fontId="0" fillId="0" borderId="0" xfId="0" applyAlignment="1">
      <alignment vertical="center"/>
    </xf>
    <xf numFmtId="0" fontId="4" fillId="0" borderId="6" xfId="0" applyFont="1" applyBorder="1"/>
    <xf numFmtId="3" fontId="0" fillId="0" borderId="7" xfId="0" applyNumberFormat="1" applyBorder="1"/>
    <xf numFmtId="0" fontId="4" fillId="0" borderId="11" xfId="0" applyFont="1" applyBorder="1"/>
    <xf numFmtId="0" fontId="4" fillId="6" borderId="1" xfId="0" applyFont="1" applyFill="1" applyBorder="1"/>
    <xf numFmtId="0" fontId="0" fillId="6" borderId="1" xfId="0" applyFill="1" applyBorder="1"/>
    <xf numFmtId="0" fontId="4" fillId="6" borderId="38" xfId="0" applyFont="1" applyFill="1" applyBorder="1"/>
    <xf numFmtId="3" fontId="0" fillId="6" borderId="38" xfId="0" applyNumberFormat="1" applyFill="1" applyBorder="1"/>
    <xf numFmtId="0" fontId="0" fillId="0" borderId="31" xfId="0" applyBorder="1"/>
    <xf numFmtId="0" fontId="0" fillId="0" borderId="32" xfId="0" applyBorder="1"/>
    <xf numFmtId="0" fontId="4" fillId="0" borderId="39" xfId="0" applyFont="1" applyBorder="1"/>
    <xf numFmtId="3" fontId="0" fillId="0" borderId="40" xfId="0" applyNumberFormat="1" applyBorder="1"/>
    <xf numFmtId="0" fontId="0" fillId="0" borderId="33" xfId="0" applyBorder="1"/>
    <xf numFmtId="0" fontId="0" fillId="6" borderId="12" xfId="0" applyFill="1" applyBorder="1"/>
    <xf numFmtId="0" fontId="0" fillId="6" borderId="18" xfId="0" applyFill="1" applyBorder="1"/>
    <xf numFmtId="0" fontId="2" fillId="0" borderId="2" xfId="0" applyFont="1" applyFill="1" applyBorder="1"/>
    <xf numFmtId="3" fontId="2" fillId="0" borderId="3" xfId="0" applyNumberFormat="1" applyFont="1" applyBorder="1"/>
    <xf numFmtId="0" fontId="2" fillId="0" borderId="27" xfId="0" applyFont="1" applyBorder="1"/>
    <xf numFmtId="0" fontId="0" fillId="0" borderId="0" xfId="0" applyFill="1"/>
    <xf numFmtId="0" fontId="2" fillId="7" borderId="0" xfId="0" applyFont="1" applyFill="1"/>
    <xf numFmtId="0" fontId="0" fillId="0" borderId="0" xfId="0" quotePrefix="1"/>
    <xf numFmtId="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4" fontId="0" fillId="0" borderId="0" xfId="0" applyNumberFormat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5" borderId="0" xfId="0" applyFont="1" applyFill="1"/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52095018530522"/>
          <c:y val="0.24554455274496323"/>
          <c:w val="0.74439556899873227"/>
          <c:h val="0.64353419364246134"/>
        </c:manualLayout>
      </c:layout>
      <c:scatterChart>
        <c:scatterStyle val="lineMarker"/>
        <c:varyColors val="0"/>
        <c:ser>
          <c:idx val="1"/>
          <c:order val="0"/>
          <c:tx>
            <c:v>BAU</c:v>
          </c:tx>
          <c:spPr>
            <a:ln w="19050"/>
          </c:spPr>
          <c:marker>
            <c:symbol val="none"/>
          </c:marker>
          <c:xVal>
            <c:numRef>
              <c:f>Cstock!$AH$15:$AH$43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Cstock!$AJ$15:$AJ$43</c:f>
              <c:numCache>
                <c:formatCode>#,##0</c:formatCode>
                <c:ptCount val="29"/>
                <c:pt idx="0">
                  <c:v>-381.16451379966674</c:v>
                </c:pt>
                <c:pt idx="1">
                  <c:v>-387.15591995299997</c:v>
                </c:pt>
                <c:pt idx="2">
                  <c:v>-393.42984368599997</c:v>
                </c:pt>
                <c:pt idx="3">
                  <c:v>-395.59258945066665</c:v>
                </c:pt>
                <c:pt idx="4">
                  <c:v>-388.46830136033333</c:v>
                </c:pt>
                <c:pt idx="5">
                  <c:v>-394.74910174480004</c:v>
                </c:pt>
                <c:pt idx="6">
                  <c:v>-399.72484378566662</c:v>
                </c:pt>
                <c:pt idx="7">
                  <c:v>-404.72583131566665</c:v>
                </c:pt>
                <c:pt idx="8">
                  <c:v>-404.42722262800004</c:v>
                </c:pt>
                <c:pt idx="9">
                  <c:v>-406.15827283647053</c:v>
                </c:pt>
                <c:pt idx="10">
                  <c:v>-406.64672841510901</c:v>
                </c:pt>
                <c:pt idx="11">
                  <c:v>-407.15314536416582</c:v>
                </c:pt>
                <c:pt idx="12">
                  <c:v>-407.53128927179722</c:v>
                </c:pt>
                <c:pt idx="13">
                  <c:v>-407.8386236274859</c:v>
                </c:pt>
                <c:pt idx="14">
                  <c:v>-408.32797282298719</c:v>
                </c:pt>
                <c:pt idx="15">
                  <c:v>-408.59690644308392</c:v>
                </c:pt>
                <c:pt idx="16">
                  <c:v>-408.84129966584436</c:v>
                </c:pt>
                <c:pt idx="17">
                  <c:v>-409.15362755164432</c:v>
                </c:pt>
                <c:pt idx="18">
                  <c:v>-409.4605212797083</c:v>
                </c:pt>
                <c:pt idx="19">
                  <c:v>-409.8831710957146</c:v>
                </c:pt>
                <c:pt idx="20">
                  <c:v>-410.09310834867023</c:v>
                </c:pt>
                <c:pt idx="21">
                  <c:v>-410.28659165291901</c:v>
                </c:pt>
                <c:pt idx="22">
                  <c:v>-410.46236785198857</c:v>
                </c:pt>
                <c:pt idx="23">
                  <c:v>-410.63081453271866</c:v>
                </c:pt>
                <c:pt idx="24">
                  <c:v>-411.12846234295631</c:v>
                </c:pt>
                <c:pt idx="25">
                  <c:v>-412.22509605933334</c:v>
                </c:pt>
                <c:pt idx="26">
                  <c:v>-412.78500705933334</c:v>
                </c:pt>
                <c:pt idx="27">
                  <c:v>-413.82845954266674</c:v>
                </c:pt>
                <c:pt idx="28">
                  <c:v>-414.38837054266662</c:v>
                </c:pt>
              </c:numCache>
            </c:numRef>
          </c:yVal>
          <c:smooth val="0"/>
        </c:ser>
        <c:ser>
          <c:idx val="0"/>
          <c:order val="1"/>
          <c:tx>
            <c:v>Tree Planting</c:v>
          </c:tx>
          <c:spPr>
            <a:ln w="19050"/>
          </c:spPr>
          <c:marker>
            <c:symbol val="none"/>
          </c:marker>
          <c:xVal>
            <c:numRef>
              <c:f>Cstock!$AH$48:$AH$76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Cstock!$AJ$48:$AJ$76</c:f>
              <c:numCache>
                <c:formatCode>0</c:formatCode>
                <c:ptCount val="29"/>
                <c:pt idx="0">
                  <c:v>-381.16451379966674</c:v>
                </c:pt>
                <c:pt idx="1">
                  <c:v>-387.15591995299997</c:v>
                </c:pt>
                <c:pt idx="2">
                  <c:v>-393.42984368599997</c:v>
                </c:pt>
                <c:pt idx="3">
                  <c:v>-395.59258945066665</c:v>
                </c:pt>
                <c:pt idx="4">
                  <c:v>-388.46830136033333</c:v>
                </c:pt>
                <c:pt idx="5">
                  <c:v>-394.74910174480004</c:v>
                </c:pt>
                <c:pt idx="6">
                  <c:v>-399.72484378566662</c:v>
                </c:pt>
                <c:pt idx="7">
                  <c:v>-404.72583131566665</c:v>
                </c:pt>
                <c:pt idx="8">
                  <c:v>-404.42722262800004</c:v>
                </c:pt>
                <c:pt idx="9">
                  <c:v>-405.81314431647041</c:v>
                </c:pt>
                <c:pt idx="10">
                  <c:v>-406.65701793397568</c:v>
                </c:pt>
                <c:pt idx="11">
                  <c:v>-407.6185351823143</c:v>
                </c:pt>
                <c:pt idx="12">
                  <c:v>-408.48186428283196</c:v>
                </c:pt>
                <c:pt idx="13">
                  <c:v>-409.24908806866461</c:v>
                </c:pt>
                <c:pt idx="14">
                  <c:v>-410.22652434764103</c:v>
                </c:pt>
                <c:pt idx="15">
                  <c:v>-410.51958463440457</c:v>
                </c:pt>
                <c:pt idx="16">
                  <c:v>-410.78810452383152</c:v>
                </c:pt>
                <c:pt idx="17">
                  <c:v>-411.12455907629828</c:v>
                </c:pt>
                <c:pt idx="18">
                  <c:v>-411.4555794710289</c:v>
                </c:pt>
                <c:pt idx="19">
                  <c:v>-411.90235595370177</c:v>
                </c:pt>
                <c:pt idx="20">
                  <c:v>-412.13641987332414</c:v>
                </c:pt>
                <c:pt idx="21">
                  <c:v>-412.35402984423956</c:v>
                </c:pt>
                <c:pt idx="22">
                  <c:v>-412.55393270997587</c:v>
                </c:pt>
                <c:pt idx="23">
                  <c:v>-412.74650605737253</c:v>
                </c:pt>
                <c:pt idx="24">
                  <c:v>-413.26828053427693</c:v>
                </c:pt>
                <c:pt idx="25">
                  <c:v>-414.38904091732059</c:v>
                </c:pt>
                <c:pt idx="26">
                  <c:v>-414.92228159203637</c:v>
                </c:pt>
                <c:pt idx="27">
                  <c:v>-416.08636740870304</c:v>
                </c:pt>
                <c:pt idx="28">
                  <c:v>-416.83929174203638</c:v>
                </c:pt>
              </c:numCache>
            </c:numRef>
          </c:yVal>
          <c:smooth val="0"/>
        </c:ser>
        <c:ser>
          <c:idx val="2"/>
          <c:order val="2"/>
          <c:tx>
            <c:v>Afforestation </c:v>
          </c:tx>
          <c:spPr>
            <a:ln w="19050"/>
          </c:spPr>
          <c:marker>
            <c:symbol val="none"/>
          </c:marker>
          <c:xVal>
            <c:numRef>
              <c:f>Cstock!$AH$81:$AH$109</c:f>
              <c:numCache>
                <c:formatCode>General</c:formatCode>
                <c:ptCount val="2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2035</c:v>
                </c:pt>
                <c:pt idx="26">
                  <c:v>2040</c:v>
                </c:pt>
                <c:pt idx="27">
                  <c:v>2045</c:v>
                </c:pt>
                <c:pt idx="28">
                  <c:v>2050</c:v>
                </c:pt>
              </c:numCache>
            </c:numRef>
          </c:xVal>
          <c:yVal>
            <c:numRef>
              <c:f>Cstock!$AJ$81:$AJ$109</c:f>
              <c:numCache>
                <c:formatCode>General</c:formatCode>
                <c:ptCount val="29"/>
                <c:pt idx="0">
                  <c:v>-381.16451379966674</c:v>
                </c:pt>
                <c:pt idx="1">
                  <c:v>-387.15591995299997</c:v>
                </c:pt>
                <c:pt idx="2">
                  <c:v>-393.42984368599997</c:v>
                </c:pt>
                <c:pt idx="3">
                  <c:v>-395.59258945066665</c:v>
                </c:pt>
                <c:pt idx="4">
                  <c:v>-388.46830136033333</c:v>
                </c:pt>
                <c:pt idx="5">
                  <c:v>-394.74910174480004</c:v>
                </c:pt>
                <c:pt idx="6">
                  <c:v>-399.72484378566662</c:v>
                </c:pt>
                <c:pt idx="7">
                  <c:v>-404.72583131566665</c:v>
                </c:pt>
                <c:pt idx="8">
                  <c:v>-404.42722262800004</c:v>
                </c:pt>
                <c:pt idx="9">
                  <c:v>-405.81314431647041</c:v>
                </c:pt>
                <c:pt idx="10">
                  <c:v>-406.65701793397568</c:v>
                </c:pt>
                <c:pt idx="11">
                  <c:v>-407.6185351823143</c:v>
                </c:pt>
                <c:pt idx="12">
                  <c:v>-408.48186428283196</c:v>
                </c:pt>
                <c:pt idx="13">
                  <c:v>-409.24908806866461</c:v>
                </c:pt>
                <c:pt idx="14">
                  <c:v>-410.22652434764103</c:v>
                </c:pt>
                <c:pt idx="15">
                  <c:v>-411.98648596773791</c:v>
                </c:pt>
                <c:pt idx="16">
                  <c:v>-413.72190719049826</c:v>
                </c:pt>
                <c:pt idx="17">
                  <c:v>-415.52526307629824</c:v>
                </c:pt>
                <c:pt idx="18">
                  <c:v>-417.32318480436226</c:v>
                </c:pt>
                <c:pt idx="19">
                  <c:v>-419.23686262036853</c:v>
                </c:pt>
                <c:pt idx="20">
                  <c:v>-421.67127853999085</c:v>
                </c:pt>
                <c:pt idx="21">
                  <c:v>-424.08924051090634</c:v>
                </c:pt>
                <c:pt idx="22">
                  <c:v>-426.48949537664254</c:v>
                </c:pt>
                <c:pt idx="23">
                  <c:v>-428.88242072403926</c:v>
                </c:pt>
                <c:pt idx="24">
                  <c:v>-431.60454720094361</c:v>
                </c:pt>
                <c:pt idx="25">
                  <c:v>-443.72706758398726</c:v>
                </c:pt>
                <c:pt idx="26">
                  <c:v>-458.92932159203633</c:v>
                </c:pt>
                <c:pt idx="27">
                  <c:v>-474.76242074203623</c:v>
                </c:pt>
                <c:pt idx="28">
                  <c:v>-490.18435840870302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17664"/>
        <c:axId val="68819968"/>
      </c:scatterChart>
      <c:valAx>
        <c:axId val="68817664"/>
        <c:scaling>
          <c:orientation val="minMax"/>
          <c:max val="2055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</a:t>
                </a:r>
              </a:p>
            </c:rich>
          </c:tx>
          <c:layout>
            <c:manualLayout>
              <c:xMode val="edge"/>
              <c:yMode val="edge"/>
              <c:x val="0.51820604279783744"/>
              <c:y val="4.4375091418153254E-2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400"/>
            </a:pPr>
            <a:endParaRPr lang="fr-FR"/>
          </a:p>
        </c:txPr>
        <c:crossAx val="68819968"/>
        <c:crosses val="autoZero"/>
        <c:crossBetween val="midCat"/>
        <c:majorUnit val="10"/>
      </c:valAx>
      <c:valAx>
        <c:axId val="68819968"/>
        <c:scaling>
          <c:orientation val="minMax"/>
          <c:max val="-300"/>
          <c:min val="-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GHG Removal (Gg CO</a:t>
                </a:r>
                <a:r>
                  <a:rPr lang="en-US" sz="1800" baseline="-25000"/>
                  <a:t>2e</a:t>
                </a:r>
                <a:r>
                  <a:rPr lang="en-US" sz="1800"/>
                  <a:t>)</a:t>
                </a:r>
              </a:p>
            </c:rich>
          </c:tx>
          <c:overlay val="0"/>
        </c:title>
        <c:numFmt formatCode="#,##0" sourceLinked="1"/>
        <c:majorTickMark val="in"/>
        <c:minorTickMark val="in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68817664"/>
        <c:crosses val="autoZero"/>
        <c:crossBetween val="midCat"/>
        <c:majorUnit val="50"/>
        <c:minorUnit val="25"/>
      </c:valAx>
    </c:plotArea>
    <c:legend>
      <c:legendPos val="r"/>
      <c:layout>
        <c:manualLayout>
          <c:xMode val="edge"/>
          <c:yMode val="edge"/>
          <c:x val="0.22339254865651431"/>
          <c:y val="0.63880385321037525"/>
          <c:w val="0.25116483037584658"/>
          <c:h val="0.25142525939721028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202407</xdr:colOff>
      <xdr:row>3</xdr:row>
      <xdr:rowOff>47627</xdr:rowOff>
    </xdr:from>
    <xdr:to>
      <xdr:col>32</xdr:col>
      <xdr:colOff>214314</xdr:colOff>
      <xdr:row>20</xdr:row>
      <xdr:rowOff>186929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A7" zoomScale="70" zoomScaleNormal="70" workbookViewId="0">
      <selection activeCell="R6" sqref="R6:R34"/>
    </sheetView>
  </sheetViews>
  <sheetFormatPr defaultRowHeight="15" x14ac:dyDescent="0.25"/>
  <cols>
    <col min="2" max="2" width="10.5703125" customWidth="1"/>
    <col min="6" max="6" width="10.5703125" customWidth="1"/>
    <col min="18" max="18" width="10.85546875" customWidth="1"/>
    <col min="19" max="19" width="13.42578125" customWidth="1"/>
    <col min="20" max="20" width="14.5703125" customWidth="1"/>
    <col min="21" max="21" width="10.85546875" customWidth="1"/>
  </cols>
  <sheetData>
    <row r="1" spans="1:29" x14ac:dyDescent="0.25">
      <c r="A1" t="s">
        <v>0</v>
      </c>
    </row>
    <row r="2" spans="1:29" ht="15.75" thickBot="1" x14ac:dyDescent="0.3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/>
      <c r="T2" s="4"/>
      <c r="U2" s="4"/>
    </row>
    <row r="3" spans="1:29" ht="60.75" customHeight="1" thickBot="1" x14ac:dyDescent="0.3">
      <c r="A3" s="40"/>
      <c r="B3" s="170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69" t="s">
        <v>19</v>
      </c>
      <c r="S3" s="104"/>
      <c r="T3" s="105"/>
      <c r="U3" s="175" t="s">
        <v>80</v>
      </c>
      <c r="V3" s="53" t="s">
        <v>68</v>
      </c>
      <c r="W3" s="170" t="s">
        <v>76</v>
      </c>
      <c r="X3" s="171"/>
      <c r="Y3" s="171"/>
      <c r="Z3" s="171"/>
      <c r="AA3" s="172"/>
      <c r="AB3" s="57" t="s">
        <v>68</v>
      </c>
      <c r="AC3" s="60" t="s">
        <v>68</v>
      </c>
    </row>
    <row r="4" spans="1:29" ht="15.75" thickBot="1" x14ac:dyDescent="0.3">
      <c r="A4" s="41"/>
      <c r="B4" s="167" t="s">
        <v>16</v>
      </c>
      <c r="C4" s="167"/>
      <c r="D4" s="167"/>
      <c r="E4" s="167"/>
      <c r="F4" s="168"/>
      <c r="G4" s="167" t="s">
        <v>17</v>
      </c>
      <c r="H4" s="167"/>
      <c r="I4" s="167"/>
      <c r="J4" s="167"/>
      <c r="K4" s="168"/>
      <c r="L4" s="167" t="s">
        <v>18</v>
      </c>
      <c r="M4" s="167"/>
      <c r="N4" s="167"/>
      <c r="O4" s="167"/>
      <c r="P4" s="167"/>
      <c r="Q4" s="168"/>
      <c r="R4" s="169"/>
      <c r="S4" s="173" t="s">
        <v>79</v>
      </c>
      <c r="T4" s="174"/>
      <c r="U4" s="176"/>
      <c r="V4" s="54" t="s">
        <v>70</v>
      </c>
      <c r="W4" s="178" t="s">
        <v>71</v>
      </c>
      <c r="X4" s="163" t="s">
        <v>72</v>
      </c>
      <c r="Y4" s="163" t="s">
        <v>73</v>
      </c>
      <c r="Z4" s="163" t="s">
        <v>74</v>
      </c>
      <c r="AA4" s="165" t="s">
        <v>75</v>
      </c>
      <c r="AB4" s="58" t="s">
        <v>77</v>
      </c>
      <c r="AC4" s="61" t="s">
        <v>78</v>
      </c>
    </row>
    <row r="5" spans="1:29" ht="15.75" thickBot="1" x14ac:dyDescent="0.3">
      <c r="A5" s="45" t="s">
        <v>1</v>
      </c>
      <c r="B5" s="34" t="s">
        <v>8</v>
      </c>
      <c r="C5" s="35" t="s">
        <v>3</v>
      </c>
      <c r="D5" s="35" t="s">
        <v>4</v>
      </c>
      <c r="E5" s="35" t="s">
        <v>5</v>
      </c>
      <c r="F5" s="36" t="s">
        <v>6</v>
      </c>
      <c r="G5" s="35" t="s">
        <v>8</v>
      </c>
      <c r="H5" s="35" t="s">
        <v>3</v>
      </c>
      <c r="I5" s="35" t="s">
        <v>4</v>
      </c>
      <c r="J5" s="35" t="s">
        <v>9</v>
      </c>
      <c r="K5" s="36" t="s">
        <v>5</v>
      </c>
      <c r="L5" s="35" t="s">
        <v>11</v>
      </c>
      <c r="M5" s="35" t="s">
        <v>12</v>
      </c>
      <c r="N5" s="35" t="s">
        <v>13</v>
      </c>
      <c r="O5" s="35" t="s">
        <v>14</v>
      </c>
      <c r="P5" s="35" t="s">
        <v>8</v>
      </c>
      <c r="Q5" s="36" t="s">
        <v>9</v>
      </c>
      <c r="R5" s="37" t="s">
        <v>15</v>
      </c>
      <c r="S5" s="106" t="s">
        <v>13</v>
      </c>
      <c r="T5" s="107" t="s">
        <v>14</v>
      </c>
      <c r="U5" s="177"/>
      <c r="V5" s="55" t="s">
        <v>69</v>
      </c>
      <c r="W5" s="179"/>
      <c r="X5" s="164"/>
      <c r="Y5" s="164"/>
      <c r="Z5" s="164"/>
      <c r="AA5" s="166"/>
      <c r="AB5" s="59" t="s">
        <v>69</v>
      </c>
      <c r="AC5" s="62" t="s">
        <v>69</v>
      </c>
    </row>
    <row r="6" spans="1:29" ht="15.75" thickBot="1" x14ac:dyDescent="0.3">
      <c r="A6" s="46">
        <v>2006</v>
      </c>
      <c r="B6" s="5">
        <v>408</v>
      </c>
      <c r="C6" s="5">
        <v>116</v>
      </c>
      <c r="D6" s="5">
        <v>2389</v>
      </c>
      <c r="E6" s="5">
        <v>710</v>
      </c>
      <c r="F6" s="30">
        <v>12276</v>
      </c>
      <c r="G6" s="5">
        <v>176</v>
      </c>
      <c r="H6" s="5">
        <v>110</v>
      </c>
      <c r="I6" s="5">
        <v>889</v>
      </c>
      <c r="J6" s="5">
        <v>5085</v>
      </c>
      <c r="K6" s="30">
        <v>139</v>
      </c>
      <c r="L6" s="5">
        <v>546</v>
      </c>
      <c r="M6" s="5">
        <v>967</v>
      </c>
      <c r="N6" s="6">
        <v>2684</v>
      </c>
      <c r="O6" s="6">
        <v>5478</v>
      </c>
      <c r="P6" s="5">
        <v>62</v>
      </c>
      <c r="Q6" s="30">
        <v>15146</v>
      </c>
      <c r="R6" s="31">
        <v>61</v>
      </c>
      <c r="S6" s="159"/>
      <c r="T6" s="103"/>
      <c r="U6" s="102"/>
      <c r="V6" s="56">
        <f>SUM(B6:U6)</f>
        <v>47242</v>
      </c>
      <c r="W6" s="5">
        <v>686</v>
      </c>
      <c r="X6" s="5">
        <v>6781</v>
      </c>
      <c r="Y6" s="5">
        <v>300</v>
      </c>
      <c r="Z6" s="5">
        <v>60000</v>
      </c>
      <c r="AA6" s="52">
        <v>688</v>
      </c>
      <c r="AB6" s="63">
        <f>SUM(W6:AA6)</f>
        <v>68455</v>
      </c>
      <c r="AC6" s="64">
        <f>V6+AB6</f>
        <v>115697</v>
      </c>
    </row>
    <row r="7" spans="1:29" ht="15.75" thickBot="1" x14ac:dyDescent="0.3">
      <c r="A7" s="46">
        <v>2007</v>
      </c>
      <c r="B7" s="5">
        <v>384</v>
      </c>
      <c r="C7" s="5">
        <v>112</v>
      </c>
      <c r="D7" s="5">
        <v>2410</v>
      </c>
      <c r="E7" s="5">
        <v>710</v>
      </c>
      <c r="F7" s="30">
        <v>12276</v>
      </c>
      <c r="G7" s="5">
        <v>176</v>
      </c>
      <c r="H7" s="5">
        <v>110</v>
      </c>
      <c r="I7" s="5">
        <v>889</v>
      </c>
      <c r="J7" s="5">
        <v>5085</v>
      </c>
      <c r="K7" s="30">
        <v>139</v>
      </c>
      <c r="L7" s="5">
        <v>546</v>
      </c>
      <c r="M7" s="5">
        <v>967</v>
      </c>
      <c r="N7" s="6">
        <v>2734</v>
      </c>
      <c r="O7" s="6">
        <v>5461</v>
      </c>
      <c r="P7" s="5">
        <v>62</v>
      </c>
      <c r="Q7" s="30">
        <v>15113</v>
      </c>
      <c r="R7" s="31">
        <v>75</v>
      </c>
      <c r="S7" s="160"/>
      <c r="T7" s="30"/>
      <c r="U7" s="6"/>
      <c r="V7" s="56">
        <f>SUM(B7:U7)</f>
        <v>47249</v>
      </c>
      <c r="W7" s="5">
        <v>668</v>
      </c>
      <c r="X7" s="5">
        <v>6336</v>
      </c>
      <c r="Y7" s="5">
        <v>300</v>
      </c>
      <c r="Z7" s="5">
        <v>68520</v>
      </c>
      <c r="AA7" s="30">
        <v>688</v>
      </c>
      <c r="AB7" s="63">
        <f t="shared" ref="AB7:AB30" si="0">SUM(W7:AA7)</f>
        <v>76512</v>
      </c>
      <c r="AC7" s="64">
        <f>V7+AB7</f>
        <v>123761</v>
      </c>
    </row>
    <row r="8" spans="1:29" ht="15.75" thickBot="1" x14ac:dyDescent="0.3">
      <c r="A8" s="46">
        <v>2008</v>
      </c>
      <c r="B8" s="5">
        <v>384</v>
      </c>
      <c r="C8" s="5">
        <v>112</v>
      </c>
      <c r="D8" s="5">
        <v>2413</v>
      </c>
      <c r="E8" s="5">
        <v>710</v>
      </c>
      <c r="F8" s="30">
        <v>12254</v>
      </c>
      <c r="G8" s="5">
        <v>176</v>
      </c>
      <c r="H8" s="5">
        <v>110</v>
      </c>
      <c r="I8" s="5">
        <v>889</v>
      </c>
      <c r="J8" s="5">
        <v>5085</v>
      </c>
      <c r="K8" s="30">
        <v>139</v>
      </c>
      <c r="L8" s="5">
        <v>550</v>
      </c>
      <c r="M8" s="5">
        <v>967</v>
      </c>
      <c r="N8" s="6">
        <v>2533</v>
      </c>
      <c r="O8" s="6">
        <v>5632</v>
      </c>
      <c r="P8" s="5">
        <v>62</v>
      </c>
      <c r="Q8" s="30">
        <v>15143</v>
      </c>
      <c r="R8" s="31">
        <v>84</v>
      </c>
      <c r="S8" s="160"/>
      <c r="T8" s="30"/>
      <c r="U8" s="6"/>
      <c r="V8" s="56">
        <f t="shared" ref="V8:V34" si="1">SUM(B8:U8)</f>
        <v>47243</v>
      </c>
      <c r="W8" s="5">
        <v>730</v>
      </c>
      <c r="X8" s="5">
        <v>5810</v>
      </c>
      <c r="Y8" s="5">
        <v>300</v>
      </c>
      <c r="Z8" s="5">
        <v>65440</v>
      </c>
      <c r="AA8" s="30">
        <v>701</v>
      </c>
      <c r="AB8" s="63">
        <f t="shared" si="0"/>
        <v>72981</v>
      </c>
      <c r="AC8" s="64">
        <f t="shared" ref="AC8:AC30" si="2">V8+AB8</f>
        <v>120224</v>
      </c>
    </row>
    <row r="9" spans="1:29" ht="15.75" thickBot="1" x14ac:dyDescent="0.3">
      <c r="A9" s="46">
        <v>2009</v>
      </c>
      <c r="B9" s="5">
        <v>384</v>
      </c>
      <c r="C9" s="5">
        <v>112</v>
      </c>
      <c r="D9" s="5">
        <v>2413</v>
      </c>
      <c r="E9" s="5">
        <v>710</v>
      </c>
      <c r="F9" s="30">
        <v>12254</v>
      </c>
      <c r="G9" s="5">
        <v>176</v>
      </c>
      <c r="H9" s="5">
        <v>110</v>
      </c>
      <c r="I9" s="5">
        <v>889</v>
      </c>
      <c r="J9" s="5">
        <v>5085</v>
      </c>
      <c r="K9" s="30">
        <v>139</v>
      </c>
      <c r="L9" s="5">
        <v>550</v>
      </c>
      <c r="M9" s="5">
        <v>967</v>
      </c>
      <c r="N9" s="6">
        <v>2476</v>
      </c>
      <c r="O9" s="6">
        <v>5721</v>
      </c>
      <c r="P9" s="5">
        <v>62</v>
      </c>
      <c r="Q9" s="30">
        <v>15111</v>
      </c>
      <c r="R9" s="31">
        <v>98</v>
      </c>
      <c r="S9" s="160"/>
      <c r="T9" s="30"/>
      <c r="U9" s="6"/>
      <c r="V9" s="56">
        <f t="shared" si="1"/>
        <v>47257</v>
      </c>
      <c r="W9" s="5">
        <v>765</v>
      </c>
      <c r="X9" s="5">
        <v>6543</v>
      </c>
      <c r="Y9" s="5">
        <v>300</v>
      </c>
      <c r="Z9" s="5">
        <v>65850</v>
      </c>
      <c r="AA9" s="30">
        <v>713</v>
      </c>
      <c r="AB9" s="63">
        <f t="shared" si="0"/>
        <v>74171</v>
      </c>
      <c r="AC9" s="64">
        <f t="shared" si="2"/>
        <v>121428</v>
      </c>
    </row>
    <row r="10" spans="1:29" ht="15.75" thickBot="1" x14ac:dyDescent="0.3">
      <c r="A10" s="46">
        <v>2010</v>
      </c>
      <c r="B10" s="5">
        <v>382</v>
      </c>
      <c r="C10" s="5">
        <v>112</v>
      </c>
      <c r="D10" s="5">
        <v>2433</v>
      </c>
      <c r="E10" s="5">
        <v>710</v>
      </c>
      <c r="F10" s="30">
        <v>12242</v>
      </c>
      <c r="G10" s="5">
        <v>174</v>
      </c>
      <c r="H10" s="5">
        <v>110</v>
      </c>
      <c r="I10" s="5">
        <v>889</v>
      </c>
      <c r="J10" s="5">
        <v>5079</v>
      </c>
      <c r="K10" s="30">
        <v>139</v>
      </c>
      <c r="L10" s="5">
        <v>565</v>
      </c>
      <c r="M10" s="5">
        <v>965</v>
      </c>
      <c r="N10" s="6">
        <v>2382</v>
      </c>
      <c r="O10" s="6">
        <v>5817</v>
      </c>
      <c r="P10" s="5">
        <v>60</v>
      </c>
      <c r="Q10" s="30">
        <v>15100</v>
      </c>
      <c r="R10" s="31">
        <v>112</v>
      </c>
      <c r="S10" s="160"/>
      <c r="T10" s="30"/>
      <c r="U10" s="6"/>
      <c r="V10" s="56">
        <f>SUM(B10:U10)</f>
        <v>47271</v>
      </c>
      <c r="W10" s="5">
        <v>790</v>
      </c>
      <c r="X10" s="5">
        <v>7009</v>
      </c>
      <c r="Y10" s="5">
        <v>300</v>
      </c>
      <c r="Z10" s="5">
        <v>64130</v>
      </c>
      <c r="AA10" s="30">
        <v>698</v>
      </c>
      <c r="AB10" s="63">
        <f>SUM(W10:AA10)</f>
        <v>72927</v>
      </c>
      <c r="AC10" s="64">
        <f>V10+AB10</f>
        <v>120198</v>
      </c>
    </row>
    <row r="11" spans="1:29" ht="15.75" thickBot="1" x14ac:dyDescent="0.3">
      <c r="A11" s="46">
        <v>2011</v>
      </c>
      <c r="B11" s="5">
        <v>382</v>
      </c>
      <c r="C11" s="5">
        <v>112</v>
      </c>
      <c r="D11" s="5">
        <v>2437</v>
      </c>
      <c r="E11" s="5">
        <v>710</v>
      </c>
      <c r="F11" s="30">
        <v>12242</v>
      </c>
      <c r="G11" s="5">
        <v>174</v>
      </c>
      <c r="H11" s="5">
        <v>110</v>
      </c>
      <c r="I11" s="5">
        <v>889</v>
      </c>
      <c r="J11" s="5">
        <v>5079</v>
      </c>
      <c r="K11" s="30">
        <v>139</v>
      </c>
      <c r="L11" s="5">
        <v>565</v>
      </c>
      <c r="M11" s="5">
        <v>965</v>
      </c>
      <c r="N11" s="6">
        <v>2268</v>
      </c>
      <c r="O11" s="6">
        <v>5908</v>
      </c>
      <c r="P11" s="5">
        <v>60</v>
      </c>
      <c r="Q11" s="30">
        <v>15100</v>
      </c>
      <c r="R11" s="31">
        <v>127</v>
      </c>
      <c r="S11" s="160"/>
      <c r="T11" s="30"/>
      <c r="U11" s="6"/>
      <c r="V11" s="56">
        <f t="shared" si="1"/>
        <v>47267</v>
      </c>
      <c r="W11" s="5">
        <v>874</v>
      </c>
      <c r="X11" s="5">
        <v>6974</v>
      </c>
      <c r="Y11" s="5">
        <v>300</v>
      </c>
      <c r="Z11" s="5">
        <v>61730</v>
      </c>
      <c r="AA11" s="30">
        <v>651</v>
      </c>
      <c r="AB11" s="63">
        <f t="shared" si="0"/>
        <v>70529</v>
      </c>
      <c r="AC11" s="64">
        <f t="shared" si="2"/>
        <v>117796</v>
      </c>
    </row>
    <row r="12" spans="1:29" ht="15.75" thickBot="1" x14ac:dyDescent="0.3">
      <c r="A12" s="46">
        <v>2012</v>
      </c>
      <c r="B12" s="5">
        <v>382</v>
      </c>
      <c r="C12" s="5">
        <v>112</v>
      </c>
      <c r="D12" s="5">
        <v>2437</v>
      </c>
      <c r="E12" s="5">
        <v>710</v>
      </c>
      <c r="F12" s="30">
        <v>12242</v>
      </c>
      <c r="G12" s="5">
        <v>174</v>
      </c>
      <c r="H12" s="5">
        <v>110</v>
      </c>
      <c r="I12" s="5">
        <v>889</v>
      </c>
      <c r="J12" s="5">
        <v>5079</v>
      </c>
      <c r="K12" s="30">
        <v>139</v>
      </c>
      <c r="L12" s="5">
        <v>565</v>
      </c>
      <c r="M12" s="5">
        <v>965</v>
      </c>
      <c r="N12" s="6">
        <v>2203</v>
      </c>
      <c r="O12" s="6">
        <v>5976</v>
      </c>
      <c r="P12" s="5">
        <v>60</v>
      </c>
      <c r="Q12" s="30">
        <v>15100</v>
      </c>
      <c r="R12" s="31">
        <v>140</v>
      </c>
      <c r="S12" s="160"/>
      <c r="T12" s="30"/>
      <c r="U12" s="6"/>
      <c r="V12" s="56">
        <f t="shared" si="1"/>
        <v>47283</v>
      </c>
      <c r="W12" s="5">
        <v>1003</v>
      </c>
      <c r="X12" s="5">
        <v>7628</v>
      </c>
      <c r="Y12" s="5">
        <v>305</v>
      </c>
      <c r="Z12" s="5">
        <v>60000</v>
      </c>
      <c r="AA12" s="30">
        <v>651</v>
      </c>
      <c r="AB12" s="63">
        <f t="shared" si="0"/>
        <v>69587</v>
      </c>
      <c r="AC12" s="64">
        <f t="shared" si="2"/>
        <v>116870</v>
      </c>
    </row>
    <row r="13" spans="1:29" ht="15.75" thickBot="1" x14ac:dyDescent="0.3">
      <c r="A13" s="47">
        <v>2013</v>
      </c>
      <c r="B13" s="5">
        <v>382</v>
      </c>
      <c r="C13" s="5">
        <v>111</v>
      </c>
      <c r="D13" s="5">
        <v>2402</v>
      </c>
      <c r="E13" s="5">
        <v>710</v>
      </c>
      <c r="F13" s="30">
        <v>12243</v>
      </c>
      <c r="G13" s="5">
        <v>174</v>
      </c>
      <c r="H13" s="5">
        <v>110</v>
      </c>
      <c r="I13" s="5">
        <v>889</v>
      </c>
      <c r="J13" s="5">
        <v>5079</v>
      </c>
      <c r="K13" s="30">
        <v>139</v>
      </c>
      <c r="L13" s="5">
        <v>565</v>
      </c>
      <c r="M13" s="5">
        <v>965</v>
      </c>
      <c r="N13" s="6">
        <v>2245</v>
      </c>
      <c r="O13" s="6">
        <v>5934</v>
      </c>
      <c r="P13" s="5">
        <v>60</v>
      </c>
      <c r="Q13" s="30">
        <v>15100</v>
      </c>
      <c r="R13" s="31">
        <v>160</v>
      </c>
      <c r="S13" s="160"/>
      <c r="T13" s="30"/>
      <c r="U13" s="6"/>
      <c r="V13" s="56">
        <f t="shared" si="1"/>
        <v>47268</v>
      </c>
      <c r="W13" s="5">
        <v>1111</v>
      </c>
      <c r="X13" s="5">
        <v>7410</v>
      </c>
      <c r="Y13" s="5">
        <v>310</v>
      </c>
      <c r="Z13" s="5">
        <v>56464</v>
      </c>
      <c r="AA13" s="30">
        <v>672</v>
      </c>
      <c r="AB13" s="63">
        <f t="shared" si="0"/>
        <v>65967</v>
      </c>
      <c r="AC13" s="64">
        <f t="shared" si="2"/>
        <v>113235</v>
      </c>
    </row>
    <row r="14" spans="1:29" ht="15.75" thickBot="1" x14ac:dyDescent="0.3">
      <c r="A14" s="48">
        <v>2014</v>
      </c>
      <c r="B14" s="42">
        <v>382</v>
      </c>
      <c r="C14" s="42">
        <v>106</v>
      </c>
      <c r="D14" s="42">
        <v>2402</v>
      </c>
      <c r="E14" s="42">
        <v>710</v>
      </c>
      <c r="F14" s="43">
        <v>12243</v>
      </c>
      <c r="G14" s="42">
        <v>174</v>
      </c>
      <c r="H14" s="42">
        <v>110</v>
      </c>
      <c r="I14" s="42">
        <v>889</v>
      </c>
      <c r="J14" s="42">
        <v>5079</v>
      </c>
      <c r="K14" s="43">
        <v>139</v>
      </c>
      <c r="L14" s="42">
        <v>565</v>
      </c>
      <c r="M14" s="42">
        <v>965</v>
      </c>
      <c r="N14" s="42">
        <v>2271</v>
      </c>
      <c r="O14" s="42">
        <v>5866</v>
      </c>
      <c r="P14" s="42">
        <v>60</v>
      </c>
      <c r="Q14" s="43">
        <v>15142</v>
      </c>
      <c r="R14" s="44">
        <v>181</v>
      </c>
      <c r="S14" s="160"/>
      <c r="T14" s="30"/>
      <c r="U14" s="6"/>
      <c r="V14" s="56">
        <f t="shared" si="1"/>
        <v>47284</v>
      </c>
      <c r="W14" s="5">
        <v>1111</v>
      </c>
      <c r="X14" s="5">
        <v>7410</v>
      </c>
      <c r="Y14" s="5">
        <v>310</v>
      </c>
      <c r="Z14" s="5">
        <v>56464</v>
      </c>
      <c r="AA14" s="30">
        <v>672</v>
      </c>
      <c r="AB14" s="63">
        <f t="shared" si="0"/>
        <v>65967</v>
      </c>
      <c r="AC14" s="64">
        <f t="shared" si="2"/>
        <v>113251</v>
      </c>
    </row>
    <row r="15" spans="1:29" ht="15.75" thickBot="1" x14ac:dyDescent="0.3">
      <c r="A15" s="82">
        <f>A14+1</f>
        <v>2015</v>
      </c>
      <c r="B15" s="42">
        <v>382</v>
      </c>
      <c r="C15" s="42">
        <v>106</v>
      </c>
      <c r="D15" s="42">
        <v>2402</v>
      </c>
      <c r="E15" s="42">
        <v>710</v>
      </c>
      <c r="F15" s="43">
        <v>12243</v>
      </c>
      <c r="G15" s="42">
        <v>174</v>
      </c>
      <c r="H15" s="42">
        <v>110</v>
      </c>
      <c r="I15" s="42">
        <v>889</v>
      </c>
      <c r="J15" s="42">
        <v>5079</v>
      </c>
      <c r="K15" s="43">
        <v>139</v>
      </c>
      <c r="L15" s="42">
        <v>565</v>
      </c>
      <c r="M15" s="42">
        <v>965</v>
      </c>
      <c r="N15" s="42">
        <v>2271</v>
      </c>
      <c r="O15" s="83">
        <v>5832</v>
      </c>
      <c r="P15" s="42">
        <v>60</v>
      </c>
      <c r="Q15" s="43">
        <v>15142</v>
      </c>
      <c r="R15" s="5">
        <f>R14+1</f>
        <v>182</v>
      </c>
      <c r="S15" s="161"/>
      <c r="V15" s="56">
        <f t="shared" si="1"/>
        <v>47251</v>
      </c>
      <c r="W15" s="5">
        <v>1111</v>
      </c>
      <c r="X15" s="5">
        <v>7410</v>
      </c>
      <c r="Y15" s="5">
        <v>310</v>
      </c>
      <c r="Z15" s="5">
        <v>56464</v>
      </c>
      <c r="AA15" s="30">
        <v>672</v>
      </c>
      <c r="AB15" s="63">
        <f t="shared" si="0"/>
        <v>65967</v>
      </c>
      <c r="AC15" s="64">
        <f t="shared" si="2"/>
        <v>113218</v>
      </c>
    </row>
    <row r="16" spans="1:29" ht="15.75" thickBot="1" x14ac:dyDescent="0.3">
      <c r="A16" s="82">
        <f t="shared" ref="A16:A30" si="3">A15+1</f>
        <v>2016</v>
      </c>
      <c r="B16" s="42">
        <v>382</v>
      </c>
      <c r="C16" s="42">
        <v>106</v>
      </c>
      <c r="D16" s="42">
        <v>2402</v>
      </c>
      <c r="E16" s="42">
        <v>710</v>
      </c>
      <c r="F16" s="43">
        <v>12243</v>
      </c>
      <c r="G16" s="42">
        <v>174</v>
      </c>
      <c r="H16" s="42">
        <v>110</v>
      </c>
      <c r="I16" s="42">
        <v>889</v>
      </c>
      <c r="J16" s="42">
        <v>5079</v>
      </c>
      <c r="K16" s="43">
        <v>139</v>
      </c>
      <c r="L16" s="42">
        <v>565</v>
      </c>
      <c r="M16" s="42">
        <v>965</v>
      </c>
      <c r="N16" s="42">
        <v>2271</v>
      </c>
      <c r="O16" s="83">
        <v>5837</v>
      </c>
      <c r="P16" s="42">
        <v>60</v>
      </c>
      <c r="Q16" s="43">
        <v>15142</v>
      </c>
      <c r="R16" s="5">
        <f t="shared" ref="R16:R30" si="4">R15+1</f>
        <v>183</v>
      </c>
      <c r="S16" s="161"/>
      <c r="V16" s="56">
        <f t="shared" si="1"/>
        <v>47257</v>
      </c>
      <c r="W16" s="5">
        <v>1111</v>
      </c>
      <c r="X16" s="5">
        <v>7410</v>
      </c>
      <c r="Y16" s="5">
        <v>310</v>
      </c>
      <c r="Z16" s="5">
        <v>56464</v>
      </c>
      <c r="AA16" s="30">
        <v>672</v>
      </c>
      <c r="AB16" s="63">
        <f t="shared" si="0"/>
        <v>65967</v>
      </c>
      <c r="AC16" s="64">
        <f t="shared" si="2"/>
        <v>113224</v>
      </c>
    </row>
    <row r="17" spans="1:29" ht="15.75" thickBot="1" x14ac:dyDescent="0.3">
      <c r="A17" s="82">
        <f t="shared" si="3"/>
        <v>2017</v>
      </c>
      <c r="B17" s="42">
        <v>382</v>
      </c>
      <c r="C17" s="42">
        <v>106</v>
      </c>
      <c r="D17" s="42">
        <v>2402</v>
      </c>
      <c r="E17" s="42">
        <v>710</v>
      </c>
      <c r="F17" s="43">
        <v>12243</v>
      </c>
      <c r="G17" s="42">
        <v>174</v>
      </c>
      <c r="H17" s="42">
        <v>110</v>
      </c>
      <c r="I17" s="42">
        <v>889</v>
      </c>
      <c r="J17" s="42">
        <v>5079</v>
      </c>
      <c r="K17" s="43">
        <v>139</v>
      </c>
      <c r="L17" s="42">
        <v>565</v>
      </c>
      <c r="M17" s="42">
        <v>965</v>
      </c>
      <c r="N17" s="42">
        <v>2271</v>
      </c>
      <c r="O17" s="83">
        <v>5842</v>
      </c>
      <c r="P17" s="42">
        <v>60</v>
      </c>
      <c r="Q17" s="43">
        <v>15142</v>
      </c>
      <c r="R17" s="5">
        <f t="shared" si="4"/>
        <v>184</v>
      </c>
      <c r="S17" s="161"/>
      <c r="T17" s="49"/>
      <c r="V17" s="56">
        <f t="shared" si="1"/>
        <v>47263</v>
      </c>
      <c r="W17" s="5">
        <v>1111</v>
      </c>
      <c r="X17" s="5">
        <v>7410</v>
      </c>
      <c r="Y17" s="5">
        <v>310</v>
      </c>
      <c r="Z17" s="5">
        <v>56464</v>
      </c>
      <c r="AA17" s="30">
        <v>672</v>
      </c>
      <c r="AB17" s="63">
        <f t="shared" si="0"/>
        <v>65967</v>
      </c>
      <c r="AC17" s="64">
        <f t="shared" si="2"/>
        <v>113230</v>
      </c>
    </row>
    <row r="18" spans="1:29" ht="15.75" thickBot="1" x14ac:dyDescent="0.3">
      <c r="A18" s="82">
        <f t="shared" si="3"/>
        <v>2018</v>
      </c>
      <c r="B18" s="42">
        <v>382</v>
      </c>
      <c r="C18" s="42">
        <v>106</v>
      </c>
      <c r="D18" s="42">
        <v>2402</v>
      </c>
      <c r="E18" s="42">
        <v>710</v>
      </c>
      <c r="F18" s="43">
        <v>12243</v>
      </c>
      <c r="G18" s="42">
        <v>174</v>
      </c>
      <c r="H18" s="42">
        <v>110</v>
      </c>
      <c r="I18" s="42">
        <v>889</v>
      </c>
      <c r="J18" s="42">
        <v>5079</v>
      </c>
      <c r="K18" s="43">
        <v>139</v>
      </c>
      <c r="L18" s="42">
        <v>565</v>
      </c>
      <c r="M18" s="42">
        <v>965</v>
      </c>
      <c r="N18" s="42">
        <v>2271</v>
      </c>
      <c r="O18" s="83">
        <v>5847</v>
      </c>
      <c r="P18" s="42">
        <v>60</v>
      </c>
      <c r="Q18" s="43">
        <v>15142</v>
      </c>
      <c r="R18" s="5">
        <f t="shared" si="4"/>
        <v>185</v>
      </c>
      <c r="S18" s="161"/>
      <c r="V18" s="56">
        <f t="shared" si="1"/>
        <v>47269</v>
      </c>
      <c r="W18" s="5">
        <v>1111</v>
      </c>
      <c r="X18" s="5">
        <v>7410</v>
      </c>
      <c r="Y18" s="5">
        <v>310</v>
      </c>
      <c r="Z18" s="5">
        <v>56464</v>
      </c>
      <c r="AA18" s="30">
        <v>672</v>
      </c>
      <c r="AB18" s="63">
        <f t="shared" si="0"/>
        <v>65967</v>
      </c>
      <c r="AC18" s="64">
        <f t="shared" si="2"/>
        <v>113236</v>
      </c>
    </row>
    <row r="19" spans="1:29" ht="15.75" thickBot="1" x14ac:dyDescent="0.3">
      <c r="A19" s="82">
        <f t="shared" si="3"/>
        <v>2019</v>
      </c>
      <c r="B19" s="42">
        <v>382</v>
      </c>
      <c r="C19" s="42">
        <v>106</v>
      </c>
      <c r="D19" s="42">
        <v>2402</v>
      </c>
      <c r="E19" s="42">
        <v>710</v>
      </c>
      <c r="F19" s="43">
        <v>12243</v>
      </c>
      <c r="G19" s="42">
        <v>174</v>
      </c>
      <c r="H19" s="42">
        <v>110</v>
      </c>
      <c r="I19" s="42">
        <v>889</v>
      </c>
      <c r="J19" s="42">
        <v>5079</v>
      </c>
      <c r="K19" s="43">
        <v>139</v>
      </c>
      <c r="L19" s="42">
        <v>565</v>
      </c>
      <c r="M19" s="42">
        <v>965</v>
      </c>
      <c r="N19" s="42">
        <v>2271</v>
      </c>
      <c r="O19" s="83">
        <v>5847</v>
      </c>
      <c r="P19" s="42">
        <v>60</v>
      </c>
      <c r="Q19" s="43">
        <v>15142</v>
      </c>
      <c r="R19" s="5">
        <f t="shared" si="4"/>
        <v>186</v>
      </c>
      <c r="S19" s="161"/>
      <c r="V19" s="56">
        <f t="shared" si="1"/>
        <v>47270</v>
      </c>
      <c r="W19" s="5">
        <v>1111</v>
      </c>
      <c r="X19" s="5">
        <v>7410</v>
      </c>
      <c r="Y19" s="5">
        <v>310</v>
      </c>
      <c r="Z19" s="5">
        <v>56464</v>
      </c>
      <c r="AA19" s="30">
        <v>672</v>
      </c>
      <c r="AB19" s="63">
        <f t="shared" si="0"/>
        <v>65967</v>
      </c>
      <c r="AC19" s="64">
        <f t="shared" si="2"/>
        <v>113237</v>
      </c>
    </row>
    <row r="20" spans="1:29" ht="15.75" thickBot="1" x14ac:dyDescent="0.3">
      <c r="A20" s="82">
        <f t="shared" si="3"/>
        <v>2020</v>
      </c>
      <c r="B20" s="42">
        <v>382</v>
      </c>
      <c r="C20" s="42">
        <v>106</v>
      </c>
      <c r="D20" s="42">
        <v>2402</v>
      </c>
      <c r="E20" s="42">
        <v>710</v>
      </c>
      <c r="F20" s="43">
        <v>12243</v>
      </c>
      <c r="G20" s="42">
        <v>174</v>
      </c>
      <c r="H20" s="42">
        <v>110</v>
      </c>
      <c r="I20" s="42">
        <v>889</v>
      </c>
      <c r="J20" s="42">
        <v>5079</v>
      </c>
      <c r="K20" s="43">
        <v>139</v>
      </c>
      <c r="L20" s="42">
        <v>565</v>
      </c>
      <c r="M20" s="42">
        <v>965</v>
      </c>
      <c r="N20" s="42">
        <v>2271</v>
      </c>
      <c r="O20" s="83">
        <v>5847</v>
      </c>
      <c r="P20" s="42">
        <v>60</v>
      </c>
      <c r="Q20" s="43">
        <v>15142</v>
      </c>
      <c r="R20" s="5">
        <f t="shared" si="4"/>
        <v>187</v>
      </c>
      <c r="S20" s="161"/>
      <c r="V20" s="56">
        <f t="shared" si="1"/>
        <v>47271</v>
      </c>
      <c r="W20" s="5">
        <v>1111</v>
      </c>
      <c r="X20" s="5">
        <v>7410</v>
      </c>
      <c r="Y20" s="5">
        <v>310</v>
      </c>
      <c r="Z20" s="5">
        <v>56464</v>
      </c>
      <c r="AA20" s="30">
        <v>672</v>
      </c>
      <c r="AB20" s="63">
        <f t="shared" si="0"/>
        <v>65967</v>
      </c>
      <c r="AC20" s="64">
        <f t="shared" si="2"/>
        <v>113238</v>
      </c>
    </row>
    <row r="21" spans="1:29" ht="15.75" thickBot="1" x14ac:dyDescent="0.3">
      <c r="A21" s="82">
        <f t="shared" si="3"/>
        <v>2021</v>
      </c>
      <c r="B21" s="42">
        <v>382</v>
      </c>
      <c r="C21" s="42">
        <v>106</v>
      </c>
      <c r="D21" s="42">
        <v>2402</v>
      </c>
      <c r="E21" s="42">
        <v>710</v>
      </c>
      <c r="F21" s="43">
        <v>12243</v>
      </c>
      <c r="G21" s="42">
        <v>174</v>
      </c>
      <c r="H21" s="42">
        <v>110</v>
      </c>
      <c r="I21" s="42">
        <v>889</v>
      </c>
      <c r="J21" s="42">
        <v>5079</v>
      </c>
      <c r="K21" s="43">
        <v>139</v>
      </c>
      <c r="L21" s="42">
        <v>565</v>
      </c>
      <c r="M21" s="42">
        <v>965</v>
      </c>
      <c r="N21" s="42">
        <v>2271</v>
      </c>
      <c r="O21" s="83">
        <v>5847</v>
      </c>
      <c r="P21" s="42">
        <v>60</v>
      </c>
      <c r="Q21" s="43">
        <v>15142</v>
      </c>
      <c r="R21" s="5">
        <f t="shared" si="4"/>
        <v>188</v>
      </c>
      <c r="S21" s="161"/>
      <c r="V21" s="56">
        <f t="shared" si="1"/>
        <v>47272</v>
      </c>
      <c r="W21" s="5">
        <v>1111</v>
      </c>
      <c r="X21" s="5">
        <v>7410</v>
      </c>
      <c r="Y21" s="5">
        <v>310</v>
      </c>
      <c r="Z21" s="5">
        <v>56464</v>
      </c>
      <c r="AA21" s="30">
        <v>672</v>
      </c>
      <c r="AB21" s="63">
        <f t="shared" si="0"/>
        <v>65967</v>
      </c>
      <c r="AC21" s="64">
        <f t="shared" si="2"/>
        <v>113239</v>
      </c>
    </row>
    <row r="22" spans="1:29" ht="15.75" thickBot="1" x14ac:dyDescent="0.3">
      <c r="A22" s="82">
        <f t="shared" si="3"/>
        <v>2022</v>
      </c>
      <c r="B22" s="42">
        <v>382</v>
      </c>
      <c r="C22" s="42">
        <v>106</v>
      </c>
      <c r="D22" s="42">
        <v>2402</v>
      </c>
      <c r="E22" s="42">
        <v>710</v>
      </c>
      <c r="F22" s="43">
        <v>12243</v>
      </c>
      <c r="G22" s="42">
        <v>174</v>
      </c>
      <c r="H22" s="42">
        <v>110</v>
      </c>
      <c r="I22" s="42">
        <v>889</v>
      </c>
      <c r="J22" s="42">
        <v>5079</v>
      </c>
      <c r="K22" s="43">
        <v>139</v>
      </c>
      <c r="L22" s="42">
        <v>565</v>
      </c>
      <c r="M22" s="42">
        <v>965</v>
      </c>
      <c r="N22" s="42">
        <v>2271</v>
      </c>
      <c r="O22" s="83">
        <v>5847</v>
      </c>
      <c r="P22" s="42">
        <v>60</v>
      </c>
      <c r="Q22" s="43">
        <v>15142</v>
      </c>
      <c r="R22" s="5">
        <f t="shared" si="4"/>
        <v>189</v>
      </c>
      <c r="S22" s="161"/>
      <c r="V22" s="56">
        <f t="shared" si="1"/>
        <v>47273</v>
      </c>
      <c r="W22" s="5">
        <v>1111</v>
      </c>
      <c r="X22" s="5">
        <v>7410</v>
      </c>
      <c r="Y22" s="5">
        <v>310</v>
      </c>
      <c r="Z22" s="5">
        <v>56464</v>
      </c>
      <c r="AA22" s="30">
        <v>672</v>
      </c>
      <c r="AB22" s="63">
        <f t="shared" si="0"/>
        <v>65967</v>
      </c>
      <c r="AC22" s="64">
        <f t="shared" si="2"/>
        <v>113240</v>
      </c>
    </row>
    <row r="23" spans="1:29" ht="15.75" thickBot="1" x14ac:dyDescent="0.3">
      <c r="A23" s="82">
        <f t="shared" si="3"/>
        <v>2023</v>
      </c>
      <c r="B23" s="42">
        <v>382</v>
      </c>
      <c r="C23" s="42">
        <v>106</v>
      </c>
      <c r="D23" s="42">
        <v>2402</v>
      </c>
      <c r="E23" s="42">
        <v>710</v>
      </c>
      <c r="F23" s="43">
        <v>12243</v>
      </c>
      <c r="G23" s="42">
        <v>174</v>
      </c>
      <c r="H23" s="42">
        <v>110</v>
      </c>
      <c r="I23" s="42">
        <v>889</v>
      </c>
      <c r="J23" s="42">
        <v>5079</v>
      </c>
      <c r="K23" s="43">
        <v>139</v>
      </c>
      <c r="L23" s="42">
        <v>565</v>
      </c>
      <c r="M23" s="42">
        <v>965</v>
      </c>
      <c r="N23" s="42">
        <v>2271</v>
      </c>
      <c r="O23" s="83">
        <v>5847</v>
      </c>
      <c r="P23" s="42">
        <v>60</v>
      </c>
      <c r="Q23" s="43">
        <v>15142</v>
      </c>
      <c r="R23" s="5">
        <f t="shared" si="4"/>
        <v>190</v>
      </c>
      <c r="S23" s="161"/>
      <c r="V23" s="56">
        <f t="shared" si="1"/>
        <v>47274</v>
      </c>
      <c r="W23" s="5">
        <v>1111</v>
      </c>
      <c r="X23" s="5">
        <v>7410</v>
      </c>
      <c r="Y23" s="5">
        <v>310</v>
      </c>
      <c r="Z23" s="5">
        <v>56464</v>
      </c>
      <c r="AA23" s="30">
        <v>672</v>
      </c>
      <c r="AB23" s="63">
        <f t="shared" si="0"/>
        <v>65967</v>
      </c>
      <c r="AC23" s="64">
        <f t="shared" si="2"/>
        <v>113241</v>
      </c>
    </row>
    <row r="24" spans="1:29" ht="15.75" thickBot="1" x14ac:dyDescent="0.3">
      <c r="A24" s="82">
        <f t="shared" si="3"/>
        <v>2024</v>
      </c>
      <c r="B24" s="42">
        <v>382</v>
      </c>
      <c r="C24" s="42">
        <v>106</v>
      </c>
      <c r="D24" s="42">
        <v>2402</v>
      </c>
      <c r="E24" s="42">
        <v>710</v>
      </c>
      <c r="F24" s="43">
        <v>12243</v>
      </c>
      <c r="G24" s="42">
        <v>174</v>
      </c>
      <c r="H24" s="42">
        <v>110</v>
      </c>
      <c r="I24" s="42">
        <v>889</v>
      </c>
      <c r="J24" s="42">
        <v>5079</v>
      </c>
      <c r="K24" s="43">
        <v>139</v>
      </c>
      <c r="L24" s="42">
        <v>565</v>
      </c>
      <c r="M24" s="42">
        <v>965</v>
      </c>
      <c r="N24" s="42">
        <v>2271</v>
      </c>
      <c r="O24" s="83">
        <v>5847</v>
      </c>
      <c r="P24" s="42">
        <v>60</v>
      </c>
      <c r="Q24" s="43">
        <v>15142</v>
      </c>
      <c r="R24" s="5">
        <f t="shared" si="4"/>
        <v>191</v>
      </c>
      <c r="S24" s="161"/>
      <c r="V24" s="56">
        <f t="shared" si="1"/>
        <v>47275</v>
      </c>
      <c r="W24" s="5">
        <v>1111</v>
      </c>
      <c r="X24" s="5">
        <v>7410</v>
      </c>
      <c r="Y24" s="5">
        <v>310</v>
      </c>
      <c r="Z24" s="5">
        <v>56464</v>
      </c>
      <c r="AA24" s="30">
        <v>672</v>
      </c>
      <c r="AB24" s="63">
        <f t="shared" si="0"/>
        <v>65967</v>
      </c>
      <c r="AC24" s="64">
        <f t="shared" si="2"/>
        <v>113242</v>
      </c>
    </row>
    <row r="25" spans="1:29" ht="15.75" thickBot="1" x14ac:dyDescent="0.3">
      <c r="A25" s="82">
        <f t="shared" si="3"/>
        <v>2025</v>
      </c>
      <c r="B25" s="42">
        <v>382</v>
      </c>
      <c r="C25" s="42">
        <v>106</v>
      </c>
      <c r="D25" s="42">
        <v>2402</v>
      </c>
      <c r="E25" s="42">
        <v>710</v>
      </c>
      <c r="F25" s="43">
        <v>12243</v>
      </c>
      <c r="G25" s="42">
        <v>174</v>
      </c>
      <c r="H25" s="42">
        <v>110</v>
      </c>
      <c r="I25" s="42">
        <v>889</v>
      </c>
      <c r="J25" s="42">
        <v>5079</v>
      </c>
      <c r="K25" s="43">
        <v>139</v>
      </c>
      <c r="L25" s="42">
        <v>565</v>
      </c>
      <c r="M25" s="42">
        <v>965</v>
      </c>
      <c r="N25" s="42">
        <v>2271</v>
      </c>
      <c r="O25" s="83">
        <v>5847</v>
      </c>
      <c r="P25" s="42">
        <v>60</v>
      </c>
      <c r="Q25" s="43">
        <v>15142</v>
      </c>
      <c r="R25" s="5">
        <f t="shared" si="4"/>
        <v>192</v>
      </c>
      <c r="S25" s="161"/>
      <c r="V25" s="56">
        <f t="shared" si="1"/>
        <v>47276</v>
      </c>
      <c r="W25" s="5">
        <v>1111</v>
      </c>
      <c r="X25" s="5">
        <v>7410</v>
      </c>
      <c r="Y25" s="5">
        <v>310</v>
      </c>
      <c r="Z25" s="5">
        <v>56464</v>
      </c>
      <c r="AA25" s="30">
        <v>672</v>
      </c>
      <c r="AB25" s="63">
        <f t="shared" si="0"/>
        <v>65967</v>
      </c>
      <c r="AC25" s="64">
        <f t="shared" si="2"/>
        <v>113243</v>
      </c>
    </row>
    <row r="26" spans="1:29" ht="15.75" thickBot="1" x14ac:dyDescent="0.3">
      <c r="A26" s="82">
        <f t="shared" si="3"/>
        <v>2026</v>
      </c>
      <c r="B26" s="42">
        <v>382</v>
      </c>
      <c r="C26" s="42">
        <v>106</v>
      </c>
      <c r="D26" s="42">
        <v>2402</v>
      </c>
      <c r="E26" s="42">
        <v>710</v>
      </c>
      <c r="F26" s="43">
        <v>12243</v>
      </c>
      <c r="G26" s="42">
        <v>174</v>
      </c>
      <c r="H26" s="42">
        <v>110</v>
      </c>
      <c r="I26" s="42">
        <v>889</v>
      </c>
      <c r="J26" s="42">
        <v>5079</v>
      </c>
      <c r="K26" s="43">
        <v>139</v>
      </c>
      <c r="L26" s="42">
        <v>565</v>
      </c>
      <c r="M26" s="42">
        <v>965</v>
      </c>
      <c r="N26" s="42">
        <v>2271</v>
      </c>
      <c r="O26" s="83">
        <v>5847</v>
      </c>
      <c r="P26" s="42">
        <v>60</v>
      </c>
      <c r="Q26" s="43">
        <v>15142</v>
      </c>
      <c r="R26" s="5">
        <f t="shared" si="4"/>
        <v>193</v>
      </c>
      <c r="S26" s="161"/>
      <c r="V26" s="56">
        <f t="shared" si="1"/>
        <v>47277</v>
      </c>
      <c r="W26" s="5">
        <v>1111</v>
      </c>
      <c r="X26" s="5">
        <v>7410</v>
      </c>
      <c r="Y26" s="5">
        <v>310</v>
      </c>
      <c r="Z26" s="5">
        <v>56464</v>
      </c>
      <c r="AA26" s="30">
        <v>672</v>
      </c>
      <c r="AB26" s="63">
        <f t="shared" si="0"/>
        <v>65967</v>
      </c>
      <c r="AC26" s="64">
        <f t="shared" si="2"/>
        <v>113244</v>
      </c>
    </row>
    <row r="27" spans="1:29" ht="15.75" thickBot="1" x14ac:dyDescent="0.3">
      <c r="A27" s="82">
        <f t="shared" si="3"/>
        <v>2027</v>
      </c>
      <c r="B27" s="42">
        <v>382</v>
      </c>
      <c r="C27" s="42">
        <v>106</v>
      </c>
      <c r="D27" s="42">
        <v>2402</v>
      </c>
      <c r="E27" s="42">
        <v>710</v>
      </c>
      <c r="F27" s="43">
        <v>12243</v>
      </c>
      <c r="G27" s="42">
        <v>174</v>
      </c>
      <c r="H27" s="42">
        <v>110</v>
      </c>
      <c r="I27" s="42">
        <v>889</v>
      </c>
      <c r="J27" s="42">
        <v>5079</v>
      </c>
      <c r="K27" s="43">
        <v>139</v>
      </c>
      <c r="L27" s="42">
        <v>565</v>
      </c>
      <c r="M27" s="42">
        <v>965</v>
      </c>
      <c r="N27" s="42">
        <v>2271</v>
      </c>
      <c r="O27" s="83">
        <v>5847</v>
      </c>
      <c r="P27" s="42">
        <v>60</v>
      </c>
      <c r="Q27" s="43">
        <v>15142</v>
      </c>
      <c r="R27" s="5">
        <f t="shared" si="4"/>
        <v>194</v>
      </c>
      <c r="S27" s="161"/>
      <c r="V27" s="56">
        <f t="shared" si="1"/>
        <v>47278</v>
      </c>
      <c r="W27" s="5">
        <v>1111</v>
      </c>
      <c r="X27" s="5">
        <v>7410</v>
      </c>
      <c r="Y27" s="5">
        <v>310</v>
      </c>
      <c r="Z27" s="5">
        <v>56464</v>
      </c>
      <c r="AA27" s="30">
        <v>672</v>
      </c>
      <c r="AB27" s="63">
        <f t="shared" si="0"/>
        <v>65967</v>
      </c>
      <c r="AC27" s="64">
        <f t="shared" si="2"/>
        <v>113245</v>
      </c>
    </row>
    <row r="28" spans="1:29" ht="15.75" thickBot="1" x14ac:dyDescent="0.3">
      <c r="A28" s="82">
        <f t="shared" si="3"/>
        <v>2028</v>
      </c>
      <c r="B28" s="42">
        <v>382</v>
      </c>
      <c r="C28" s="42">
        <v>106</v>
      </c>
      <c r="D28" s="42">
        <v>2402</v>
      </c>
      <c r="E28" s="42">
        <v>710</v>
      </c>
      <c r="F28" s="43">
        <v>12243</v>
      </c>
      <c r="G28" s="42">
        <v>174</v>
      </c>
      <c r="H28" s="42">
        <v>110</v>
      </c>
      <c r="I28" s="42">
        <v>889</v>
      </c>
      <c r="J28" s="42">
        <v>5079</v>
      </c>
      <c r="K28" s="43">
        <v>139</v>
      </c>
      <c r="L28" s="42">
        <v>565</v>
      </c>
      <c r="M28" s="42">
        <v>965</v>
      </c>
      <c r="N28" s="42">
        <v>2271</v>
      </c>
      <c r="O28" s="83">
        <v>5847</v>
      </c>
      <c r="P28" s="42">
        <v>60</v>
      </c>
      <c r="Q28" s="43">
        <v>15142</v>
      </c>
      <c r="R28" s="5">
        <f t="shared" si="4"/>
        <v>195</v>
      </c>
      <c r="S28" s="161"/>
      <c r="V28" s="56">
        <f t="shared" si="1"/>
        <v>47279</v>
      </c>
      <c r="W28" s="5">
        <v>1111</v>
      </c>
      <c r="X28" s="5">
        <v>7410</v>
      </c>
      <c r="Y28" s="5">
        <v>310</v>
      </c>
      <c r="Z28" s="5">
        <v>56464</v>
      </c>
      <c r="AA28" s="30">
        <v>672</v>
      </c>
      <c r="AB28" s="63">
        <f t="shared" si="0"/>
        <v>65967</v>
      </c>
      <c r="AC28" s="64">
        <f t="shared" si="2"/>
        <v>113246</v>
      </c>
    </row>
    <row r="29" spans="1:29" ht="15.75" thickBot="1" x14ac:dyDescent="0.3">
      <c r="A29" s="82">
        <f t="shared" si="3"/>
        <v>2029</v>
      </c>
      <c r="B29" s="42">
        <v>382</v>
      </c>
      <c r="C29" s="42">
        <v>106</v>
      </c>
      <c r="D29" s="42">
        <v>2402</v>
      </c>
      <c r="E29" s="42">
        <v>710</v>
      </c>
      <c r="F29" s="43">
        <v>12243</v>
      </c>
      <c r="G29" s="42">
        <v>174</v>
      </c>
      <c r="H29" s="42">
        <v>110</v>
      </c>
      <c r="I29" s="42">
        <v>889</v>
      </c>
      <c r="J29" s="42">
        <v>5079</v>
      </c>
      <c r="K29" s="43">
        <v>139</v>
      </c>
      <c r="L29" s="42">
        <v>565</v>
      </c>
      <c r="M29" s="42">
        <v>965</v>
      </c>
      <c r="N29" s="42">
        <v>2271</v>
      </c>
      <c r="O29" s="83">
        <v>5847</v>
      </c>
      <c r="P29" s="42">
        <v>60</v>
      </c>
      <c r="Q29" s="43">
        <v>15142</v>
      </c>
      <c r="R29" s="5">
        <f t="shared" si="4"/>
        <v>196</v>
      </c>
      <c r="S29" s="161"/>
      <c r="V29" s="56">
        <f t="shared" si="1"/>
        <v>47280</v>
      </c>
      <c r="W29" s="5">
        <v>1111</v>
      </c>
      <c r="X29" s="5">
        <v>7410</v>
      </c>
      <c r="Y29" s="5">
        <v>310</v>
      </c>
      <c r="Z29" s="5">
        <v>56464</v>
      </c>
      <c r="AA29" s="30">
        <v>672</v>
      </c>
      <c r="AB29" s="63">
        <f t="shared" si="0"/>
        <v>65967</v>
      </c>
      <c r="AC29" s="64">
        <f t="shared" si="2"/>
        <v>113247</v>
      </c>
    </row>
    <row r="30" spans="1:29" ht="15.75" thickBot="1" x14ac:dyDescent="0.3">
      <c r="A30" s="82">
        <f t="shared" si="3"/>
        <v>2030</v>
      </c>
      <c r="B30" s="42">
        <v>382</v>
      </c>
      <c r="C30" s="42">
        <v>106</v>
      </c>
      <c r="D30" s="42">
        <v>2402</v>
      </c>
      <c r="E30" s="42">
        <v>710</v>
      </c>
      <c r="F30" s="43">
        <v>12243</v>
      </c>
      <c r="G30" s="6">
        <v>174</v>
      </c>
      <c r="H30" s="6">
        <v>110</v>
      </c>
      <c r="I30" s="6">
        <v>889</v>
      </c>
      <c r="J30" s="6">
        <v>5079</v>
      </c>
      <c r="K30" s="30">
        <v>139</v>
      </c>
      <c r="L30" s="6">
        <v>565</v>
      </c>
      <c r="M30" s="6">
        <v>965</v>
      </c>
      <c r="N30" s="6">
        <v>2271</v>
      </c>
      <c r="O30" s="89">
        <v>5847</v>
      </c>
      <c r="P30" s="6">
        <v>60</v>
      </c>
      <c r="Q30" s="30">
        <v>15142</v>
      </c>
      <c r="R30" s="5">
        <f t="shared" si="4"/>
        <v>197</v>
      </c>
      <c r="S30" s="161"/>
      <c r="V30" s="56">
        <f t="shared" si="1"/>
        <v>47281</v>
      </c>
      <c r="W30" s="5">
        <v>1111</v>
      </c>
      <c r="X30" s="5">
        <v>7410</v>
      </c>
      <c r="Y30" s="5">
        <v>310</v>
      </c>
      <c r="Z30" s="5">
        <v>56464</v>
      </c>
      <c r="AA30" s="30">
        <v>672</v>
      </c>
      <c r="AB30" s="63">
        <f t="shared" si="0"/>
        <v>65967</v>
      </c>
      <c r="AC30" s="64">
        <f t="shared" si="2"/>
        <v>113248</v>
      </c>
    </row>
    <row r="31" spans="1:29" x14ac:dyDescent="0.25">
      <c r="A31" s="97">
        <v>2035</v>
      </c>
      <c r="B31" s="88">
        <v>382</v>
      </c>
      <c r="C31" s="89">
        <v>106</v>
      </c>
      <c r="D31" s="89">
        <v>2402</v>
      </c>
      <c r="E31" s="89">
        <v>710</v>
      </c>
      <c r="F31" s="94">
        <v>12243</v>
      </c>
      <c r="G31" s="88">
        <v>174</v>
      </c>
      <c r="H31" s="89">
        <v>110</v>
      </c>
      <c r="I31" s="89">
        <v>889</v>
      </c>
      <c r="J31" s="89">
        <v>5079</v>
      </c>
      <c r="K31" s="90">
        <v>139</v>
      </c>
      <c r="L31" s="88">
        <v>565</v>
      </c>
      <c r="M31" s="89">
        <v>965</v>
      </c>
      <c r="N31" s="89">
        <v>2271</v>
      </c>
      <c r="O31" s="89">
        <v>5847</v>
      </c>
      <c r="P31" s="89">
        <v>60</v>
      </c>
      <c r="Q31" s="90">
        <v>15142</v>
      </c>
      <c r="R31" s="85">
        <v>198</v>
      </c>
      <c r="S31" s="162"/>
      <c r="T31" s="84"/>
      <c r="U31" s="84"/>
      <c r="V31" s="84">
        <f t="shared" si="1"/>
        <v>47282</v>
      </c>
    </row>
    <row r="32" spans="1:29" x14ac:dyDescent="0.25">
      <c r="A32" s="97">
        <v>2040</v>
      </c>
      <c r="B32" s="91">
        <v>382</v>
      </c>
      <c r="C32" s="85">
        <v>106</v>
      </c>
      <c r="D32" s="85">
        <v>2402</v>
      </c>
      <c r="E32" s="85">
        <v>710</v>
      </c>
      <c r="F32" s="95">
        <v>12243</v>
      </c>
      <c r="G32" s="91">
        <v>174</v>
      </c>
      <c r="H32" s="85">
        <v>110</v>
      </c>
      <c r="I32" s="85">
        <v>889</v>
      </c>
      <c r="J32" s="85">
        <v>5079</v>
      </c>
      <c r="K32" s="86">
        <v>139</v>
      </c>
      <c r="L32" s="91">
        <v>565</v>
      </c>
      <c r="M32" s="85">
        <v>965</v>
      </c>
      <c r="N32" s="85">
        <v>2271</v>
      </c>
      <c r="O32" s="85">
        <v>5847</v>
      </c>
      <c r="P32" s="85">
        <v>60</v>
      </c>
      <c r="Q32" s="86">
        <v>15142</v>
      </c>
      <c r="R32" s="85">
        <v>200</v>
      </c>
      <c r="S32" s="162"/>
      <c r="T32" s="84"/>
      <c r="U32" s="84"/>
      <c r="V32" s="84">
        <f t="shared" si="1"/>
        <v>47284</v>
      </c>
    </row>
    <row r="33" spans="1:22" x14ac:dyDescent="0.25">
      <c r="A33" s="97">
        <v>2045</v>
      </c>
      <c r="B33" s="91">
        <v>382</v>
      </c>
      <c r="C33" s="85">
        <v>106</v>
      </c>
      <c r="D33" s="85">
        <v>2402</v>
      </c>
      <c r="E33" s="85">
        <v>710</v>
      </c>
      <c r="F33" s="95">
        <v>12243</v>
      </c>
      <c r="G33" s="91">
        <v>174</v>
      </c>
      <c r="H33" s="85">
        <v>110</v>
      </c>
      <c r="I33" s="85">
        <v>889</v>
      </c>
      <c r="J33" s="85">
        <v>5079</v>
      </c>
      <c r="K33" s="86">
        <v>139</v>
      </c>
      <c r="L33" s="91">
        <v>565</v>
      </c>
      <c r="M33" s="85">
        <v>965</v>
      </c>
      <c r="N33" s="85">
        <v>2271</v>
      </c>
      <c r="O33" s="85">
        <v>5847</v>
      </c>
      <c r="P33" s="85">
        <v>60</v>
      </c>
      <c r="Q33" s="86">
        <v>15142</v>
      </c>
      <c r="R33" s="85">
        <v>205</v>
      </c>
      <c r="S33" s="162"/>
      <c r="T33" s="84"/>
      <c r="U33" s="84"/>
      <c r="V33" s="84">
        <f t="shared" si="1"/>
        <v>47289</v>
      </c>
    </row>
    <row r="34" spans="1:22" ht="15.75" thickBot="1" x14ac:dyDescent="0.3">
      <c r="A34" s="97">
        <v>2050</v>
      </c>
      <c r="B34" s="92">
        <v>382</v>
      </c>
      <c r="C34" s="83">
        <v>106</v>
      </c>
      <c r="D34" s="83">
        <v>2402</v>
      </c>
      <c r="E34" s="83">
        <v>710</v>
      </c>
      <c r="F34" s="96">
        <v>12243</v>
      </c>
      <c r="G34" s="92">
        <v>174</v>
      </c>
      <c r="H34" s="83">
        <v>110</v>
      </c>
      <c r="I34" s="83">
        <v>889</v>
      </c>
      <c r="J34" s="83">
        <v>5079</v>
      </c>
      <c r="K34" s="93">
        <v>139</v>
      </c>
      <c r="L34" s="92">
        <v>565</v>
      </c>
      <c r="M34" s="83">
        <v>965</v>
      </c>
      <c r="N34" s="83">
        <v>2271</v>
      </c>
      <c r="O34" s="83">
        <v>5847</v>
      </c>
      <c r="P34" s="83">
        <v>60</v>
      </c>
      <c r="Q34" s="93">
        <v>15142</v>
      </c>
      <c r="R34" s="87">
        <v>213</v>
      </c>
      <c r="S34" s="162"/>
      <c r="T34" s="84"/>
      <c r="U34" s="84"/>
      <c r="V34" s="84">
        <f t="shared" si="1"/>
        <v>47297</v>
      </c>
    </row>
  </sheetData>
  <mergeCells count="13">
    <mergeCell ref="Y4:Y5"/>
    <mergeCell ref="Z4:Z5"/>
    <mergeCell ref="AA4:AA5"/>
    <mergeCell ref="B4:F4"/>
    <mergeCell ref="G4:K4"/>
    <mergeCell ref="L4:Q4"/>
    <mergeCell ref="R3:R4"/>
    <mergeCell ref="B3:Q3"/>
    <mergeCell ref="W3:AA3"/>
    <mergeCell ref="S4:T4"/>
    <mergeCell ref="U3:U5"/>
    <mergeCell ref="W4:W5"/>
    <mergeCell ref="X4:X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D4" zoomScale="70" zoomScaleNormal="70" workbookViewId="0">
      <selection activeCell="R6" sqref="R6:R34"/>
    </sheetView>
  </sheetViews>
  <sheetFormatPr defaultRowHeight="15" x14ac:dyDescent="0.25"/>
  <cols>
    <col min="2" max="2" width="11.85546875" customWidth="1"/>
    <col min="3" max="3" width="11.42578125" customWidth="1"/>
    <col min="5" max="5" width="11.5703125" customWidth="1"/>
    <col min="6" max="6" width="13.28515625" customWidth="1"/>
    <col min="7" max="7" width="12" customWidth="1"/>
    <col min="8" max="8" width="11.5703125" customWidth="1"/>
    <col min="9" max="9" width="11.42578125" customWidth="1"/>
    <col min="18" max="18" width="10.85546875" customWidth="1"/>
    <col min="19" max="19" width="13.42578125" customWidth="1"/>
    <col min="20" max="20" width="14.5703125" customWidth="1"/>
    <col min="21" max="21" width="10.85546875" customWidth="1"/>
  </cols>
  <sheetData>
    <row r="1" spans="1:29" x14ac:dyDescent="0.25">
      <c r="A1" t="s">
        <v>0</v>
      </c>
    </row>
    <row r="2" spans="1:29" ht="15.75" thickBot="1" x14ac:dyDescent="0.3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/>
      <c r="T2" s="4"/>
      <c r="U2" s="4"/>
    </row>
    <row r="3" spans="1:29" ht="60.75" customHeight="1" thickBot="1" x14ac:dyDescent="0.3">
      <c r="A3" s="40"/>
      <c r="B3" s="170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69" t="s">
        <v>19</v>
      </c>
      <c r="S3" s="104"/>
      <c r="T3" s="105"/>
      <c r="U3" s="175" t="s">
        <v>80</v>
      </c>
      <c r="V3" s="53" t="s">
        <v>68</v>
      </c>
      <c r="W3" s="170" t="s">
        <v>76</v>
      </c>
      <c r="X3" s="171"/>
      <c r="Y3" s="171"/>
      <c r="Z3" s="171"/>
      <c r="AA3" s="172"/>
      <c r="AB3" s="57" t="s">
        <v>68</v>
      </c>
      <c r="AC3" s="60" t="s">
        <v>68</v>
      </c>
    </row>
    <row r="4" spans="1:29" ht="15.75" thickBot="1" x14ac:dyDescent="0.3">
      <c r="A4" s="41"/>
      <c r="B4" s="167" t="s">
        <v>16</v>
      </c>
      <c r="C4" s="167"/>
      <c r="D4" s="167"/>
      <c r="E4" s="167"/>
      <c r="F4" s="168"/>
      <c r="G4" s="167" t="s">
        <v>17</v>
      </c>
      <c r="H4" s="167"/>
      <c r="I4" s="167"/>
      <c r="J4" s="167"/>
      <c r="K4" s="168"/>
      <c r="L4" s="167" t="s">
        <v>18</v>
      </c>
      <c r="M4" s="167"/>
      <c r="N4" s="167"/>
      <c r="O4" s="167"/>
      <c r="P4" s="167"/>
      <c r="Q4" s="168"/>
      <c r="R4" s="169"/>
      <c r="S4" s="173" t="s">
        <v>79</v>
      </c>
      <c r="T4" s="174"/>
      <c r="U4" s="176"/>
      <c r="V4" s="54" t="s">
        <v>70</v>
      </c>
      <c r="W4" s="178" t="s">
        <v>71</v>
      </c>
      <c r="X4" s="163" t="s">
        <v>72</v>
      </c>
      <c r="Y4" s="163" t="s">
        <v>73</v>
      </c>
      <c r="Z4" s="163" t="s">
        <v>74</v>
      </c>
      <c r="AA4" s="165" t="s">
        <v>75</v>
      </c>
      <c r="AB4" s="58" t="s">
        <v>77</v>
      </c>
      <c r="AC4" s="61" t="s">
        <v>78</v>
      </c>
    </row>
    <row r="5" spans="1:29" ht="15.75" thickBot="1" x14ac:dyDescent="0.3">
      <c r="A5" s="45" t="s">
        <v>1</v>
      </c>
      <c r="B5" s="98" t="s">
        <v>8</v>
      </c>
      <c r="C5" s="99" t="s">
        <v>3</v>
      </c>
      <c r="D5" s="99" t="s">
        <v>4</v>
      </c>
      <c r="E5" s="99" t="s">
        <v>5</v>
      </c>
      <c r="F5" s="100" t="s">
        <v>6</v>
      </c>
      <c r="G5" s="99" t="s">
        <v>8</v>
      </c>
      <c r="H5" s="99" t="s">
        <v>3</v>
      </c>
      <c r="I5" s="99" t="s">
        <v>4</v>
      </c>
      <c r="J5" s="99" t="s">
        <v>9</v>
      </c>
      <c r="K5" s="100" t="s">
        <v>5</v>
      </c>
      <c r="L5" s="99" t="s">
        <v>11</v>
      </c>
      <c r="M5" s="99" t="s">
        <v>12</v>
      </c>
      <c r="N5" s="99" t="s">
        <v>13</v>
      </c>
      <c r="O5" s="99" t="s">
        <v>14</v>
      </c>
      <c r="P5" s="99" t="s">
        <v>8</v>
      </c>
      <c r="Q5" s="100" t="s">
        <v>9</v>
      </c>
      <c r="R5" s="37" t="s">
        <v>15</v>
      </c>
      <c r="S5" s="106" t="s">
        <v>13</v>
      </c>
      <c r="T5" s="107" t="s">
        <v>14</v>
      </c>
      <c r="U5" s="177"/>
      <c r="V5" s="55" t="s">
        <v>69</v>
      </c>
      <c r="W5" s="179"/>
      <c r="X5" s="164"/>
      <c r="Y5" s="164"/>
      <c r="Z5" s="164"/>
      <c r="AA5" s="166"/>
      <c r="AB5" s="59" t="s">
        <v>69</v>
      </c>
      <c r="AC5" s="62" t="s">
        <v>69</v>
      </c>
    </row>
    <row r="6" spans="1:29" ht="15.75" thickBot="1" x14ac:dyDescent="0.3">
      <c r="A6" s="46">
        <v>2006</v>
      </c>
      <c r="B6" s="5">
        <v>408</v>
      </c>
      <c r="C6" s="5">
        <v>116</v>
      </c>
      <c r="D6" s="5">
        <v>2389</v>
      </c>
      <c r="E6" s="5">
        <v>710</v>
      </c>
      <c r="F6" s="30">
        <v>12276</v>
      </c>
      <c r="G6" s="5">
        <v>176</v>
      </c>
      <c r="H6" s="5">
        <v>110</v>
      </c>
      <c r="I6" s="5">
        <v>889</v>
      </c>
      <c r="J6" s="5">
        <v>5085</v>
      </c>
      <c r="K6" s="30">
        <v>139</v>
      </c>
      <c r="L6" s="5">
        <v>546</v>
      </c>
      <c r="M6" s="5">
        <v>967</v>
      </c>
      <c r="N6" s="6">
        <v>2684</v>
      </c>
      <c r="O6" s="6">
        <v>5478</v>
      </c>
      <c r="P6" s="5">
        <v>62</v>
      </c>
      <c r="Q6" s="30">
        <v>15146</v>
      </c>
      <c r="R6" s="31">
        <v>61</v>
      </c>
      <c r="S6" s="102"/>
      <c r="T6" s="103"/>
      <c r="U6" s="102"/>
      <c r="V6" s="56">
        <f>SUM(B6:U6)</f>
        <v>47242</v>
      </c>
      <c r="W6" s="5">
        <v>686</v>
      </c>
      <c r="X6" s="5">
        <v>6781</v>
      </c>
      <c r="Y6" s="5">
        <v>300</v>
      </c>
      <c r="Z6" s="5">
        <v>60000</v>
      </c>
      <c r="AA6" s="52">
        <v>688</v>
      </c>
      <c r="AB6" s="63">
        <f>SUM(W6:AA6)</f>
        <v>68455</v>
      </c>
      <c r="AC6" s="64">
        <f>V6+AB6</f>
        <v>115697</v>
      </c>
    </row>
    <row r="7" spans="1:29" ht="15.75" thickBot="1" x14ac:dyDescent="0.3">
      <c r="A7" s="46">
        <v>2007</v>
      </c>
      <c r="B7" s="5">
        <v>384</v>
      </c>
      <c r="C7" s="5">
        <v>112</v>
      </c>
      <c r="D7" s="5">
        <v>2410</v>
      </c>
      <c r="E7" s="5">
        <v>710</v>
      </c>
      <c r="F7" s="30">
        <v>12276</v>
      </c>
      <c r="G7" s="5">
        <v>176</v>
      </c>
      <c r="H7" s="5">
        <v>110</v>
      </c>
      <c r="I7" s="5">
        <v>889</v>
      </c>
      <c r="J7" s="5">
        <v>5085</v>
      </c>
      <c r="K7" s="30">
        <v>139</v>
      </c>
      <c r="L7" s="5">
        <v>546</v>
      </c>
      <c r="M7" s="5">
        <v>967</v>
      </c>
      <c r="N7" s="6">
        <v>2734</v>
      </c>
      <c r="O7" s="6">
        <v>5461</v>
      </c>
      <c r="P7" s="5">
        <v>62</v>
      </c>
      <c r="Q7" s="30">
        <v>15113</v>
      </c>
      <c r="R7" s="31">
        <v>75</v>
      </c>
      <c r="S7" s="6"/>
      <c r="T7" s="30"/>
      <c r="U7" s="6"/>
      <c r="V7" s="56">
        <f>SUM(B7:U7)</f>
        <v>47249</v>
      </c>
      <c r="W7" s="5">
        <v>668</v>
      </c>
      <c r="X7" s="5">
        <v>6336</v>
      </c>
      <c r="Y7" s="5">
        <v>300</v>
      </c>
      <c r="Z7" s="5">
        <v>68520</v>
      </c>
      <c r="AA7" s="30">
        <v>688</v>
      </c>
      <c r="AB7" s="63">
        <f t="shared" ref="AB7:AB30" si="0">SUM(W7:AA7)</f>
        <v>76512</v>
      </c>
      <c r="AC7" s="64">
        <f>V7+AB7</f>
        <v>123761</v>
      </c>
    </row>
    <row r="8" spans="1:29" ht="15.75" thickBot="1" x14ac:dyDescent="0.3">
      <c r="A8" s="46">
        <v>2008</v>
      </c>
      <c r="B8" s="5">
        <v>384</v>
      </c>
      <c r="C8" s="5">
        <v>112</v>
      </c>
      <c r="D8" s="5">
        <v>2413</v>
      </c>
      <c r="E8" s="5">
        <v>710</v>
      </c>
      <c r="F8" s="30">
        <v>12254</v>
      </c>
      <c r="G8" s="5">
        <v>176</v>
      </c>
      <c r="H8" s="5">
        <v>110</v>
      </c>
      <c r="I8" s="5">
        <v>889</v>
      </c>
      <c r="J8" s="5">
        <v>5085</v>
      </c>
      <c r="K8" s="30">
        <v>139</v>
      </c>
      <c r="L8" s="5">
        <v>550</v>
      </c>
      <c r="M8" s="5">
        <v>967</v>
      </c>
      <c r="N8" s="6">
        <v>2533</v>
      </c>
      <c r="O8" s="6">
        <v>5632</v>
      </c>
      <c r="P8" s="5">
        <v>62</v>
      </c>
      <c r="Q8" s="30">
        <v>15143</v>
      </c>
      <c r="R8" s="31">
        <v>84</v>
      </c>
      <c r="S8" s="6"/>
      <c r="T8" s="30"/>
      <c r="U8" s="6"/>
      <c r="V8" s="56">
        <f t="shared" ref="V8:V34" si="1">SUM(B8:U8)</f>
        <v>47243</v>
      </c>
      <c r="W8" s="5">
        <v>730</v>
      </c>
      <c r="X8" s="5">
        <v>5810</v>
      </c>
      <c r="Y8" s="5">
        <v>300</v>
      </c>
      <c r="Z8" s="5">
        <v>65440</v>
      </c>
      <c r="AA8" s="30">
        <v>701</v>
      </c>
      <c r="AB8" s="63">
        <f t="shared" si="0"/>
        <v>72981</v>
      </c>
      <c r="AC8" s="64">
        <f t="shared" ref="AC8:AC30" si="2">V8+AB8</f>
        <v>120224</v>
      </c>
    </row>
    <row r="9" spans="1:29" ht="15.75" thickBot="1" x14ac:dyDescent="0.3">
      <c r="A9" s="46">
        <v>2009</v>
      </c>
      <c r="B9" s="5">
        <v>384</v>
      </c>
      <c r="C9" s="5">
        <v>112</v>
      </c>
      <c r="D9" s="5">
        <v>2413</v>
      </c>
      <c r="E9" s="5">
        <v>710</v>
      </c>
      <c r="F9" s="30">
        <v>12254</v>
      </c>
      <c r="G9" s="5">
        <v>176</v>
      </c>
      <c r="H9" s="5">
        <v>110</v>
      </c>
      <c r="I9" s="5">
        <v>889</v>
      </c>
      <c r="J9" s="5">
        <v>5085</v>
      </c>
      <c r="K9" s="30">
        <v>139</v>
      </c>
      <c r="L9" s="5">
        <v>550</v>
      </c>
      <c r="M9" s="5">
        <v>967</v>
      </c>
      <c r="N9" s="6">
        <v>2476</v>
      </c>
      <c r="O9" s="6">
        <v>5721</v>
      </c>
      <c r="P9" s="5">
        <v>62</v>
      </c>
      <c r="Q9" s="30">
        <v>15111</v>
      </c>
      <c r="R9" s="31">
        <v>98</v>
      </c>
      <c r="S9" s="6"/>
      <c r="T9" s="30"/>
      <c r="U9" s="6"/>
      <c r="V9" s="56">
        <f t="shared" si="1"/>
        <v>47257</v>
      </c>
      <c r="W9" s="5">
        <v>765</v>
      </c>
      <c r="X9" s="5">
        <v>6543</v>
      </c>
      <c r="Y9" s="5">
        <v>300</v>
      </c>
      <c r="Z9" s="5">
        <v>65850</v>
      </c>
      <c r="AA9" s="30">
        <v>713</v>
      </c>
      <c r="AB9" s="63">
        <f t="shared" si="0"/>
        <v>74171</v>
      </c>
      <c r="AC9" s="64">
        <f t="shared" si="2"/>
        <v>121428</v>
      </c>
    </row>
    <row r="10" spans="1:29" ht="15.75" thickBot="1" x14ac:dyDescent="0.3">
      <c r="A10" s="46">
        <v>2010</v>
      </c>
      <c r="B10" s="5">
        <v>382</v>
      </c>
      <c r="C10" s="5">
        <v>112</v>
      </c>
      <c r="D10" s="5">
        <v>2433</v>
      </c>
      <c r="E10" s="5">
        <v>710</v>
      </c>
      <c r="F10" s="30">
        <v>12242</v>
      </c>
      <c r="G10" s="5">
        <v>174</v>
      </c>
      <c r="H10" s="5">
        <v>110</v>
      </c>
      <c r="I10" s="5">
        <v>889</v>
      </c>
      <c r="J10" s="5">
        <v>5079</v>
      </c>
      <c r="K10" s="30">
        <v>139</v>
      </c>
      <c r="L10" s="5">
        <v>565</v>
      </c>
      <c r="M10" s="5">
        <v>965</v>
      </c>
      <c r="N10" s="6">
        <v>2382</v>
      </c>
      <c r="O10" s="6">
        <v>5817</v>
      </c>
      <c r="P10" s="5">
        <v>60</v>
      </c>
      <c r="Q10" s="30">
        <v>15100</v>
      </c>
      <c r="R10" s="31">
        <v>112</v>
      </c>
      <c r="S10" s="6"/>
      <c r="T10" s="30"/>
      <c r="U10" s="6"/>
      <c r="V10" s="56">
        <f>SUM(B10:U10)</f>
        <v>47271</v>
      </c>
      <c r="W10" s="5">
        <v>790</v>
      </c>
      <c r="X10" s="5">
        <v>7009</v>
      </c>
      <c r="Y10" s="5">
        <v>300</v>
      </c>
      <c r="Z10" s="5">
        <v>64130</v>
      </c>
      <c r="AA10" s="30">
        <v>698</v>
      </c>
      <c r="AB10" s="63">
        <f>SUM(W10:AA10)</f>
        <v>72927</v>
      </c>
      <c r="AC10" s="64">
        <f>V10+AB10</f>
        <v>120198</v>
      </c>
    </row>
    <row r="11" spans="1:29" ht="15.75" thickBot="1" x14ac:dyDescent="0.3">
      <c r="A11" s="46">
        <v>2011</v>
      </c>
      <c r="B11" s="5">
        <v>382</v>
      </c>
      <c r="C11" s="5">
        <v>112</v>
      </c>
      <c r="D11" s="5">
        <v>2437</v>
      </c>
      <c r="E11" s="5">
        <v>710</v>
      </c>
      <c r="F11" s="30">
        <v>12242</v>
      </c>
      <c r="G11" s="5">
        <v>174</v>
      </c>
      <c r="H11" s="5">
        <v>110</v>
      </c>
      <c r="I11" s="5">
        <v>889</v>
      </c>
      <c r="J11" s="5">
        <v>5079</v>
      </c>
      <c r="K11" s="30">
        <v>139</v>
      </c>
      <c r="L11" s="5">
        <v>565</v>
      </c>
      <c r="M11" s="5">
        <v>965</v>
      </c>
      <c r="N11" s="6">
        <v>2268</v>
      </c>
      <c r="O11" s="6">
        <v>5908</v>
      </c>
      <c r="P11" s="5">
        <v>60</v>
      </c>
      <c r="Q11" s="30">
        <v>15100</v>
      </c>
      <c r="R11" s="31">
        <v>127</v>
      </c>
      <c r="S11" s="6"/>
      <c r="T11" s="30"/>
      <c r="U11" s="6"/>
      <c r="V11" s="56">
        <f t="shared" si="1"/>
        <v>47267</v>
      </c>
      <c r="W11" s="5">
        <v>874</v>
      </c>
      <c r="X11" s="5">
        <v>6974</v>
      </c>
      <c r="Y11" s="5">
        <v>300</v>
      </c>
      <c r="Z11" s="5">
        <v>61730</v>
      </c>
      <c r="AA11" s="30">
        <v>651</v>
      </c>
      <c r="AB11" s="63">
        <f t="shared" si="0"/>
        <v>70529</v>
      </c>
      <c r="AC11" s="64">
        <f t="shared" si="2"/>
        <v>117796</v>
      </c>
    </row>
    <row r="12" spans="1:29" ht="15.75" thickBot="1" x14ac:dyDescent="0.3">
      <c r="A12" s="46">
        <v>2012</v>
      </c>
      <c r="B12" s="5">
        <v>382</v>
      </c>
      <c r="C12" s="5">
        <v>112</v>
      </c>
      <c r="D12" s="5">
        <v>2437</v>
      </c>
      <c r="E12" s="5">
        <v>710</v>
      </c>
      <c r="F12" s="30">
        <v>12242</v>
      </c>
      <c r="G12" s="5">
        <v>174</v>
      </c>
      <c r="H12" s="5">
        <v>110</v>
      </c>
      <c r="I12" s="5">
        <v>889</v>
      </c>
      <c r="J12" s="5">
        <v>5079</v>
      </c>
      <c r="K12" s="30">
        <v>139</v>
      </c>
      <c r="L12" s="5">
        <v>565</v>
      </c>
      <c r="M12" s="5">
        <v>965</v>
      </c>
      <c r="N12" s="6">
        <v>2203</v>
      </c>
      <c r="O12" s="6">
        <v>5976</v>
      </c>
      <c r="P12" s="5">
        <v>60</v>
      </c>
      <c r="Q12" s="30">
        <v>15100</v>
      </c>
      <c r="R12" s="31">
        <v>140</v>
      </c>
      <c r="S12" s="6"/>
      <c r="T12" s="30"/>
      <c r="U12" s="6"/>
      <c r="V12" s="56">
        <f t="shared" si="1"/>
        <v>47283</v>
      </c>
      <c r="W12" s="5">
        <v>1003</v>
      </c>
      <c r="X12" s="5">
        <v>7628</v>
      </c>
      <c r="Y12" s="5">
        <v>305</v>
      </c>
      <c r="Z12" s="5">
        <v>60000</v>
      </c>
      <c r="AA12" s="30">
        <v>651</v>
      </c>
      <c r="AB12" s="63">
        <f t="shared" si="0"/>
        <v>69587</v>
      </c>
      <c r="AC12" s="64">
        <f t="shared" si="2"/>
        <v>116870</v>
      </c>
    </row>
    <row r="13" spans="1:29" ht="15.75" thickBot="1" x14ac:dyDescent="0.3">
      <c r="A13" s="47">
        <v>2013</v>
      </c>
      <c r="B13" s="5">
        <v>382</v>
      </c>
      <c r="C13" s="5">
        <v>111</v>
      </c>
      <c r="D13" s="5">
        <v>2402</v>
      </c>
      <c r="E13" s="5">
        <v>710</v>
      </c>
      <c r="F13" s="30">
        <v>12243</v>
      </c>
      <c r="G13" s="5">
        <v>174</v>
      </c>
      <c r="H13" s="5">
        <v>110</v>
      </c>
      <c r="I13" s="5">
        <v>889</v>
      </c>
      <c r="J13" s="5">
        <v>5079</v>
      </c>
      <c r="K13" s="30">
        <v>139</v>
      </c>
      <c r="L13" s="5">
        <v>565</v>
      </c>
      <c r="M13" s="5">
        <v>965</v>
      </c>
      <c r="N13" s="6">
        <v>2245</v>
      </c>
      <c r="O13" s="6">
        <v>5934</v>
      </c>
      <c r="P13" s="5">
        <v>60</v>
      </c>
      <c r="Q13" s="30">
        <v>15100</v>
      </c>
      <c r="R13" s="31">
        <v>160</v>
      </c>
      <c r="S13" s="6"/>
      <c r="T13" s="30"/>
      <c r="U13" s="6"/>
      <c r="V13" s="56">
        <f t="shared" si="1"/>
        <v>47268</v>
      </c>
      <c r="W13" s="5">
        <v>1111</v>
      </c>
      <c r="X13" s="5">
        <v>7410</v>
      </c>
      <c r="Y13" s="5">
        <v>310</v>
      </c>
      <c r="Z13" s="5">
        <v>56464</v>
      </c>
      <c r="AA13" s="30">
        <v>672</v>
      </c>
      <c r="AB13" s="63">
        <f t="shared" si="0"/>
        <v>65967</v>
      </c>
      <c r="AC13" s="64">
        <f t="shared" si="2"/>
        <v>113235</v>
      </c>
    </row>
    <row r="14" spans="1:29" ht="15.75" thickBot="1" x14ac:dyDescent="0.3">
      <c r="A14" s="48">
        <v>2014</v>
      </c>
      <c r="B14" s="42">
        <v>382</v>
      </c>
      <c r="C14" s="42">
        <v>106</v>
      </c>
      <c r="D14" s="42">
        <v>2402</v>
      </c>
      <c r="E14" s="42">
        <v>710</v>
      </c>
      <c r="F14" s="43">
        <v>12243</v>
      </c>
      <c r="G14" s="42">
        <v>174</v>
      </c>
      <c r="H14" s="42">
        <v>110</v>
      </c>
      <c r="I14" s="42">
        <v>889</v>
      </c>
      <c r="J14" s="42">
        <v>5079</v>
      </c>
      <c r="K14" s="43">
        <v>139</v>
      </c>
      <c r="L14" s="42">
        <v>565</v>
      </c>
      <c r="M14" s="42">
        <v>965</v>
      </c>
      <c r="N14" s="42">
        <v>2271</v>
      </c>
      <c r="O14" s="42">
        <v>5866</v>
      </c>
      <c r="P14" s="42">
        <v>60</v>
      </c>
      <c r="Q14" s="43">
        <v>15142</v>
      </c>
      <c r="R14" s="44">
        <v>181</v>
      </c>
      <c r="S14" s="6"/>
      <c r="T14" s="30"/>
      <c r="U14" s="6"/>
      <c r="V14" s="56">
        <f t="shared" si="1"/>
        <v>47284</v>
      </c>
      <c r="W14" s="5">
        <v>1111</v>
      </c>
      <c r="X14" s="5">
        <v>7410</v>
      </c>
      <c r="Y14" s="5">
        <v>310</v>
      </c>
      <c r="Z14" s="5">
        <v>56464</v>
      </c>
      <c r="AA14" s="30">
        <v>672</v>
      </c>
      <c r="AB14" s="63">
        <f t="shared" si="0"/>
        <v>65967</v>
      </c>
      <c r="AC14" s="64">
        <f t="shared" si="2"/>
        <v>113251</v>
      </c>
    </row>
    <row r="15" spans="1:29" ht="15.75" thickBot="1" x14ac:dyDescent="0.3">
      <c r="A15" s="82">
        <f>A14+1</f>
        <v>2015</v>
      </c>
      <c r="B15" s="42">
        <v>382</v>
      </c>
      <c r="C15" s="42">
        <v>106</v>
      </c>
      <c r="D15" s="42">
        <v>2402</v>
      </c>
      <c r="E15" s="42">
        <v>710</v>
      </c>
      <c r="F15" s="43">
        <v>12243</v>
      </c>
      <c r="G15" s="42">
        <v>174</v>
      </c>
      <c r="H15" s="42">
        <v>110</v>
      </c>
      <c r="I15" s="42">
        <v>889</v>
      </c>
      <c r="J15" s="42">
        <v>5079</v>
      </c>
      <c r="K15" s="43">
        <v>139</v>
      </c>
      <c r="L15" s="42">
        <v>565</v>
      </c>
      <c r="M15" s="42">
        <v>965</v>
      </c>
      <c r="N15" s="42">
        <v>2271</v>
      </c>
      <c r="O15" s="83">
        <v>5832</v>
      </c>
      <c r="P15" s="42">
        <v>60</v>
      </c>
      <c r="Q15" s="43">
        <v>15142</v>
      </c>
      <c r="R15" s="5">
        <v>182</v>
      </c>
      <c r="V15" s="56">
        <f t="shared" si="1"/>
        <v>47251</v>
      </c>
      <c r="W15" s="5">
        <v>1111</v>
      </c>
      <c r="X15" s="5">
        <v>7410</v>
      </c>
      <c r="Y15" s="5">
        <v>310</v>
      </c>
      <c r="Z15" s="5">
        <v>56464</v>
      </c>
      <c r="AA15" s="30">
        <v>672</v>
      </c>
      <c r="AB15" s="63">
        <f t="shared" si="0"/>
        <v>65967</v>
      </c>
      <c r="AC15" s="64">
        <f t="shared" si="2"/>
        <v>113218</v>
      </c>
    </row>
    <row r="16" spans="1:29" ht="15.75" thickBot="1" x14ac:dyDescent="0.3">
      <c r="A16" s="82">
        <f t="shared" ref="A16:A30" si="3">A15+1</f>
        <v>2016</v>
      </c>
      <c r="B16" s="42">
        <v>382</v>
      </c>
      <c r="C16" s="42">
        <f>106+2.28</f>
        <v>108.28</v>
      </c>
      <c r="D16" s="42">
        <v>2402</v>
      </c>
      <c r="E16" s="42">
        <f>710+1.82</f>
        <v>711.82</v>
      </c>
      <c r="F16" s="43">
        <f>12243+6.23</f>
        <v>12249.23</v>
      </c>
      <c r="G16" s="42">
        <v>174</v>
      </c>
      <c r="H16" s="42">
        <f>110+StraPlan!H12</f>
        <v>110.63454545454546</v>
      </c>
      <c r="I16" s="42">
        <f>889+1.27</f>
        <v>890.27</v>
      </c>
      <c r="J16" s="42">
        <f>5079+2.82</f>
        <v>5081.82</v>
      </c>
      <c r="K16" s="43">
        <f>139+0.91</f>
        <v>139.91</v>
      </c>
      <c r="L16" s="42">
        <v>565</v>
      </c>
      <c r="M16" s="42">
        <v>965</v>
      </c>
      <c r="N16" s="42">
        <f>2271+3.45</f>
        <v>2274.4499999999998</v>
      </c>
      <c r="O16" s="83">
        <v>5837</v>
      </c>
      <c r="P16" s="42">
        <f>60+1.25</f>
        <v>61.25</v>
      </c>
      <c r="Q16" s="43">
        <f>15142+4.58</f>
        <v>15146.58</v>
      </c>
      <c r="R16" s="5">
        <v>183</v>
      </c>
      <c r="V16" s="56">
        <f t="shared" si="1"/>
        <v>47282.244545454545</v>
      </c>
      <c r="W16" s="5">
        <v>1111</v>
      </c>
      <c r="X16" s="5">
        <v>7410</v>
      </c>
      <c r="Y16" s="5">
        <v>310</v>
      </c>
      <c r="Z16" s="5">
        <v>56464</v>
      </c>
      <c r="AA16" s="30">
        <v>672</v>
      </c>
      <c r="AB16" s="63">
        <f t="shared" si="0"/>
        <v>65967</v>
      </c>
      <c r="AC16" s="64">
        <f t="shared" si="2"/>
        <v>113249.24454545454</v>
      </c>
    </row>
    <row r="17" spans="1:29" ht="15.75" thickBot="1" x14ac:dyDescent="0.3">
      <c r="A17" s="82">
        <f t="shared" si="3"/>
        <v>2017</v>
      </c>
      <c r="B17" s="42">
        <v>382</v>
      </c>
      <c r="C17" s="42">
        <f>C16+StraPlan!$X$6</f>
        <v>111.3306523950158</v>
      </c>
      <c r="D17" s="42">
        <v>2402</v>
      </c>
      <c r="E17" s="42">
        <f>E16+StraPlan!$X$7</f>
        <v>714.25662331870274</v>
      </c>
      <c r="F17" s="43">
        <f>F16+StraPlan!$X$9</f>
        <v>12258.117184730743</v>
      </c>
      <c r="G17" s="42">
        <v>174</v>
      </c>
      <c r="H17" s="42">
        <f>H16+StraPlan!$X$12</f>
        <v>111.48492699277271</v>
      </c>
      <c r="I17" s="42">
        <f>I16+StraPlan!$X$14</f>
        <v>891.96588982981712</v>
      </c>
      <c r="J17" s="42">
        <f>J16+StraPlan!$X$16</f>
        <v>5085.8421836934294</v>
      </c>
      <c r="K17" s="43">
        <f>K16+StraPlan!$X$13</f>
        <v>141.12831165935137</v>
      </c>
      <c r="L17" s="42">
        <v>565</v>
      </c>
      <c r="M17" s="42">
        <v>965</v>
      </c>
      <c r="N17" s="42">
        <f>N16+StraPlan!$X$20</f>
        <v>2279.0785182828331</v>
      </c>
      <c r="O17" s="83">
        <v>5842</v>
      </c>
      <c r="P17" s="42">
        <f>P16+StraPlan!$X$21</f>
        <v>62.925178531608118</v>
      </c>
      <c r="Q17" s="43">
        <f>Q16+StraPlan!$X$23</f>
        <v>15153.115076020273</v>
      </c>
      <c r="R17" s="5">
        <v>184</v>
      </c>
      <c r="T17" s="49"/>
      <c r="V17" s="56">
        <f t="shared" si="1"/>
        <v>47323.244545454545</v>
      </c>
      <c r="W17" s="5">
        <v>1111</v>
      </c>
      <c r="X17" s="5">
        <v>7410</v>
      </c>
      <c r="Y17" s="5">
        <v>310</v>
      </c>
      <c r="Z17" s="5">
        <v>56464</v>
      </c>
      <c r="AA17" s="30">
        <v>672</v>
      </c>
      <c r="AB17" s="63">
        <f t="shared" si="0"/>
        <v>65967</v>
      </c>
      <c r="AC17" s="64">
        <f t="shared" si="2"/>
        <v>113290.24454545454</v>
      </c>
    </row>
    <row r="18" spans="1:29" ht="15.75" thickBot="1" x14ac:dyDescent="0.3">
      <c r="A18" s="82">
        <f t="shared" si="3"/>
        <v>2018</v>
      </c>
      <c r="B18" s="42">
        <v>382</v>
      </c>
      <c r="C18" s="42">
        <f>C17+StraPlan!$Y$6</f>
        <v>114.46846628703206</v>
      </c>
      <c r="D18" s="42">
        <v>2402</v>
      </c>
      <c r="E18" s="42">
        <f>E17+StraPlan!$Y$7</f>
        <v>716.76286444651123</v>
      </c>
      <c r="F18" s="43">
        <f>F17+StraPlan!$Y$9</f>
        <v>12269.086509884117</v>
      </c>
      <c r="G18" s="42">
        <v>174</v>
      </c>
      <c r="H18" s="42">
        <f>H17+StraPlan!$Y$12</f>
        <v>112.35960514637789</v>
      </c>
      <c r="I18" s="42">
        <f>I17+StraPlan!$Y$14</f>
        <v>893.71023365477186</v>
      </c>
      <c r="J18" s="42">
        <f>J17+StraPlan!$Y$16</f>
        <v>5090.8067075664621</v>
      </c>
      <c r="K18" s="43">
        <f>K17+StraPlan!$Y$13</f>
        <v>142.38143222325562</v>
      </c>
      <c r="L18" s="42">
        <v>565</v>
      </c>
      <c r="M18" s="42">
        <v>965</v>
      </c>
      <c r="N18" s="42">
        <f>N17+StraPlan!$Y$20</f>
        <v>2283.8392799451758</v>
      </c>
      <c r="O18" s="83">
        <v>5847</v>
      </c>
      <c r="P18" s="42">
        <f>P17+StraPlan!$Y$21</f>
        <v>64.648219306976472</v>
      </c>
      <c r="Q18" s="43">
        <f>Q17+StraPlan!$Y$23</f>
        <v>15161.181226993865</v>
      </c>
      <c r="R18" s="5">
        <v>185</v>
      </c>
      <c r="V18" s="56">
        <f t="shared" si="1"/>
        <v>47369.244545454545</v>
      </c>
      <c r="W18" s="5">
        <v>1111</v>
      </c>
      <c r="X18" s="5">
        <v>7410</v>
      </c>
      <c r="Y18" s="5">
        <v>310</v>
      </c>
      <c r="Z18" s="5">
        <v>56464</v>
      </c>
      <c r="AA18" s="30">
        <v>672</v>
      </c>
      <c r="AB18" s="63">
        <f t="shared" si="0"/>
        <v>65967</v>
      </c>
      <c r="AC18" s="64">
        <f t="shared" si="2"/>
        <v>113336.24454545454</v>
      </c>
    </row>
    <row r="19" spans="1:29" ht="15.75" thickBot="1" x14ac:dyDescent="0.3">
      <c r="A19" s="82">
        <f t="shared" si="3"/>
        <v>2019</v>
      </c>
      <c r="B19" s="42">
        <v>382</v>
      </c>
      <c r="C19" s="42">
        <f>C18+StraPlan!$Z$6</f>
        <v>117.67759413113959</v>
      </c>
      <c r="D19" s="42">
        <v>2402</v>
      </c>
      <c r="E19" s="42">
        <f>E18+StraPlan!$Z$7</f>
        <v>719.32606559995179</v>
      </c>
      <c r="F19" s="43">
        <f>F18+StraPlan!$Z$9</f>
        <v>12282.174909214848</v>
      </c>
      <c r="G19" s="42">
        <v>174</v>
      </c>
      <c r="H19" s="42">
        <f>H18+StraPlan!$Z$12</f>
        <v>113.25416234892863</v>
      </c>
      <c r="I19" s="42">
        <f>I18+StraPlan!$Z$14</f>
        <v>895.49422165756641</v>
      </c>
      <c r="J19" s="42">
        <f>J18+StraPlan!$Z$16</f>
        <v>5096.7302871876946</v>
      </c>
      <c r="K19" s="43">
        <f>K18+StraPlan!$Z$13</f>
        <v>143.66303279997587</v>
      </c>
      <c r="L19" s="42">
        <v>565</v>
      </c>
      <c r="M19" s="42">
        <v>965</v>
      </c>
      <c r="N19" s="42">
        <f>N18+StraPlan!$Z$20</f>
        <v>2288.7082407362082</v>
      </c>
      <c r="O19" s="83">
        <v>5847</v>
      </c>
      <c r="P19" s="42">
        <f>P18+StraPlan!$Z$21</f>
        <v>66.410420099966828</v>
      </c>
      <c r="Q19" s="43">
        <f>Q18+StraPlan!$Z$23</f>
        <v>15170.805611678266</v>
      </c>
      <c r="R19" s="5">
        <v>186</v>
      </c>
      <c r="V19" s="56">
        <f t="shared" si="1"/>
        <v>47415.244545454545</v>
      </c>
      <c r="W19" s="5">
        <v>1111</v>
      </c>
      <c r="X19" s="5">
        <v>7410</v>
      </c>
      <c r="Y19" s="5">
        <v>310</v>
      </c>
      <c r="Z19" s="5">
        <v>56464</v>
      </c>
      <c r="AA19" s="30">
        <v>672</v>
      </c>
      <c r="AB19" s="63">
        <f t="shared" si="0"/>
        <v>65967</v>
      </c>
      <c r="AC19" s="64">
        <f t="shared" si="2"/>
        <v>113382.24454545454</v>
      </c>
    </row>
    <row r="20" spans="1:29" ht="15.75" thickBot="1" x14ac:dyDescent="0.3">
      <c r="A20" s="82">
        <f t="shared" si="3"/>
        <v>2020</v>
      </c>
      <c r="B20" s="42">
        <v>382</v>
      </c>
      <c r="C20" s="42">
        <f>C19+StraPlan!$AA$6</f>
        <v>120.94615026865651</v>
      </c>
      <c r="D20" s="42">
        <v>2402</v>
      </c>
      <c r="E20" s="42">
        <f>E19+StraPlan!$AA$7</f>
        <v>721.93673344141894</v>
      </c>
      <c r="F20" s="43">
        <f>F19+StraPlan!$AA$9</f>
        <v>12297.410083038978</v>
      </c>
      <c r="G20" s="42">
        <v>174</v>
      </c>
      <c r="H20" s="42">
        <f>H19+StraPlan!$AA$12</f>
        <v>114.16528542560069</v>
      </c>
      <c r="I20" s="42">
        <f>I19+StraPlan!$AA$14</f>
        <v>897.31124647522756</v>
      </c>
      <c r="J20" s="42">
        <f>J19+StraPlan!$AA$16</f>
        <v>5103.6254592335736</v>
      </c>
      <c r="K20" s="43">
        <f>K19+StraPlan!$AA$13</f>
        <v>144.96836672070947</v>
      </c>
      <c r="L20" s="42">
        <v>565</v>
      </c>
      <c r="M20" s="42">
        <v>965</v>
      </c>
      <c r="N20" s="42">
        <f>N19+StraPlan!$AA$20</f>
        <v>2293.667367467815</v>
      </c>
      <c r="O20" s="83">
        <v>5847</v>
      </c>
      <c r="P20" s="42">
        <f>P19+StraPlan!$AA$21</f>
        <v>68.20525424097552</v>
      </c>
      <c r="Q20" s="43">
        <f>Q19+StraPlan!$AA$23</f>
        <v>15182.008599141591</v>
      </c>
      <c r="R20" s="5">
        <v>187</v>
      </c>
      <c r="V20" s="56">
        <f t="shared" si="1"/>
        <v>47466.244545454552</v>
      </c>
      <c r="W20" s="5">
        <v>1111</v>
      </c>
      <c r="X20" s="5">
        <v>7410</v>
      </c>
      <c r="Y20" s="5">
        <v>310</v>
      </c>
      <c r="Z20" s="5">
        <v>56464</v>
      </c>
      <c r="AA20" s="30">
        <v>672</v>
      </c>
      <c r="AB20" s="63">
        <f t="shared" si="0"/>
        <v>65967</v>
      </c>
      <c r="AC20" s="64">
        <f t="shared" si="2"/>
        <v>113433.24454545455</v>
      </c>
    </row>
    <row r="21" spans="1:29" ht="15.75" thickBot="1" x14ac:dyDescent="0.3">
      <c r="A21" s="82">
        <f t="shared" si="3"/>
        <v>2021</v>
      </c>
      <c r="B21" s="42">
        <v>382</v>
      </c>
      <c r="C21" s="42">
        <f>C20</f>
        <v>120.94615026865651</v>
      </c>
      <c r="D21" s="42">
        <v>2402</v>
      </c>
      <c r="E21" s="42">
        <f>E20</f>
        <v>721.93673344141894</v>
      </c>
      <c r="F21" s="43">
        <f>F20</f>
        <v>12297.410083038978</v>
      </c>
      <c r="G21" s="42">
        <v>174</v>
      </c>
      <c r="H21" s="42">
        <f>H20</f>
        <v>114.16528542560069</v>
      </c>
      <c r="I21" s="42">
        <f>I20</f>
        <v>897.31124647522756</v>
      </c>
      <c r="J21" s="42">
        <f>J20</f>
        <v>5103.6254592335736</v>
      </c>
      <c r="K21" s="43">
        <f>K20</f>
        <v>144.96836672070947</v>
      </c>
      <c r="L21" s="42">
        <v>565</v>
      </c>
      <c r="M21" s="42">
        <v>965</v>
      </c>
      <c r="N21" s="42">
        <f>N20</f>
        <v>2293.667367467815</v>
      </c>
      <c r="O21" s="83">
        <v>5847</v>
      </c>
      <c r="P21" s="42">
        <f>P20</f>
        <v>68.20525424097552</v>
      </c>
      <c r="Q21" s="43">
        <f>Q20</f>
        <v>15182.008599141591</v>
      </c>
      <c r="R21" s="5">
        <v>188</v>
      </c>
      <c r="V21" s="56">
        <f t="shared" si="1"/>
        <v>47467.244545454552</v>
      </c>
      <c r="W21" s="5">
        <v>1111</v>
      </c>
      <c r="X21" s="5">
        <v>7410</v>
      </c>
      <c r="Y21" s="5">
        <v>310</v>
      </c>
      <c r="Z21" s="5">
        <v>56464</v>
      </c>
      <c r="AA21" s="30">
        <v>672</v>
      </c>
      <c r="AB21" s="63">
        <f t="shared" si="0"/>
        <v>65967</v>
      </c>
      <c r="AC21" s="64">
        <f t="shared" si="2"/>
        <v>113434.24454545455</v>
      </c>
    </row>
    <row r="22" spans="1:29" ht="15.75" thickBot="1" x14ac:dyDescent="0.3">
      <c r="A22" s="82">
        <f t="shared" si="3"/>
        <v>2022</v>
      </c>
      <c r="B22" s="42">
        <v>382</v>
      </c>
      <c r="C22" s="42">
        <f t="shared" ref="C22:C34" si="4">C21</f>
        <v>120.94615026865651</v>
      </c>
      <c r="D22" s="42">
        <v>2402</v>
      </c>
      <c r="E22" s="42">
        <f t="shared" ref="E22:E34" si="5">E21</f>
        <v>721.93673344141894</v>
      </c>
      <c r="F22" s="43">
        <f t="shared" ref="F22:F34" si="6">F21</f>
        <v>12297.410083038978</v>
      </c>
      <c r="G22" s="42">
        <v>174</v>
      </c>
      <c r="H22" s="42">
        <f t="shared" ref="H22:H34" si="7">H21</f>
        <v>114.16528542560069</v>
      </c>
      <c r="I22" s="42">
        <f t="shared" ref="I22:I34" si="8">I21</f>
        <v>897.31124647522756</v>
      </c>
      <c r="J22" s="42">
        <f t="shared" ref="J22:J34" si="9">J21</f>
        <v>5103.6254592335736</v>
      </c>
      <c r="K22" s="43">
        <f t="shared" ref="K22:K34" si="10">K21</f>
        <v>144.96836672070947</v>
      </c>
      <c r="L22" s="42">
        <v>565</v>
      </c>
      <c r="M22" s="42">
        <v>965</v>
      </c>
      <c r="N22" s="42">
        <f t="shared" ref="N22:N31" si="11">N21</f>
        <v>2293.667367467815</v>
      </c>
      <c r="O22" s="83">
        <v>5847</v>
      </c>
      <c r="P22" s="42">
        <f t="shared" ref="P22:P34" si="12">P21</f>
        <v>68.20525424097552</v>
      </c>
      <c r="Q22" s="43">
        <f t="shared" ref="Q22:Q34" si="13">Q21</f>
        <v>15182.008599141591</v>
      </c>
      <c r="R22" s="5">
        <v>189</v>
      </c>
      <c r="V22" s="56">
        <f t="shared" si="1"/>
        <v>47468.244545454552</v>
      </c>
      <c r="W22" s="5">
        <v>1111</v>
      </c>
      <c r="X22" s="5">
        <v>7410</v>
      </c>
      <c r="Y22" s="5">
        <v>310</v>
      </c>
      <c r="Z22" s="5">
        <v>56464</v>
      </c>
      <c r="AA22" s="30">
        <v>672</v>
      </c>
      <c r="AB22" s="63">
        <f t="shared" si="0"/>
        <v>65967</v>
      </c>
      <c r="AC22" s="64">
        <f t="shared" si="2"/>
        <v>113435.24454545455</v>
      </c>
    </row>
    <row r="23" spans="1:29" ht="15.75" thickBot="1" x14ac:dyDescent="0.3">
      <c r="A23" s="82">
        <f t="shared" si="3"/>
        <v>2023</v>
      </c>
      <c r="B23" s="42">
        <v>382</v>
      </c>
      <c r="C23" s="42">
        <f t="shared" si="4"/>
        <v>120.94615026865651</v>
      </c>
      <c r="D23" s="42">
        <v>2402</v>
      </c>
      <c r="E23" s="42">
        <f t="shared" si="5"/>
        <v>721.93673344141894</v>
      </c>
      <c r="F23" s="43">
        <f t="shared" si="6"/>
        <v>12297.410083038978</v>
      </c>
      <c r="G23" s="42">
        <v>174</v>
      </c>
      <c r="H23" s="42">
        <f t="shared" si="7"/>
        <v>114.16528542560069</v>
      </c>
      <c r="I23" s="42">
        <f t="shared" si="8"/>
        <v>897.31124647522756</v>
      </c>
      <c r="J23" s="42">
        <f t="shared" si="9"/>
        <v>5103.6254592335736</v>
      </c>
      <c r="K23" s="43">
        <f t="shared" si="10"/>
        <v>144.96836672070947</v>
      </c>
      <c r="L23" s="42">
        <v>565</v>
      </c>
      <c r="M23" s="42">
        <v>965</v>
      </c>
      <c r="N23" s="42">
        <f t="shared" si="11"/>
        <v>2293.667367467815</v>
      </c>
      <c r="O23" s="83">
        <v>5847</v>
      </c>
      <c r="P23" s="42">
        <f t="shared" si="12"/>
        <v>68.20525424097552</v>
      </c>
      <c r="Q23" s="43">
        <f t="shared" si="13"/>
        <v>15182.008599141591</v>
      </c>
      <c r="R23" s="5">
        <v>190</v>
      </c>
      <c r="V23" s="56">
        <f t="shared" si="1"/>
        <v>47469.244545454552</v>
      </c>
      <c r="W23" s="5">
        <v>1111</v>
      </c>
      <c r="X23" s="5">
        <v>7410</v>
      </c>
      <c r="Y23" s="5">
        <v>310</v>
      </c>
      <c r="Z23" s="5">
        <v>56464</v>
      </c>
      <c r="AA23" s="30">
        <v>672</v>
      </c>
      <c r="AB23" s="63">
        <f t="shared" si="0"/>
        <v>65967</v>
      </c>
      <c r="AC23" s="64">
        <f t="shared" si="2"/>
        <v>113436.24454545455</v>
      </c>
    </row>
    <row r="24" spans="1:29" ht="15.75" thickBot="1" x14ac:dyDescent="0.3">
      <c r="A24" s="82">
        <f t="shared" si="3"/>
        <v>2024</v>
      </c>
      <c r="B24" s="42">
        <v>382</v>
      </c>
      <c r="C24" s="42">
        <f t="shared" si="4"/>
        <v>120.94615026865651</v>
      </c>
      <c r="D24" s="42">
        <v>2402</v>
      </c>
      <c r="E24" s="42">
        <f t="shared" si="5"/>
        <v>721.93673344141894</v>
      </c>
      <c r="F24" s="43">
        <f t="shared" si="6"/>
        <v>12297.410083038978</v>
      </c>
      <c r="G24" s="42">
        <v>174</v>
      </c>
      <c r="H24" s="42">
        <f t="shared" si="7"/>
        <v>114.16528542560069</v>
      </c>
      <c r="I24" s="42">
        <f t="shared" si="8"/>
        <v>897.31124647522756</v>
      </c>
      <c r="J24" s="42">
        <f t="shared" si="9"/>
        <v>5103.6254592335736</v>
      </c>
      <c r="K24" s="43">
        <f t="shared" si="10"/>
        <v>144.96836672070947</v>
      </c>
      <c r="L24" s="42">
        <v>565</v>
      </c>
      <c r="M24" s="42">
        <v>965</v>
      </c>
      <c r="N24" s="42">
        <f t="shared" si="11"/>
        <v>2293.667367467815</v>
      </c>
      <c r="O24" s="83">
        <v>5847</v>
      </c>
      <c r="P24" s="42">
        <f t="shared" si="12"/>
        <v>68.20525424097552</v>
      </c>
      <c r="Q24" s="43">
        <f t="shared" si="13"/>
        <v>15182.008599141591</v>
      </c>
      <c r="R24" s="5">
        <v>191</v>
      </c>
      <c r="V24" s="56">
        <f t="shared" si="1"/>
        <v>47470.244545454552</v>
      </c>
      <c r="W24" s="5">
        <v>1111</v>
      </c>
      <c r="X24" s="5">
        <v>7410</v>
      </c>
      <c r="Y24" s="5">
        <v>310</v>
      </c>
      <c r="Z24" s="5">
        <v>56464</v>
      </c>
      <c r="AA24" s="30">
        <v>672</v>
      </c>
      <c r="AB24" s="63">
        <f t="shared" si="0"/>
        <v>65967</v>
      </c>
      <c r="AC24" s="64">
        <f t="shared" si="2"/>
        <v>113437.24454545455</v>
      </c>
    </row>
    <row r="25" spans="1:29" ht="15.75" thickBot="1" x14ac:dyDescent="0.3">
      <c r="A25" s="82">
        <f t="shared" si="3"/>
        <v>2025</v>
      </c>
      <c r="B25" s="42">
        <v>382</v>
      </c>
      <c r="C25" s="42">
        <f t="shared" si="4"/>
        <v>120.94615026865651</v>
      </c>
      <c r="D25" s="42">
        <v>2402</v>
      </c>
      <c r="E25" s="42">
        <f t="shared" si="5"/>
        <v>721.93673344141894</v>
      </c>
      <c r="F25" s="43">
        <f t="shared" si="6"/>
        <v>12297.410083038978</v>
      </c>
      <c r="G25" s="42">
        <v>174</v>
      </c>
      <c r="H25" s="42">
        <f t="shared" si="7"/>
        <v>114.16528542560069</v>
      </c>
      <c r="I25" s="42">
        <f t="shared" si="8"/>
        <v>897.31124647522756</v>
      </c>
      <c r="J25" s="42">
        <f t="shared" si="9"/>
        <v>5103.6254592335736</v>
      </c>
      <c r="K25" s="43">
        <f t="shared" si="10"/>
        <v>144.96836672070947</v>
      </c>
      <c r="L25" s="42">
        <v>565</v>
      </c>
      <c r="M25" s="42">
        <v>965</v>
      </c>
      <c r="N25" s="42">
        <f t="shared" si="11"/>
        <v>2293.667367467815</v>
      </c>
      <c r="O25" s="83">
        <v>5847</v>
      </c>
      <c r="P25" s="42">
        <f t="shared" si="12"/>
        <v>68.20525424097552</v>
      </c>
      <c r="Q25" s="43">
        <f t="shared" si="13"/>
        <v>15182.008599141591</v>
      </c>
      <c r="R25" s="5">
        <v>192</v>
      </c>
      <c r="V25" s="56">
        <f t="shared" si="1"/>
        <v>47471.244545454552</v>
      </c>
      <c r="W25" s="5">
        <v>1111</v>
      </c>
      <c r="X25" s="5">
        <v>7410</v>
      </c>
      <c r="Y25" s="5">
        <v>310</v>
      </c>
      <c r="Z25" s="5">
        <v>56464</v>
      </c>
      <c r="AA25" s="30">
        <v>672</v>
      </c>
      <c r="AB25" s="63">
        <f t="shared" si="0"/>
        <v>65967</v>
      </c>
      <c r="AC25" s="64">
        <f t="shared" si="2"/>
        <v>113438.24454545455</v>
      </c>
    </row>
    <row r="26" spans="1:29" ht="15.75" thickBot="1" x14ac:dyDescent="0.3">
      <c r="A26" s="82">
        <f t="shared" si="3"/>
        <v>2026</v>
      </c>
      <c r="B26" s="42">
        <v>382</v>
      </c>
      <c r="C26" s="42">
        <f t="shared" si="4"/>
        <v>120.94615026865651</v>
      </c>
      <c r="D26" s="42">
        <v>2402</v>
      </c>
      <c r="E26" s="42">
        <f t="shared" si="5"/>
        <v>721.93673344141894</v>
      </c>
      <c r="F26" s="43">
        <f t="shared" si="6"/>
        <v>12297.410083038978</v>
      </c>
      <c r="G26" s="42">
        <v>174</v>
      </c>
      <c r="H26" s="42">
        <f t="shared" si="7"/>
        <v>114.16528542560069</v>
      </c>
      <c r="I26" s="42">
        <f t="shared" si="8"/>
        <v>897.31124647522756</v>
      </c>
      <c r="J26" s="42">
        <f t="shared" si="9"/>
        <v>5103.6254592335736</v>
      </c>
      <c r="K26" s="43">
        <f t="shared" si="10"/>
        <v>144.96836672070947</v>
      </c>
      <c r="L26" s="42">
        <v>565</v>
      </c>
      <c r="M26" s="42">
        <v>965</v>
      </c>
      <c r="N26" s="42">
        <f t="shared" si="11"/>
        <v>2293.667367467815</v>
      </c>
      <c r="O26" s="83">
        <v>5847</v>
      </c>
      <c r="P26" s="42">
        <f t="shared" si="12"/>
        <v>68.20525424097552</v>
      </c>
      <c r="Q26" s="43">
        <f t="shared" si="13"/>
        <v>15182.008599141591</v>
      </c>
      <c r="R26" s="5">
        <v>193</v>
      </c>
      <c r="V26" s="56">
        <f t="shared" si="1"/>
        <v>47472.244545454552</v>
      </c>
      <c r="W26" s="5">
        <v>1111</v>
      </c>
      <c r="X26" s="5">
        <v>7410</v>
      </c>
      <c r="Y26" s="5">
        <v>310</v>
      </c>
      <c r="Z26" s="5">
        <v>56464</v>
      </c>
      <c r="AA26" s="30">
        <v>672</v>
      </c>
      <c r="AB26" s="63">
        <f t="shared" si="0"/>
        <v>65967</v>
      </c>
      <c r="AC26" s="64">
        <f t="shared" si="2"/>
        <v>113439.24454545455</v>
      </c>
    </row>
    <row r="27" spans="1:29" ht="15.75" thickBot="1" x14ac:dyDescent="0.3">
      <c r="A27" s="82">
        <f t="shared" si="3"/>
        <v>2027</v>
      </c>
      <c r="B27" s="42">
        <v>382</v>
      </c>
      <c r="C27" s="42">
        <f t="shared" si="4"/>
        <v>120.94615026865651</v>
      </c>
      <c r="D27" s="42">
        <v>2402</v>
      </c>
      <c r="E27" s="42">
        <f t="shared" si="5"/>
        <v>721.93673344141894</v>
      </c>
      <c r="F27" s="43">
        <f t="shared" si="6"/>
        <v>12297.410083038978</v>
      </c>
      <c r="G27" s="42">
        <v>174</v>
      </c>
      <c r="H27" s="42">
        <f t="shared" si="7"/>
        <v>114.16528542560069</v>
      </c>
      <c r="I27" s="42">
        <f t="shared" si="8"/>
        <v>897.31124647522756</v>
      </c>
      <c r="J27" s="42">
        <f t="shared" si="9"/>
        <v>5103.6254592335736</v>
      </c>
      <c r="K27" s="43">
        <f t="shared" si="10"/>
        <v>144.96836672070947</v>
      </c>
      <c r="L27" s="42">
        <v>565</v>
      </c>
      <c r="M27" s="42">
        <v>965</v>
      </c>
      <c r="N27" s="42">
        <f t="shared" si="11"/>
        <v>2293.667367467815</v>
      </c>
      <c r="O27" s="83">
        <v>5847</v>
      </c>
      <c r="P27" s="42">
        <f t="shared" si="12"/>
        <v>68.20525424097552</v>
      </c>
      <c r="Q27" s="43">
        <f t="shared" si="13"/>
        <v>15182.008599141591</v>
      </c>
      <c r="R27" s="5">
        <v>194</v>
      </c>
      <c r="V27" s="56">
        <f t="shared" si="1"/>
        <v>47473.244545454552</v>
      </c>
      <c r="W27" s="5">
        <v>1111</v>
      </c>
      <c r="X27" s="5">
        <v>7410</v>
      </c>
      <c r="Y27" s="5">
        <v>310</v>
      </c>
      <c r="Z27" s="5">
        <v>56464</v>
      </c>
      <c r="AA27" s="30">
        <v>672</v>
      </c>
      <c r="AB27" s="63">
        <f t="shared" si="0"/>
        <v>65967</v>
      </c>
      <c r="AC27" s="64">
        <f t="shared" si="2"/>
        <v>113440.24454545455</v>
      </c>
    </row>
    <row r="28" spans="1:29" ht="15.75" thickBot="1" x14ac:dyDescent="0.3">
      <c r="A28" s="82">
        <f t="shared" si="3"/>
        <v>2028</v>
      </c>
      <c r="B28" s="42">
        <v>382</v>
      </c>
      <c r="C28" s="42">
        <f t="shared" si="4"/>
        <v>120.94615026865651</v>
      </c>
      <c r="D28" s="42">
        <v>2402</v>
      </c>
      <c r="E28" s="42">
        <f t="shared" si="5"/>
        <v>721.93673344141894</v>
      </c>
      <c r="F28" s="43">
        <f t="shared" si="6"/>
        <v>12297.410083038978</v>
      </c>
      <c r="G28" s="42">
        <v>174</v>
      </c>
      <c r="H28" s="42">
        <f t="shared" si="7"/>
        <v>114.16528542560069</v>
      </c>
      <c r="I28" s="42">
        <f t="shared" si="8"/>
        <v>897.31124647522756</v>
      </c>
      <c r="J28" s="42">
        <f t="shared" si="9"/>
        <v>5103.6254592335736</v>
      </c>
      <c r="K28" s="43">
        <f t="shared" si="10"/>
        <v>144.96836672070947</v>
      </c>
      <c r="L28" s="42">
        <v>565</v>
      </c>
      <c r="M28" s="42">
        <v>965</v>
      </c>
      <c r="N28" s="42">
        <f t="shared" si="11"/>
        <v>2293.667367467815</v>
      </c>
      <c r="O28" s="83">
        <v>5847</v>
      </c>
      <c r="P28" s="42">
        <f t="shared" si="12"/>
        <v>68.20525424097552</v>
      </c>
      <c r="Q28" s="43">
        <f t="shared" si="13"/>
        <v>15182.008599141591</v>
      </c>
      <c r="R28" s="5">
        <v>195</v>
      </c>
      <c r="V28" s="56">
        <f t="shared" si="1"/>
        <v>47474.244545454552</v>
      </c>
      <c r="W28" s="5">
        <v>1111</v>
      </c>
      <c r="X28" s="5">
        <v>7410</v>
      </c>
      <c r="Y28" s="5">
        <v>310</v>
      </c>
      <c r="Z28" s="5">
        <v>56464</v>
      </c>
      <c r="AA28" s="30">
        <v>672</v>
      </c>
      <c r="AB28" s="63">
        <f t="shared" si="0"/>
        <v>65967</v>
      </c>
      <c r="AC28" s="64">
        <f t="shared" si="2"/>
        <v>113441.24454545455</v>
      </c>
    </row>
    <row r="29" spans="1:29" ht="15.75" thickBot="1" x14ac:dyDescent="0.3">
      <c r="A29" s="82">
        <f t="shared" si="3"/>
        <v>2029</v>
      </c>
      <c r="B29" s="42">
        <v>382</v>
      </c>
      <c r="C29" s="42">
        <f t="shared" si="4"/>
        <v>120.94615026865651</v>
      </c>
      <c r="D29" s="42">
        <v>2402</v>
      </c>
      <c r="E29" s="42">
        <f t="shared" si="5"/>
        <v>721.93673344141894</v>
      </c>
      <c r="F29" s="43">
        <f t="shared" si="6"/>
        <v>12297.410083038978</v>
      </c>
      <c r="G29" s="42">
        <v>174</v>
      </c>
      <c r="H29" s="42">
        <f t="shared" si="7"/>
        <v>114.16528542560069</v>
      </c>
      <c r="I29" s="42">
        <f t="shared" si="8"/>
        <v>897.31124647522756</v>
      </c>
      <c r="J29" s="42">
        <f t="shared" si="9"/>
        <v>5103.6254592335736</v>
      </c>
      <c r="K29" s="43">
        <f t="shared" si="10"/>
        <v>144.96836672070947</v>
      </c>
      <c r="L29" s="42">
        <v>565</v>
      </c>
      <c r="M29" s="42">
        <v>965</v>
      </c>
      <c r="N29" s="42">
        <f t="shared" si="11"/>
        <v>2293.667367467815</v>
      </c>
      <c r="O29" s="83">
        <v>5847</v>
      </c>
      <c r="P29" s="42">
        <f t="shared" si="12"/>
        <v>68.20525424097552</v>
      </c>
      <c r="Q29" s="43">
        <f t="shared" si="13"/>
        <v>15182.008599141591</v>
      </c>
      <c r="R29" s="5">
        <v>196</v>
      </c>
      <c r="V29" s="56">
        <f t="shared" si="1"/>
        <v>47475.244545454552</v>
      </c>
      <c r="W29" s="5">
        <v>1111</v>
      </c>
      <c r="X29" s="5">
        <v>7410</v>
      </c>
      <c r="Y29" s="5">
        <v>310</v>
      </c>
      <c r="Z29" s="5">
        <v>56464</v>
      </c>
      <c r="AA29" s="30">
        <v>672</v>
      </c>
      <c r="AB29" s="63">
        <f t="shared" si="0"/>
        <v>65967</v>
      </c>
      <c r="AC29" s="64">
        <f t="shared" si="2"/>
        <v>113442.24454545455</v>
      </c>
    </row>
    <row r="30" spans="1:29" ht="15.75" thickBot="1" x14ac:dyDescent="0.3">
      <c r="A30" s="82">
        <f t="shared" si="3"/>
        <v>2030</v>
      </c>
      <c r="B30" s="42">
        <v>382</v>
      </c>
      <c r="C30" s="42">
        <f t="shared" si="4"/>
        <v>120.94615026865651</v>
      </c>
      <c r="D30" s="42">
        <v>2402</v>
      </c>
      <c r="E30" s="42">
        <f t="shared" si="5"/>
        <v>721.93673344141894</v>
      </c>
      <c r="F30" s="43">
        <f t="shared" si="6"/>
        <v>12297.410083038978</v>
      </c>
      <c r="G30" s="42">
        <v>174</v>
      </c>
      <c r="H30" s="42">
        <f t="shared" si="7"/>
        <v>114.16528542560069</v>
      </c>
      <c r="I30" s="42">
        <f t="shared" si="8"/>
        <v>897.31124647522756</v>
      </c>
      <c r="J30" s="42">
        <f t="shared" si="9"/>
        <v>5103.6254592335736</v>
      </c>
      <c r="K30" s="43">
        <f t="shared" si="10"/>
        <v>144.96836672070947</v>
      </c>
      <c r="L30" s="6">
        <v>565</v>
      </c>
      <c r="M30" s="6">
        <v>965</v>
      </c>
      <c r="N30" s="42">
        <f t="shared" si="11"/>
        <v>2293.667367467815</v>
      </c>
      <c r="O30" s="89">
        <v>5847</v>
      </c>
      <c r="P30" s="42">
        <f t="shared" si="12"/>
        <v>68.20525424097552</v>
      </c>
      <c r="Q30" s="43">
        <f t="shared" si="13"/>
        <v>15182.008599141591</v>
      </c>
      <c r="R30" s="5">
        <v>197</v>
      </c>
      <c r="V30" s="56">
        <f t="shared" si="1"/>
        <v>47476.244545454552</v>
      </c>
      <c r="W30" s="5">
        <v>1111</v>
      </c>
      <c r="X30" s="5">
        <v>7410</v>
      </c>
      <c r="Y30" s="5">
        <v>310</v>
      </c>
      <c r="Z30" s="5">
        <v>56464</v>
      </c>
      <c r="AA30" s="30">
        <v>672</v>
      </c>
      <c r="AB30" s="63">
        <f t="shared" si="0"/>
        <v>65967</v>
      </c>
      <c r="AC30" s="64">
        <f t="shared" si="2"/>
        <v>113443.24454545455</v>
      </c>
    </row>
    <row r="31" spans="1:29" ht="15.75" thickBot="1" x14ac:dyDescent="0.3">
      <c r="A31" s="97">
        <v>2035</v>
      </c>
      <c r="B31" s="88">
        <v>382</v>
      </c>
      <c r="C31" s="42">
        <f t="shared" si="4"/>
        <v>120.94615026865651</v>
      </c>
      <c r="D31" s="89">
        <v>2402</v>
      </c>
      <c r="E31" s="42">
        <f t="shared" si="5"/>
        <v>721.93673344141894</v>
      </c>
      <c r="F31" s="43">
        <f t="shared" si="6"/>
        <v>12297.410083038978</v>
      </c>
      <c r="G31" s="42">
        <v>174</v>
      </c>
      <c r="H31" s="42">
        <f t="shared" si="7"/>
        <v>114.16528542560069</v>
      </c>
      <c r="I31" s="42">
        <f t="shared" si="8"/>
        <v>897.31124647522756</v>
      </c>
      <c r="J31" s="42">
        <f t="shared" si="9"/>
        <v>5103.6254592335736</v>
      </c>
      <c r="K31" s="43">
        <f t="shared" si="10"/>
        <v>144.96836672070947</v>
      </c>
      <c r="L31" s="88">
        <v>565</v>
      </c>
      <c r="M31" s="89">
        <v>965</v>
      </c>
      <c r="N31" s="42">
        <f t="shared" si="11"/>
        <v>2293.667367467815</v>
      </c>
      <c r="O31" s="89">
        <v>5847</v>
      </c>
      <c r="P31" s="42">
        <f t="shared" si="12"/>
        <v>68.20525424097552</v>
      </c>
      <c r="Q31" s="43">
        <f t="shared" si="13"/>
        <v>15182.008599141591</v>
      </c>
      <c r="R31" s="85">
        <v>198</v>
      </c>
      <c r="S31" s="84"/>
      <c r="T31" s="84"/>
      <c r="U31" s="84"/>
      <c r="V31" s="84">
        <f t="shared" si="1"/>
        <v>47477.244545454552</v>
      </c>
    </row>
    <row r="32" spans="1:29" ht="15.75" thickBot="1" x14ac:dyDescent="0.3">
      <c r="A32" s="97">
        <v>2040</v>
      </c>
      <c r="B32" s="91">
        <v>382</v>
      </c>
      <c r="C32" s="42">
        <f t="shared" si="4"/>
        <v>120.94615026865651</v>
      </c>
      <c r="D32" s="85">
        <v>2402</v>
      </c>
      <c r="E32" s="42">
        <f t="shared" si="5"/>
        <v>721.93673344141894</v>
      </c>
      <c r="F32" s="43">
        <f t="shared" si="6"/>
        <v>12297.410083038978</v>
      </c>
      <c r="G32" s="42">
        <v>174</v>
      </c>
      <c r="H32" s="42">
        <f t="shared" si="7"/>
        <v>114.16528542560069</v>
      </c>
      <c r="I32" s="42">
        <f t="shared" si="8"/>
        <v>897.31124647522756</v>
      </c>
      <c r="J32" s="42">
        <f t="shared" si="9"/>
        <v>5103.6254592335736</v>
      </c>
      <c r="K32" s="43">
        <f t="shared" si="10"/>
        <v>144.96836672070947</v>
      </c>
      <c r="L32" s="91">
        <v>565</v>
      </c>
      <c r="M32" s="85">
        <v>965</v>
      </c>
      <c r="N32" s="85">
        <v>2271</v>
      </c>
      <c r="O32" s="85">
        <f>5847+(N31-N15)</f>
        <v>5869.667367467815</v>
      </c>
      <c r="P32" s="42">
        <f t="shared" si="12"/>
        <v>68.20525424097552</v>
      </c>
      <c r="Q32" s="43">
        <f t="shared" si="13"/>
        <v>15182.008599141591</v>
      </c>
      <c r="R32" s="85">
        <v>200</v>
      </c>
      <c r="S32" s="84"/>
      <c r="T32" s="84"/>
      <c r="U32" s="84"/>
      <c r="V32" s="84">
        <f t="shared" si="1"/>
        <v>47479.244545454552</v>
      </c>
    </row>
    <row r="33" spans="1:22" ht="15.75" thickBot="1" x14ac:dyDescent="0.3">
      <c r="A33" s="97">
        <v>2045</v>
      </c>
      <c r="B33" s="91">
        <v>382</v>
      </c>
      <c r="C33" s="42">
        <f t="shared" si="4"/>
        <v>120.94615026865651</v>
      </c>
      <c r="D33" s="85">
        <v>2402</v>
      </c>
      <c r="E33" s="42">
        <f t="shared" si="5"/>
        <v>721.93673344141894</v>
      </c>
      <c r="F33" s="43">
        <f t="shared" si="6"/>
        <v>12297.410083038978</v>
      </c>
      <c r="G33" s="42">
        <v>174</v>
      </c>
      <c r="H33" s="42">
        <f t="shared" si="7"/>
        <v>114.16528542560069</v>
      </c>
      <c r="I33" s="42">
        <f t="shared" si="8"/>
        <v>897.31124647522756</v>
      </c>
      <c r="J33" s="42">
        <f t="shared" si="9"/>
        <v>5103.6254592335736</v>
      </c>
      <c r="K33" s="43">
        <f t="shared" si="10"/>
        <v>144.96836672070947</v>
      </c>
      <c r="L33" s="91">
        <v>565</v>
      </c>
      <c r="M33" s="85">
        <v>965</v>
      </c>
      <c r="N33" s="85">
        <v>2271</v>
      </c>
      <c r="O33" s="85">
        <f>O32</f>
        <v>5869.667367467815</v>
      </c>
      <c r="P33" s="42">
        <f t="shared" si="12"/>
        <v>68.20525424097552</v>
      </c>
      <c r="Q33" s="43">
        <f t="shared" si="13"/>
        <v>15182.008599141591</v>
      </c>
      <c r="R33" s="85">
        <v>205</v>
      </c>
      <c r="S33" s="84"/>
      <c r="T33" s="84"/>
      <c r="U33" s="84"/>
      <c r="V33" s="84">
        <f t="shared" si="1"/>
        <v>47484.244545454552</v>
      </c>
    </row>
    <row r="34" spans="1:22" ht="15.75" thickBot="1" x14ac:dyDescent="0.3">
      <c r="A34" s="97">
        <v>2050</v>
      </c>
      <c r="B34" s="92">
        <v>382</v>
      </c>
      <c r="C34" s="42">
        <f t="shared" si="4"/>
        <v>120.94615026865651</v>
      </c>
      <c r="D34" s="83">
        <v>2402</v>
      </c>
      <c r="E34" s="42">
        <f t="shared" si="5"/>
        <v>721.93673344141894</v>
      </c>
      <c r="F34" s="43">
        <f t="shared" si="6"/>
        <v>12297.410083038978</v>
      </c>
      <c r="G34" s="42">
        <v>174</v>
      </c>
      <c r="H34" s="42">
        <f t="shared" si="7"/>
        <v>114.16528542560069</v>
      </c>
      <c r="I34" s="42">
        <f t="shared" si="8"/>
        <v>897.31124647522756</v>
      </c>
      <c r="J34" s="42">
        <f t="shared" si="9"/>
        <v>5103.6254592335736</v>
      </c>
      <c r="K34" s="43">
        <f t="shared" si="10"/>
        <v>144.96836672070947</v>
      </c>
      <c r="L34" s="92">
        <v>565</v>
      </c>
      <c r="M34" s="83">
        <v>965</v>
      </c>
      <c r="N34" s="83">
        <v>2271</v>
      </c>
      <c r="O34" s="85">
        <f>O33</f>
        <v>5869.667367467815</v>
      </c>
      <c r="P34" s="42">
        <f t="shared" si="12"/>
        <v>68.20525424097552</v>
      </c>
      <c r="Q34" s="43">
        <f t="shared" si="13"/>
        <v>15182.008599141591</v>
      </c>
      <c r="R34" s="87">
        <v>213</v>
      </c>
      <c r="S34" s="84"/>
      <c r="T34" s="84"/>
      <c r="U34" s="84"/>
      <c r="V34" s="84">
        <f t="shared" si="1"/>
        <v>47492.244545454552</v>
      </c>
    </row>
  </sheetData>
  <mergeCells count="13">
    <mergeCell ref="Y4:Y5"/>
    <mergeCell ref="Z4:Z5"/>
    <mergeCell ref="AA4:AA5"/>
    <mergeCell ref="B3:Q3"/>
    <mergeCell ref="R3:R4"/>
    <mergeCell ref="U3:U5"/>
    <mergeCell ref="W3:AA3"/>
    <mergeCell ref="B4:F4"/>
    <mergeCell ref="G4:K4"/>
    <mergeCell ref="L4:Q4"/>
    <mergeCell ref="S4:T4"/>
    <mergeCell ref="W4:W5"/>
    <mergeCell ref="X4:X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70" zoomScaleNormal="70" workbookViewId="0">
      <selection activeCell="S16" sqref="S16"/>
    </sheetView>
  </sheetViews>
  <sheetFormatPr defaultRowHeight="15" x14ac:dyDescent="0.25"/>
  <cols>
    <col min="2" max="2" width="11.85546875" customWidth="1"/>
    <col min="3" max="3" width="11.42578125" customWidth="1"/>
    <col min="5" max="5" width="11.5703125" customWidth="1"/>
    <col min="6" max="6" width="13.28515625" customWidth="1"/>
    <col min="7" max="7" width="12" customWidth="1"/>
    <col min="8" max="8" width="11.5703125" customWidth="1"/>
    <col min="9" max="9" width="11.42578125" customWidth="1"/>
    <col min="18" max="18" width="10.85546875" customWidth="1"/>
    <col min="19" max="19" width="13.42578125" customWidth="1"/>
    <col min="20" max="20" width="14.5703125" customWidth="1"/>
    <col min="21" max="21" width="10.85546875" customWidth="1"/>
  </cols>
  <sheetData>
    <row r="1" spans="1:29" x14ac:dyDescent="0.25">
      <c r="A1" t="s">
        <v>0</v>
      </c>
    </row>
    <row r="2" spans="1:29" ht="15.75" thickBot="1" x14ac:dyDescent="0.3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/>
      <c r="T2" s="4"/>
      <c r="U2" s="4"/>
    </row>
    <row r="3" spans="1:29" ht="60.75" customHeight="1" thickBot="1" x14ac:dyDescent="0.3">
      <c r="A3" s="40"/>
      <c r="B3" s="170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69" t="s">
        <v>19</v>
      </c>
      <c r="S3" s="104"/>
      <c r="T3" s="105"/>
      <c r="U3" s="175" t="s">
        <v>80</v>
      </c>
      <c r="V3" s="53" t="s">
        <v>68</v>
      </c>
      <c r="W3" s="170" t="s">
        <v>76</v>
      </c>
      <c r="X3" s="171"/>
      <c r="Y3" s="171"/>
      <c r="Z3" s="171"/>
      <c r="AA3" s="172"/>
      <c r="AB3" s="57" t="s">
        <v>68</v>
      </c>
      <c r="AC3" s="60" t="s">
        <v>68</v>
      </c>
    </row>
    <row r="4" spans="1:29" ht="15.75" thickBot="1" x14ac:dyDescent="0.3">
      <c r="A4" s="41"/>
      <c r="B4" s="167" t="s">
        <v>16</v>
      </c>
      <c r="C4" s="167"/>
      <c r="D4" s="167"/>
      <c r="E4" s="167"/>
      <c r="F4" s="168"/>
      <c r="G4" s="167" t="s">
        <v>17</v>
      </c>
      <c r="H4" s="167"/>
      <c r="I4" s="167"/>
      <c r="J4" s="167"/>
      <c r="K4" s="168"/>
      <c r="L4" s="167" t="s">
        <v>18</v>
      </c>
      <c r="M4" s="167"/>
      <c r="N4" s="167"/>
      <c r="O4" s="167"/>
      <c r="P4" s="167"/>
      <c r="Q4" s="168"/>
      <c r="R4" s="169"/>
      <c r="S4" s="173" t="s">
        <v>79</v>
      </c>
      <c r="T4" s="174"/>
      <c r="U4" s="176"/>
      <c r="V4" s="54" t="s">
        <v>70</v>
      </c>
      <c r="W4" s="178" t="s">
        <v>71</v>
      </c>
      <c r="X4" s="163" t="s">
        <v>72</v>
      </c>
      <c r="Y4" s="163" t="s">
        <v>73</v>
      </c>
      <c r="Z4" s="163" t="s">
        <v>74</v>
      </c>
      <c r="AA4" s="165" t="s">
        <v>75</v>
      </c>
      <c r="AB4" s="58" t="s">
        <v>77</v>
      </c>
      <c r="AC4" s="61" t="s">
        <v>78</v>
      </c>
    </row>
    <row r="5" spans="1:29" ht="15.75" thickBot="1" x14ac:dyDescent="0.3">
      <c r="A5" s="45" t="s">
        <v>1</v>
      </c>
      <c r="B5" s="111" t="s">
        <v>8</v>
      </c>
      <c r="C5" s="112" t="s">
        <v>3</v>
      </c>
      <c r="D5" s="112" t="s">
        <v>4</v>
      </c>
      <c r="E5" s="112" t="s">
        <v>5</v>
      </c>
      <c r="F5" s="113" t="s">
        <v>6</v>
      </c>
      <c r="G5" s="112" t="s">
        <v>8</v>
      </c>
      <c r="H5" s="112" t="s">
        <v>3</v>
      </c>
      <c r="I5" s="112" t="s">
        <v>4</v>
      </c>
      <c r="J5" s="112" t="s">
        <v>9</v>
      </c>
      <c r="K5" s="113" t="s">
        <v>5</v>
      </c>
      <c r="L5" s="112" t="s">
        <v>11</v>
      </c>
      <c r="M5" s="112" t="s">
        <v>12</v>
      </c>
      <c r="N5" s="112" t="s">
        <v>13</v>
      </c>
      <c r="O5" s="112" t="s">
        <v>14</v>
      </c>
      <c r="P5" s="112" t="s">
        <v>8</v>
      </c>
      <c r="Q5" s="113" t="s">
        <v>9</v>
      </c>
      <c r="R5" s="37" t="s">
        <v>15</v>
      </c>
      <c r="S5" s="106" t="s">
        <v>13</v>
      </c>
      <c r="T5" s="114" t="s">
        <v>14</v>
      </c>
      <c r="U5" s="177"/>
      <c r="V5" s="55" t="s">
        <v>69</v>
      </c>
      <c r="W5" s="179"/>
      <c r="X5" s="164"/>
      <c r="Y5" s="164"/>
      <c r="Z5" s="164"/>
      <c r="AA5" s="166"/>
      <c r="AB5" s="59" t="s">
        <v>69</v>
      </c>
      <c r="AC5" s="62" t="s">
        <v>69</v>
      </c>
    </row>
    <row r="6" spans="1:29" ht="15.75" thickBot="1" x14ac:dyDescent="0.3">
      <c r="A6" s="46">
        <v>2006</v>
      </c>
      <c r="B6" s="5">
        <v>408</v>
      </c>
      <c r="C6" s="5">
        <v>116</v>
      </c>
      <c r="D6" s="5">
        <v>2389</v>
      </c>
      <c r="E6" s="5">
        <v>710</v>
      </c>
      <c r="F6" s="30">
        <v>12276</v>
      </c>
      <c r="G6" s="5">
        <v>176</v>
      </c>
      <c r="H6" s="5">
        <v>110</v>
      </c>
      <c r="I6" s="5">
        <v>889</v>
      </c>
      <c r="J6" s="5">
        <v>5085</v>
      </c>
      <c r="K6" s="30">
        <v>139</v>
      </c>
      <c r="L6" s="5">
        <v>546</v>
      </c>
      <c r="M6" s="5">
        <v>967</v>
      </c>
      <c r="N6" s="6">
        <v>2684</v>
      </c>
      <c r="O6" s="6">
        <v>5478</v>
      </c>
      <c r="P6" s="5">
        <v>62</v>
      </c>
      <c r="Q6" s="30">
        <v>15146</v>
      </c>
      <c r="R6" s="31">
        <v>61</v>
      </c>
      <c r="S6" s="102"/>
      <c r="T6" s="103"/>
      <c r="U6" s="102"/>
      <c r="V6" s="56">
        <f>SUM(B6:U6)</f>
        <v>47242</v>
      </c>
      <c r="W6" s="5">
        <v>686</v>
      </c>
      <c r="X6" s="5">
        <v>6781</v>
      </c>
      <c r="Y6" s="5">
        <v>300</v>
      </c>
      <c r="Z6" s="5">
        <v>60000</v>
      </c>
      <c r="AA6" s="52">
        <v>688</v>
      </c>
      <c r="AB6" s="63">
        <f>SUM(W6:AA6)</f>
        <v>68455</v>
      </c>
      <c r="AC6" s="64">
        <f>V6+AB6</f>
        <v>115697</v>
      </c>
    </row>
    <row r="7" spans="1:29" ht="15.75" thickBot="1" x14ac:dyDescent="0.3">
      <c r="A7" s="46">
        <v>2007</v>
      </c>
      <c r="B7" s="5">
        <v>384</v>
      </c>
      <c r="C7" s="5">
        <v>112</v>
      </c>
      <c r="D7" s="5">
        <v>2410</v>
      </c>
      <c r="E7" s="5">
        <v>710</v>
      </c>
      <c r="F7" s="30">
        <v>12276</v>
      </c>
      <c r="G7" s="5">
        <v>176</v>
      </c>
      <c r="H7" s="5">
        <v>110</v>
      </c>
      <c r="I7" s="5">
        <v>889</v>
      </c>
      <c r="J7" s="5">
        <v>5085</v>
      </c>
      <c r="K7" s="30">
        <v>139</v>
      </c>
      <c r="L7" s="5">
        <v>546</v>
      </c>
      <c r="M7" s="5">
        <v>967</v>
      </c>
      <c r="N7" s="6">
        <v>2734</v>
      </c>
      <c r="O7" s="6">
        <v>5461</v>
      </c>
      <c r="P7" s="5">
        <v>62</v>
      </c>
      <c r="Q7" s="30">
        <v>15113</v>
      </c>
      <c r="R7" s="31">
        <v>75</v>
      </c>
      <c r="S7" s="6"/>
      <c r="T7" s="30"/>
      <c r="U7" s="6"/>
      <c r="V7" s="56">
        <f>SUM(B7:U7)</f>
        <v>47249</v>
      </c>
      <c r="W7" s="5">
        <v>668</v>
      </c>
      <c r="X7" s="5">
        <v>6336</v>
      </c>
      <c r="Y7" s="5">
        <v>300</v>
      </c>
      <c r="Z7" s="5">
        <v>68520</v>
      </c>
      <c r="AA7" s="30">
        <v>688</v>
      </c>
      <c r="AB7" s="63">
        <f t="shared" ref="AB7:AB30" si="0">SUM(W7:AA7)</f>
        <v>76512</v>
      </c>
      <c r="AC7" s="64">
        <f>V7+AB7</f>
        <v>123761</v>
      </c>
    </row>
    <row r="8" spans="1:29" ht="15.75" thickBot="1" x14ac:dyDescent="0.3">
      <c r="A8" s="46">
        <v>2008</v>
      </c>
      <c r="B8" s="5">
        <v>384</v>
      </c>
      <c r="C8" s="5">
        <v>112</v>
      </c>
      <c r="D8" s="5">
        <v>2413</v>
      </c>
      <c r="E8" s="5">
        <v>710</v>
      </c>
      <c r="F8" s="30">
        <v>12254</v>
      </c>
      <c r="G8" s="5">
        <v>176</v>
      </c>
      <c r="H8" s="5">
        <v>110</v>
      </c>
      <c r="I8" s="5">
        <v>889</v>
      </c>
      <c r="J8" s="5">
        <v>5085</v>
      </c>
      <c r="K8" s="30">
        <v>139</v>
      </c>
      <c r="L8" s="5">
        <v>550</v>
      </c>
      <c r="M8" s="5">
        <v>967</v>
      </c>
      <c r="N8" s="6">
        <v>2533</v>
      </c>
      <c r="O8" s="6">
        <v>5632</v>
      </c>
      <c r="P8" s="5">
        <v>62</v>
      </c>
      <c r="Q8" s="30">
        <v>15143</v>
      </c>
      <c r="R8" s="31">
        <v>84</v>
      </c>
      <c r="S8" s="6"/>
      <c r="T8" s="30"/>
      <c r="U8" s="6"/>
      <c r="V8" s="56">
        <f t="shared" ref="V8:V34" si="1">SUM(B8:U8)</f>
        <v>47243</v>
      </c>
      <c r="W8" s="5">
        <v>730</v>
      </c>
      <c r="X8" s="5">
        <v>5810</v>
      </c>
      <c r="Y8" s="5">
        <v>300</v>
      </c>
      <c r="Z8" s="5">
        <v>65440</v>
      </c>
      <c r="AA8" s="30">
        <v>701</v>
      </c>
      <c r="AB8" s="63">
        <f t="shared" si="0"/>
        <v>72981</v>
      </c>
      <c r="AC8" s="64">
        <f t="shared" ref="AC8:AC30" si="2">V8+AB8</f>
        <v>120224</v>
      </c>
    </row>
    <row r="9" spans="1:29" ht="15.75" thickBot="1" x14ac:dyDescent="0.3">
      <c r="A9" s="46">
        <v>2009</v>
      </c>
      <c r="B9" s="5">
        <v>384</v>
      </c>
      <c r="C9" s="5">
        <v>112</v>
      </c>
      <c r="D9" s="5">
        <v>2413</v>
      </c>
      <c r="E9" s="5">
        <v>710</v>
      </c>
      <c r="F9" s="30">
        <v>12254</v>
      </c>
      <c r="G9" s="5">
        <v>176</v>
      </c>
      <c r="H9" s="5">
        <v>110</v>
      </c>
      <c r="I9" s="5">
        <v>889</v>
      </c>
      <c r="J9" s="5">
        <v>5085</v>
      </c>
      <c r="K9" s="30">
        <v>139</v>
      </c>
      <c r="L9" s="5">
        <v>550</v>
      </c>
      <c r="M9" s="5">
        <v>967</v>
      </c>
      <c r="N9" s="6">
        <v>2476</v>
      </c>
      <c r="O9" s="6">
        <v>5721</v>
      </c>
      <c r="P9" s="5">
        <v>62</v>
      </c>
      <c r="Q9" s="30">
        <v>15111</v>
      </c>
      <c r="R9" s="31">
        <v>98</v>
      </c>
      <c r="S9" s="6"/>
      <c r="T9" s="30"/>
      <c r="U9" s="6"/>
      <c r="V9" s="56">
        <f t="shared" si="1"/>
        <v>47257</v>
      </c>
      <c r="W9" s="5">
        <v>765</v>
      </c>
      <c r="X9" s="5">
        <v>6543</v>
      </c>
      <c r="Y9" s="5">
        <v>300</v>
      </c>
      <c r="Z9" s="5">
        <v>65850</v>
      </c>
      <c r="AA9" s="30">
        <v>713</v>
      </c>
      <c r="AB9" s="63">
        <f t="shared" si="0"/>
        <v>74171</v>
      </c>
      <c r="AC9" s="64">
        <f t="shared" si="2"/>
        <v>121428</v>
      </c>
    </row>
    <row r="10" spans="1:29" ht="15.75" thickBot="1" x14ac:dyDescent="0.3">
      <c r="A10" s="46">
        <v>2010</v>
      </c>
      <c r="B10" s="5">
        <v>382</v>
      </c>
      <c r="C10" s="5">
        <v>112</v>
      </c>
      <c r="D10" s="5">
        <v>2433</v>
      </c>
      <c r="E10" s="5">
        <v>710</v>
      </c>
      <c r="F10" s="30">
        <v>12242</v>
      </c>
      <c r="G10" s="5">
        <v>174</v>
      </c>
      <c r="H10" s="5">
        <v>110</v>
      </c>
      <c r="I10" s="5">
        <v>889</v>
      </c>
      <c r="J10" s="5">
        <v>5079</v>
      </c>
      <c r="K10" s="30">
        <v>139</v>
      </c>
      <c r="L10" s="5">
        <v>565</v>
      </c>
      <c r="M10" s="5">
        <v>965</v>
      </c>
      <c r="N10" s="6">
        <v>2382</v>
      </c>
      <c r="O10" s="6">
        <v>5817</v>
      </c>
      <c r="P10" s="5">
        <v>60</v>
      </c>
      <c r="Q10" s="30">
        <v>15100</v>
      </c>
      <c r="R10" s="31">
        <v>112</v>
      </c>
      <c r="S10" s="6"/>
      <c r="T10" s="30"/>
      <c r="U10" s="6"/>
      <c r="V10" s="56">
        <f>SUM(B10:U10)</f>
        <v>47271</v>
      </c>
      <c r="W10" s="5">
        <v>790</v>
      </c>
      <c r="X10" s="5">
        <v>7009</v>
      </c>
      <c r="Y10" s="5">
        <v>300</v>
      </c>
      <c r="Z10" s="5">
        <v>64130</v>
      </c>
      <c r="AA10" s="30">
        <v>698</v>
      </c>
      <c r="AB10" s="63">
        <f>SUM(W10:AA10)</f>
        <v>72927</v>
      </c>
      <c r="AC10" s="64">
        <f>V10+AB10</f>
        <v>120198</v>
      </c>
    </row>
    <row r="11" spans="1:29" ht="15.75" thickBot="1" x14ac:dyDescent="0.3">
      <c r="A11" s="46">
        <v>2011</v>
      </c>
      <c r="B11" s="5">
        <v>382</v>
      </c>
      <c r="C11" s="5">
        <v>112</v>
      </c>
      <c r="D11" s="5">
        <v>2437</v>
      </c>
      <c r="E11" s="5">
        <v>710</v>
      </c>
      <c r="F11" s="30">
        <v>12242</v>
      </c>
      <c r="G11" s="5">
        <v>174</v>
      </c>
      <c r="H11" s="5">
        <v>110</v>
      </c>
      <c r="I11" s="5">
        <v>889</v>
      </c>
      <c r="J11" s="5">
        <v>5079</v>
      </c>
      <c r="K11" s="30">
        <v>139</v>
      </c>
      <c r="L11" s="5">
        <v>565</v>
      </c>
      <c r="M11" s="5">
        <v>965</v>
      </c>
      <c r="N11" s="6">
        <v>2268</v>
      </c>
      <c r="O11" s="6">
        <v>5908</v>
      </c>
      <c r="P11" s="5">
        <v>60</v>
      </c>
      <c r="Q11" s="30">
        <v>15100</v>
      </c>
      <c r="R11" s="31">
        <v>127</v>
      </c>
      <c r="S11" s="6"/>
      <c r="T11" s="30"/>
      <c r="U11" s="6"/>
      <c r="V11" s="56">
        <f t="shared" si="1"/>
        <v>47267</v>
      </c>
      <c r="W11" s="5">
        <v>874</v>
      </c>
      <c r="X11" s="5">
        <v>6974</v>
      </c>
      <c r="Y11" s="5">
        <v>300</v>
      </c>
      <c r="Z11" s="5">
        <v>61730</v>
      </c>
      <c r="AA11" s="30">
        <v>651</v>
      </c>
      <c r="AB11" s="63">
        <f t="shared" si="0"/>
        <v>70529</v>
      </c>
      <c r="AC11" s="64">
        <f t="shared" si="2"/>
        <v>117796</v>
      </c>
    </row>
    <row r="12" spans="1:29" ht="15.75" thickBot="1" x14ac:dyDescent="0.3">
      <c r="A12" s="46">
        <v>2012</v>
      </c>
      <c r="B12" s="5">
        <v>382</v>
      </c>
      <c r="C12" s="5">
        <v>112</v>
      </c>
      <c r="D12" s="5">
        <v>2437</v>
      </c>
      <c r="E12" s="5">
        <v>710</v>
      </c>
      <c r="F12" s="30">
        <v>12242</v>
      </c>
      <c r="G12" s="5">
        <v>174</v>
      </c>
      <c r="H12" s="5">
        <v>110</v>
      </c>
      <c r="I12" s="5">
        <v>889</v>
      </c>
      <c r="J12" s="5">
        <v>5079</v>
      </c>
      <c r="K12" s="30">
        <v>139</v>
      </c>
      <c r="L12" s="5">
        <v>565</v>
      </c>
      <c r="M12" s="5">
        <v>965</v>
      </c>
      <c r="N12" s="6">
        <v>2203</v>
      </c>
      <c r="O12" s="6">
        <v>5976</v>
      </c>
      <c r="P12" s="5">
        <v>60</v>
      </c>
      <c r="Q12" s="30">
        <v>15100</v>
      </c>
      <c r="R12" s="31">
        <v>140</v>
      </c>
      <c r="S12" s="6"/>
      <c r="T12" s="30"/>
      <c r="U12" s="6"/>
      <c r="V12" s="56">
        <f t="shared" si="1"/>
        <v>47283</v>
      </c>
      <c r="W12" s="5">
        <v>1003</v>
      </c>
      <c r="X12" s="5">
        <v>7628</v>
      </c>
      <c r="Y12" s="5">
        <v>305</v>
      </c>
      <c r="Z12" s="5">
        <v>60000</v>
      </c>
      <c r="AA12" s="30">
        <v>651</v>
      </c>
      <c r="AB12" s="63">
        <f t="shared" si="0"/>
        <v>69587</v>
      </c>
      <c r="AC12" s="64">
        <f t="shared" si="2"/>
        <v>116870</v>
      </c>
    </row>
    <row r="13" spans="1:29" ht="15.75" thickBot="1" x14ac:dyDescent="0.3">
      <c r="A13" s="47">
        <v>2013</v>
      </c>
      <c r="B13" s="5">
        <v>382</v>
      </c>
      <c r="C13" s="5">
        <v>111</v>
      </c>
      <c r="D13" s="5">
        <v>2402</v>
      </c>
      <c r="E13" s="5">
        <v>710</v>
      </c>
      <c r="F13" s="30">
        <v>12243</v>
      </c>
      <c r="G13" s="5">
        <v>174</v>
      </c>
      <c r="H13" s="5">
        <v>110</v>
      </c>
      <c r="I13" s="5">
        <v>889</v>
      </c>
      <c r="J13" s="5">
        <v>5079</v>
      </c>
      <c r="K13" s="30">
        <v>139</v>
      </c>
      <c r="L13" s="5">
        <v>565</v>
      </c>
      <c r="M13" s="5">
        <v>965</v>
      </c>
      <c r="N13" s="6">
        <v>2245</v>
      </c>
      <c r="O13" s="6">
        <v>5934</v>
      </c>
      <c r="P13" s="5">
        <v>60</v>
      </c>
      <c r="Q13" s="30">
        <v>15100</v>
      </c>
      <c r="R13" s="31">
        <v>160</v>
      </c>
      <c r="S13" s="6"/>
      <c r="T13" s="30"/>
      <c r="U13" s="6"/>
      <c r="V13" s="56">
        <f t="shared" si="1"/>
        <v>47268</v>
      </c>
      <c r="W13" s="5">
        <v>1111</v>
      </c>
      <c r="X13" s="5">
        <v>7410</v>
      </c>
      <c r="Y13" s="5">
        <v>310</v>
      </c>
      <c r="Z13" s="5">
        <v>56464</v>
      </c>
      <c r="AA13" s="30">
        <v>672</v>
      </c>
      <c r="AB13" s="63">
        <f t="shared" si="0"/>
        <v>65967</v>
      </c>
      <c r="AC13" s="64">
        <f t="shared" si="2"/>
        <v>113235</v>
      </c>
    </row>
    <row r="14" spans="1:29" ht="15.75" thickBot="1" x14ac:dyDescent="0.3">
      <c r="A14" s="48">
        <v>2014</v>
      </c>
      <c r="B14" s="42">
        <v>382</v>
      </c>
      <c r="C14" s="42">
        <v>106</v>
      </c>
      <c r="D14" s="42">
        <v>2402</v>
      </c>
      <c r="E14" s="42">
        <v>710</v>
      </c>
      <c r="F14" s="43">
        <v>12243</v>
      </c>
      <c r="G14" s="42">
        <v>174</v>
      </c>
      <c r="H14" s="42">
        <v>110</v>
      </c>
      <c r="I14" s="42">
        <v>889</v>
      </c>
      <c r="J14" s="42">
        <v>5079</v>
      </c>
      <c r="K14" s="43">
        <v>139</v>
      </c>
      <c r="L14" s="42">
        <v>565</v>
      </c>
      <c r="M14" s="42">
        <v>965</v>
      </c>
      <c r="N14" s="42">
        <v>2271</v>
      </c>
      <c r="O14" s="42">
        <v>5866</v>
      </c>
      <c r="P14" s="42">
        <v>60</v>
      </c>
      <c r="Q14" s="43">
        <v>15142</v>
      </c>
      <c r="R14" s="44">
        <v>181</v>
      </c>
      <c r="S14" s="6"/>
      <c r="T14" s="30"/>
      <c r="U14" s="6"/>
      <c r="V14" s="56">
        <f t="shared" si="1"/>
        <v>47284</v>
      </c>
      <c r="W14" s="5">
        <v>1111</v>
      </c>
      <c r="X14" s="5">
        <v>7410</v>
      </c>
      <c r="Y14" s="5">
        <v>310</v>
      </c>
      <c r="Z14" s="5">
        <v>56464</v>
      </c>
      <c r="AA14" s="30">
        <v>672</v>
      </c>
      <c r="AB14" s="63">
        <f t="shared" si="0"/>
        <v>65967</v>
      </c>
      <c r="AC14" s="64">
        <f t="shared" si="2"/>
        <v>113251</v>
      </c>
    </row>
    <row r="15" spans="1:29" ht="15.75" thickBot="1" x14ac:dyDescent="0.3">
      <c r="A15" s="116">
        <f>A14+1</f>
        <v>2015</v>
      </c>
      <c r="B15" s="42">
        <v>382</v>
      </c>
      <c r="C15" s="42">
        <v>106</v>
      </c>
      <c r="D15" s="42">
        <v>2402</v>
      </c>
      <c r="E15" s="42">
        <v>710</v>
      </c>
      <c r="F15" s="43">
        <v>12243</v>
      </c>
      <c r="G15" s="42">
        <v>174</v>
      </c>
      <c r="H15" s="42">
        <v>110</v>
      </c>
      <c r="I15" s="42">
        <v>889</v>
      </c>
      <c r="J15" s="42">
        <v>5079</v>
      </c>
      <c r="K15" s="43">
        <v>139</v>
      </c>
      <c r="L15" s="42">
        <v>565</v>
      </c>
      <c r="M15" s="42">
        <v>965</v>
      </c>
      <c r="N15" s="42">
        <v>2271</v>
      </c>
      <c r="O15" s="83">
        <v>5832</v>
      </c>
      <c r="P15" s="42">
        <v>60</v>
      </c>
      <c r="Q15" s="43">
        <v>15142</v>
      </c>
      <c r="R15" s="5">
        <v>182</v>
      </c>
      <c r="V15" s="56">
        <f t="shared" si="1"/>
        <v>47251</v>
      </c>
      <c r="W15" s="5">
        <v>1111</v>
      </c>
      <c r="X15" s="5">
        <v>7410</v>
      </c>
      <c r="Y15" s="5">
        <v>310</v>
      </c>
      <c r="Z15" s="5">
        <v>56464</v>
      </c>
      <c r="AA15" s="30">
        <v>672</v>
      </c>
      <c r="AB15" s="63">
        <f t="shared" si="0"/>
        <v>65967</v>
      </c>
      <c r="AC15" s="64">
        <f t="shared" si="2"/>
        <v>113218</v>
      </c>
    </row>
    <row r="16" spans="1:29" ht="15.75" thickBot="1" x14ac:dyDescent="0.3">
      <c r="A16" s="116">
        <f t="shared" ref="A16:A30" si="3">A15+1</f>
        <v>2016</v>
      </c>
      <c r="B16" s="42">
        <v>382</v>
      </c>
      <c r="C16" s="42">
        <f>106+2.28</f>
        <v>108.28</v>
      </c>
      <c r="D16" s="42">
        <v>2402</v>
      </c>
      <c r="E16" s="42">
        <f>710+1.82</f>
        <v>711.82</v>
      </c>
      <c r="F16" s="43">
        <f>12243+6.23</f>
        <v>12249.23</v>
      </c>
      <c r="G16" s="42">
        <v>174</v>
      </c>
      <c r="H16" s="42">
        <f>110+StraPlan!H12</f>
        <v>110.63454545454546</v>
      </c>
      <c r="I16" s="42">
        <f>889+1.27</f>
        <v>890.27</v>
      </c>
      <c r="J16" s="42">
        <f>5079+2.82</f>
        <v>5081.82</v>
      </c>
      <c r="K16" s="43">
        <f>139+0.91</f>
        <v>139.91</v>
      </c>
      <c r="L16" s="42">
        <v>565</v>
      </c>
      <c r="M16" s="42">
        <v>965</v>
      </c>
      <c r="N16" s="42">
        <f>2271+3.45</f>
        <v>2274.4499999999998</v>
      </c>
      <c r="O16" s="83">
        <v>5837</v>
      </c>
      <c r="P16" s="42">
        <f>60+1.25</f>
        <v>61.25</v>
      </c>
      <c r="Q16" s="43">
        <f>15142+4.58</f>
        <v>15146.58</v>
      </c>
      <c r="R16" s="5">
        <v>183</v>
      </c>
      <c r="V16" s="56">
        <f t="shared" si="1"/>
        <v>47282.244545454545</v>
      </c>
      <c r="W16" s="5">
        <v>1111</v>
      </c>
      <c r="X16" s="5">
        <v>7410</v>
      </c>
      <c r="Y16" s="5">
        <v>310</v>
      </c>
      <c r="Z16" s="5">
        <v>56464</v>
      </c>
      <c r="AA16" s="30">
        <v>672</v>
      </c>
      <c r="AB16" s="63">
        <f t="shared" si="0"/>
        <v>65967</v>
      </c>
      <c r="AC16" s="64">
        <f t="shared" si="2"/>
        <v>113249.24454545454</v>
      </c>
    </row>
    <row r="17" spans="1:29" ht="15.75" thickBot="1" x14ac:dyDescent="0.3">
      <c r="A17" s="116">
        <f t="shared" si="3"/>
        <v>2017</v>
      </c>
      <c r="B17" s="42">
        <v>382</v>
      </c>
      <c r="C17" s="42">
        <f>C16+StraPlan!$X$6</f>
        <v>111.3306523950158</v>
      </c>
      <c r="D17" s="42">
        <v>2402</v>
      </c>
      <c r="E17" s="42">
        <f>E16+StraPlan!$X$7</f>
        <v>714.25662331870274</v>
      </c>
      <c r="F17" s="43">
        <f>F16+StraPlan!$X$9</f>
        <v>12258.117184730743</v>
      </c>
      <c r="G17" s="42">
        <v>174</v>
      </c>
      <c r="H17" s="42">
        <f>H16+StraPlan!$X$12</f>
        <v>111.48492699277271</v>
      </c>
      <c r="I17" s="42">
        <f>I16+StraPlan!$X$14</f>
        <v>891.96588982981712</v>
      </c>
      <c r="J17" s="42">
        <f>J16+StraPlan!$X$16</f>
        <v>5085.8421836934294</v>
      </c>
      <c r="K17" s="43">
        <f>K16+StraPlan!$X$13</f>
        <v>141.12831165935137</v>
      </c>
      <c r="L17" s="42">
        <v>565</v>
      </c>
      <c r="M17" s="42">
        <v>965</v>
      </c>
      <c r="N17" s="42">
        <f>N16+StraPlan!$X$20</f>
        <v>2279.0785182828331</v>
      </c>
      <c r="O17" s="83">
        <v>5842</v>
      </c>
      <c r="P17" s="42">
        <f>P16+StraPlan!$X$21</f>
        <v>62.925178531608118</v>
      </c>
      <c r="Q17" s="43">
        <f>Q16+StraPlan!$X$23</f>
        <v>15153.115076020273</v>
      </c>
      <c r="R17" s="5">
        <v>184</v>
      </c>
      <c r="T17" s="49"/>
      <c r="V17" s="56">
        <f t="shared" si="1"/>
        <v>47323.244545454545</v>
      </c>
      <c r="W17" s="5">
        <v>1111</v>
      </c>
      <c r="X17" s="5">
        <v>7410</v>
      </c>
      <c r="Y17" s="5">
        <v>310</v>
      </c>
      <c r="Z17" s="5">
        <v>56464</v>
      </c>
      <c r="AA17" s="30">
        <v>672</v>
      </c>
      <c r="AB17" s="63">
        <f t="shared" si="0"/>
        <v>65967</v>
      </c>
      <c r="AC17" s="64">
        <f t="shared" si="2"/>
        <v>113290.24454545454</v>
      </c>
    </row>
    <row r="18" spans="1:29" ht="15.75" thickBot="1" x14ac:dyDescent="0.3">
      <c r="A18" s="116">
        <f t="shared" si="3"/>
        <v>2018</v>
      </c>
      <c r="B18" s="42">
        <v>382</v>
      </c>
      <c r="C18" s="42">
        <f>C17+StraPlan!$Y$6</f>
        <v>114.46846628703206</v>
      </c>
      <c r="D18" s="42">
        <v>2402</v>
      </c>
      <c r="E18" s="42">
        <f>E17+StraPlan!$Y$7</f>
        <v>716.76286444651123</v>
      </c>
      <c r="F18" s="43">
        <f>F17+StraPlan!$Y$9</f>
        <v>12269.086509884117</v>
      </c>
      <c r="G18" s="42">
        <v>174</v>
      </c>
      <c r="H18" s="42">
        <f>H17+StraPlan!$Y$12</f>
        <v>112.35960514637789</v>
      </c>
      <c r="I18" s="42">
        <f>I17+StraPlan!$Y$14</f>
        <v>893.71023365477186</v>
      </c>
      <c r="J18" s="42">
        <f>J17+StraPlan!$Y$16</f>
        <v>5090.8067075664621</v>
      </c>
      <c r="K18" s="43">
        <f>K17+StraPlan!$Y$13</f>
        <v>142.38143222325562</v>
      </c>
      <c r="L18" s="42">
        <v>565</v>
      </c>
      <c r="M18" s="42">
        <v>965</v>
      </c>
      <c r="N18" s="42">
        <f>N17+StraPlan!$Y$20</f>
        <v>2283.8392799451758</v>
      </c>
      <c r="O18" s="83">
        <v>5847</v>
      </c>
      <c r="P18" s="42">
        <f>P17+StraPlan!$Y$21</f>
        <v>64.648219306976472</v>
      </c>
      <c r="Q18" s="43">
        <f>Q17+StraPlan!$Y$23</f>
        <v>15161.181226993865</v>
      </c>
      <c r="R18" s="5">
        <v>185</v>
      </c>
      <c r="V18" s="56">
        <f t="shared" si="1"/>
        <v>47369.244545454545</v>
      </c>
      <c r="W18" s="5">
        <v>1111</v>
      </c>
      <c r="X18" s="5">
        <v>7410</v>
      </c>
      <c r="Y18" s="5">
        <v>310</v>
      </c>
      <c r="Z18" s="5">
        <v>56464</v>
      </c>
      <c r="AA18" s="30">
        <v>672</v>
      </c>
      <c r="AB18" s="63">
        <f t="shared" si="0"/>
        <v>65967</v>
      </c>
      <c r="AC18" s="64">
        <f t="shared" si="2"/>
        <v>113336.24454545454</v>
      </c>
    </row>
    <row r="19" spans="1:29" ht="15.75" thickBot="1" x14ac:dyDescent="0.3">
      <c r="A19" s="116">
        <f t="shared" si="3"/>
        <v>2019</v>
      </c>
      <c r="B19" s="42">
        <v>382</v>
      </c>
      <c r="C19" s="42">
        <f>C18+StraPlan!$Z$6</f>
        <v>117.67759413113959</v>
      </c>
      <c r="D19" s="42">
        <v>2402</v>
      </c>
      <c r="E19" s="42">
        <f>E18+StraPlan!$Z$7</f>
        <v>719.32606559995179</v>
      </c>
      <c r="F19" s="43">
        <f>F18+StraPlan!$Z$9</f>
        <v>12282.174909214848</v>
      </c>
      <c r="G19" s="42">
        <v>174</v>
      </c>
      <c r="H19" s="42">
        <f>H18+StraPlan!$Z$12</f>
        <v>113.25416234892863</v>
      </c>
      <c r="I19" s="42">
        <f>I18+StraPlan!$Z$14</f>
        <v>895.49422165756641</v>
      </c>
      <c r="J19" s="42">
        <f>J18+StraPlan!$Z$16</f>
        <v>5096.7302871876946</v>
      </c>
      <c r="K19" s="43">
        <f>K18+StraPlan!$Z$13</f>
        <v>143.66303279997587</v>
      </c>
      <c r="L19" s="42">
        <v>565</v>
      </c>
      <c r="M19" s="42">
        <v>965</v>
      </c>
      <c r="N19" s="42">
        <f>N18+StraPlan!$Z$20</f>
        <v>2288.7082407362082</v>
      </c>
      <c r="O19" s="83">
        <v>5847</v>
      </c>
      <c r="P19" s="42">
        <f>P18+StraPlan!$Z$21</f>
        <v>66.410420099966828</v>
      </c>
      <c r="Q19" s="43">
        <f>Q18+StraPlan!$Z$23</f>
        <v>15170.805611678266</v>
      </c>
      <c r="R19" s="5">
        <v>186</v>
      </c>
      <c r="V19" s="56">
        <f t="shared" si="1"/>
        <v>47415.244545454545</v>
      </c>
      <c r="W19" s="5">
        <v>1111</v>
      </c>
      <c r="X19" s="5">
        <v>7410</v>
      </c>
      <c r="Y19" s="5">
        <v>310</v>
      </c>
      <c r="Z19" s="5">
        <v>56464</v>
      </c>
      <c r="AA19" s="30">
        <v>672</v>
      </c>
      <c r="AB19" s="63">
        <f t="shared" si="0"/>
        <v>65967</v>
      </c>
      <c r="AC19" s="64">
        <f t="shared" si="2"/>
        <v>113382.24454545454</v>
      </c>
    </row>
    <row r="20" spans="1:29" ht="15.75" thickBot="1" x14ac:dyDescent="0.3">
      <c r="A20" s="116">
        <f t="shared" si="3"/>
        <v>2020</v>
      </c>
      <c r="B20" s="42">
        <v>382</v>
      </c>
      <c r="C20" s="42">
        <f>C19+StraPlan!$AA$6</f>
        <v>120.94615026865651</v>
      </c>
      <c r="D20" s="42">
        <v>2402</v>
      </c>
      <c r="E20" s="42">
        <f>E19+StraPlan!$AA$7</f>
        <v>721.93673344141894</v>
      </c>
      <c r="F20" s="43">
        <f>F19+StraPlan!$AA$9</f>
        <v>12297.410083038978</v>
      </c>
      <c r="G20" s="42">
        <v>174</v>
      </c>
      <c r="H20" s="42">
        <f>H19+StraPlan!$AA$12</f>
        <v>114.16528542560069</v>
      </c>
      <c r="I20" s="42">
        <f>I19+StraPlan!$AA$14</f>
        <v>897.31124647522756</v>
      </c>
      <c r="J20" s="42">
        <f>J19+StraPlan!$AA$16</f>
        <v>5103.6254592335736</v>
      </c>
      <c r="K20" s="43">
        <f>K19+StraPlan!$AA$13</f>
        <v>144.96836672070947</v>
      </c>
      <c r="L20" s="42">
        <v>565</v>
      </c>
      <c r="M20" s="42">
        <v>965</v>
      </c>
      <c r="N20" s="42">
        <f>N19+StraPlan!$AA$20</f>
        <v>2293.667367467815</v>
      </c>
      <c r="O20" s="83">
        <v>5847</v>
      </c>
      <c r="P20" s="42">
        <f>P19+StraPlan!$AA$21</f>
        <v>68.20525424097552</v>
      </c>
      <c r="Q20" s="43">
        <f>Q19+StraPlan!$AA$23</f>
        <v>15182.008599141591</v>
      </c>
      <c r="R20" s="5">
        <v>187</v>
      </c>
      <c r="V20" s="56">
        <f t="shared" si="1"/>
        <v>47466.244545454552</v>
      </c>
      <c r="W20" s="5">
        <v>1111</v>
      </c>
      <c r="X20" s="5">
        <v>7410</v>
      </c>
      <c r="Y20" s="5">
        <v>310</v>
      </c>
      <c r="Z20" s="5">
        <v>56464</v>
      </c>
      <c r="AA20" s="30">
        <v>672</v>
      </c>
      <c r="AB20" s="63">
        <f t="shared" si="0"/>
        <v>65967</v>
      </c>
      <c r="AC20" s="64">
        <f t="shared" si="2"/>
        <v>113433.24454545455</v>
      </c>
    </row>
    <row r="21" spans="1:29" ht="15.75" thickBot="1" x14ac:dyDescent="0.3">
      <c r="A21" s="116">
        <f t="shared" si="3"/>
        <v>2021</v>
      </c>
      <c r="B21" s="42">
        <f>$B$20+AbanLand!I10</f>
        <v>394.5</v>
      </c>
      <c r="C21" s="42">
        <f>C20</f>
        <v>120.94615026865651</v>
      </c>
      <c r="D21" s="42">
        <f>$D$20+AbanLand!J10</f>
        <v>2427</v>
      </c>
      <c r="E21" s="42">
        <f>$E$20+AbanLand!K10</f>
        <v>734.43673344141894</v>
      </c>
      <c r="F21" s="43">
        <f>$F$20+AbanLand!H10</f>
        <v>12347.410083038978</v>
      </c>
      <c r="G21" s="42">
        <v>174</v>
      </c>
      <c r="H21" s="42">
        <f>H20</f>
        <v>114.16528542560069</v>
      </c>
      <c r="I21" s="42">
        <f>I20</f>
        <v>897.31124647522756</v>
      </c>
      <c r="J21" s="42">
        <f>J20</f>
        <v>5103.6254592335736</v>
      </c>
      <c r="K21" s="43">
        <f>K20</f>
        <v>144.96836672070947</v>
      </c>
      <c r="L21" s="42">
        <v>565</v>
      </c>
      <c r="M21" s="42">
        <v>965</v>
      </c>
      <c r="N21" s="42">
        <f>N20</f>
        <v>2293.667367467815</v>
      </c>
      <c r="O21" s="83">
        <v>5847</v>
      </c>
      <c r="P21" s="42">
        <f>P20</f>
        <v>68.20525424097552</v>
      </c>
      <c r="Q21" s="43">
        <f>Q20</f>
        <v>15182.008599141591</v>
      </c>
      <c r="R21" s="5">
        <v>188</v>
      </c>
      <c r="V21" s="56">
        <f t="shared" si="1"/>
        <v>47567.244545454552</v>
      </c>
      <c r="W21" s="5">
        <v>1111</v>
      </c>
      <c r="X21" s="5">
        <v>7410</v>
      </c>
      <c r="Y21" s="5">
        <v>310</v>
      </c>
      <c r="Z21" s="5">
        <v>56464</v>
      </c>
      <c r="AA21" s="30">
        <v>672</v>
      </c>
      <c r="AB21" s="63">
        <f t="shared" si="0"/>
        <v>65967</v>
      </c>
      <c r="AC21" s="64">
        <f t="shared" si="2"/>
        <v>113534.24454545455</v>
      </c>
    </row>
    <row r="22" spans="1:29" ht="15.75" thickBot="1" x14ac:dyDescent="0.3">
      <c r="A22" s="116">
        <f t="shared" si="3"/>
        <v>2022</v>
      </c>
      <c r="B22" s="42">
        <f>$B$20+AbanLand!I11</f>
        <v>407</v>
      </c>
      <c r="C22" s="42">
        <f t="shared" ref="C22:C34" si="4">C21</f>
        <v>120.94615026865651</v>
      </c>
      <c r="D22" s="42">
        <f>$D$20+AbanLand!J11</f>
        <v>2452</v>
      </c>
      <c r="E22" s="42">
        <f>$E$20+AbanLand!K11</f>
        <v>746.93673344141894</v>
      </c>
      <c r="F22" s="43">
        <f>$F$20+AbanLand!H11</f>
        <v>12397.410083038978</v>
      </c>
      <c r="G22" s="42">
        <v>174</v>
      </c>
      <c r="H22" s="42">
        <f t="shared" ref="H22:K34" si="5">H21</f>
        <v>114.16528542560069</v>
      </c>
      <c r="I22" s="42">
        <f t="shared" si="5"/>
        <v>897.31124647522756</v>
      </c>
      <c r="J22" s="42">
        <f t="shared" si="5"/>
        <v>5103.6254592335736</v>
      </c>
      <c r="K22" s="43">
        <f t="shared" si="5"/>
        <v>144.96836672070947</v>
      </c>
      <c r="L22" s="42">
        <v>565</v>
      </c>
      <c r="M22" s="42">
        <v>965</v>
      </c>
      <c r="N22" s="42">
        <f t="shared" ref="N22:N31" si="6">N21</f>
        <v>2293.667367467815</v>
      </c>
      <c r="O22" s="83">
        <v>5847</v>
      </c>
      <c r="P22" s="42">
        <f t="shared" ref="P22:Q34" si="7">P21</f>
        <v>68.20525424097552</v>
      </c>
      <c r="Q22" s="43">
        <f t="shared" si="7"/>
        <v>15182.008599141591</v>
      </c>
      <c r="R22" s="5">
        <v>189</v>
      </c>
      <c r="V22" s="56">
        <f t="shared" si="1"/>
        <v>47668.244545454538</v>
      </c>
      <c r="W22" s="5">
        <v>1111</v>
      </c>
      <c r="X22" s="5">
        <v>7410</v>
      </c>
      <c r="Y22" s="5">
        <v>310</v>
      </c>
      <c r="Z22" s="5">
        <v>56464</v>
      </c>
      <c r="AA22" s="30">
        <v>672</v>
      </c>
      <c r="AB22" s="63">
        <f t="shared" si="0"/>
        <v>65967</v>
      </c>
      <c r="AC22" s="64">
        <f t="shared" si="2"/>
        <v>113635.24454545454</v>
      </c>
    </row>
    <row r="23" spans="1:29" ht="15.75" thickBot="1" x14ac:dyDescent="0.3">
      <c r="A23" s="116">
        <f t="shared" si="3"/>
        <v>2023</v>
      </c>
      <c r="B23" s="42">
        <f>$B$20+AbanLand!I12</f>
        <v>419.5</v>
      </c>
      <c r="C23" s="42">
        <f t="shared" si="4"/>
        <v>120.94615026865651</v>
      </c>
      <c r="D23" s="42">
        <f>$D$20+AbanLand!J12</f>
        <v>2477</v>
      </c>
      <c r="E23" s="42">
        <f>$E$20+AbanLand!K12</f>
        <v>759.43673344141894</v>
      </c>
      <c r="F23" s="43">
        <f>$F$20+AbanLand!H12</f>
        <v>12447.410083038978</v>
      </c>
      <c r="G23" s="42">
        <v>174</v>
      </c>
      <c r="H23" s="42">
        <f t="shared" si="5"/>
        <v>114.16528542560069</v>
      </c>
      <c r="I23" s="42">
        <f t="shared" si="5"/>
        <v>897.31124647522756</v>
      </c>
      <c r="J23" s="42">
        <f t="shared" si="5"/>
        <v>5103.6254592335736</v>
      </c>
      <c r="K23" s="43">
        <f t="shared" si="5"/>
        <v>144.96836672070947</v>
      </c>
      <c r="L23" s="42">
        <v>565</v>
      </c>
      <c r="M23" s="42">
        <v>965</v>
      </c>
      <c r="N23" s="42">
        <f t="shared" si="6"/>
        <v>2293.667367467815</v>
      </c>
      <c r="O23" s="83">
        <v>5847</v>
      </c>
      <c r="P23" s="42">
        <f t="shared" si="7"/>
        <v>68.20525424097552</v>
      </c>
      <c r="Q23" s="43">
        <f t="shared" si="7"/>
        <v>15182.008599141591</v>
      </c>
      <c r="R23" s="5">
        <v>190</v>
      </c>
      <c r="V23" s="56">
        <f t="shared" si="1"/>
        <v>47769.244545454538</v>
      </c>
      <c r="W23" s="5">
        <v>1111</v>
      </c>
      <c r="X23" s="5">
        <v>7410</v>
      </c>
      <c r="Y23" s="5">
        <v>310</v>
      </c>
      <c r="Z23" s="5">
        <v>56464</v>
      </c>
      <c r="AA23" s="30">
        <v>672</v>
      </c>
      <c r="AB23" s="63">
        <f t="shared" si="0"/>
        <v>65967</v>
      </c>
      <c r="AC23" s="64">
        <f t="shared" si="2"/>
        <v>113736.24454545454</v>
      </c>
    </row>
    <row r="24" spans="1:29" ht="15.75" thickBot="1" x14ac:dyDescent="0.3">
      <c r="A24" s="116">
        <f t="shared" si="3"/>
        <v>2024</v>
      </c>
      <c r="B24" s="42">
        <f>$B$20+AbanLand!I13</f>
        <v>432</v>
      </c>
      <c r="C24" s="42">
        <f t="shared" si="4"/>
        <v>120.94615026865651</v>
      </c>
      <c r="D24" s="42">
        <f>$D$20+AbanLand!J13</f>
        <v>2502</v>
      </c>
      <c r="E24" s="42">
        <f>$E$20+AbanLand!K13</f>
        <v>771.93673344141894</v>
      </c>
      <c r="F24" s="43">
        <f>$F$20+AbanLand!H13</f>
        <v>12497.410083038978</v>
      </c>
      <c r="G24" s="42">
        <v>174</v>
      </c>
      <c r="H24" s="42">
        <f t="shared" si="5"/>
        <v>114.16528542560069</v>
      </c>
      <c r="I24" s="42">
        <f t="shared" si="5"/>
        <v>897.31124647522756</v>
      </c>
      <c r="J24" s="42">
        <f t="shared" si="5"/>
        <v>5103.6254592335736</v>
      </c>
      <c r="K24" s="43">
        <f t="shared" si="5"/>
        <v>144.96836672070947</v>
      </c>
      <c r="L24" s="42">
        <v>565</v>
      </c>
      <c r="M24" s="42">
        <v>965</v>
      </c>
      <c r="N24" s="42">
        <f t="shared" si="6"/>
        <v>2293.667367467815</v>
      </c>
      <c r="O24" s="83">
        <v>5847</v>
      </c>
      <c r="P24" s="42">
        <f t="shared" si="7"/>
        <v>68.20525424097552</v>
      </c>
      <c r="Q24" s="43">
        <f t="shared" si="7"/>
        <v>15182.008599141591</v>
      </c>
      <c r="R24" s="5">
        <v>191</v>
      </c>
      <c r="V24" s="56">
        <f t="shared" si="1"/>
        <v>47870.244545454538</v>
      </c>
      <c r="W24" s="5">
        <v>1111</v>
      </c>
      <c r="X24" s="5">
        <v>7410</v>
      </c>
      <c r="Y24" s="5">
        <v>310</v>
      </c>
      <c r="Z24" s="5">
        <v>56464</v>
      </c>
      <c r="AA24" s="30">
        <v>672</v>
      </c>
      <c r="AB24" s="63">
        <f t="shared" si="0"/>
        <v>65967</v>
      </c>
      <c r="AC24" s="64">
        <f t="shared" si="2"/>
        <v>113837.24454545454</v>
      </c>
    </row>
    <row r="25" spans="1:29" ht="15.75" thickBot="1" x14ac:dyDescent="0.3">
      <c r="A25" s="116">
        <f t="shared" si="3"/>
        <v>2025</v>
      </c>
      <c r="B25" s="42">
        <f>$B$20+AbanLand!I14</f>
        <v>444.5</v>
      </c>
      <c r="C25" s="42">
        <f t="shared" si="4"/>
        <v>120.94615026865651</v>
      </c>
      <c r="D25" s="42">
        <f>$D$20+AbanLand!J14</f>
        <v>2527</v>
      </c>
      <c r="E25" s="42">
        <f>$E$20+AbanLand!K14</f>
        <v>784.43673344141894</v>
      </c>
      <c r="F25" s="43">
        <f>$F$20+AbanLand!H14</f>
        <v>12547.410083038978</v>
      </c>
      <c r="G25" s="42">
        <v>174</v>
      </c>
      <c r="H25" s="42">
        <f t="shared" si="5"/>
        <v>114.16528542560069</v>
      </c>
      <c r="I25" s="42">
        <f t="shared" si="5"/>
        <v>897.31124647522756</v>
      </c>
      <c r="J25" s="42">
        <f t="shared" si="5"/>
        <v>5103.6254592335736</v>
      </c>
      <c r="K25" s="43">
        <f t="shared" si="5"/>
        <v>144.96836672070947</v>
      </c>
      <c r="L25" s="42">
        <v>565</v>
      </c>
      <c r="M25" s="42">
        <v>965</v>
      </c>
      <c r="N25" s="42">
        <f t="shared" si="6"/>
        <v>2293.667367467815</v>
      </c>
      <c r="O25" s="83">
        <v>5847</v>
      </c>
      <c r="P25" s="42">
        <f t="shared" si="7"/>
        <v>68.20525424097552</v>
      </c>
      <c r="Q25" s="43">
        <f t="shared" si="7"/>
        <v>15182.008599141591</v>
      </c>
      <c r="R25" s="5">
        <v>192</v>
      </c>
      <c r="V25" s="56">
        <f t="shared" si="1"/>
        <v>47971.244545454538</v>
      </c>
      <c r="W25" s="5">
        <v>1111</v>
      </c>
      <c r="X25" s="5">
        <v>7410</v>
      </c>
      <c r="Y25" s="5">
        <v>310</v>
      </c>
      <c r="Z25" s="5">
        <v>56464</v>
      </c>
      <c r="AA25" s="30">
        <v>672</v>
      </c>
      <c r="AB25" s="63">
        <f t="shared" si="0"/>
        <v>65967</v>
      </c>
      <c r="AC25" s="64">
        <f t="shared" si="2"/>
        <v>113938.24454545454</v>
      </c>
    </row>
    <row r="26" spans="1:29" ht="15.75" thickBot="1" x14ac:dyDescent="0.3">
      <c r="A26" s="116">
        <f t="shared" si="3"/>
        <v>2026</v>
      </c>
      <c r="B26" s="42">
        <f>$B$20+AbanLand!I15</f>
        <v>463.25</v>
      </c>
      <c r="C26" s="42">
        <f t="shared" si="4"/>
        <v>120.94615026865651</v>
      </c>
      <c r="D26" s="42">
        <f>$D$20+AbanLand!J15</f>
        <v>2564.5</v>
      </c>
      <c r="E26" s="42">
        <f>$E$20+AbanLand!K15</f>
        <v>803.18673344141894</v>
      </c>
      <c r="F26" s="43">
        <f>$F$20+AbanLand!H15</f>
        <v>12622.410083038978</v>
      </c>
      <c r="G26" s="42">
        <v>174</v>
      </c>
      <c r="H26" s="42">
        <f t="shared" si="5"/>
        <v>114.16528542560069</v>
      </c>
      <c r="I26" s="42">
        <f t="shared" si="5"/>
        <v>897.31124647522756</v>
      </c>
      <c r="J26" s="42">
        <f t="shared" si="5"/>
        <v>5103.6254592335736</v>
      </c>
      <c r="K26" s="43">
        <f t="shared" si="5"/>
        <v>144.96836672070947</v>
      </c>
      <c r="L26" s="42">
        <v>565</v>
      </c>
      <c r="M26" s="42">
        <v>965</v>
      </c>
      <c r="N26" s="42">
        <f t="shared" si="6"/>
        <v>2293.667367467815</v>
      </c>
      <c r="O26" s="83">
        <v>5847</v>
      </c>
      <c r="P26" s="42">
        <f t="shared" si="7"/>
        <v>68.20525424097552</v>
      </c>
      <c r="Q26" s="43">
        <f t="shared" si="7"/>
        <v>15182.008599141591</v>
      </c>
      <c r="R26" s="5">
        <v>193</v>
      </c>
      <c r="V26" s="56">
        <f t="shared" si="1"/>
        <v>48122.244545454538</v>
      </c>
      <c r="W26" s="5">
        <v>1111</v>
      </c>
      <c r="X26" s="5">
        <v>7410</v>
      </c>
      <c r="Y26" s="5">
        <v>310</v>
      </c>
      <c r="Z26" s="5">
        <v>56464</v>
      </c>
      <c r="AA26" s="30">
        <v>672</v>
      </c>
      <c r="AB26" s="63">
        <f t="shared" si="0"/>
        <v>65967</v>
      </c>
      <c r="AC26" s="64">
        <f t="shared" si="2"/>
        <v>114089.24454545454</v>
      </c>
    </row>
    <row r="27" spans="1:29" ht="15.75" thickBot="1" x14ac:dyDescent="0.3">
      <c r="A27" s="116">
        <f t="shared" si="3"/>
        <v>2027</v>
      </c>
      <c r="B27" s="42">
        <f>$B$20+AbanLand!I16</f>
        <v>482</v>
      </c>
      <c r="C27" s="42">
        <f t="shared" si="4"/>
        <v>120.94615026865651</v>
      </c>
      <c r="D27" s="42">
        <f>$D$20+AbanLand!J16</f>
        <v>2602</v>
      </c>
      <c r="E27" s="42">
        <f>$E$20+AbanLand!K16</f>
        <v>821.93673344141894</v>
      </c>
      <c r="F27" s="43">
        <f>$F$20+AbanLand!H16</f>
        <v>12697.410083038978</v>
      </c>
      <c r="G27" s="42">
        <v>174</v>
      </c>
      <c r="H27" s="42">
        <f t="shared" si="5"/>
        <v>114.16528542560069</v>
      </c>
      <c r="I27" s="42">
        <f t="shared" si="5"/>
        <v>897.31124647522756</v>
      </c>
      <c r="J27" s="42">
        <f t="shared" si="5"/>
        <v>5103.6254592335736</v>
      </c>
      <c r="K27" s="43">
        <f t="shared" si="5"/>
        <v>144.96836672070947</v>
      </c>
      <c r="L27" s="42">
        <v>565</v>
      </c>
      <c r="M27" s="42">
        <v>965</v>
      </c>
      <c r="N27" s="42">
        <f t="shared" si="6"/>
        <v>2293.667367467815</v>
      </c>
      <c r="O27" s="83">
        <v>5847</v>
      </c>
      <c r="P27" s="42">
        <f t="shared" si="7"/>
        <v>68.20525424097552</v>
      </c>
      <c r="Q27" s="43">
        <f t="shared" si="7"/>
        <v>15182.008599141591</v>
      </c>
      <c r="R27" s="5">
        <v>194</v>
      </c>
      <c r="V27" s="56">
        <f t="shared" si="1"/>
        <v>48273.244545454538</v>
      </c>
      <c r="W27" s="5">
        <v>1111</v>
      </c>
      <c r="X27" s="5">
        <v>7410</v>
      </c>
      <c r="Y27" s="5">
        <v>310</v>
      </c>
      <c r="Z27" s="5">
        <v>56464</v>
      </c>
      <c r="AA27" s="30">
        <v>672</v>
      </c>
      <c r="AB27" s="63">
        <f t="shared" si="0"/>
        <v>65967</v>
      </c>
      <c r="AC27" s="64">
        <f t="shared" si="2"/>
        <v>114240.24454545454</v>
      </c>
    </row>
    <row r="28" spans="1:29" ht="15.75" thickBot="1" x14ac:dyDescent="0.3">
      <c r="A28" s="116">
        <f t="shared" si="3"/>
        <v>2028</v>
      </c>
      <c r="B28" s="42">
        <f>$B$20+AbanLand!I17</f>
        <v>500.75</v>
      </c>
      <c r="C28" s="42">
        <f t="shared" si="4"/>
        <v>120.94615026865651</v>
      </c>
      <c r="D28" s="42">
        <f>$D$20+AbanLand!J17</f>
        <v>2639.5</v>
      </c>
      <c r="E28" s="42">
        <f>$E$20+AbanLand!K17</f>
        <v>840.68673344141894</v>
      </c>
      <c r="F28" s="43">
        <f>$F$20+AbanLand!H17</f>
        <v>12772.410083038978</v>
      </c>
      <c r="G28" s="42">
        <v>174</v>
      </c>
      <c r="H28" s="42">
        <f t="shared" si="5"/>
        <v>114.16528542560069</v>
      </c>
      <c r="I28" s="42">
        <f t="shared" si="5"/>
        <v>897.31124647522756</v>
      </c>
      <c r="J28" s="42">
        <f t="shared" si="5"/>
        <v>5103.6254592335736</v>
      </c>
      <c r="K28" s="43">
        <f t="shared" si="5"/>
        <v>144.96836672070947</v>
      </c>
      <c r="L28" s="42">
        <v>565</v>
      </c>
      <c r="M28" s="42">
        <v>965</v>
      </c>
      <c r="N28" s="42">
        <f t="shared" si="6"/>
        <v>2293.667367467815</v>
      </c>
      <c r="O28" s="83">
        <v>5847</v>
      </c>
      <c r="P28" s="42">
        <f t="shared" si="7"/>
        <v>68.20525424097552</v>
      </c>
      <c r="Q28" s="43">
        <f t="shared" si="7"/>
        <v>15182.008599141591</v>
      </c>
      <c r="R28" s="5">
        <v>195</v>
      </c>
      <c r="V28" s="56">
        <f t="shared" si="1"/>
        <v>48424.244545454538</v>
      </c>
      <c r="W28" s="5">
        <v>1111</v>
      </c>
      <c r="X28" s="5">
        <v>7410</v>
      </c>
      <c r="Y28" s="5">
        <v>310</v>
      </c>
      <c r="Z28" s="5">
        <v>56464</v>
      </c>
      <c r="AA28" s="30">
        <v>672</v>
      </c>
      <c r="AB28" s="63">
        <f t="shared" si="0"/>
        <v>65967</v>
      </c>
      <c r="AC28" s="64">
        <f t="shared" si="2"/>
        <v>114391.24454545454</v>
      </c>
    </row>
    <row r="29" spans="1:29" ht="15.75" thickBot="1" x14ac:dyDescent="0.3">
      <c r="A29" s="116">
        <f t="shared" si="3"/>
        <v>2029</v>
      </c>
      <c r="B29" s="42">
        <f>$B$20+AbanLand!I18</f>
        <v>519.5</v>
      </c>
      <c r="C29" s="42">
        <f t="shared" si="4"/>
        <v>120.94615026865651</v>
      </c>
      <c r="D29" s="42">
        <f>$D$20+AbanLand!J18</f>
        <v>2677</v>
      </c>
      <c r="E29" s="42">
        <f>$E$20+AbanLand!K18</f>
        <v>859.43673344141894</v>
      </c>
      <c r="F29" s="43">
        <f>$F$20+AbanLand!H18</f>
        <v>12847.410083038978</v>
      </c>
      <c r="G29" s="42">
        <v>174</v>
      </c>
      <c r="H29" s="42">
        <f t="shared" si="5"/>
        <v>114.16528542560069</v>
      </c>
      <c r="I29" s="42">
        <f t="shared" si="5"/>
        <v>897.31124647522756</v>
      </c>
      <c r="J29" s="42">
        <f t="shared" si="5"/>
        <v>5103.6254592335736</v>
      </c>
      <c r="K29" s="43">
        <f t="shared" si="5"/>
        <v>144.96836672070947</v>
      </c>
      <c r="L29" s="42">
        <v>565</v>
      </c>
      <c r="M29" s="42">
        <v>965</v>
      </c>
      <c r="N29" s="42">
        <f t="shared" si="6"/>
        <v>2293.667367467815</v>
      </c>
      <c r="O29" s="83">
        <v>5847</v>
      </c>
      <c r="P29" s="42">
        <f t="shared" si="7"/>
        <v>68.20525424097552</v>
      </c>
      <c r="Q29" s="43">
        <f t="shared" si="7"/>
        <v>15182.008599141591</v>
      </c>
      <c r="R29" s="5">
        <v>196</v>
      </c>
      <c r="V29" s="56">
        <f t="shared" si="1"/>
        <v>48575.244545454538</v>
      </c>
      <c r="W29" s="5">
        <v>1111</v>
      </c>
      <c r="X29" s="5">
        <v>7410</v>
      </c>
      <c r="Y29" s="5">
        <v>310</v>
      </c>
      <c r="Z29" s="5">
        <v>56464</v>
      </c>
      <c r="AA29" s="30">
        <v>672</v>
      </c>
      <c r="AB29" s="63">
        <f t="shared" si="0"/>
        <v>65967</v>
      </c>
      <c r="AC29" s="64">
        <f t="shared" si="2"/>
        <v>114542.24454545454</v>
      </c>
    </row>
    <row r="30" spans="1:29" ht="15.75" thickBot="1" x14ac:dyDescent="0.3">
      <c r="A30" s="116">
        <f t="shared" si="3"/>
        <v>2030</v>
      </c>
      <c r="B30" s="42">
        <f>$B$20+AbanLand!I19</f>
        <v>538.25</v>
      </c>
      <c r="C30" s="42">
        <f t="shared" si="4"/>
        <v>120.94615026865651</v>
      </c>
      <c r="D30" s="42">
        <f>$D$20+AbanLand!J19</f>
        <v>2714.5</v>
      </c>
      <c r="E30" s="42">
        <f>$E$20+AbanLand!K19</f>
        <v>878.18673344141894</v>
      </c>
      <c r="F30" s="43">
        <f>$F$20+AbanLand!H19</f>
        <v>12922.410083038978</v>
      </c>
      <c r="G30" s="42">
        <v>174</v>
      </c>
      <c r="H30" s="42">
        <f t="shared" si="5"/>
        <v>114.16528542560069</v>
      </c>
      <c r="I30" s="42">
        <f t="shared" si="5"/>
        <v>897.31124647522756</v>
      </c>
      <c r="J30" s="42">
        <f t="shared" si="5"/>
        <v>5103.6254592335736</v>
      </c>
      <c r="K30" s="43">
        <f t="shared" si="5"/>
        <v>144.96836672070947</v>
      </c>
      <c r="L30" s="6">
        <v>565</v>
      </c>
      <c r="M30" s="6">
        <v>965</v>
      </c>
      <c r="N30" s="42">
        <f t="shared" si="6"/>
        <v>2293.667367467815</v>
      </c>
      <c r="O30" s="89">
        <v>5847</v>
      </c>
      <c r="P30" s="42">
        <f t="shared" si="7"/>
        <v>68.20525424097552</v>
      </c>
      <c r="Q30" s="43">
        <f t="shared" si="7"/>
        <v>15182.008599141591</v>
      </c>
      <c r="R30" s="5">
        <v>197</v>
      </c>
      <c r="V30" s="56">
        <f t="shared" si="1"/>
        <v>48726.244545454538</v>
      </c>
      <c r="W30" s="5">
        <v>1111</v>
      </c>
      <c r="X30" s="5">
        <v>7410</v>
      </c>
      <c r="Y30" s="5">
        <v>310</v>
      </c>
      <c r="Z30" s="5">
        <v>56464</v>
      </c>
      <c r="AA30" s="30">
        <v>672</v>
      </c>
      <c r="AB30" s="63">
        <f t="shared" si="0"/>
        <v>65967</v>
      </c>
      <c r="AC30" s="64">
        <f t="shared" si="2"/>
        <v>114693.24454545454</v>
      </c>
    </row>
    <row r="31" spans="1:29" ht="15.75" thickBot="1" x14ac:dyDescent="0.3">
      <c r="A31" s="97">
        <v>2035</v>
      </c>
      <c r="B31" s="42">
        <f>$B$20+AbanLand!I20</f>
        <v>632</v>
      </c>
      <c r="C31" s="42">
        <f t="shared" si="4"/>
        <v>120.94615026865651</v>
      </c>
      <c r="D31" s="42">
        <f>$D$20+AbanLand!J20</f>
        <v>2902</v>
      </c>
      <c r="E31" s="42">
        <f>$E$20+AbanLand!K20</f>
        <v>971.93673344141894</v>
      </c>
      <c r="F31" s="43">
        <f>$F$20+AbanLand!H20</f>
        <v>13297.410083038978</v>
      </c>
      <c r="G31" s="42">
        <v>174</v>
      </c>
      <c r="H31" s="42">
        <f t="shared" si="5"/>
        <v>114.16528542560069</v>
      </c>
      <c r="I31" s="42">
        <f t="shared" si="5"/>
        <v>897.31124647522756</v>
      </c>
      <c r="J31" s="42">
        <f t="shared" si="5"/>
        <v>5103.6254592335736</v>
      </c>
      <c r="K31" s="43">
        <f t="shared" si="5"/>
        <v>144.96836672070947</v>
      </c>
      <c r="L31" s="88">
        <v>565</v>
      </c>
      <c r="M31" s="89">
        <v>965</v>
      </c>
      <c r="N31" s="42">
        <f t="shared" si="6"/>
        <v>2293.667367467815</v>
      </c>
      <c r="O31" s="89">
        <v>5847</v>
      </c>
      <c r="P31" s="42">
        <f t="shared" si="7"/>
        <v>68.20525424097552</v>
      </c>
      <c r="Q31" s="43">
        <f t="shared" si="7"/>
        <v>15182.008599141591</v>
      </c>
      <c r="R31" s="85">
        <v>198</v>
      </c>
      <c r="S31" s="84"/>
      <c r="T31" s="84"/>
      <c r="U31" s="84"/>
      <c r="V31" s="84">
        <f t="shared" si="1"/>
        <v>49477.244545454538</v>
      </c>
    </row>
    <row r="32" spans="1:29" ht="15.75" thickBot="1" x14ac:dyDescent="0.3">
      <c r="A32" s="97">
        <v>2040</v>
      </c>
      <c r="B32" s="42">
        <f>$B$20+AbanLand!I21</f>
        <v>757</v>
      </c>
      <c r="C32" s="42">
        <f t="shared" si="4"/>
        <v>120.94615026865651</v>
      </c>
      <c r="D32" s="42">
        <f>$D$20+AbanLand!J21</f>
        <v>3152</v>
      </c>
      <c r="E32" s="42">
        <f>$E$20+AbanLand!K21</f>
        <v>1096.9367334414189</v>
      </c>
      <c r="F32" s="43">
        <f>$F$20+AbanLand!H21</f>
        <v>13797.410083038978</v>
      </c>
      <c r="G32" s="42">
        <v>174</v>
      </c>
      <c r="H32" s="42">
        <f t="shared" si="5"/>
        <v>114.16528542560069</v>
      </c>
      <c r="I32" s="42">
        <f t="shared" si="5"/>
        <v>897.31124647522756</v>
      </c>
      <c r="J32" s="42">
        <f t="shared" si="5"/>
        <v>5103.6254592335736</v>
      </c>
      <c r="K32" s="43">
        <f t="shared" si="5"/>
        <v>144.96836672070947</v>
      </c>
      <c r="L32" s="91">
        <v>565</v>
      </c>
      <c r="M32" s="85">
        <v>965</v>
      </c>
      <c r="N32" s="85">
        <v>2271</v>
      </c>
      <c r="O32" s="85">
        <f>5847+(N31-N15)</f>
        <v>5869.667367467815</v>
      </c>
      <c r="P32" s="42">
        <f t="shared" si="7"/>
        <v>68.20525424097552</v>
      </c>
      <c r="Q32" s="43">
        <f t="shared" si="7"/>
        <v>15182.008599141591</v>
      </c>
      <c r="R32" s="85">
        <v>200</v>
      </c>
      <c r="S32" s="84"/>
      <c r="T32" s="84"/>
      <c r="U32" s="84"/>
      <c r="V32" s="84">
        <f t="shared" si="1"/>
        <v>50479.244545454538</v>
      </c>
    </row>
    <row r="33" spans="1:22" ht="15.75" thickBot="1" x14ac:dyDescent="0.3">
      <c r="A33" s="97">
        <v>2045</v>
      </c>
      <c r="B33" s="42">
        <f>$B$20+AbanLand!I22</f>
        <v>882</v>
      </c>
      <c r="C33" s="42">
        <f t="shared" si="4"/>
        <v>120.94615026865651</v>
      </c>
      <c r="D33" s="42">
        <f>$D$20+AbanLand!J22</f>
        <v>3402</v>
      </c>
      <c r="E33" s="42">
        <f>$E$20+AbanLand!K22</f>
        <v>1221.9367334414189</v>
      </c>
      <c r="F33" s="43">
        <f>$F$20+AbanLand!H22</f>
        <v>14297.410083038978</v>
      </c>
      <c r="G33" s="42">
        <v>174</v>
      </c>
      <c r="H33" s="42">
        <f t="shared" si="5"/>
        <v>114.16528542560069</v>
      </c>
      <c r="I33" s="42">
        <f t="shared" si="5"/>
        <v>897.31124647522756</v>
      </c>
      <c r="J33" s="42">
        <f t="shared" si="5"/>
        <v>5103.6254592335736</v>
      </c>
      <c r="K33" s="43">
        <f t="shared" si="5"/>
        <v>144.96836672070947</v>
      </c>
      <c r="L33" s="91">
        <v>565</v>
      </c>
      <c r="M33" s="85">
        <v>965</v>
      </c>
      <c r="N33" s="85">
        <v>2271</v>
      </c>
      <c r="O33" s="85">
        <f>O32</f>
        <v>5869.667367467815</v>
      </c>
      <c r="P33" s="42">
        <f t="shared" si="7"/>
        <v>68.20525424097552</v>
      </c>
      <c r="Q33" s="43">
        <f t="shared" si="7"/>
        <v>15182.008599141591</v>
      </c>
      <c r="R33" s="85">
        <v>205</v>
      </c>
      <c r="S33" s="84"/>
      <c r="T33" s="84"/>
      <c r="U33" s="84"/>
      <c r="V33" s="84">
        <f t="shared" si="1"/>
        <v>51484.244545454538</v>
      </c>
    </row>
    <row r="34" spans="1:22" ht="15.75" thickBot="1" x14ac:dyDescent="0.3">
      <c r="A34" s="97">
        <v>2050</v>
      </c>
      <c r="B34" s="42">
        <f>$B$20+AbanLand!I23</f>
        <v>1007</v>
      </c>
      <c r="C34" s="42">
        <f t="shared" si="4"/>
        <v>120.94615026865651</v>
      </c>
      <c r="D34" s="42">
        <f>$D$20+AbanLand!J23</f>
        <v>3652</v>
      </c>
      <c r="E34" s="42">
        <f>$E$20+AbanLand!K23</f>
        <v>1346.9367334414189</v>
      </c>
      <c r="F34" s="43">
        <f>$F$20+AbanLand!H23</f>
        <v>14797.410083038978</v>
      </c>
      <c r="G34" s="42">
        <v>174</v>
      </c>
      <c r="H34" s="42">
        <f t="shared" si="5"/>
        <v>114.16528542560069</v>
      </c>
      <c r="I34" s="42">
        <f t="shared" si="5"/>
        <v>897.31124647522756</v>
      </c>
      <c r="J34" s="42">
        <f t="shared" si="5"/>
        <v>5103.6254592335736</v>
      </c>
      <c r="K34" s="43">
        <f t="shared" si="5"/>
        <v>144.96836672070947</v>
      </c>
      <c r="L34" s="92">
        <v>565</v>
      </c>
      <c r="M34" s="83">
        <v>965</v>
      </c>
      <c r="N34" s="83">
        <v>2271</v>
      </c>
      <c r="O34" s="85">
        <f>O33</f>
        <v>5869.667367467815</v>
      </c>
      <c r="P34" s="42">
        <f t="shared" si="7"/>
        <v>68.20525424097552</v>
      </c>
      <c r="Q34" s="43">
        <f t="shared" si="7"/>
        <v>15182.008599141591</v>
      </c>
      <c r="R34" s="87">
        <v>213</v>
      </c>
      <c r="S34" s="84"/>
      <c r="T34" s="84"/>
      <c r="U34" s="84"/>
      <c r="V34" s="84">
        <f t="shared" si="1"/>
        <v>52492.244545454538</v>
      </c>
    </row>
  </sheetData>
  <mergeCells count="13">
    <mergeCell ref="Y4:Y5"/>
    <mergeCell ref="Z4:Z5"/>
    <mergeCell ref="AA4:AA5"/>
    <mergeCell ref="B3:Q3"/>
    <mergeCell ref="R3:R4"/>
    <mergeCell ref="U3:U5"/>
    <mergeCell ref="W3:AA3"/>
    <mergeCell ref="B4:F4"/>
    <mergeCell ref="G4:K4"/>
    <mergeCell ref="L4:Q4"/>
    <mergeCell ref="S4:T4"/>
    <mergeCell ref="W4:W5"/>
    <mergeCell ref="X4:X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9"/>
  <sheetViews>
    <sheetView tabSelected="1" zoomScale="80" zoomScaleNormal="80" workbookViewId="0">
      <selection activeCell="AI26" sqref="AI26"/>
    </sheetView>
  </sheetViews>
  <sheetFormatPr defaultRowHeight="15" x14ac:dyDescent="0.25"/>
  <cols>
    <col min="1" max="1" width="12.28515625" customWidth="1"/>
    <col min="2" max="2" width="9.85546875" bestFit="1" customWidth="1"/>
    <col min="3" max="3" width="9.28515625" bestFit="1" customWidth="1"/>
    <col min="4" max="4" width="10.85546875" bestFit="1" customWidth="1"/>
    <col min="5" max="5" width="9.85546875" bestFit="1" customWidth="1"/>
    <col min="6" max="6" width="10.85546875" bestFit="1" customWidth="1"/>
    <col min="7" max="8" width="9.28515625" bestFit="1" customWidth="1"/>
    <col min="9" max="10" width="9.85546875" bestFit="1" customWidth="1"/>
    <col min="11" max="11" width="9.28515625" bestFit="1" customWidth="1"/>
    <col min="12" max="13" width="9.85546875" bestFit="1" customWidth="1"/>
    <col min="14" max="15" width="10.85546875" bestFit="1" customWidth="1"/>
    <col min="16" max="16" width="9.28515625" bestFit="1" customWidth="1"/>
    <col min="17" max="17" width="10.85546875" bestFit="1" customWidth="1"/>
    <col min="18" max="18" width="10" customWidth="1"/>
    <col min="19" max="20" width="10.85546875" bestFit="1" customWidth="1"/>
    <col min="21" max="21" width="9.85546875" bestFit="1" customWidth="1"/>
    <col min="22" max="22" width="12" bestFit="1" customWidth="1"/>
    <col min="25" max="25" width="11.42578125" bestFit="1" customWidth="1"/>
    <col min="28" max="28" width="11.42578125" bestFit="1" customWidth="1"/>
    <col min="30" max="30" width="11.42578125" bestFit="1" customWidth="1"/>
    <col min="32" max="32" width="11.42578125" bestFit="1" customWidth="1"/>
    <col min="35" max="35" width="15.28515625" bestFit="1" customWidth="1"/>
    <col min="36" max="36" width="16.140625" customWidth="1"/>
  </cols>
  <sheetData>
    <row r="1" spans="1:40" x14ac:dyDescent="0.25">
      <c r="A1" s="78" t="s">
        <v>81</v>
      </c>
      <c r="B1" s="78"/>
      <c r="C1" s="78"/>
      <c r="D1" s="78"/>
      <c r="E1" s="78"/>
    </row>
    <row r="3" spans="1:40" x14ac:dyDescent="0.25">
      <c r="A3" t="s">
        <v>85</v>
      </c>
      <c r="D3">
        <v>0.47</v>
      </c>
    </row>
    <row r="4" spans="1:40" ht="15.75" thickBot="1" x14ac:dyDescent="0.3">
      <c r="A4" t="s">
        <v>86</v>
      </c>
    </row>
    <row r="5" spans="1:40" ht="15.75" thickBot="1" x14ac:dyDescent="0.3">
      <c r="E5" s="4"/>
      <c r="F5" s="4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U5" s="181" t="s">
        <v>80</v>
      </c>
    </row>
    <row r="6" spans="1:40" ht="15.75" thickBot="1" x14ac:dyDescent="0.3">
      <c r="A6" s="68"/>
      <c r="B6" s="170" t="s">
        <v>16</v>
      </c>
      <c r="C6" s="171"/>
      <c r="D6" s="171"/>
      <c r="E6" s="171"/>
      <c r="F6" s="172"/>
      <c r="G6" s="167" t="s">
        <v>17</v>
      </c>
      <c r="H6" s="167"/>
      <c r="I6" s="167"/>
      <c r="J6" s="167"/>
      <c r="K6" s="168"/>
      <c r="L6" s="167" t="s">
        <v>18</v>
      </c>
      <c r="M6" s="167"/>
      <c r="N6" s="167"/>
      <c r="O6" s="167"/>
      <c r="P6" s="167"/>
      <c r="Q6" s="168"/>
      <c r="R6" s="41" t="s">
        <v>15</v>
      </c>
      <c r="S6" s="170" t="s">
        <v>79</v>
      </c>
      <c r="T6" s="172"/>
      <c r="U6" s="182"/>
    </row>
    <row r="7" spans="1:40" ht="15.75" thickBot="1" x14ac:dyDescent="0.3">
      <c r="A7" s="33" t="s">
        <v>82</v>
      </c>
      <c r="B7" s="35" t="s">
        <v>8</v>
      </c>
      <c r="C7" s="35" t="s">
        <v>3</v>
      </c>
      <c r="D7" s="35" t="s">
        <v>4</v>
      </c>
      <c r="E7" s="35" t="s">
        <v>5</v>
      </c>
      <c r="F7" s="36" t="s">
        <v>6</v>
      </c>
      <c r="G7" s="35" t="s">
        <v>8</v>
      </c>
      <c r="H7" s="35" t="s">
        <v>3</v>
      </c>
      <c r="I7" s="35" t="s">
        <v>4</v>
      </c>
      <c r="J7" s="35" t="s">
        <v>9</v>
      </c>
      <c r="K7" s="36" t="s">
        <v>5</v>
      </c>
      <c r="L7" s="35" t="s">
        <v>11</v>
      </c>
      <c r="M7" s="35" t="s">
        <v>12</v>
      </c>
      <c r="N7" s="35" t="s">
        <v>13</v>
      </c>
      <c r="O7" s="35" t="s">
        <v>14</v>
      </c>
      <c r="P7" s="35" t="s">
        <v>8</v>
      </c>
      <c r="Q7" s="36" t="s">
        <v>9</v>
      </c>
      <c r="R7" s="65" t="s">
        <v>84</v>
      </c>
      <c r="S7" s="51" t="s">
        <v>13</v>
      </c>
      <c r="T7" s="36" t="s">
        <v>14</v>
      </c>
      <c r="U7" s="183"/>
    </row>
    <row r="8" spans="1:40" ht="15.75" thickBot="1" x14ac:dyDescent="0.3">
      <c r="A8" s="32" t="s">
        <v>83</v>
      </c>
      <c r="B8">
        <v>10</v>
      </c>
      <c r="C8">
        <v>10</v>
      </c>
      <c r="D8">
        <v>13</v>
      </c>
      <c r="E8">
        <v>10</v>
      </c>
      <c r="F8" s="39">
        <v>1.8</v>
      </c>
      <c r="G8">
        <v>9</v>
      </c>
      <c r="H8">
        <v>9</v>
      </c>
      <c r="I8">
        <v>9</v>
      </c>
      <c r="J8">
        <v>1.3</v>
      </c>
      <c r="K8" s="39">
        <v>9</v>
      </c>
      <c r="L8">
        <v>6</v>
      </c>
      <c r="M8">
        <v>6</v>
      </c>
      <c r="N8">
        <v>6</v>
      </c>
      <c r="O8">
        <v>4.5999999999999996</v>
      </c>
      <c r="P8">
        <v>6</v>
      </c>
      <c r="Q8" s="32">
        <v>3.1</v>
      </c>
      <c r="R8" s="66">
        <v>10</v>
      </c>
      <c r="S8" s="69">
        <v>6</v>
      </c>
      <c r="T8" s="70">
        <v>4.5999999999999996</v>
      </c>
      <c r="U8" s="70">
        <v>6</v>
      </c>
    </row>
    <row r="9" spans="1:40" ht="15.75" thickBot="1" x14ac:dyDescent="0.3">
      <c r="A9" s="66" t="s">
        <v>31</v>
      </c>
      <c r="B9" s="67">
        <v>0.28000000000000003</v>
      </c>
      <c r="C9" s="67">
        <v>0.28000000000000003</v>
      </c>
      <c r="D9" s="67">
        <v>0.28000000000000003</v>
      </c>
      <c r="E9" s="67">
        <v>0.28000000000000003</v>
      </c>
      <c r="F9" s="68">
        <v>0.28000000000000003</v>
      </c>
      <c r="G9" s="67">
        <v>0.24</v>
      </c>
      <c r="H9" s="67">
        <v>0.24</v>
      </c>
      <c r="I9" s="67">
        <v>0.24</v>
      </c>
      <c r="J9" s="67">
        <v>0.2</v>
      </c>
      <c r="K9" s="68">
        <v>0.24</v>
      </c>
      <c r="L9" s="67">
        <v>0.37</v>
      </c>
      <c r="M9" s="67">
        <v>0.37</v>
      </c>
      <c r="N9" s="67">
        <v>0.37</v>
      </c>
      <c r="O9" s="67">
        <v>0.37</v>
      </c>
      <c r="P9" s="67">
        <v>0.37</v>
      </c>
      <c r="Q9" s="68">
        <v>0.37</v>
      </c>
      <c r="R9" s="66">
        <v>0.4</v>
      </c>
      <c r="S9" s="75">
        <v>0.28999999999999998</v>
      </c>
      <c r="T9" s="72">
        <v>0.28999999999999998</v>
      </c>
      <c r="U9" s="72">
        <v>0.37</v>
      </c>
    </row>
    <row r="10" spans="1:40" ht="15.75" thickBot="1" x14ac:dyDescent="0.3">
      <c r="A10" s="74" t="s">
        <v>87</v>
      </c>
      <c r="B10" s="38">
        <f>B8*(1+B9)</f>
        <v>12.8</v>
      </c>
      <c r="C10" s="38">
        <f t="shared" ref="C10:U10" si="0">C8*(1+C9)</f>
        <v>12.8</v>
      </c>
      <c r="D10" s="38">
        <f t="shared" si="0"/>
        <v>16.64</v>
      </c>
      <c r="E10" s="38">
        <f t="shared" si="0"/>
        <v>12.8</v>
      </c>
      <c r="F10" s="68">
        <f t="shared" si="0"/>
        <v>2.3040000000000003</v>
      </c>
      <c r="G10" s="38">
        <f t="shared" si="0"/>
        <v>11.16</v>
      </c>
      <c r="H10" s="38">
        <f t="shared" si="0"/>
        <v>11.16</v>
      </c>
      <c r="I10" s="38">
        <f t="shared" si="0"/>
        <v>11.16</v>
      </c>
      <c r="J10" s="38">
        <f t="shared" si="0"/>
        <v>1.56</v>
      </c>
      <c r="K10" s="33">
        <f t="shared" si="0"/>
        <v>11.16</v>
      </c>
      <c r="L10" s="38">
        <f t="shared" si="0"/>
        <v>8.2200000000000006</v>
      </c>
      <c r="M10" s="38">
        <f t="shared" si="0"/>
        <v>8.2200000000000006</v>
      </c>
      <c r="N10" s="38">
        <f t="shared" si="0"/>
        <v>8.2200000000000006</v>
      </c>
      <c r="O10" s="38">
        <f t="shared" si="0"/>
        <v>6.3019999999999996</v>
      </c>
      <c r="P10" s="38">
        <f t="shared" si="0"/>
        <v>8.2200000000000006</v>
      </c>
      <c r="Q10" s="68">
        <f t="shared" si="0"/>
        <v>4.2470000000000008</v>
      </c>
      <c r="R10" s="66">
        <f t="shared" si="0"/>
        <v>14</v>
      </c>
      <c r="S10" s="38">
        <f t="shared" si="0"/>
        <v>7.74</v>
      </c>
      <c r="T10" s="33">
        <f t="shared" si="0"/>
        <v>5.9339999999999993</v>
      </c>
      <c r="U10" s="33">
        <f t="shared" si="0"/>
        <v>8.2200000000000006</v>
      </c>
    </row>
    <row r="11" spans="1:40" ht="15.75" thickBot="1" x14ac:dyDescent="0.3">
      <c r="A11" s="73" t="s">
        <v>99</v>
      </c>
      <c r="B11" s="67"/>
      <c r="C11" s="67"/>
      <c r="D11" s="67">
        <v>0.89</v>
      </c>
      <c r="E11" s="67"/>
      <c r="F11" s="68"/>
      <c r="G11" s="67"/>
      <c r="H11" s="67"/>
      <c r="I11" s="67"/>
      <c r="J11" s="67"/>
      <c r="K11" s="68"/>
      <c r="L11" s="67"/>
      <c r="M11" s="67"/>
      <c r="N11" s="67"/>
      <c r="O11" s="67">
        <v>0.77</v>
      </c>
      <c r="P11" s="67"/>
      <c r="Q11" s="68"/>
      <c r="R11" s="66"/>
      <c r="S11" s="67"/>
      <c r="T11" s="68"/>
      <c r="U11" s="68"/>
    </row>
    <row r="12" spans="1:40" x14ac:dyDescent="0.25">
      <c r="A12" s="71" t="s">
        <v>101</v>
      </c>
      <c r="B12" s="4"/>
      <c r="C12" s="4"/>
      <c r="D12" s="69">
        <v>139</v>
      </c>
      <c r="E12" s="4"/>
      <c r="F12" s="4">
        <v>55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40" x14ac:dyDescent="0.25">
      <c r="A13" s="6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AI13" s="184" t="s">
        <v>103</v>
      </c>
      <c r="AJ13" s="184"/>
      <c r="AM13" t="s">
        <v>144</v>
      </c>
    </row>
    <row r="14" spans="1:40" x14ac:dyDescent="0.25">
      <c r="A14" s="50" t="s">
        <v>1</v>
      </c>
      <c r="B14" s="167" t="s">
        <v>98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t="s">
        <v>68</v>
      </c>
      <c r="Y14" s="184" t="s">
        <v>89</v>
      </c>
      <c r="Z14" s="184"/>
      <c r="AB14" t="s">
        <v>100</v>
      </c>
      <c r="AD14" t="s">
        <v>94</v>
      </c>
      <c r="AF14" t="s">
        <v>102</v>
      </c>
      <c r="AH14" s="50" t="s">
        <v>1</v>
      </c>
      <c r="AI14" s="1" t="s">
        <v>104</v>
      </c>
      <c r="AJ14" s="1" t="s">
        <v>105</v>
      </c>
    </row>
    <row r="15" spans="1:40" x14ac:dyDescent="0.25">
      <c r="A15" s="1">
        <v>2006</v>
      </c>
      <c r="B15" s="76">
        <f>BAUTrees!B$6*B$10*$D$3</f>
        <v>2454.5280000000002</v>
      </c>
      <c r="C15" s="76">
        <f>BAUTrees!C$6*C$10*$D$3</f>
        <v>697.85599999999999</v>
      </c>
      <c r="D15" s="76">
        <f>BAUTrees!D$6*D$10*$D$3</f>
        <v>18683.891199999998</v>
      </c>
      <c r="E15" s="76">
        <f>BAUTrees!E$6*E$10*$D$3</f>
        <v>4271.3599999999997</v>
      </c>
      <c r="F15" s="76">
        <f>BAUTrees!F$6*F$10*$D$3</f>
        <v>13293.434880000001</v>
      </c>
      <c r="G15" s="76">
        <f>BAUTrees!G$6*G$10*$D$3</f>
        <v>923.15520000000004</v>
      </c>
      <c r="H15" s="76">
        <f>BAUTrees!H$6*H$10*$D$3</f>
        <v>576.97199999999998</v>
      </c>
      <c r="I15" s="76">
        <f>BAUTrees!I$6*I$10*$D$3</f>
        <v>4662.9827999999998</v>
      </c>
      <c r="J15" s="76">
        <f>BAUTrees!J$6*J$10*$D$3</f>
        <v>3728.3220000000001</v>
      </c>
      <c r="K15" s="76">
        <f>BAUTrees!K$6*K$10*$D$3</f>
        <v>729.08279999999991</v>
      </c>
      <c r="L15" s="76">
        <f>BAUTrees!L$6*L$10*$D$3</f>
        <v>2109.4164000000001</v>
      </c>
      <c r="M15" s="76">
        <f>BAUTrees!M$6*M$10*$D$3</f>
        <v>3735.9078</v>
      </c>
      <c r="N15" s="76">
        <f>BAUTrees!N$6*N$10*$D$3</f>
        <v>10369.365600000001</v>
      </c>
      <c r="O15" s="76">
        <f>BAUTrees!O$6*O$10*$D$3</f>
        <v>16225.507319999999</v>
      </c>
      <c r="P15" s="76">
        <f>BAUTrees!P$6*P$10*$D$3</f>
        <v>239.5308</v>
      </c>
      <c r="Q15" s="76">
        <f>BAUTrees!Q$6*Q$10*$D$3</f>
        <v>30232.779140000006</v>
      </c>
      <c r="R15" s="76">
        <f>BAUTrees!R$6*R$10*$D$3</f>
        <v>401.38</v>
      </c>
      <c r="S15" s="76"/>
      <c r="T15" s="76"/>
      <c r="U15" s="76">
        <f>BAUTrees!U$6*U$10*$D$3</f>
        <v>0</v>
      </c>
      <c r="V15" s="76">
        <f>SUM(B15:U15)</f>
        <v>113335.47194000002</v>
      </c>
      <c r="Y15" s="180">
        <f>(Closs!B6*$D$11*(1+$D$9)*$D$3)+(Closs!C6*$O$11*(1+$O$9)*$D$3)</f>
        <v>4282.8557769999998</v>
      </c>
      <c r="Z15" s="180"/>
      <c r="AA15" s="79"/>
      <c r="AB15" s="79">
        <f>(Closs!F6*$D$11*(1+$D$9)*$D$3)+(Closs!G6*$O$11*(1+$O$9)*$D$3)</f>
        <v>3133.5314539999999</v>
      </c>
      <c r="AC15" s="79"/>
      <c r="AD15" s="79">
        <f>(Closs!J6*$D$12*(1+$D$9)*$D$3*Closs!K6)+(Closs!L6*$F$12*(1+$F$9)*$D$3*Closs!M6)</f>
        <v>1965.1263999999999</v>
      </c>
      <c r="AE15" s="79"/>
      <c r="AF15" s="79">
        <f>Y15+AB15+AD15</f>
        <v>9381.5136309999998</v>
      </c>
      <c r="AH15" s="1">
        <v>2006</v>
      </c>
      <c r="AI15" s="80">
        <f>V15-AF15</f>
        <v>103953.95830900002</v>
      </c>
      <c r="AJ15" s="5">
        <f>-AI15*44/12/1000</f>
        <v>-381.16451379966674</v>
      </c>
      <c r="AN15" s="76">
        <f>AJ15-AJ48</f>
        <v>0</v>
      </c>
    </row>
    <row r="16" spans="1:40" x14ac:dyDescent="0.25">
      <c r="A16" s="1">
        <v>2007</v>
      </c>
      <c r="B16" s="76">
        <f>BAUTrees!B$7*B$10*$D$3</f>
        <v>2310.1440000000002</v>
      </c>
      <c r="C16" s="76">
        <f>BAUTrees!C$7*C$10*$D$3</f>
        <v>673.79200000000003</v>
      </c>
      <c r="D16" s="76">
        <f>BAUTrees!D$7*D$10*$D$3</f>
        <v>18848.128000000001</v>
      </c>
      <c r="E16" s="76">
        <f>BAUTrees!E$7*E$10*$D$3</f>
        <v>4271.3599999999997</v>
      </c>
      <c r="F16" s="76">
        <f>BAUTrees!F$7*F$10*$D$3</f>
        <v>13293.434880000001</v>
      </c>
      <c r="G16" s="76">
        <f>BAUTrees!G$7*G$10*$D$3</f>
        <v>923.15520000000004</v>
      </c>
      <c r="H16" s="76">
        <f>BAUTrees!H$7*H$10*$D$3</f>
        <v>576.97199999999998</v>
      </c>
      <c r="I16" s="76">
        <f>BAUTrees!I$7*I$10*$D$3</f>
        <v>4662.9827999999998</v>
      </c>
      <c r="J16" s="76">
        <f>BAUTrees!J$7*J$10*$D$3</f>
        <v>3728.3220000000001</v>
      </c>
      <c r="K16" s="76">
        <f>BAUTrees!K$7*K$10*$D$3</f>
        <v>729.08279999999991</v>
      </c>
      <c r="L16" s="76">
        <f>BAUTrees!L$7*L$10*$D$3</f>
        <v>2109.4164000000001</v>
      </c>
      <c r="M16" s="76">
        <f>BAUTrees!M$7*M$10*$D$3</f>
        <v>3735.9078</v>
      </c>
      <c r="N16" s="76">
        <f>BAUTrees!N$7*N$10*$D$3</f>
        <v>10562.535600000001</v>
      </c>
      <c r="O16" s="76">
        <f>BAUTrees!O$7*O$10*$D$3</f>
        <v>16175.154339999995</v>
      </c>
      <c r="P16" s="76">
        <f>BAUTrees!P$7*P$10*$D$3</f>
        <v>239.5308</v>
      </c>
      <c r="Q16" s="76">
        <f>BAUTrees!Q$7*Q$10*$D$3</f>
        <v>30166.908170000006</v>
      </c>
      <c r="R16" s="76">
        <f>BAUTrees!R$7*R$10*$D$3</f>
        <v>493.5</v>
      </c>
      <c r="S16" s="76"/>
      <c r="T16" s="76"/>
      <c r="U16" s="76">
        <f>BAUTrees!U$7*U$10*$D$3</f>
        <v>0</v>
      </c>
      <c r="V16" s="76">
        <f t="shared" ref="V16:V43" si="1">SUM(B16:U16)</f>
        <v>113500.32678999999</v>
      </c>
      <c r="Y16" s="180">
        <f>(Closs!B7*$D$11*(1+$D$9)*$D$3)+(Closs!C7*$O$11*(1+$O$9)*$D$3)</f>
        <v>3483.0196470000005</v>
      </c>
      <c r="Z16" s="180"/>
      <c r="AA16" s="79"/>
      <c r="AB16" s="79">
        <f>(Closs!F7*$D$11*(1+$D$9)*$D$3)+(Closs!G7*$O$11*(1+$O$9)*$D$3)</f>
        <v>3656.6579980000006</v>
      </c>
      <c r="AC16" s="79"/>
      <c r="AD16" s="79">
        <f>(Closs!J7*$D$12*(1+$D$9)*$D$3*Closs!K7)+(Closs!L7*$F$12*(1+$F$9)*$D$3*Closs!M7)</f>
        <v>772.670976</v>
      </c>
      <c r="AE16" s="79"/>
      <c r="AF16" s="79">
        <f t="shared" ref="AF16:AF43" si="2">Y16+AB16+AD16</f>
        <v>7912.3486210000019</v>
      </c>
      <c r="AH16" s="1">
        <v>2007</v>
      </c>
      <c r="AI16" s="80">
        <f t="shared" ref="AI16:AI43" si="3">V16-AF16</f>
        <v>105587.97816899999</v>
      </c>
      <c r="AJ16" s="5">
        <f t="shared" ref="AJ16:AJ43" si="4">-AI16*44/12/1000</f>
        <v>-387.15591995299997</v>
      </c>
      <c r="AN16" s="76">
        <f t="shared" ref="AN16:AN43" si="5">AJ16-AJ49</f>
        <v>0</v>
      </c>
    </row>
    <row r="17" spans="1:40" x14ac:dyDescent="0.25">
      <c r="A17" s="1">
        <v>2008</v>
      </c>
      <c r="B17" s="76">
        <f>BAUTrees!B$8*B$10*$D$3</f>
        <v>2310.1440000000002</v>
      </c>
      <c r="C17" s="76">
        <f>BAUTrees!C$8*C$10*$D$3</f>
        <v>673.79200000000003</v>
      </c>
      <c r="D17" s="76">
        <f>BAUTrees!D$8*D$10*$D$3</f>
        <v>18871.590399999997</v>
      </c>
      <c r="E17" s="76">
        <f>BAUTrees!E$8*E$10*$D$3</f>
        <v>4271.3599999999997</v>
      </c>
      <c r="F17" s="76">
        <f>BAUTrees!F$8*F$10*$D$3</f>
        <v>13269.61152</v>
      </c>
      <c r="G17" s="76">
        <f>BAUTrees!G$8*G$10*$D$3</f>
        <v>923.15520000000004</v>
      </c>
      <c r="H17" s="76">
        <f>BAUTrees!H$8*H$10*$D$3</f>
        <v>576.97199999999998</v>
      </c>
      <c r="I17" s="76">
        <f>BAUTrees!I$8*I$10*$D$3</f>
        <v>4662.9827999999998</v>
      </c>
      <c r="J17" s="76">
        <f>BAUTrees!J$8*J$10*$D$3</f>
        <v>3728.3220000000001</v>
      </c>
      <c r="K17" s="76">
        <f>BAUTrees!K$8*K$10*$D$3</f>
        <v>729.08279999999991</v>
      </c>
      <c r="L17" s="76">
        <f>BAUTrees!L$8*L$10*$D$3</f>
        <v>2124.87</v>
      </c>
      <c r="M17" s="76">
        <f>BAUTrees!M$8*M$10*$D$3</f>
        <v>3735.9078</v>
      </c>
      <c r="N17" s="76">
        <f>BAUTrees!N$8*N$10*$D$3</f>
        <v>9785.9922000000006</v>
      </c>
      <c r="O17" s="76">
        <f>BAUTrees!O$8*O$10*$D$3</f>
        <v>16681.646079999999</v>
      </c>
      <c r="P17" s="76">
        <f>BAUTrees!P$8*P$10*$D$3</f>
        <v>239.5308</v>
      </c>
      <c r="Q17" s="76">
        <f>BAUTrees!Q$8*Q$10*$D$3</f>
        <v>30226.790870000004</v>
      </c>
      <c r="R17" s="76">
        <f>BAUTrees!R$8*R$10*$D$3</f>
        <v>552.71999999999991</v>
      </c>
      <c r="S17" s="76"/>
      <c r="T17" s="76"/>
      <c r="U17" s="76">
        <f>BAUTrees!U$8*U$10*$D$3</f>
        <v>0</v>
      </c>
      <c r="V17" s="76">
        <f t="shared" si="1"/>
        <v>113364.47047</v>
      </c>
      <c r="Y17" s="180">
        <f>(Closs!B8*$D$11*(1+$D$9)*$D$3)+(Closs!C8*$O$11*(1+$O$9)*$D$3)</f>
        <v>2823.0590419999999</v>
      </c>
      <c r="Z17" s="180"/>
      <c r="AA17" s="79"/>
      <c r="AB17" s="79">
        <f>(Closs!F8*$D$11*(1+$D$9)*$D$3)+(Closs!G8*$O$11*(1+$O$9)*$D$3)</f>
        <v>2673.7308300000004</v>
      </c>
      <c r="AC17" s="79"/>
      <c r="AD17" s="79">
        <f>(Closs!J8*$D$12*(1+$D$9)*$D$3*Closs!K8)+(Closs!L8*$F$12*(1+$F$9)*$D$3*Closs!M8)</f>
        <v>568.63232000000005</v>
      </c>
      <c r="AE17" s="79"/>
      <c r="AF17" s="79">
        <f t="shared" si="2"/>
        <v>6065.422192</v>
      </c>
      <c r="AH17" s="1">
        <v>2008</v>
      </c>
      <c r="AI17" s="80">
        <f t="shared" si="3"/>
        <v>107299.048278</v>
      </c>
      <c r="AJ17" s="5">
        <f t="shared" si="4"/>
        <v>-393.42984368599997</v>
      </c>
      <c r="AN17" s="76">
        <f>AJ17-AJ50</f>
        <v>0</v>
      </c>
    </row>
    <row r="18" spans="1:40" x14ac:dyDescent="0.25">
      <c r="A18" s="1">
        <v>2009</v>
      </c>
      <c r="B18" s="76">
        <f>BAUTrees!B$9*B$10*$D$3</f>
        <v>2310.1440000000002</v>
      </c>
      <c r="C18" s="76">
        <f>BAUTrees!C$9*C$10*$D$3</f>
        <v>673.79200000000003</v>
      </c>
      <c r="D18" s="76">
        <f>BAUTrees!D$9*D$10*$D$3</f>
        <v>18871.590399999997</v>
      </c>
      <c r="E18" s="76">
        <f>BAUTrees!E$9*E$10*$D$3</f>
        <v>4271.3599999999997</v>
      </c>
      <c r="F18" s="76">
        <f>BAUTrees!F$9*F$10*$D$3</f>
        <v>13269.61152</v>
      </c>
      <c r="G18" s="76">
        <f>BAUTrees!G$9*G$10*$D$3</f>
        <v>923.15520000000004</v>
      </c>
      <c r="H18" s="76">
        <f>BAUTrees!H$9*H$10*$D$3</f>
        <v>576.97199999999998</v>
      </c>
      <c r="I18" s="76">
        <f>BAUTrees!I$9*I$10*$D$3</f>
        <v>4662.9827999999998</v>
      </c>
      <c r="J18" s="76">
        <f>BAUTrees!J$9*J$10*$D$3</f>
        <v>3728.3220000000001</v>
      </c>
      <c r="K18" s="76">
        <f>BAUTrees!K$9*K$10*$D$3</f>
        <v>729.08279999999991</v>
      </c>
      <c r="L18" s="76">
        <f>BAUTrees!L$9*L$10*$D$3</f>
        <v>2124.87</v>
      </c>
      <c r="M18" s="76">
        <f>BAUTrees!M$9*M$10*$D$3</f>
        <v>3735.9078</v>
      </c>
      <c r="N18" s="76">
        <f>BAUTrees!N$9*N$10*$D$3</f>
        <v>9565.7783999999992</v>
      </c>
      <c r="O18" s="76">
        <f>BAUTrees!O$9*O$10*$D$3</f>
        <v>16945.258739999997</v>
      </c>
      <c r="P18" s="76">
        <f>BAUTrees!P$9*P$10*$D$3</f>
        <v>239.5308</v>
      </c>
      <c r="Q18" s="76">
        <f>BAUTrees!Q$9*Q$10*$D$3</f>
        <v>30162.915990000001</v>
      </c>
      <c r="R18" s="76">
        <f>BAUTrees!R$9*R$10*$D$3</f>
        <v>644.83999999999992</v>
      </c>
      <c r="S18" s="76"/>
      <c r="T18" s="76"/>
      <c r="U18" s="76">
        <f>BAUTrees!U$9*U$10*$D$3</f>
        <v>0</v>
      </c>
      <c r="V18" s="76">
        <f t="shared" si="1"/>
        <v>113436.11444999999</v>
      </c>
      <c r="Y18" s="180">
        <f>(Closs!B9*$D$11*(1+$D$9)*$D$3)+(Closs!C9*$O$11*(1+$O$9)*$D$3)</f>
        <v>2531.7572250000003</v>
      </c>
      <c r="Z18" s="180"/>
      <c r="AA18" s="79"/>
      <c r="AB18" s="79">
        <f>(Closs!F9*$D$11*(1+$D$9)*$D$3)+(Closs!G9*$O$11*(1+$O$9)*$D$3)</f>
        <v>2810.5070809999997</v>
      </c>
      <c r="AC18" s="79"/>
      <c r="AD18" s="79">
        <f>(Closs!J9*$D$12*(1+$D$9)*$D$3*Closs!K9)+(Closs!L9*$F$12*(1+$F$9)*$D$3*Closs!M9)</f>
        <v>204.96211199999996</v>
      </c>
      <c r="AE18" s="79"/>
      <c r="AF18" s="79">
        <f t="shared" si="2"/>
        <v>5547.2264180000002</v>
      </c>
      <c r="AH18" s="1">
        <v>2009</v>
      </c>
      <c r="AI18" s="80">
        <f t="shared" si="3"/>
        <v>107888.88803199999</v>
      </c>
      <c r="AJ18" s="5">
        <f t="shared" si="4"/>
        <v>-395.59258945066665</v>
      </c>
      <c r="AN18" s="76">
        <f t="shared" si="5"/>
        <v>0</v>
      </c>
    </row>
    <row r="19" spans="1:40" x14ac:dyDescent="0.25">
      <c r="A19" s="1">
        <v>2010</v>
      </c>
      <c r="B19" s="76">
        <f>BAUTrees!B$10*B$10*$D$3</f>
        <v>2298.1120000000001</v>
      </c>
      <c r="C19" s="76">
        <f>BAUTrees!C$10*C$10*$D$3</f>
        <v>673.79200000000003</v>
      </c>
      <c r="D19" s="76">
        <f>BAUTrees!D$10*D$10*$D$3</f>
        <v>19028.006399999998</v>
      </c>
      <c r="E19" s="76">
        <f>BAUTrees!E$10*E$10*$D$3</f>
        <v>4271.3599999999997</v>
      </c>
      <c r="F19" s="76">
        <f>BAUTrees!F$10*F$10*$D$3</f>
        <v>13256.616960000001</v>
      </c>
      <c r="G19" s="76">
        <f>BAUTrees!G$10*G$10*$D$3</f>
        <v>912.6647999999999</v>
      </c>
      <c r="H19" s="76">
        <f>BAUTrees!H$10*H$10*$D$3</f>
        <v>576.97199999999998</v>
      </c>
      <c r="I19" s="76">
        <f>BAUTrees!I$10*I$10*$D$3</f>
        <v>4662.9827999999998</v>
      </c>
      <c r="J19" s="76">
        <f>BAUTrees!J$10*J$10*$D$3</f>
        <v>3723.9228000000003</v>
      </c>
      <c r="K19" s="76">
        <f>BAUTrees!K$10*K$10*$D$3</f>
        <v>729.08279999999991</v>
      </c>
      <c r="L19" s="76">
        <f>BAUTrees!L$10*L$10*$D$3</f>
        <v>2182.8209999999999</v>
      </c>
      <c r="M19" s="76">
        <f>BAUTrees!M$10*M$10*$D$3</f>
        <v>3728.181</v>
      </c>
      <c r="N19" s="76">
        <f>BAUTrees!N$10*N$10*$D$3</f>
        <v>9202.6188000000002</v>
      </c>
      <c r="O19" s="76">
        <f>BAUTrees!O$10*O$10*$D$3</f>
        <v>17229.604979999996</v>
      </c>
      <c r="P19" s="76">
        <f>BAUTrees!P$10*P$10*$D$3</f>
        <v>231.804</v>
      </c>
      <c r="Q19" s="76">
        <f>BAUTrees!Q$10*Q$10*$D$3</f>
        <v>30140.959000000003</v>
      </c>
      <c r="R19" s="76">
        <f>BAUTrees!R$10*R$10*$D$3</f>
        <v>736.95999999999992</v>
      </c>
      <c r="S19" s="76"/>
      <c r="T19" s="76"/>
      <c r="U19" s="76">
        <f>BAUTrees!U$10*U$10*$D$3</f>
        <v>0</v>
      </c>
      <c r="V19" s="76">
        <f t="shared" si="1"/>
        <v>113586.46133999999</v>
      </c>
      <c r="Y19" s="180">
        <f>(Closs!B10*$D$11*(1+$D$9)*$D$3)+(Closs!C10*$O$11*(1+$O$9)*$D$3)</f>
        <v>2504.7232480000002</v>
      </c>
      <c r="Z19" s="180"/>
      <c r="AA19" s="79"/>
      <c r="AB19" s="79">
        <f>(Closs!F10*$D$11*(1+$D$9)*$D$3)+(Closs!G10*$O$11*(1+$O$9)*$D$3)</f>
        <v>4808.8560890000008</v>
      </c>
      <c r="AC19" s="79"/>
      <c r="AD19" s="79">
        <f>(Closs!J10*$D$12*(1+$D$9)*$D$3*Closs!K10)+(Closs!L10*$F$12*(1+$F$9)*$D$3*Closs!M10)</f>
        <v>326.98163200000005</v>
      </c>
      <c r="AE19" s="79"/>
      <c r="AF19" s="79">
        <f t="shared" si="2"/>
        <v>7640.560969000001</v>
      </c>
      <c r="AH19" s="1">
        <v>2010</v>
      </c>
      <c r="AI19" s="80">
        <f t="shared" si="3"/>
        <v>105945.900371</v>
      </c>
      <c r="AJ19" s="5">
        <f t="shared" si="4"/>
        <v>-388.46830136033333</v>
      </c>
      <c r="AN19" s="76">
        <f t="shared" si="5"/>
        <v>0</v>
      </c>
    </row>
    <row r="20" spans="1:40" x14ac:dyDescent="0.25">
      <c r="A20" s="1">
        <v>2011</v>
      </c>
      <c r="B20" s="76">
        <f>BAUTrees!B$11*B$10*$D$3</f>
        <v>2298.1120000000001</v>
      </c>
      <c r="C20" s="76">
        <f>BAUTrees!C$11*C$10*$D$3</f>
        <v>673.79200000000003</v>
      </c>
      <c r="D20" s="76">
        <f>BAUTrees!D$11*D$10*$D$3</f>
        <v>19059.2896</v>
      </c>
      <c r="E20" s="76">
        <f>BAUTrees!E$11*E$10*$D$3</f>
        <v>4271.3599999999997</v>
      </c>
      <c r="F20" s="76">
        <f>BAUTrees!F$11*F$10*$D$3</f>
        <v>13256.616960000001</v>
      </c>
      <c r="G20" s="76">
        <f>BAUTrees!G$11*G$10*$D$3</f>
        <v>912.6647999999999</v>
      </c>
      <c r="H20" s="76">
        <f>BAUTrees!H$11*H$10*$D$3</f>
        <v>576.97199999999998</v>
      </c>
      <c r="I20" s="76">
        <f>BAUTrees!I$11*I$10*$D$3</f>
        <v>4662.9827999999998</v>
      </c>
      <c r="J20" s="76">
        <f>BAUTrees!J$11*J$10*$D$3</f>
        <v>3723.9228000000003</v>
      </c>
      <c r="K20" s="76">
        <f>BAUTrees!K$11*K$10*$D$3</f>
        <v>729.08279999999991</v>
      </c>
      <c r="L20" s="76">
        <f>BAUTrees!L$11*L$10*$D$3</f>
        <v>2182.8209999999999</v>
      </c>
      <c r="M20" s="76">
        <f>BAUTrees!M$11*M$10*$D$3</f>
        <v>3728.181</v>
      </c>
      <c r="N20" s="76">
        <f>BAUTrees!N$11*N$10*$D$3</f>
        <v>8762.1912000000011</v>
      </c>
      <c r="O20" s="76">
        <f>BAUTrees!O$11*O$10*$D$3</f>
        <v>17499.141519999997</v>
      </c>
      <c r="P20" s="76">
        <f>BAUTrees!P$11*P$10*$D$3</f>
        <v>231.804</v>
      </c>
      <c r="Q20" s="76">
        <f>BAUTrees!Q$11*Q$10*$D$3</f>
        <v>30140.959000000003</v>
      </c>
      <c r="R20" s="76">
        <f>BAUTrees!R$11*R$10*$D$3</f>
        <v>835.66</v>
      </c>
      <c r="S20" s="76"/>
      <c r="T20" s="76"/>
      <c r="U20" s="76">
        <f>BAUTrees!U$11*U$10*$D$3</f>
        <v>0</v>
      </c>
      <c r="V20" s="76">
        <f t="shared" si="1"/>
        <v>113545.55348</v>
      </c>
      <c r="Y20" s="180">
        <f>(Closs!B11*$D$11*(1+$D$9)*$D$3)+(Closs!C11*$O$11*(1+$O$9)*$D$3)</f>
        <v>2261.2982160000001</v>
      </c>
      <c r="Z20" s="180"/>
      <c r="AA20" s="79"/>
      <c r="AB20" s="79">
        <f>(Closs!F11*$D$11*(1+$D$9)*$D$3)+(Closs!G11*$O$11*(1+$O$9)*$D$3)</f>
        <v>3312.3270680000001</v>
      </c>
      <c r="AC20" s="79"/>
      <c r="AD20" s="79">
        <f>(Closs!J11*$D$12*(1+$D$9)*$D$3*Closs!K11)+(Closs!L11*$F$12*(1+$F$9)*$D$3*Closs!M11)</f>
        <v>313.08226559999997</v>
      </c>
      <c r="AE20" s="79"/>
      <c r="AF20" s="79">
        <f t="shared" si="2"/>
        <v>5886.7075495999998</v>
      </c>
      <c r="AH20" s="1">
        <v>2011</v>
      </c>
      <c r="AI20" s="80">
        <f t="shared" si="3"/>
        <v>107658.8459304</v>
      </c>
      <c r="AJ20" s="5">
        <f t="shared" si="4"/>
        <v>-394.74910174480004</v>
      </c>
      <c r="AN20" s="76">
        <f t="shared" si="5"/>
        <v>0</v>
      </c>
    </row>
    <row r="21" spans="1:40" x14ac:dyDescent="0.25">
      <c r="A21" s="1">
        <v>2012</v>
      </c>
      <c r="B21" s="76">
        <f>BAUTrees!B$12*B$10*$D$3</f>
        <v>2298.1120000000001</v>
      </c>
      <c r="C21" s="76">
        <f>BAUTrees!C$12*C$10*$D$3</f>
        <v>673.79200000000003</v>
      </c>
      <c r="D21" s="76">
        <f>BAUTrees!D$12*D$10*$D$3</f>
        <v>19059.2896</v>
      </c>
      <c r="E21" s="76">
        <f>BAUTrees!E$12*E$10*$D$3</f>
        <v>4271.3599999999997</v>
      </c>
      <c r="F21" s="76">
        <f>BAUTrees!F$12*F$10*$D$3</f>
        <v>13256.616960000001</v>
      </c>
      <c r="G21" s="76">
        <f>BAUTrees!G$12*G$10*$D$3</f>
        <v>912.6647999999999</v>
      </c>
      <c r="H21" s="76">
        <f>BAUTrees!H$12*H$10*$D$3</f>
        <v>576.97199999999998</v>
      </c>
      <c r="I21" s="76">
        <f>BAUTrees!I$12*I$10*$D$3</f>
        <v>4662.9827999999998</v>
      </c>
      <c r="J21" s="76">
        <f>BAUTrees!J$12*J$10*$D$3</f>
        <v>3723.9228000000003</v>
      </c>
      <c r="K21" s="76">
        <f>BAUTrees!K$12*K$10*$D$3</f>
        <v>729.08279999999991</v>
      </c>
      <c r="L21" s="76">
        <f>BAUTrees!L$12*L$10*$D$3</f>
        <v>2182.8209999999999</v>
      </c>
      <c r="M21" s="76">
        <f>BAUTrees!M$12*M$10*$D$3</f>
        <v>3728.181</v>
      </c>
      <c r="N21" s="76">
        <f>BAUTrees!N$12*N$10*$D$3</f>
        <v>8511.0702000000001</v>
      </c>
      <c r="O21" s="76">
        <f>BAUTrees!O$12*O$10*$D$3</f>
        <v>17700.55344</v>
      </c>
      <c r="P21" s="76">
        <f>BAUTrees!P$12*P$10*$D$3</f>
        <v>231.804</v>
      </c>
      <c r="Q21" s="76">
        <f>BAUTrees!Q$12*Q$10*$D$3</f>
        <v>30140.959000000003</v>
      </c>
      <c r="R21" s="76">
        <f>BAUTrees!R$12*R$10*$D$3</f>
        <v>921.19999999999993</v>
      </c>
      <c r="S21" s="76"/>
      <c r="T21" s="76"/>
      <c r="U21" s="76">
        <f>BAUTrees!U$12*U$10*$D$3</f>
        <v>0</v>
      </c>
      <c r="V21" s="76">
        <f t="shared" si="1"/>
        <v>113581.3844</v>
      </c>
      <c r="Y21" s="180">
        <f>(Closs!B12*$D$11*(1+$D$9)*$D$3)+(Closs!C12*$O$11*(1+$O$9)*$D$3)</f>
        <v>1601.3437210000002</v>
      </c>
      <c r="Z21" s="180"/>
      <c r="AA21" s="79"/>
      <c r="AB21" s="79">
        <f>(Closs!F12*$D$11*(1+$D$9)*$D$3)+(Closs!G12*$O$11*(1+$O$9)*$D$3)</f>
        <v>2628.9626719999997</v>
      </c>
      <c r="AC21" s="79"/>
      <c r="AD21" s="79">
        <f>(Closs!J12*$D$12*(1+$D$9)*$D$3*Closs!K12)+(Closs!L12*$F$12*(1+$F$9)*$D$3*Closs!M12)</f>
        <v>335.21152000000001</v>
      </c>
      <c r="AE21" s="79"/>
      <c r="AF21" s="79">
        <f t="shared" si="2"/>
        <v>4565.5179129999997</v>
      </c>
      <c r="AH21" s="1">
        <v>2012</v>
      </c>
      <c r="AI21" s="80">
        <f t="shared" si="3"/>
        <v>109015.86648699999</v>
      </c>
      <c r="AJ21" s="5">
        <f t="shared" si="4"/>
        <v>-399.72484378566662</v>
      </c>
      <c r="AN21" s="76">
        <f t="shared" si="5"/>
        <v>0</v>
      </c>
    </row>
    <row r="22" spans="1:40" x14ac:dyDescent="0.25">
      <c r="A22" s="1">
        <v>2013</v>
      </c>
      <c r="B22" s="76">
        <f>BAUTrees!B$13*B$10*$D$3</f>
        <v>2298.1120000000001</v>
      </c>
      <c r="C22" s="76">
        <f>BAUTrees!C$13*C$10*$D$3</f>
        <v>667.77600000000007</v>
      </c>
      <c r="D22" s="76">
        <f>BAUTrees!D$13*D$10*$D$3</f>
        <v>18785.561599999997</v>
      </c>
      <c r="E22" s="76">
        <f>BAUTrees!E$13*E$10*$D$3</f>
        <v>4271.3599999999997</v>
      </c>
      <c r="F22" s="76">
        <f>BAUTrees!F$13*F$10*$D$3</f>
        <v>13257.699840000001</v>
      </c>
      <c r="G22" s="76">
        <f>BAUTrees!G$13*G$10*$D$3</f>
        <v>912.6647999999999</v>
      </c>
      <c r="H22" s="76">
        <f>BAUTrees!H$13*H$10*$D$3</f>
        <v>576.97199999999998</v>
      </c>
      <c r="I22" s="76">
        <f>BAUTrees!I$13*I$10*$D$3</f>
        <v>4662.9827999999998</v>
      </c>
      <c r="J22" s="76">
        <f>BAUTrees!J$13*J$10*$D$3</f>
        <v>3723.9228000000003</v>
      </c>
      <c r="K22" s="76">
        <f>BAUTrees!K$13*K$10*$D$3</f>
        <v>729.08279999999991</v>
      </c>
      <c r="L22" s="76">
        <f>BAUTrees!L$13*L$10*$D$3</f>
        <v>2182.8209999999999</v>
      </c>
      <c r="M22" s="76">
        <f>BAUTrees!M$13*M$10*$D$3</f>
        <v>3728.181</v>
      </c>
      <c r="N22" s="76">
        <f>BAUTrees!N$13*N$10*$D$3</f>
        <v>8673.3330000000005</v>
      </c>
      <c r="O22" s="76">
        <f>BAUTrees!O$13*O$10*$D$3</f>
        <v>17576.151959999999</v>
      </c>
      <c r="P22" s="76">
        <f>BAUTrees!P$13*P$10*$D$3</f>
        <v>231.804</v>
      </c>
      <c r="Q22" s="76">
        <f>BAUTrees!Q$13*Q$10*$D$3</f>
        <v>30140.959000000003</v>
      </c>
      <c r="R22" s="76">
        <f>BAUTrees!R$13*R$10*$D$3</f>
        <v>1052.8</v>
      </c>
      <c r="S22" s="76"/>
      <c r="T22" s="76"/>
      <c r="U22" s="76">
        <f>BAUTrees!U$13*U$10*$D$3</f>
        <v>0</v>
      </c>
      <c r="V22" s="76">
        <f t="shared" si="1"/>
        <v>113472.18459999999</v>
      </c>
      <c r="Y22" s="180">
        <f>(Closs!B13*$D$11*(1+$D$9)*$D$3)+(Closs!C13*$O$11*(1+$O$9)*$D$3)</f>
        <v>735.98127199999999</v>
      </c>
      <c r="Z22" s="180"/>
      <c r="AA22" s="79"/>
      <c r="AB22" s="79">
        <f>(Closs!F13*$D$11*(1+$D$9)*$D$3)+(Closs!G13*$O$11*(1+$O$9)*$D$3)</f>
        <v>2007.9723990000002</v>
      </c>
      <c r="AC22" s="79"/>
      <c r="AD22" s="79">
        <f>(Closs!J13*$D$12*(1+$D$9)*$D$3*Closs!K13)+(Closs!L13*$F$12*(1+$F$9)*$D$3*Closs!M13)</f>
        <v>348.458752</v>
      </c>
      <c r="AE22" s="79"/>
      <c r="AF22" s="79">
        <f t="shared" si="2"/>
        <v>3092.4124230000002</v>
      </c>
      <c r="AH22" s="1">
        <v>2013</v>
      </c>
      <c r="AI22" s="80">
        <f t="shared" si="3"/>
        <v>110379.77217699999</v>
      </c>
      <c r="AJ22" s="5">
        <f t="shared" si="4"/>
        <v>-404.72583131566665</v>
      </c>
      <c r="AN22" s="76">
        <f t="shared" si="5"/>
        <v>0</v>
      </c>
    </row>
    <row r="23" spans="1:40" x14ac:dyDescent="0.25">
      <c r="A23" s="1">
        <v>2014</v>
      </c>
      <c r="B23" s="76">
        <f>BAUTrees!B$14*B$10*$D$3</f>
        <v>2298.1120000000001</v>
      </c>
      <c r="C23" s="76">
        <f>BAUTrees!C$14*C$10*$D$3</f>
        <v>637.69600000000003</v>
      </c>
      <c r="D23" s="76">
        <f>BAUTrees!D$14*D$10*$D$3</f>
        <v>18785.561599999997</v>
      </c>
      <c r="E23" s="76">
        <f>BAUTrees!E$14*E$10*$D$3</f>
        <v>4271.3599999999997</v>
      </c>
      <c r="F23" s="76">
        <f>BAUTrees!F$14*F$10*$D$3</f>
        <v>13257.699840000001</v>
      </c>
      <c r="G23" s="76">
        <f>BAUTrees!G$14*G$10*$D$3</f>
        <v>912.6647999999999</v>
      </c>
      <c r="H23" s="76">
        <f>BAUTrees!H$14*H$10*$D$3</f>
        <v>576.97199999999998</v>
      </c>
      <c r="I23" s="76">
        <f>BAUTrees!I$14*I$10*$D$3</f>
        <v>4662.9827999999998</v>
      </c>
      <c r="J23" s="76">
        <f>BAUTrees!J$14*J$10*$D$3</f>
        <v>3723.9228000000003</v>
      </c>
      <c r="K23" s="76">
        <f>BAUTrees!K$14*K$10*$D$3</f>
        <v>729.08279999999991</v>
      </c>
      <c r="L23" s="76">
        <f>BAUTrees!L$14*L$10*$D$3</f>
        <v>2182.8209999999999</v>
      </c>
      <c r="M23" s="76">
        <f>BAUTrees!M$14*M$10*$D$3</f>
        <v>3728.181</v>
      </c>
      <c r="N23" s="76">
        <f>BAUTrees!N$14*N$10*$D$3</f>
        <v>8773.7813999999998</v>
      </c>
      <c r="O23" s="76">
        <f>BAUTrees!O$14*O$10*$D$3</f>
        <v>17374.740039999997</v>
      </c>
      <c r="P23" s="76">
        <f>BAUTrees!P$14*P$10*$D$3</f>
        <v>231.804</v>
      </c>
      <c r="Q23" s="76">
        <f>BAUTrees!Q$14*Q$10*$D$3</f>
        <v>30224.794780000004</v>
      </c>
      <c r="R23" s="76">
        <f>BAUTrees!R$14*R$10*$D$3</f>
        <v>1190.98</v>
      </c>
      <c r="S23" s="76"/>
      <c r="T23" s="76"/>
      <c r="U23" s="76">
        <f>BAUTrees!U$14*U$10*$D$3</f>
        <v>0</v>
      </c>
      <c r="V23" s="76">
        <f t="shared" si="1"/>
        <v>113563.15686</v>
      </c>
      <c r="Y23" s="180">
        <f>(Closs!B14*$D$11*(1+$D$9)*$D$3)+(Closs!C14*$O$11*(1+$O$9)*$D$3)</f>
        <v>633.73239599999988</v>
      </c>
      <c r="Z23" s="180"/>
      <c r="AA23" s="79"/>
      <c r="AB23" s="79">
        <f>(Closs!F14*$D$11*(1+$D$9)*$D$3)+(Closs!G14*$O$11*(1+$O$9)*$D$3)</f>
        <v>1866.0603639999999</v>
      </c>
      <c r="AC23" s="79"/>
      <c r="AD23" s="79">
        <f>(Closs!J14*$D$12*(1+$D$9)*$D$3*Closs!K14)+(Closs!L14*$F$12*(1+$F$9)*$D$3*Closs!M14)</f>
        <v>765.03065600000002</v>
      </c>
      <c r="AE23" s="79"/>
      <c r="AF23" s="79">
        <f t="shared" si="2"/>
        <v>3264.8234159999997</v>
      </c>
      <c r="AH23" s="1">
        <v>2014</v>
      </c>
      <c r="AI23" s="80">
        <f t="shared" si="3"/>
        <v>110298.333444</v>
      </c>
      <c r="AJ23" s="5">
        <f t="shared" si="4"/>
        <v>-404.42722262800004</v>
      </c>
      <c r="AN23" s="76">
        <f t="shared" si="5"/>
        <v>0</v>
      </c>
    </row>
    <row r="24" spans="1:40" x14ac:dyDescent="0.25">
      <c r="A24" s="82">
        <f>A23+1</f>
        <v>2015</v>
      </c>
      <c r="B24" s="76">
        <f>BAUTrees!B$14*B$10*$D$3</f>
        <v>2298.1120000000001</v>
      </c>
      <c r="C24" s="76">
        <f>BAUTrees!C$14*C$10*$D$3</f>
        <v>637.69600000000003</v>
      </c>
      <c r="D24" s="76">
        <f>BAUTrees!D$14*D$10*$D$3</f>
        <v>18785.561599999997</v>
      </c>
      <c r="E24" s="76">
        <f>BAUTrees!E$14*E$10*$D$3</f>
        <v>4271.3599999999997</v>
      </c>
      <c r="F24" s="76">
        <f>BAUTrees!F$14*F$10*$D$3</f>
        <v>13257.699840000001</v>
      </c>
      <c r="G24" s="76">
        <f>BAUTrees!G$14*G$10*$D$3</f>
        <v>912.6647999999999</v>
      </c>
      <c r="H24" s="76">
        <f>BAUTrees!H$14*H$10*$D$3</f>
        <v>576.97199999999998</v>
      </c>
      <c r="I24" s="76">
        <f>BAUTrees!I$14*I$10*$D$3</f>
        <v>4662.9827999999998</v>
      </c>
      <c r="J24" s="76">
        <f>BAUTrees!J$14*J$10*$D$3</f>
        <v>3723.9228000000003</v>
      </c>
      <c r="K24" s="76">
        <f>BAUTrees!K$14*K$10*$D$3</f>
        <v>729.08279999999991</v>
      </c>
      <c r="L24" s="76">
        <f>BAUTrees!L$14*L$10*$D$3</f>
        <v>2182.8209999999999</v>
      </c>
      <c r="M24" s="76">
        <f>BAUTrees!M$14*M$10*$D$3</f>
        <v>3728.181</v>
      </c>
      <c r="N24" s="76">
        <f>BAUTrees!N$14*N$10*$D$3</f>
        <v>8773.7813999999998</v>
      </c>
      <c r="O24" s="76">
        <f>BAUTrees!O$14*O$10*$D$3</f>
        <v>17374.740039999997</v>
      </c>
      <c r="P24" s="76">
        <f>BAUTrees!P$14*P$10*$D$3</f>
        <v>231.804</v>
      </c>
      <c r="Q24" s="76">
        <f>BAUTrees!Q$14*Q$10*$D$3</f>
        <v>30224.794780000004</v>
      </c>
      <c r="R24" s="76">
        <f>BAUTrees!R$14*R$10*$D$3</f>
        <v>1190.98</v>
      </c>
      <c r="S24" s="76"/>
      <c r="T24" s="76"/>
      <c r="U24" s="76">
        <f>BAUTrees!U$14*U$10*$D$3</f>
        <v>0</v>
      </c>
      <c r="V24" s="76">
        <f t="shared" si="1"/>
        <v>113563.15686</v>
      </c>
      <c r="Y24" s="180">
        <f>(Closs!B15*$D$11*(1+$D$9)*$D$3)+(Closs!C15*$O$11*(1+$O$9)*$D$3)</f>
        <v>633.73239599999988</v>
      </c>
      <c r="Z24" s="180"/>
      <c r="AB24" s="79">
        <f>(Closs!F15*$D$11*(1+$D$9)*$D$3)+(Closs!G15*$O$11*(1+$O$9)*$D$3)</f>
        <v>1734.2071773343039</v>
      </c>
      <c r="AD24" s="79">
        <f>(Closs!J15*$D$12*(1+$D$9)*$D$3*Closs!K15)+(Closs!L15*$F$12*(1+$F$9)*$D$3*Closs!M15)</f>
        <v>424.77924035555566</v>
      </c>
      <c r="AF24" s="79">
        <f t="shared" si="2"/>
        <v>2792.7188136898594</v>
      </c>
      <c r="AH24" s="2">
        <v>2015</v>
      </c>
      <c r="AI24" s="80">
        <f t="shared" si="3"/>
        <v>110770.43804631014</v>
      </c>
      <c r="AJ24" s="5">
        <f t="shared" si="4"/>
        <v>-406.15827283647053</v>
      </c>
      <c r="AN24" s="76">
        <f t="shared" si="5"/>
        <v>-0.34512852000011662</v>
      </c>
    </row>
    <row r="25" spans="1:40" x14ac:dyDescent="0.25">
      <c r="A25" s="82">
        <f t="shared" ref="A25:A39" si="6">A24+1</f>
        <v>2016</v>
      </c>
      <c r="B25" s="76">
        <f>BAUTrees!B$14*B$10*$D$3</f>
        <v>2298.1120000000001</v>
      </c>
      <c r="C25" s="76">
        <f>BAUTrees!C$14*C$10*$D$3</f>
        <v>637.69600000000003</v>
      </c>
      <c r="D25" s="76">
        <f>BAUTrees!D$14*D$10*$D$3</f>
        <v>18785.561599999997</v>
      </c>
      <c r="E25" s="76">
        <f>BAUTrees!E$14*E$10*$D$3</f>
        <v>4271.3599999999997</v>
      </c>
      <c r="F25" s="76">
        <f>BAUTrees!F$14*F$10*$D$3</f>
        <v>13257.699840000001</v>
      </c>
      <c r="G25" s="76">
        <f>BAUTrees!G$14*G$10*$D$3</f>
        <v>912.6647999999999</v>
      </c>
      <c r="H25" s="76">
        <f>BAUTrees!H$14*H$10*$D$3</f>
        <v>576.97199999999998</v>
      </c>
      <c r="I25" s="76">
        <f>BAUTrees!I$14*I$10*$D$3</f>
        <v>4662.9827999999998</v>
      </c>
      <c r="J25" s="76">
        <f>BAUTrees!J$14*J$10*$D$3</f>
        <v>3723.9228000000003</v>
      </c>
      <c r="K25" s="76">
        <f>BAUTrees!K$14*K$10*$D$3</f>
        <v>729.08279999999991</v>
      </c>
      <c r="L25" s="76">
        <f>BAUTrees!L$14*L$10*$D$3</f>
        <v>2182.8209999999999</v>
      </c>
      <c r="M25" s="76">
        <f>BAUTrees!M$14*M$10*$D$3</f>
        <v>3728.181</v>
      </c>
      <c r="N25" s="76">
        <f>BAUTrees!N$14*N$10*$D$3</f>
        <v>8773.7813999999998</v>
      </c>
      <c r="O25" s="76">
        <f>BAUTrees!O$14*O$10*$D$3</f>
        <v>17374.740039999997</v>
      </c>
      <c r="P25" s="76">
        <f>BAUTrees!P$14*P$10*$D$3</f>
        <v>231.804</v>
      </c>
      <c r="Q25" s="76">
        <f>BAUTrees!Q$14*Q$10*$D$3</f>
        <v>30224.794780000004</v>
      </c>
      <c r="R25" s="76">
        <f>BAUTrees!R$14*R$10*$D$3</f>
        <v>1190.98</v>
      </c>
      <c r="S25" s="76"/>
      <c r="T25" s="76"/>
      <c r="U25" s="76">
        <f>BAUTrees!U$14*U$10*$D$3</f>
        <v>0</v>
      </c>
      <c r="V25" s="76">
        <f t="shared" si="1"/>
        <v>113563.15686</v>
      </c>
      <c r="Y25" s="180">
        <f>(Closs!B16*$D$11*(1+$D$9)*$D$3)+(Closs!C16*$O$11*(1+$O$9)*$D$3)</f>
        <v>633.73239599999988</v>
      </c>
      <c r="Z25" s="180"/>
      <c r="AB25" s="79">
        <f>(Closs!F16*$D$11*(1+$D$9)*$D$3)+(Closs!G16*$O$11*(1+$O$9)*$D$3)</f>
        <v>1611.6978159978828</v>
      </c>
      <c r="AD25" s="79">
        <f>(Closs!J16*$D$12*(1+$D$9)*$D$3*Closs!K16)+(Closs!L16*$F$12*(1+$F$9)*$D$3*Closs!M16)</f>
        <v>414.07344388148152</v>
      </c>
      <c r="AF25" s="79">
        <f t="shared" si="2"/>
        <v>2659.5036558793645</v>
      </c>
      <c r="AH25" s="2">
        <v>2016</v>
      </c>
      <c r="AI25" s="80">
        <f t="shared" si="3"/>
        <v>110903.65320412064</v>
      </c>
      <c r="AJ25" s="5">
        <f t="shared" si="4"/>
        <v>-406.64672841510901</v>
      </c>
      <c r="AN25" s="76">
        <f t="shared" si="5"/>
        <v>1.0289518866670733E-2</v>
      </c>
    </row>
    <row r="26" spans="1:40" x14ac:dyDescent="0.25">
      <c r="A26" s="82">
        <f t="shared" si="6"/>
        <v>2017</v>
      </c>
      <c r="B26" s="76">
        <f>BAUTrees!B$14*B$10*$D$3</f>
        <v>2298.1120000000001</v>
      </c>
      <c r="C26" s="76">
        <f>BAUTrees!C$14*C$10*$D$3</f>
        <v>637.69600000000003</v>
      </c>
      <c r="D26" s="76">
        <f>BAUTrees!D$14*D$10*$D$3</f>
        <v>18785.561599999997</v>
      </c>
      <c r="E26" s="76">
        <f>BAUTrees!E$14*E$10*$D$3</f>
        <v>4271.3599999999997</v>
      </c>
      <c r="F26" s="76">
        <f>BAUTrees!F$14*F$10*$D$3</f>
        <v>13257.699840000001</v>
      </c>
      <c r="G26" s="76">
        <f>BAUTrees!G$14*G$10*$D$3</f>
        <v>912.6647999999999</v>
      </c>
      <c r="H26" s="76">
        <f>BAUTrees!H$14*H$10*$D$3</f>
        <v>576.97199999999998</v>
      </c>
      <c r="I26" s="76">
        <f>BAUTrees!I$14*I$10*$D$3</f>
        <v>4662.9827999999998</v>
      </c>
      <c r="J26" s="76">
        <f>BAUTrees!J$14*J$10*$D$3</f>
        <v>3723.9228000000003</v>
      </c>
      <c r="K26" s="76">
        <f>BAUTrees!K$14*K$10*$D$3</f>
        <v>729.08279999999991</v>
      </c>
      <c r="L26" s="76">
        <f>BAUTrees!L$14*L$10*$D$3</f>
        <v>2182.8209999999999</v>
      </c>
      <c r="M26" s="76">
        <f>BAUTrees!M$14*M$10*$D$3</f>
        <v>3728.181</v>
      </c>
      <c r="N26" s="76">
        <f>BAUTrees!N$14*N$10*$D$3</f>
        <v>8773.7813999999998</v>
      </c>
      <c r="O26" s="76">
        <f>BAUTrees!O$14*O$10*$D$3</f>
        <v>17374.740039999997</v>
      </c>
      <c r="P26" s="76">
        <f>BAUTrees!P$14*P$10*$D$3</f>
        <v>231.804</v>
      </c>
      <c r="Q26" s="76">
        <f>BAUTrees!Q$14*Q$10*$D$3</f>
        <v>30224.794780000004</v>
      </c>
      <c r="R26" s="76">
        <f>BAUTrees!R$14*R$10*$D$3</f>
        <v>1190.98</v>
      </c>
      <c r="S26" s="76"/>
      <c r="T26" s="76"/>
      <c r="U26" s="76">
        <f>BAUTrees!U$14*U$10*$D$3</f>
        <v>0</v>
      </c>
      <c r="V26" s="76">
        <f t="shared" si="1"/>
        <v>113563.15686</v>
      </c>
      <c r="Y26" s="180">
        <f>(Closs!B17*$D$11*(1+$D$9)*$D$3)+(Closs!C17*$O$11*(1+$O$9)*$D$3)</f>
        <v>633.73239599999988</v>
      </c>
      <c r="Z26" s="180"/>
      <c r="AB26" s="79">
        <f>(Closs!F17*$D$11*(1+$D$9)*$D$3)+(Closs!G17*$O$11*(1+$O$9)*$D$3)</f>
        <v>1497.8682256455554</v>
      </c>
      <c r="AD26" s="79">
        <f>(Closs!J17*$D$12*(1+$D$9)*$D$3*Closs!K17)+(Closs!L17*$F$12*(1+$F$9)*$D$3*Closs!M17)</f>
        <v>389.78932085466391</v>
      </c>
      <c r="AF26" s="79">
        <f t="shared" si="2"/>
        <v>2521.3899425002191</v>
      </c>
      <c r="AH26" s="2">
        <v>2017</v>
      </c>
      <c r="AI26" s="80">
        <f t="shared" si="3"/>
        <v>111041.76691749979</v>
      </c>
      <c r="AJ26" s="5">
        <f t="shared" si="4"/>
        <v>-407.15314536416582</v>
      </c>
      <c r="AN26" s="76">
        <f t="shared" si="5"/>
        <v>0.46538981814848057</v>
      </c>
    </row>
    <row r="27" spans="1:40" x14ac:dyDescent="0.25">
      <c r="A27" s="82">
        <f t="shared" si="6"/>
        <v>2018</v>
      </c>
      <c r="B27" s="76">
        <f>BAUTrees!B$14*B$10*$D$3</f>
        <v>2298.1120000000001</v>
      </c>
      <c r="C27" s="76">
        <f>BAUTrees!C$14*C$10*$D$3</f>
        <v>637.69600000000003</v>
      </c>
      <c r="D27" s="76">
        <f>BAUTrees!D$14*D$10*$D$3</f>
        <v>18785.561599999997</v>
      </c>
      <c r="E27" s="76">
        <f>BAUTrees!E$14*E$10*$D$3</f>
        <v>4271.3599999999997</v>
      </c>
      <c r="F27" s="76">
        <f>BAUTrees!F$14*F$10*$D$3</f>
        <v>13257.699840000001</v>
      </c>
      <c r="G27" s="76">
        <f>BAUTrees!G$14*G$10*$D$3</f>
        <v>912.6647999999999</v>
      </c>
      <c r="H27" s="76">
        <f>BAUTrees!H$14*H$10*$D$3</f>
        <v>576.97199999999998</v>
      </c>
      <c r="I27" s="76">
        <f>BAUTrees!I$14*I$10*$D$3</f>
        <v>4662.9827999999998</v>
      </c>
      <c r="J27" s="76">
        <f>BAUTrees!J$14*J$10*$D$3</f>
        <v>3723.9228000000003</v>
      </c>
      <c r="K27" s="76">
        <f>BAUTrees!K$14*K$10*$D$3</f>
        <v>729.08279999999991</v>
      </c>
      <c r="L27" s="76">
        <f>BAUTrees!L$14*L$10*$D$3</f>
        <v>2182.8209999999999</v>
      </c>
      <c r="M27" s="76">
        <f>BAUTrees!M$14*M$10*$D$3</f>
        <v>3728.181</v>
      </c>
      <c r="N27" s="76">
        <f>BAUTrees!N$14*N$10*$D$3</f>
        <v>8773.7813999999998</v>
      </c>
      <c r="O27" s="76">
        <f>BAUTrees!O$14*O$10*$D$3</f>
        <v>17374.740039999997</v>
      </c>
      <c r="P27" s="76">
        <f>BAUTrees!P$14*P$10*$D$3</f>
        <v>231.804</v>
      </c>
      <c r="Q27" s="76">
        <f>BAUTrees!Q$14*Q$10*$D$3</f>
        <v>30224.794780000004</v>
      </c>
      <c r="R27" s="76">
        <f>BAUTrees!R$14*R$10*$D$3</f>
        <v>1190.98</v>
      </c>
      <c r="S27" s="76"/>
      <c r="T27" s="76"/>
      <c r="U27" s="76">
        <f>BAUTrees!U$14*U$10*$D$3</f>
        <v>0</v>
      </c>
      <c r="V27" s="76">
        <f t="shared" si="1"/>
        <v>113563.15686</v>
      </c>
      <c r="Y27" s="180">
        <f>(Closs!B18*$D$11*(1+$D$9)*$D$3)+(Closs!C18*$O$11*(1+$O$9)*$D$3)</f>
        <v>633.73239599999988</v>
      </c>
      <c r="Z27" s="180"/>
      <c r="AB27" s="79">
        <f>(Closs!F18*$D$11*(1+$D$9)*$D$3)+(Closs!G18*$O$11*(1+$O$9)*$D$3)</f>
        <v>1392.1016775782759</v>
      </c>
      <c r="AD27" s="79">
        <f>(Closs!J18*$D$12*(1+$D$9)*$D$3*Closs!K18)+(Closs!L18*$F$12*(1+$F$9)*$D$3*Closs!M18)</f>
        <v>392.42571229520462</v>
      </c>
      <c r="AF27" s="79">
        <f t="shared" si="2"/>
        <v>2418.2597858734803</v>
      </c>
      <c r="AH27" s="2">
        <v>2018</v>
      </c>
      <c r="AI27" s="80">
        <f t="shared" si="3"/>
        <v>111144.89707412652</v>
      </c>
      <c r="AJ27" s="5">
        <f t="shared" si="4"/>
        <v>-407.53128927179722</v>
      </c>
      <c r="AN27" s="76">
        <f t="shared" si="5"/>
        <v>0.95057501103474351</v>
      </c>
    </row>
    <row r="28" spans="1:40" x14ac:dyDescent="0.25">
      <c r="A28" s="82">
        <f t="shared" si="6"/>
        <v>2019</v>
      </c>
      <c r="B28" s="76">
        <f>BAUTrees!B$14*B$10*$D$3</f>
        <v>2298.1120000000001</v>
      </c>
      <c r="C28" s="76">
        <f>BAUTrees!C$14*C$10*$D$3</f>
        <v>637.69600000000003</v>
      </c>
      <c r="D28" s="76">
        <f>BAUTrees!D$14*D$10*$D$3</f>
        <v>18785.561599999997</v>
      </c>
      <c r="E28" s="76">
        <f>BAUTrees!E$14*E$10*$D$3</f>
        <v>4271.3599999999997</v>
      </c>
      <c r="F28" s="76">
        <f>BAUTrees!F$14*F$10*$D$3</f>
        <v>13257.699840000001</v>
      </c>
      <c r="G28" s="76">
        <f>BAUTrees!G$14*G$10*$D$3</f>
        <v>912.6647999999999</v>
      </c>
      <c r="H28" s="76">
        <f>BAUTrees!H$14*H$10*$D$3</f>
        <v>576.97199999999998</v>
      </c>
      <c r="I28" s="76">
        <f>BAUTrees!I$14*I$10*$D$3</f>
        <v>4662.9827999999998</v>
      </c>
      <c r="J28" s="76">
        <f>BAUTrees!J$14*J$10*$D$3</f>
        <v>3723.9228000000003</v>
      </c>
      <c r="K28" s="76">
        <f>BAUTrees!K$14*K$10*$D$3</f>
        <v>729.08279999999991</v>
      </c>
      <c r="L28" s="76">
        <f>BAUTrees!L$14*L$10*$D$3</f>
        <v>2182.8209999999999</v>
      </c>
      <c r="M28" s="76">
        <f>BAUTrees!M$14*M$10*$D$3</f>
        <v>3728.181</v>
      </c>
      <c r="N28" s="76">
        <f>BAUTrees!N$14*N$10*$D$3</f>
        <v>8773.7813999999998</v>
      </c>
      <c r="O28" s="76">
        <f>BAUTrees!O$14*O$10*$D$3</f>
        <v>17374.740039999997</v>
      </c>
      <c r="P28" s="76">
        <f>BAUTrees!P$14*P$10*$D$3</f>
        <v>231.804</v>
      </c>
      <c r="Q28" s="76">
        <f>BAUTrees!Q$14*Q$10*$D$3</f>
        <v>30224.794780000004</v>
      </c>
      <c r="R28" s="76">
        <f>BAUTrees!R$14*R$10*$D$3</f>
        <v>1190.98</v>
      </c>
      <c r="S28" s="76"/>
      <c r="T28" s="76"/>
      <c r="U28" s="76">
        <f>BAUTrees!U$14*U$10*$D$3</f>
        <v>0</v>
      </c>
      <c r="V28" s="76">
        <f t="shared" si="1"/>
        <v>113563.15686</v>
      </c>
      <c r="Y28" s="180">
        <f>(Closs!B19*$D$11*(1+$D$9)*$D$3)+(Closs!C19*$O$11*(1+$O$9)*$D$3)</f>
        <v>633.73239599999988</v>
      </c>
      <c r="Z28" s="180"/>
      <c r="AB28" s="79">
        <f>(Closs!F19*$D$11*(1+$D$9)*$D$3)+(Closs!G19*$O$11*(1+$O$9)*$D$3)</f>
        <v>1293.8253867956814</v>
      </c>
      <c r="AD28" s="79">
        <f>(Closs!J19*$D$12*(1+$D$9)*$D$3*Closs!K19)+(Closs!L19*$F$12*(1+$F$9)*$D$3*Closs!M19)</f>
        <v>406.88354243544057</v>
      </c>
      <c r="AF28" s="79">
        <f t="shared" si="2"/>
        <v>2334.4413252311219</v>
      </c>
      <c r="AH28" s="2">
        <v>2019</v>
      </c>
      <c r="AI28" s="80">
        <f t="shared" si="3"/>
        <v>111228.71553476888</v>
      </c>
      <c r="AJ28" s="5">
        <f t="shared" si="4"/>
        <v>-407.8386236274859</v>
      </c>
      <c r="AN28" s="76">
        <f t="shared" si="5"/>
        <v>1.4104644411787035</v>
      </c>
    </row>
    <row r="29" spans="1:40" x14ac:dyDescent="0.25">
      <c r="A29" s="82">
        <f t="shared" si="6"/>
        <v>2020</v>
      </c>
      <c r="B29" s="76">
        <f>BAUTrees!B$14*B$10*$D$3</f>
        <v>2298.1120000000001</v>
      </c>
      <c r="C29" s="76">
        <f>BAUTrees!C$14*C$10*$D$3</f>
        <v>637.69600000000003</v>
      </c>
      <c r="D29" s="76">
        <f>BAUTrees!D$14*D$10*$D$3</f>
        <v>18785.561599999997</v>
      </c>
      <c r="E29" s="76">
        <f>BAUTrees!E$14*E$10*$D$3</f>
        <v>4271.3599999999997</v>
      </c>
      <c r="F29" s="76">
        <f>BAUTrees!F$14*F$10*$D$3</f>
        <v>13257.699840000001</v>
      </c>
      <c r="G29" s="76">
        <f>BAUTrees!G$14*G$10*$D$3</f>
        <v>912.6647999999999</v>
      </c>
      <c r="H29" s="76">
        <f>BAUTrees!H$14*H$10*$D$3</f>
        <v>576.97199999999998</v>
      </c>
      <c r="I29" s="76">
        <f>BAUTrees!I$14*I$10*$D$3</f>
        <v>4662.9827999999998</v>
      </c>
      <c r="J29" s="76">
        <f>BAUTrees!J$14*J$10*$D$3</f>
        <v>3723.9228000000003</v>
      </c>
      <c r="K29" s="76">
        <f>BAUTrees!K$14*K$10*$D$3</f>
        <v>729.08279999999991</v>
      </c>
      <c r="L29" s="76">
        <f>BAUTrees!L$14*L$10*$D$3</f>
        <v>2182.8209999999999</v>
      </c>
      <c r="M29" s="76">
        <f>BAUTrees!M$14*M$10*$D$3</f>
        <v>3728.181</v>
      </c>
      <c r="N29" s="76">
        <f>BAUTrees!N$14*N$10*$D$3</f>
        <v>8773.7813999999998</v>
      </c>
      <c r="O29" s="76">
        <f>BAUTrees!O$14*O$10*$D$3</f>
        <v>17374.740039999997</v>
      </c>
      <c r="P29" s="76">
        <f>BAUTrees!P$14*P$10*$D$3</f>
        <v>231.804</v>
      </c>
      <c r="Q29" s="76">
        <f>BAUTrees!Q$14*Q$10*$D$3</f>
        <v>30224.794780000004</v>
      </c>
      <c r="R29" s="76">
        <f>BAUTrees!R$14*R$10*$D$3</f>
        <v>1190.98</v>
      </c>
      <c r="S29" s="76"/>
      <c r="T29" s="76"/>
      <c r="U29" s="76">
        <f>BAUTrees!U$14*U$10*$D$3</f>
        <v>0</v>
      </c>
      <c r="V29" s="76">
        <f t="shared" si="1"/>
        <v>113563.15686</v>
      </c>
      <c r="Y29" s="180">
        <f>(Closs!B20*$D$11*(1+$D$9)*$D$3)+(Closs!C20*$O$11*(1+$O$9)*$D$3)</f>
        <v>578.20462199999997</v>
      </c>
      <c r="Z29" s="180"/>
      <c r="AB29" s="79">
        <f>(Closs!F20*$D$11*(1+$D$9)*$D$3)+(Closs!G20*$O$11*(1+$O$9)*$D$3)</f>
        <v>1202.5073723594628</v>
      </c>
      <c r="AD29" s="79">
        <f>(Closs!J20*$D$12*(1+$D$9)*$D$3*Closs!K20)+(Closs!L20*$F$12*(1+$F$9)*$D$3*Closs!M20)</f>
        <v>420.2704593713172</v>
      </c>
      <c r="AF29" s="79">
        <f t="shared" si="2"/>
        <v>2200.98245373078</v>
      </c>
      <c r="AH29" s="2">
        <v>2020</v>
      </c>
      <c r="AI29" s="80">
        <f t="shared" si="3"/>
        <v>111362.17440626922</v>
      </c>
      <c r="AJ29" s="5">
        <f t="shared" si="4"/>
        <v>-408.32797282298719</v>
      </c>
      <c r="AN29" s="76">
        <f t="shared" si="5"/>
        <v>1.8985515246538398</v>
      </c>
    </row>
    <row r="30" spans="1:40" x14ac:dyDescent="0.25">
      <c r="A30" s="82">
        <f t="shared" si="6"/>
        <v>2021</v>
      </c>
      <c r="B30" s="76">
        <f>BAUTrees!B$14*B$10*$D$3</f>
        <v>2298.1120000000001</v>
      </c>
      <c r="C30" s="76">
        <f>BAUTrees!C$14*C$10*$D$3</f>
        <v>637.69600000000003</v>
      </c>
      <c r="D30" s="76">
        <f>BAUTrees!D$14*D$10*$D$3</f>
        <v>18785.561599999997</v>
      </c>
      <c r="E30" s="76">
        <f>BAUTrees!E$14*E$10*$D$3</f>
        <v>4271.3599999999997</v>
      </c>
      <c r="F30" s="76">
        <f>BAUTrees!F$14*F$10*$D$3</f>
        <v>13257.699840000001</v>
      </c>
      <c r="G30" s="76">
        <f>BAUTrees!G$14*G$10*$D$3</f>
        <v>912.6647999999999</v>
      </c>
      <c r="H30" s="76">
        <f>BAUTrees!H$14*H$10*$D$3</f>
        <v>576.97199999999998</v>
      </c>
      <c r="I30" s="76">
        <f>BAUTrees!I$14*I$10*$D$3</f>
        <v>4662.9827999999998</v>
      </c>
      <c r="J30" s="76">
        <f>BAUTrees!J$14*J$10*$D$3</f>
        <v>3723.9228000000003</v>
      </c>
      <c r="K30" s="76">
        <f>BAUTrees!K$14*K$10*$D$3</f>
        <v>729.08279999999991</v>
      </c>
      <c r="L30" s="76">
        <f>BAUTrees!L$14*L$10*$D$3</f>
        <v>2182.8209999999999</v>
      </c>
      <c r="M30" s="76">
        <f>BAUTrees!M$14*M$10*$D$3</f>
        <v>3728.181</v>
      </c>
      <c r="N30" s="76">
        <f>BAUTrees!N$14*N$10*$D$3</f>
        <v>8773.7813999999998</v>
      </c>
      <c r="O30" s="76">
        <f>BAUTrees!O$14*O$10*$D$3</f>
        <v>17374.740039999997</v>
      </c>
      <c r="P30" s="76">
        <f>BAUTrees!P$14*P$10*$D$3</f>
        <v>231.804</v>
      </c>
      <c r="Q30" s="76">
        <f>BAUTrees!Q$14*Q$10*$D$3</f>
        <v>30224.794780000004</v>
      </c>
      <c r="R30" s="76">
        <f>BAUTrees!R$14*R$10*$D$3</f>
        <v>1190.98</v>
      </c>
      <c r="S30" s="76"/>
      <c r="T30" s="76"/>
      <c r="U30" s="76">
        <f>BAUTrees!U$14*U$10*$D$3</f>
        <v>0</v>
      </c>
      <c r="V30" s="76">
        <f t="shared" si="1"/>
        <v>113563.15686</v>
      </c>
      <c r="Y30" s="180">
        <f>(Closs!B21*$D$11*(1+$D$9)*$D$3)+(Closs!C21*$O$11*(1+$O$9)*$D$3)</f>
        <v>578.20462199999997</v>
      </c>
      <c r="Z30" s="180"/>
      <c r="AB30" s="79">
        <f>(Closs!F21*$D$11*(1+$D$9)*$D$3)+(Closs!G21*$O$11*(1+$O$9)*$D$3)</f>
        <v>1117.6535426627943</v>
      </c>
      <c r="AD30" s="79">
        <f>(Closs!J21*$D$12*(1+$D$9)*$D$3*Closs!K21)+(Closs!L21*$F$12*(1+$F$9)*$D$3*Closs!M21)</f>
        <v>431.77875631429509</v>
      </c>
      <c r="AF30" s="79">
        <f t="shared" si="2"/>
        <v>2127.6369209770892</v>
      </c>
      <c r="AH30" s="2">
        <v>2021</v>
      </c>
      <c r="AI30" s="80">
        <f t="shared" si="3"/>
        <v>111435.51993902291</v>
      </c>
      <c r="AJ30" s="5">
        <f t="shared" si="4"/>
        <v>-408.59690644308392</v>
      </c>
      <c r="AN30" s="76">
        <f t="shared" si="5"/>
        <v>1.9226781913206423</v>
      </c>
    </row>
    <row r="31" spans="1:40" x14ac:dyDescent="0.25">
      <c r="A31" s="82">
        <f t="shared" si="6"/>
        <v>2022</v>
      </c>
      <c r="B31" s="76">
        <f>BAUTrees!B$14*B$10*$D$3</f>
        <v>2298.1120000000001</v>
      </c>
      <c r="C31" s="76">
        <f>BAUTrees!C$14*C$10*$D$3</f>
        <v>637.69600000000003</v>
      </c>
      <c r="D31" s="76">
        <f>BAUTrees!D$14*D$10*$D$3</f>
        <v>18785.561599999997</v>
      </c>
      <c r="E31" s="76">
        <f>BAUTrees!E$14*E$10*$D$3</f>
        <v>4271.3599999999997</v>
      </c>
      <c r="F31" s="76">
        <f>BAUTrees!F$14*F$10*$D$3</f>
        <v>13257.699840000001</v>
      </c>
      <c r="G31" s="76">
        <f>BAUTrees!G$14*G$10*$D$3</f>
        <v>912.6647999999999</v>
      </c>
      <c r="H31" s="76">
        <f>BAUTrees!H$14*H$10*$D$3</f>
        <v>576.97199999999998</v>
      </c>
      <c r="I31" s="76">
        <f>BAUTrees!I$14*I$10*$D$3</f>
        <v>4662.9827999999998</v>
      </c>
      <c r="J31" s="76">
        <f>BAUTrees!J$14*J$10*$D$3</f>
        <v>3723.9228000000003</v>
      </c>
      <c r="K31" s="76">
        <f>BAUTrees!K$14*K$10*$D$3</f>
        <v>729.08279999999991</v>
      </c>
      <c r="L31" s="76">
        <f>BAUTrees!L$14*L$10*$D$3</f>
        <v>2182.8209999999999</v>
      </c>
      <c r="M31" s="76">
        <f>BAUTrees!M$14*M$10*$D$3</f>
        <v>3728.181</v>
      </c>
      <c r="N31" s="76">
        <f>BAUTrees!N$14*N$10*$D$3</f>
        <v>8773.7813999999998</v>
      </c>
      <c r="O31" s="76">
        <f>BAUTrees!O$14*O$10*$D$3</f>
        <v>17374.740039999997</v>
      </c>
      <c r="P31" s="76">
        <f>BAUTrees!P$14*P$10*$D$3</f>
        <v>231.804</v>
      </c>
      <c r="Q31" s="76">
        <f>BAUTrees!Q$14*Q$10*$D$3</f>
        <v>30224.794780000004</v>
      </c>
      <c r="R31" s="76">
        <f>BAUTrees!R$14*R$10*$D$3</f>
        <v>1190.98</v>
      </c>
      <c r="S31" s="76"/>
      <c r="T31" s="76"/>
      <c r="U31" s="76">
        <f>BAUTrees!U$14*U$10*$D$3</f>
        <v>0</v>
      </c>
      <c r="V31" s="76">
        <f t="shared" si="1"/>
        <v>113563.15686</v>
      </c>
      <c r="Y31" s="180">
        <f>(Closs!B22*$D$11*(1+$D$9)*$D$3)+(Closs!C22*$O$11*(1+$O$9)*$D$3)</f>
        <v>578.20462199999997</v>
      </c>
      <c r="Z31" s="180"/>
      <c r="AB31" s="79">
        <f>(Closs!F22*$D$11*(1+$D$9)*$D$3)+(Closs!G22*$O$11*(1+$O$9)*$D$3)</f>
        <v>1038.8049894541894</v>
      </c>
      <c r="AD31" s="79">
        <f>(Closs!J22*$D$12*(1+$D$9)*$D$3*Closs!K22)+(Closs!L22*$F$12*(1+$F$9)*$D$3*Closs!M22)</f>
        <v>443.97461240644088</v>
      </c>
      <c r="AF31" s="79">
        <f t="shared" si="2"/>
        <v>2060.9842238606302</v>
      </c>
      <c r="AH31" s="2">
        <v>2022</v>
      </c>
      <c r="AI31" s="80">
        <f t="shared" si="3"/>
        <v>111502.17263613937</v>
      </c>
      <c r="AJ31" s="5">
        <f t="shared" si="4"/>
        <v>-408.84129966584436</v>
      </c>
      <c r="AN31" s="76">
        <f t="shared" si="5"/>
        <v>1.9468048579871606</v>
      </c>
    </row>
    <row r="32" spans="1:40" x14ac:dyDescent="0.25">
      <c r="A32" s="82">
        <f t="shared" si="6"/>
        <v>2023</v>
      </c>
      <c r="B32" s="76">
        <f>BAUTrees!B$14*B$10*$D$3</f>
        <v>2298.1120000000001</v>
      </c>
      <c r="C32" s="76">
        <f>BAUTrees!C$14*C$10*$D$3</f>
        <v>637.69600000000003</v>
      </c>
      <c r="D32" s="76">
        <f>BAUTrees!D$14*D$10*$D$3</f>
        <v>18785.561599999997</v>
      </c>
      <c r="E32" s="76">
        <f>BAUTrees!E$14*E$10*$D$3</f>
        <v>4271.3599999999997</v>
      </c>
      <c r="F32" s="76">
        <f>BAUTrees!F$14*F$10*$D$3</f>
        <v>13257.699840000001</v>
      </c>
      <c r="G32" s="76">
        <f>BAUTrees!G$14*G$10*$D$3</f>
        <v>912.6647999999999</v>
      </c>
      <c r="H32" s="76">
        <f>BAUTrees!H$14*H$10*$D$3</f>
        <v>576.97199999999998</v>
      </c>
      <c r="I32" s="76">
        <f>BAUTrees!I$14*I$10*$D$3</f>
        <v>4662.9827999999998</v>
      </c>
      <c r="J32" s="76">
        <f>BAUTrees!J$14*J$10*$D$3</f>
        <v>3723.9228000000003</v>
      </c>
      <c r="K32" s="76">
        <f>BAUTrees!K$14*K$10*$D$3</f>
        <v>729.08279999999991</v>
      </c>
      <c r="L32" s="76">
        <f>BAUTrees!L$14*L$10*$D$3</f>
        <v>2182.8209999999999</v>
      </c>
      <c r="M32" s="76">
        <f>BAUTrees!M$14*M$10*$D$3</f>
        <v>3728.181</v>
      </c>
      <c r="N32" s="76">
        <f>BAUTrees!N$14*N$10*$D$3</f>
        <v>8773.7813999999998</v>
      </c>
      <c r="O32" s="76">
        <f>BAUTrees!O$14*O$10*$D$3</f>
        <v>17374.740039999997</v>
      </c>
      <c r="P32" s="76">
        <f>BAUTrees!P$14*P$10*$D$3</f>
        <v>231.804</v>
      </c>
      <c r="Q32" s="76">
        <f>BAUTrees!Q$14*Q$10*$D$3</f>
        <v>30224.794780000004</v>
      </c>
      <c r="R32" s="76">
        <f>BAUTrees!R$14*R$10*$D$3</f>
        <v>1190.98</v>
      </c>
      <c r="S32" s="76"/>
      <c r="T32" s="76"/>
      <c r="U32" s="76">
        <f>BAUTrees!U$14*U$10*$D$3</f>
        <v>0</v>
      </c>
      <c r="V32" s="76">
        <f t="shared" si="1"/>
        <v>113563.15686</v>
      </c>
      <c r="Y32" s="180">
        <f>(Closs!B23*$D$11*(1+$D$9)*$D$3)+(Closs!C23*$O$11*(1+$O$9)*$D$3)</f>
        <v>578.20462199999997</v>
      </c>
      <c r="Z32" s="180"/>
      <c r="AB32" s="79">
        <f>(Closs!F23*$D$11*(1+$D$9)*$D$3)+(Closs!G23*$O$11*(1+$O$9)*$D$3)</f>
        <v>965.53547562687743</v>
      </c>
      <c r="AD32" s="79">
        <f>(Closs!J23*$D$12*(1+$D$9)*$D$3*Closs!K23)+(Closs!L23*$F$12*(1+$F$9)*$D$3*Closs!M23)</f>
        <v>432.06379374284359</v>
      </c>
      <c r="AF32" s="79">
        <f t="shared" si="2"/>
        <v>1975.803891369721</v>
      </c>
      <c r="AH32" s="2">
        <v>2023</v>
      </c>
      <c r="AI32" s="80">
        <f t="shared" si="3"/>
        <v>111587.35296863028</v>
      </c>
      <c r="AJ32" s="5">
        <f t="shared" si="4"/>
        <v>-409.15362755164432</v>
      </c>
      <c r="AN32" s="76">
        <f t="shared" si="5"/>
        <v>1.9709315246539632</v>
      </c>
    </row>
    <row r="33" spans="1:40" x14ac:dyDescent="0.25">
      <c r="A33" s="82">
        <f t="shared" si="6"/>
        <v>2024</v>
      </c>
      <c r="B33" s="76">
        <f>BAUTrees!B$14*B$10*$D$3</f>
        <v>2298.1120000000001</v>
      </c>
      <c r="C33" s="76">
        <f>BAUTrees!C$14*C$10*$D$3</f>
        <v>637.69600000000003</v>
      </c>
      <c r="D33" s="76">
        <f>BAUTrees!D$14*D$10*$D$3</f>
        <v>18785.561599999997</v>
      </c>
      <c r="E33" s="76">
        <f>BAUTrees!E$14*E$10*$D$3</f>
        <v>4271.3599999999997</v>
      </c>
      <c r="F33" s="76">
        <f>BAUTrees!F$14*F$10*$D$3</f>
        <v>13257.699840000001</v>
      </c>
      <c r="G33" s="76">
        <f>BAUTrees!G$14*G$10*$D$3</f>
        <v>912.6647999999999</v>
      </c>
      <c r="H33" s="76">
        <f>BAUTrees!H$14*H$10*$D$3</f>
        <v>576.97199999999998</v>
      </c>
      <c r="I33" s="76">
        <f>BAUTrees!I$14*I$10*$D$3</f>
        <v>4662.9827999999998</v>
      </c>
      <c r="J33" s="76">
        <f>BAUTrees!J$14*J$10*$D$3</f>
        <v>3723.9228000000003</v>
      </c>
      <c r="K33" s="76">
        <f>BAUTrees!K$14*K$10*$D$3</f>
        <v>729.08279999999991</v>
      </c>
      <c r="L33" s="76">
        <f>BAUTrees!L$14*L$10*$D$3</f>
        <v>2182.8209999999999</v>
      </c>
      <c r="M33" s="76">
        <f>BAUTrees!M$14*M$10*$D$3</f>
        <v>3728.181</v>
      </c>
      <c r="N33" s="76">
        <f>BAUTrees!N$14*N$10*$D$3</f>
        <v>8773.7813999999998</v>
      </c>
      <c r="O33" s="76">
        <f>BAUTrees!O$14*O$10*$D$3</f>
        <v>17374.740039999997</v>
      </c>
      <c r="P33" s="76">
        <f>BAUTrees!P$14*P$10*$D$3</f>
        <v>231.804</v>
      </c>
      <c r="Q33" s="76">
        <f>BAUTrees!Q$14*Q$10*$D$3</f>
        <v>30224.794780000004</v>
      </c>
      <c r="R33" s="76">
        <f>BAUTrees!R$14*R$10*$D$3</f>
        <v>1190.98</v>
      </c>
      <c r="S33" s="76"/>
      <c r="T33" s="76"/>
      <c r="U33" s="76">
        <f>BAUTrees!U$14*U$10*$D$3</f>
        <v>0</v>
      </c>
      <c r="V33" s="76">
        <f t="shared" si="1"/>
        <v>113563.15686</v>
      </c>
      <c r="Y33" s="180">
        <f>(Closs!B24*$D$11*(1+$D$9)*$D$3)+(Closs!C24*$O$11*(1+$O$9)*$D$3)</f>
        <v>578.20462199999997</v>
      </c>
      <c r="Z33" s="180"/>
      <c r="AB33" s="79">
        <f>(Closs!F24*$D$11*(1+$D$9)*$D$3)+(Closs!G24*$O$11*(1+$O$9)*$D$3)</f>
        <v>897.44910286362961</v>
      </c>
      <c r="AD33" s="79">
        <f>(Closs!J24*$D$12*(1+$D$9)*$D$3*Closs!K24)+(Closs!L24*$F$12*(1+$F$9)*$D$3*Closs!M24)</f>
        <v>416.45187703410386</v>
      </c>
      <c r="AF33" s="79">
        <f t="shared" si="2"/>
        <v>1892.1056018977333</v>
      </c>
      <c r="AH33" s="2">
        <v>2024</v>
      </c>
      <c r="AI33" s="80">
        <f t="shared" si="3"/>
        <v>111671.05125810226</v>
      </c>
      <c r="AJ33" s="5">
        <f t="shared" si="4"/>
        <v>-409.4605212797083</v>
      </c>
      <c r="AN33" s="76">
        <f t="shared" si="5"/>
        <v>1.9950581913205951</v>
      </c>
    </row>
    <row r="34" spans="1:40" x14ac:dyDescent="0.25">
      <c r="A34" s="82">
        <f t="shared" si="6"/>
        <v>2025</v>
      </c>
      <c r="B34" s="76">
        <f>BAUTrees!B$14*B$10*$D$3</f>
        <v>2298.1120000000001</v>
      </c>
      <c r="C34" s="76">
        <f>BAUTrees!C$14*C$10*$D$3</f>
        <v>637.69600000000003</v>
      </c>
      <c r="D34" s="76">
        <f>BAUTrees!D$14*D$10*$D$3</f>
        <v>18785.561599999997</v>
      </c>
      <c r="E34" s="76">
        <f>BAUTrees!E$14*E$10*$D$3</f>
        <v>4271.3599999999997</v>
      </c>
      <c r="F34" s="76">
        <f>BAUTrees!F$14*F$10*$D$3</f>
        <v>13257.699840000001</v>
      </c>
      <c r="G34" s="76">
        <f>BAUTrees!G$14*G$10*$D$3</f>
        <v>912.6647999999999</v>
      </c>
      <c r="H34" s="76">
        <f>BAUTrees!H$14*H$10*$D$3</f>
        <v>576.97199999999998</v>
      </c>
      <c r="I34" s="76">
        <f>BAUTrees!I$14*I$10*$D$3</f>
        <v>4662.9827999999998</v>
      </c>
      <c r="J34" s="76">
        <f>BAUTrees!J$14*J$10*$D$3</f>
        <v>3723.9228000000003</v>
      </c>
      <c r="K34" s="76">
        <f>BAUTrees!K$14*K$10*$D$3</f>
        <v>729.08279999999991</v>
      </c>
      <c r="L34" s="76">
        <f>BAUTrees!L$14*L$10*$D$3</f>
        <v>2182.8209999999999</v>
      </c>
      <c r="M34" s="76">
        <f>BAUTrees!M$14*M$10*$D$3</f>
        <v>3728.181</v>
      </c>
      <c r="N34" s="76">
        <f>BAUTrees!N$14*N$10*$D$3</f>
        <v>8773.7813999999998</v>
      </c>
      <c r="O34" s="76">
        <f>BAUTrees!O$14*O$10*$D$3</f>
        <v>17374.740039999997</v>
      </c>
      <c r="P34" s="76">
        <f>BAUTrees!P$14*P$10*$D$3</f>
        <v>231.804</v>
      </c>
      <c r="Q34" s="76">
        <f>BAUTrees!Q$14*Q$10*$D$3</f>
        <v>30224.794780000004</v>
      </c>
      <c r="R34" s="76">
        <f>BAUTrees!R$14*R$10*$D$3</f>
        <v>1190.98</v>
      </c>
      <c r="S34" s="76"/>
      <c r="T34" s="76"/>
      <c r="U34" s="76">
        <f>BAUTrees!U$14*U$10*$D$3</f>
        <v>0</v>
      </c>
      <c r="V34" s="76">
        <f t="shared" si="1"/>
        <v>113563.15686</v>
      </c>
      <c r="Y34" s="180">
        <f>(Closs!B25*$D$11*(1+$D$9)*$D$3)+(Closs!C25*$O$11*(1+$O$9)*$D$3)</f>
        <v>525.03700000000003</v>
      </c>
      <c r="Z34" s="180"/>
      <c r="AB34" s="79">
        <f>(Closs!F25*$D$11*(1+$D$9)*$D$3)+(Closs!G25*$O$11*(1+$O$9)*$D$3)</f>
        <v>834.17814622795413</v>
      </c>
      <c r="AD34" s="79">
        <f>(Closs!J25*$D$12*(1+$D$9)*$D$3*Closs!K25)+(Closs!L25*$F$12*(1+$F$9)*$D$3*Closs!M25)</f>
        <v>417.62232403171566</v>
      </c>
      <c r="AF34" s="79">
        <f t="shared" si="2"/>
        <v>1776.8374702596698</v>
      </c>
      <c r="AH34" s="2">
        <v>2025</v>
      </c>
      <c r="AI34" s="80">
        <f t="shared" si="3"/>
        <v>111786.31938974034</v>
      </c>
      <c r="AJ34" s="5">
        <f t="shared" si="4"/>
        <v>-409.8831710957146</v>
      </c>
      <c r="AN34" s="76">
        <f t="shared" si="5"/>
        <v>2.0191848579871703</v>
      </c>
    </row>
    <row r="35" spans="1:40" x14ac:dyDescent="0.25">
      <c r="A35" s="82">
        <f t="shared" si="6"/>
        <v>2026</v>
      </c>
      <c r="B35" s="76">
        <f>BAUTrees!B$14*B$10*$D$3</f>
        <v>2298.1120000000001</v>
      </c>
      <c r="C35" s="76">
        <f>BAUTrees!C$14*C$10*$D$3</f>
        <v>637.69600000000003</v>
      </c>
      <c r="D35" s="76">
        <f>BAUTrees!D$14*D$10*$D$3</f>
        <v>18785.561599999997</v>
      </c>
      <c r="E35" s="76">
        <f>BAUTrees!E$14*E$10*$D$3</f>
        <v>4271.3599999999997</v>
      </c>
      <c r="F35" s="76">
        <f>BAUTrees!F$14*F$10*$D$3</f>
        <v>13257.699840000001</v>
      </c>
      <c r="G35" s="76">
        <f>BAUTrees!G$14*G$10*$D$3</f>
        <v>912.6647999999999</v>
      </c>
      <c r="H35" s="76">
        <f>BAUTrees!H$14*H$10*$D$3</f>
        <v>576.97199999999998</v>
      </c>
      <c r="I35" s="76">
        <f>BAUTrees!I$14*I$10*$D$3</f>
        <v>4662.9827999999998</v>
      </c>
      <c r="J35" s="76">
        <f>BAUTrees!J$14*J$10*$D$3</f>
        <v>3723.9228000000003</v>
      </c>
      <c r="K35" s="76">
        <f>BAUTrees!K$14*K$10*$D$3</f>
        <v>729.08279999999991</v>
      </c>
      <c r="L35" s="76">
        <f>BAUTrees!L$14*L$10*$D$3</f>
        <v>2182.8209999999999</v>
      </c>
      <c r="M35" s="76">
        <f>BAUTrees!M$14*M$10*$D$3</f>
        <v>3728.181</v>
      </c>
      <c r="N35" s="76">
        <f>BAUTrees!N$14*N$10*$D$3</f>
        <v>8773.7813999999998</v>
      </c>
      <c r="O35" s="76">
        <f>BAUTrees!O$14*O$10*$D$3</f>
        <v>17374.740039999997</v>
      </c>
      <c r="P35" s="76">
        <f>BAUTrees!P$14*P$10*$D$3</f>
        <v>231.804</v>
      </c>
      <c r="Q35" s="76">
        <f>BAUTrees!Q$14*Q$10*$D$3</f>
        <v>30224.794780000004</v>
      </c>
      <c r="R35" s="76">
        <f>BAUTrees!R$14*R$10*$D$3</f>
        <v>1190.98</v>
      </c>
      <c r="S35" s="76"/>
      <c r="T35" s="76"/>
      <c r="U35" s="76">
        <f>BAUTrees!U$14*U$10*$D$3</f>
        <v>0</v>
      </c>
      <c r="V35" s="76">
        <f t="shared" si="1"/>
        <v>113563.15686</v>
      </c>
      <c r="Y35" s="180">
        <f>(Closs!B26*$D$11*(1+$D$9)*$D$3)+(Closs!C26*$O$11*(1+$O$9)*$D$3)</f>
        <v>525.03700000000003</v>
      </c>
      <c r="Z35" s="180"/>
      <c r="AB35" s="79">
        <f>(Closs!F26*$D$11*(1+$D$9)*$D$3)+(Closs!G26*$O$11*(1+$O$9)*$D$3)</f>
        <v>775.38104372138878</v>
      </c>
      <c r="AD35" s="79">
        <f>(Closs!J26*$D$12*(1+$D$9)*$D$3*Closs!K26)+(Closs!L26*$F$12*(1+$F$9)*$D$3*Closs!M26)</f>
        <v>419.16381209581971</v>
      </c>
      <c r="AF35" s="79">
        <f t="shared" si="2"/>
        <v>1719.5818558172086</v>
      </c>
      <c r="AH35" s="2">
        <v>2026</v>
      </c>
      <c r="AI35" s="80">
        <f t="shared" si="3"/>
        <v>111843.5750041828</v>
      </c>
      <c r="AJ35" s="5">
        <f t="shared" si="4"/>
        <v>-410.09310834867023</v>
      </c>
      <c r="AN35" s="76">
        <f t="shared" si="5"/>
        <v>2.043311524653916</v>
      </c>
    </row>
    <row r="36" spans="1:40" x14ac:dyDescent="0.25">
      <c r="A36" s="82">
        <f t="shared" si="6"/>
        <v>2027</v>
      </c>
      <c r="B36" s="76">
        <f>BAUTrees!B$14*B$10*$D$3</f>
        <v>2298.1120000000001</v>
      </c>
      <c r="C36" s="76">
        <f>BAUTrees!C$14*C$10*$D$3</f>
        <v>637.69600000000003</v>
      </c>
      <c r="D36" s="76">
        <f>BAUTrees!D$14*D$10*$D$3</f>
        <v>18785.561599999997</v>
      </c>
      <c r="E36" s="76">
        <f>BAUTrees!E$14*E$10*$D$3</f>
        <v>4271.3599999999997</v>
      </c>
      <c r="F36" s="76">
        <f>BAUTrees!F$14*F$10*$D$3</f>
        <v>13257.699840000001</v>
      </c>
      <c r="G36" s="76">
        <f>BAUTrees!G$14*G$10*$D$3</f>
        <v>912.6647999999999</v>
      </c>
      <c r="H36" s="76">
        <f>BAUTrees!H$14*H$10*$D$3</f>
        <v>576.97199999999998</v>
      </c>
      <c r="I36" s="76">
        <f>BAUTrees!I$14*I$10*$D$3</f>
        <v>4662.9827999999998</v>
      </c>
      <c r="J36" s="76">
        <f>BAUTrees!J$14*J$10*$D$3</f>
        <v>3723.9228000000003</v>
      </c>
      <c r="K36" s="76">
        <f>BAUTrees!K$14*K$10*$D$3</f>
        <v>729.08279999999991</v>
      </c>
      <c r="L36" s="76">
        <f>BAUTrees!L$14*L$10*$D$3</f>
        <v>2182.8209999999999</v>
      </c>
      <c r="M36" s="76">
        <f>BAUTrees!M$14*M$10*$D$3</f>
        <v>3728.181</v>
      </c>
      <c r="N36" s="76">
        <f>BAUTrees!N$14*N$10*$D$3</f>
        <v>8773.7813999999998</v>
      </c>
      <c r="O36" s="76">
        <f>BAUTrees!O$14*O$10*$D$3</f>
        <v>17374.740039999997</v>
      </c>
      <c r="P36" s="76">
        <f>BAUTrees!P$14*P$10*$D$3</f>
        <v>231.804</v>
      </c>
      <c r="Q36" s="76">
        <f>BAUTrees!Q$14*Q$10*$D$3</f>
        <v>30224.794780000004</v>
      </c>
      <c r="R36" s="76">
        <f>BAUTrees!R$14*R$10*$D$3</f>
        <v>1190.98</v>
      </c>
      <c r="S36" s="76"/>
      <c r="T36" s="76"/>
      <c r="U36" s="76">
        <f>BAUTrees!U$14*U$10*$D$3</f>
        <v>0</v>
      </c>
      <c r="V36" s="76">
        <f t="shared" si="1"/>
        <v>113563.15686</v>
      </c>
      <c r="Y36" s="180">
        <f>(Closs!B27*$D$11*(1+$D$9)*$D$3)+(Closs!C27*$O$11*(1+$O$9)*$D$3)</f>
        <v>525.03700000000003</v>
      </c>
      <c r="Z36" s="180"/>
      <c r="AB36" s="79">
        <f>(Closs!F27*$D$11*(1+$D$9)*$D$3)+(Closs!G27*$O$11*(1+$O$9)*$D$3)</f>
        <v>720.74052968842989</v>
      </c>
      <c r="AD36" s="79">
        <f>(Closs!J27*$D$12*(1+$D$9)*$D$3*Closs!K27)+(Closs!L27*$F$12*(1+$F$9)*$D$3*Closs!M27)</f>
        <v>421.03615224274193</v>
      </c>
      <c r="AF36" s="79">
        <f t="shared" si="2"/>
        <v>1666.8136819311719</v>
      </c>
      <c r="AH36" s="2">
        <v>2027</v>
      </c>
      <c r="AI36" s="80">
        <f t="shared" si="3"/>
        <v>111896.34317806883</v>
      </c>
      <c r="AJ36" s="5">
        <f t="shared" si="4"/>
        <v>-410.28659165291901</v>
      </c>
      <c r="AN36" s="76">
        <f t="shared" si="5"/>
        <v>2.067438191320548</v>
      </c>
    </row>
    <row r="37" spans="1:40" x14ac:dyDescent="0.25">
      <c r="A37" s="82">
        <f t="shared" si="6"/>
        <v>2028</v>
      </c>
      <c r="B37" s="76">
        <f>BAUTrees!B$14*B$10*$D$3</f>
        <v>2298.1120000000001</v>
      </c>
      <c r="C37" s="76">
        <f>BAUTrees!C$14*C$10*$D$3</f>
        <v>637.69600000000003</v>
      </c>
      <c r="D37" s="76">
        <f>BAUTrees!D$14*D$10*$D$3</f>
        <v>18785.561599999997</v>
      </c>
      <c r="E37" s="76">
        <f>BAUTrees!E$14*E$10*$D$3</f>
        <v>4271.3599999999997</v>
      </c>
      <c r="F37" s="76">
        <f>BAUTrees!F$14*F$10*$D$3</f>
        <v>13257.699840000001</v>
      </c>
      <c r="G37" s="76">
        <f>BAUTrees!G$14*G$10*$D$3</f>
        <v>912.6647999999999</v>
      </c>
      <c r="H37" s="76">
        <f>BAUTrees!H$14*H$10*$D$3</f>
        <v>576.97199999999998</v>
      </c>
      <c r="I37" s="76">
        <f>BAUTrees!I$14*I$10*$D$3</f>
        <v>4662.9827999999998</v>
      </c>
      <c r="J37" s="76">
        <f>BAUTrees!J$14*J$10*$D$3</f>
        <v>3723.9228000000003</v>
      </c>
      <c r="K37" s="76">
        <f>BAUTrees!K$14*K$10*$D$3</f>
        <v>729.08279999999991</v>
      </c>
      <c r="L37" s="76">
        <f>BAUTrees!L$14*L$10*$D$3</f>
        <v>2182.8209999999999</v>
      </c>
      <c r="M37" s="76">
        <f>BAUTrees!M$14*M$10*$D$3</f>
        <v>3728.181</v>
      </c>
      <c r="N37" s="76">
        <f>BAUTrees!N$14*N$10*$D$3</f>
        <v>8773.7813999999998</v>
      </c>
      <c r="O37" s="76">
        <f>BAUTrees!O$14*O$10*$D$3</f>
        <v>17374.740039999997</v>
      </c>
      <c r="P37" s="76">
        <f>BAUTrees!P$14*P$10*$D$3</f>
        <v>231.804</v>
      </c>
      <c r="Q37" s="76">
        <f>BAUTrees!Q$14*Q$10*$D$3</f>
        <v>30224.794780000004</v>
      </c>
      <c r="R37" s="76">
        <f>BAUTrees!R$14*R$10*$D$3</f>
        <v>1190.98</v>
      </c>
      <c r="S37" s="76"/>
      <c r="T37" s="76"/>
      <c r="U37" s="76">
        <f>BAUTrees!U$14*U$10*$D$3</f>
        <v>0</v>
      </c>
      <c r="V37" s="76">
        <f t="shared" si="1"/>
        <v>113563.15686</v>
      </c>
      <c r="Y37" s="180">
        <f>(Closs!B28*$D$11*(1+$D$9)*$D$3)+(Closs!C28*$O$11*(1+$O$9)*$D$3)</f>
        <v>525.03700000000003</v>
      </c>
      <c r="Z37" s="180"/>
      <c r="AB37" s="79">
        <f>(Closs!F28*$D$11*(1+$D$9)*$D$3)+(Closs!G28*$O$11*(1+$O$9)*$D$3)</f>
        <v>669.9619017503253</v>
      </c>
      <c r="AD37" s="79">
        <f>(Closs!J28*$D$12*(1+$D$9)*$D$3*Closs!K28)+(Closs!L28*$F$12*(1+$F$9)*$D$3*Closs!M28)</f>
        <v>423.8758167982416</v>
      </c>
      <c r="AF37" s="79">
        <f t="shared" si="2"/>
        <v>1618.874718548567</v>
      </c>
      <c r="AH37" s="2">
        <v>2028</v>
      </c>
      <c r="AI37" s="80">
        <f t="shared" si="3"/>
        <v>111944.28214145143</v>
      </c>
      <c r="AJ37" s="5">
        <f t="shared" si="4"/>
        <v>-410.46236785198857</v>
      </c>
      <c r="AN37" s="76">
        <f t="shared" si="5"/>
        <v>2.0915648579872936</v>
      </c>
    </row>
    <row r="38" spans="1:40" x14ac:dyDescent="0.25">
      <c r="A38" s="82">
        <f t="shared" si="6"/>
        <v>2029</v>
      </c>
      <c r="B38" s="76">
        <f>BAUTrees!B$14*B$10*$D$3</f>
        <v>2298.1120000000001</v>
      </c>
      <c r="C38" s="76">
        <f>BAUTrees!C$14*C$10*$D$3</f>
        <v>637.69600000000003</v>
      </c>
      <c r="D38" s="76">
        <f>BAUTrees!D$14*D$10*$D$3</f>
        <v>18785.561599999997</v>
      </c>
      <c r="E38" s="76">
        <f>BAUTrees!E$14*E$10*$D$3</f>
        <v>4271.3599999999997</v>
      </c>
      <c r="F38" s="76">
        <f>BAUTrees!F$14*F$10*$D$3</f>
        <v>13257.699840000001</v>
      </c>
      <c r="G38" s="76">
        <f>BAUTrees!G$14*G$10*$D$3</f>
        <v>912.6647999999999</v>
      </c>
      <c r="H38" s="76">
        <f>BAUTrees!H$14*H$10*$D$3</f>
        <v>576.97199999999998</v>
      </c>
      <c r="I38" s="76">
        <f>BAUTrees!I$14*I$10*$D$3</f>
        <v>4662.9827999999998</v>
      </c>
      <c r="J38" s="76">
        <f>BAUTrees!J$14*J$10*$D$3</f>
        <v>3723.9228000000003</v>
      </c>
      <c r="K38" s="76">
        <f>BAUTrees!K$14*K$10*$D$3</f>
        <v>729.08279999999991</v>
      </c>
      <c r="L38" s="76">
        <f>BAUTrees!L$14*L$10*$D$3</f>
        <v>2182.8209999999999</v>
      </c>
      <c r="M38" s="76">
        <f>BAUTrees!M$14*M$10*$D$3</f>
        <v>3728.181</v>
      </c>
      <c r="N38" s="76">
        <f>BAUTrees!N$14*N$10*$D$3</f>
        <v>8773.7813999999998</v>
      </c>
      <c r="O38" s="76">
        <f>BAUTrees!O$14*O$10*$D$3</f>
        <v>17374.740039999997</v>
      </c>
      <c r="P38" s="76">
        <f>BAUTrees!P$14*P$10*$D$3</f>
        <v>231.804</v>
      </c>
      <c r="Q38" s="76">
        <f>BAUTrees!Q$14*Q$10*$D$3</f>
        <v>30224.794780000004</v>
      </c>
      <c r="R38" s="76">
        <f>BAUTrees!R$14*R$10*$D$3</f>
        <v>1190.98</v>
      </c>
      <c r="S38" s="76"/>
      <c r="T38" s="76"/>
      <c r="U38" s="76">
        <f>BAUTrees!U$14*U$10*$D$3</f>
        <v>0</v>
      </c>
      <c r="V38" s="76">
        <f t="shared" si="1"/>
        <v>113563.15686</v>
      </c>
      <c r="Y38" s="180">
        <f>(Closs!B29*$D$11*(1+$D$9)*$D$3)+(Closs!C29*$O$11*(1+$O$9)*$D$3)</f>
        <v>525.03700000000003</v>
      </c>
      <c r="Z38" s="180"/>
      <c r="AB38" s="79">
        <f>(Closs!F29*$D$11*(1+$D$9)*$D$3)+(Closs!G29*$O$11*(1+$O$9)*$D$3)</f>
        <v>622.77141169097672</v>
      </c>
      <c r="AD38" s="79">
        <f>(Closs!J29*$D$12*(1+$D$9)*$D$3*Closs!K29)+(Closs!L29*$F$12*(1+$F$9)*$D$3*Closs!M29)</f>
        <v>425.12630302211403</v>
      </c>
      <c r="AF38" s="79">
        <f t="shared" si="2"/>
        <v>1572.9347147130907</v>
      </c>
      <c r="AH38" s="2">
        <v>2029</v>
      </c>
      <c r="AI38" s="80">
        <f t="shared" si="3"/>
        <v>111990.22214528691</v>
      </c>
      <c r="AJ38" s="5">
        <f t="shared" si="4"/>
        <v>-410.63081453271866</v>
      </c>
      <c r="AN38" s="76">
        <f t="shared" si="5"/>
        <v>2.1156915246538688</v>
      </c>
    </row>
    <row r="39" spans="1:40" x14ac:dyDescent="0.25">
      <c r="A39" s="82">
        <f t="shared" si="6"/>
        <v>2030</v>
      </c>
      <c r="B39" s="76">
        <f>BAUTrees!B$14*B$10*$D$3</f>
        <v>2298.1120000000001</v>
      </c>
      <c r="C39" s="76">
        <f>BAUTrees!C$14*C$10*$D$3</f>
        <v>637.69600000000003</v>
      </c>
      <c r="D39" s="76">
        <f>BAUTrees!D$14*D$10*$D$3</f>
        <v>18785.561599999997</v>
      </c>
      <c r="E39" s="76">
        <f>BAUTrees!E$14*E$10*$D$3</f>
        <v>4271.3599999999997</v>
      </c>
      <c r="F39" s="76">
        <f>BAUTrees!F$14*F$10*$D$3</f>
        <v>13257.699840000001</v>
      </c>
      <c r="G39" s="76">
        <f>BAUTrees!G$14*G$10*$D$3</f>
        <v>912.6647999999999</v>
      </c>
      <c r="H39" s="76">
        <f>BAUTrees!H$14*H$10*$D$3</f>
        <v>576.97199999999998</v>
      </c>
      <c r="I39" s="76">
        <f>BAUTrees!I$14*I$10*$D$3</f>
        <v>4662.9827999999998</v>
      </c>
      <c r="J39" s="76">
        <f>BAUTrees!J$14*J$10*$D$3</f>
        <v>3723.9228000000003</v>
      </c>
      <c r="K39" s="76">
        <f>BAUTrees!K$14*K$10*$D$3</f>
        <v>729.08279999999991</v>
      </c>
      <c r="L39" s="76">
        <f>BAUTrees!L$14*L$10*$D$3</f>
        <v>2182.8209999999999</v>
      </c>
      <c r="M39" s="76">
        <f>BAUTrees!M$14*M$10*$D$3</f>
        <v>3728.181</v>
      </c>
      <c r="N39" s="76">
        <f>BAUTrees!N$14*N$10*$D$3</f>
        <v>8773.7813999999998</v>
      </c>
      <c r="O39" s="76">
        <f>BAUTrees!O$14*O$10*$D$3</f>
        <v>17374.740039999997</v>
      </c>
      <c r="P39" s="76">
        <f>BAUTrees!P$14*P$10*$D$3</f>
        <v>231.804</v>
      </c>
      <c r="Q39" s="76">
        <f>BAUTrees!Q$14*Q$10*$D$3</f>
        <v>30224.794780000004</v>
      </c>
      <c r="R39" s="76">
        <f>BAUTrees!R$14*R$10*$D$3</f>
        <v>1190.98</v>
      </c>
      <c r="S39" s="76"/>
      <c r="T39" s="76"/>
      <c r="U39" s="76">
        <f>BAUTrees!U$14*U$10*$D$3</f>
        <v>0</v>
      </c>
      <c r="V39" s="76">
        <f t="shared" si="1"/>
        <v>113563.15686</v>
      </c>
      <c r="Y39" s="180">
        <f>(Closs!B30*$D$11*(1+$D$9)*$D$3)+(Closs!C30*$O$11*(1+$O$9)*$D$3)</f>
        <v>433.31885</v>
      </c>
      <c r="Z39" s="180"/>
      <c r="AB39" s="79">
        <f>(Closs!F30*$D$11*(1+$D$9)*$D$3)+(Closs!G30*$O$11*(1+$O$9)*$D$3)</f>
        <v>578.91477140674954</v>
      </c>
      <c r="AD39" s="79">
        <f>(Closs!J30*$D$12*(1+$D$9)*$D$3*Closs!K30)+(Closs!L30*$F$12*(1+$F$9)*$D$3*Closs!M30)</f>
        <v>424.9789632415181</v>
      </c>
      <c r="AF39" s="79">
        <f t="shared" si="2"/>
        <v>1437.2125846482677</v>
      </c>
      <c r="AH39" s="2">
        <v>2030</v>
      </c>
      <c r="AI39" s="80">
        <f t="shared" si="3"/>
        <v>112125.94427535174</v>
      </c>
      <c r="AJ39" s="5">
        <f t="shared" si="4"/>
        <v>-411.12846234295631</v>
      </c>
      <c r="AN39" s="76">
        <f t="shared" si="5"/>
        <v>2.1398181913206145</v>
      </c>
    </row>
    <row r="40" spans="1:40" x14ac:dyDescent="0.25">
      <c r="A40" s="82">
        <f>A39+5</f>
        <v>2035</v>
      </c>
      <c r="B40" s="76">
        <f>BAUTrees!B$14*B$10*$D$3</f>
        <v>2298.1120000000001</v>
      </c>
      <c r="C40" s="76">
        <f>BAUTrees!C$14*C$10*$D$3</f>
        <v>637.69600000000003</v>
      </c>
      <c r="D40" s="76">
        <f>BAUTrees!D$14*D$10*$D$3</f>
        <v>18785.561599999997</v>
      </c>
      <c r="E40" s="76">
        <f>BAUTrees!E$14*E$10*$D$3</f>
        <v>4271.3599999999997</v>
      </c>
      <c r="F40" s="76">
        <f>BAUTrees!F$14*F$10*$D$3</f>
        <v>13257.699840000001</v>
      </c>
      <c r="G40" s="76">
        <f>BAUTrees!G$14*G$10*$D$3</f>
        <v>912.6647999999999</v>
      </c>
      <c r="H40" s="76">
        <f>BAUTrees!H$14*H$10*$D$3</f>
        <v>576.97199999999998</v>
      </c>
      <c r="I40" s="76">
        <f>BAUTrees!I$14*I$10*$D$3</f>
        <v>4662.9827999999998</v>
      </c>
      <c r="J40" s="76">
        <f>BAUTrees!J$14*J$10*$D$3</f>
        <v>3723.9228000000003</v>
      </c>
      <c r="K40" s="76">
        <f>BAUTrees!K$14*K$10*$D$3</f>
        <v>729.08279999999991</v>
      </c>
      <c r="L40" s="76">
        <f>BAUTrees!L$14*L$10*$D$3</f>
        <v>2182.8209999999999</v>
      </c>
      <c r="M40" s="76">
        <f>BAUTrees!M$14*M$10*$D$3</f>
        <v>3728.181</v>
      </c>
      <c r="N40" s="76">
        <f>BAUTrees!N$14*N$10*$D$3</f>
        <v>8773.7813999999998</v>
      </c>
      <c r="O40" s="76">
        <f>BAUTrees!O$14*O$10*$D$3</f>
        <v>17374.740039999997</v>
      </c>
      <c r="P40" s="76">
        <f>BAUTrees!P$14*P$10*$D$3</f>
        <v>231.804</v>
      </c>
      <c r="Q40" s="76">
        <f>BAUTrees!Q$14*Q$10*$D$3</f>
        <v>30224.794780000004</v>
      </c>
      <c r="R40" s="76">
        <f>BAUTrees!R$14*R$10*$D$3</f>
        <v>1190.98</v>
      </c>
      <c r="S40" s="76"/>
      <c r="T40" s="76"/>
      <c r="U40" s="76">
        <f>BAUTrees!U$14*U$10*$D$3</f>
        <v>0</v>
      </c>
      <c r="V40" s="76">
        <f t="shared" si="1"/>
        <v>113563.15686</v>
      </c>
      <c r="Y40" s="180">
        <f>(Closs!B31*$D$11*(1+$D$9)*$D$3)+(Closs!C31*$O$11*(1+$O$9)*$D$3)</f>
        <v>305.40600000000001</v>
      </c>
      <c r="Z40" s="180"/>
      <c r="AB40" s="79">
        <f>(Closs!F31*$D$11*(1+$D$9)*$D$3)+(Closs!G31*$O$11*(1+$O$9)*$D$3)</f>
        <v>490.82335</v>
      </c>
      <c r="AD40" s="79">
        <f>(Closs!J31*$D$12*(1+$D$9)*$D$3*Closs!K31)+(Closs!L31*$F$12*(1+$F$9)*$D$3*Closs!M31)</f>
        <v>341.90131200000002</v>
      </c>
      <c r="AF40" s="79">
        <f t="shared" si="2"/>
        <v>1138.130662</v>
      </c>
      <c r="AH40" s="101">
        <f>AH39+5</f>
        <v>2035</v>
      </c>
      <c r="AI40" s="80">
        <f t="shared" si="3"/>
        <v>112425.02619800001</v>
      </c>
      <c r="AJ40" s="5">
        <f t="shared" si="4"/>
        <v>-412.22509605933334</v>
      </c>
      <c r="AN40" s="76">
        <f t="shared" si="5"/>
        <v>2.1639448579872465</v>
      </c>
    </row>
    <row r="41" spans="1:40" x14ac:dyDescent="0.25">
      <c r="A41" s="82">
        <f t="shared" ref="A41:A43" si="7">A40+5</f>
        <v>2040</v>
      </c>
      <c r="B41" s="76">
        <f>BAUTrees!B$14*B$10*$D$3</f>
        <v>2298.1120000000001</v>
      </c>
      <c r="C41" s="76">
        <f>BAUTrees!C$14*C$10*$D$3</f>
        <v>637.69600000000003</v>
      </c>
      <c r="D41" s="76">
        <f>BAUTrees!D$14*D$10*$D$3</f>
        <v>18785.561599999997</v>
      </c>
      <c r="E41" s="76">
        <f>BAUTrees!E$14*E$10*$D$3</f>
        <v>4271.3599999999997</v>
      </c>
      <c r="F41" s="76">
        <f>BAUTrees!F$14*F$10*$D$3</f>
        <v>13257.699840000001</v>
      </c>
      <c r="G41" s="76">
        <f>BAUTrees!G$14*G$10*$D$3</f>
        <v>912.6647999999999</v>
      </c>
      <c r="H41" s="76">
        <f>BAUTrees!H$14*H$10*$D$3</f>
        <v>576.97199999999998</v>
      </c>
      <c r="I41" s="76">
        <f>BAUTrees!I$14*I$10*$D$3</f>
        <v>4662.9827999999998</v>
      </c>
      <c r="J41" s="76">
        <f>BAUTrees!J$14*J$10*$D$3</f>
        <v>3723.9228000000003</v>
      </c>
      <c r="K41" s="76">
        <f>BAUTrees!K$14*K$10*$D$3</f>
        <v>729.08279999999991</v>
      </c>
      <c r="L41" s="76">
        <f>BAUTrees!L$14*L$10*$D$3</f>
        <v>2182.8209999999999</v>
      </c>
      <c r="M41" s="76">
        <f>BAUTrees!M$14*M$10*$D$3</f>
        <v>3728.181</v>
      </c>
      <c r="N41" s="76">
        <f>BAUTrees!N$14*N$10*$D$3</f>
        <v>8773.7813999999998</v>
      </c>
      <c r="O41" s="76">
        <f>BAUTrees!O$14*O$10*$D$3</f>
        <v>17374.740039999997</v>
      </c>
      <c r="P41" s="76">
        <f>BAUTrees!P$14*P$10*$D$3</f>
        <v>231.804</v>
      </c>
      <c r="Q41" s="76">
        <f>BAUTrees!Q$14*Q$10*$D$3</f>
        <v>30224.794780000004</v>
      </c>
      <c r="R41" s="76">
        <f>BAUTrees!R$14*R$10*$D$3</f>
        <v>1190.98</v>
      </c>
      <c r="S41" s="76"/>
      <c r="T41" s="76"/>
      <c r="U41" s="76">
        <f>BAUTrees!U$14*U$10*$D$3</f>
        <v>0</v>
      </c>
      <c r="V41" s="76">
        <f t="shared" si="1"/>
        <v>113563.15686</v>
      </c>
      <c r="Y41" s="180">
        <f>(Closs!B32*$D$11*(1+$D$9)*$D$3)+(Closs!C32*$O$11*(1+$O$9)*$D$3)</f>
        <v>255.82570000000001</v>
      </c>
      <c r="Z41" s="180"/>
      <c r="AB41" s="79">
        <f>(Closs!F32*$D$11*(1+$D$9)*$D$3)+(Closs!G32*$O$11*(1+$O$9)*$D$3)</f>
        <v>387.70065</v>
      </c>
      <c r="AD41" s="79">
        <f>(Closs!J32*$D$12*(1+$D$9)*$D$3*Closs!K32)+(Closs!L32*$F$12*(1+$F$9)*$D$3*Closs!M32)</f>
        <v>341.90131200000002</v>
      </c>
      <c r="AF41" s="79">
        <f t="shared" si="2"/>
        <v>985.42766200000005</v>
      </c>
      <c r="AH41" s="101">
        <f t="shared" ref="AH41:AH43" si="8">AH40+5</f>
        <v>2040</v>
      </c>
      <c r="AI41" s="80">
        <f t="shared" si="3"/>
        <v>112577.729198</v>
      </c>
      <c r="AJ41" s="5">
        <f t="shared" si="4"/>
        <v>-412.78500705933334</v>
      </c>
      <c r="AN41" s="76">
        <f t="shared" si="5"/>
        <v>2.1372745327030316</v>
      </c>
    </row>
    <row r="42" spans="1:40" x14ac:dyDescent="0.25">
      <c r="A42" s="82">
        <f t="shared" si="7"/>
        <v>2045</v>
      </c>
      <c r="B42" s="76">
        <f>BAUTrees!B$14*B$10*$D$3</f>
        <v>2298.1120000000001</v>
      </c>
      <c r="C42" s="76">
        <f>BAUTrees!C$14*C$10*$D$3</f>
        <v>637.69600000000003</v>
      </c>
      <c r="D42" s="76">
        <f>BAUTrees!D$14*D$10*$D$3</f>
        <v>18785.561599999997</v>
      </c>
      <c r="E42" s="76">
        <f>BAUTrees!E$14*E$10*$D$3</f>
        <v>4271.3599999999997</v>
      </c>
      <c r="F42" s="76">
        <f>BAUTrees!F$14*F$10*$D$3</f>
        <v>13257.699840000001</v>
      </c>
      <c r="G42" s="76">
        <f>BAUTrees!G$14*G$10*$D$3</f>
        <v>912.6647999999999</v>
      </c>
      <c r="H42" s="76">
        <f>BAUTrees!H$14*H$10*$D$3</f>
        <v>576.97199999999998</v>
      </c>
      <c r="I42" s="76">
        <f>BAUTrees!I$14*I$10*$D$3</f>
        <v>4662.9827999999998</v>
      </c>
      <c r="J42" s="76">
        <f>BAUTrees!J$14*J$10*$D$3</f>
        <v>3723.9228000000003</v>
      </c>
      <c r="K42" s="76">
        <f>BAUTrees!K$14*K$10*$D$3</f>
        <v>729.08279999999991</v>
      </c>
      <c r="L42" s="76">
        <f>BAUTrees!L$14*L$10*$D$3</f>
        <v>2182.8209999999999</v>
      </c>
      <c r="M42" s="76">
        <f>BAUTrees!M$14*M$10*$D$3</f>
        <v>3728.181</v>
      </c>
      <c r="N42" s="76">
        <f>BAUTrees!N$14*N$10*$D$3</f>
        <v>8773.7813999999998</v>
      </c>
      <c r="O42" s="76">
        <f>BAUTrees!O$14*O$10*$D$3</f>
        <v>17374.740039999997</v>
      </c>
      <c r="P42" s="76">
        <f>BAUTrees!P$14*P$10*$D$3</f>
        <v>231.804</v>
      </c>
      <c r="Q42" s="76">
        <f>BAUTrees!Q$14*Q$10*$D$3</f>
        <v>30224.794780000004</v>
      </c>
      <c r="R42" s="76">
        <f>BAUTrees!R$14*R$10*$D$3</f>
        <v>1190.98</v>
      </c>
      <c r="S42" s="76"/>
      <c r="T42" s="76"/>
      <c r="U42" s="76">
        <f>BAUTrees!U$14*U$10*$D$3</f>
        <v>0</v>
      </c>
      <c r="V42" s="76">
        <f t="shared" si="1"/>
        <v>113563.15686</v>
      </c>
      <c r="Y42" s="180">
        <f>(Closs!B33*$D$11*(1+$D$9)*$D$3)+(Closs!C33*$O$11*(1+$O$9)*$D$3)</f>
        <v>152.703</v>
      </c>
      <c r="Z42" s="180"/>
      <c r="AB42" s="79">
        <f>(Closs!F33*$D$11*(1+$D$9)*$D$3)+(Closs!G33*$O$11*(1+$O$9)*$D$3)</f>
        <v>206.24540000000002</v>
      </c>
      <c r="AD42" s="79">
        <f>(Closs!J33*$D$12*(1+$D$9)*$D$3*Closs!K33)+(Closs!L33*$F$12*(1+$F$9)*$D$3*Closs!M33)</f>
        <v>341.90131200000002</v>
      </c>
      <c r="AF42" s="79">
        <f t="shared" si="2"/>
        <v>700.84971199999995</v>
      </c>
      <c r="AH42" s="101">
        <f t="shared" si="8"/>
        <v>2045</v>
      </c>
      <c r="AI42" s="80">
        <f t="shared" si="3"/>
        <v>112862.30714800001</v>
      </c>
      <c r="AJ42" s="5">
        <f t="shared" si="4"/>
        <v>-413.82845954266674</v>
      </c>
      <c r="AN42" s="76">
        <f t="shared" si="5"/>
        <v>2.2579078660363052</v>
      </c>
    </row>
    <row r="43" spans="1:40" x14ac:dyDescent="0.25">
      <c r="A43" s="82">
        <f t="shared" si="7"/>
        <v>2050</v>
      </c>
      <c r="B43" s="76">
        <f>BAUTrees!B$14*B$10*$D$3</f>
        <v>2298.1120000000001</v>
      </c>
      <c r="C43" s="76">
        <f>BAUTrees!C$14*C$10*$D$3</f>
        <v>637.69600000000003</v>
      </c>
      <c r="D43" s="76">
        <f>BAUTrees!D$14*D$10*$D$3</f>
        <v>18785.561599999997</v>
      </c>
      <c r="E43" s="76">
        <f>BAUTrees!E$14*E$10*$D$3</f>
        <v>4271.3599999999997</v>
      </c>
      <c r="F43" s="76">
        <f>BAUTrees!F$14*F$10*$D$3</f>
        <v>13257.699840000001</v>
      </c>
      <c r="G43" s="76">
        <f>BAUTrees!G$14*G$10*$D$3</f>
        <v>912.6647999999999</v>
      </c>
      <c r="H43" s="76">
        <f>BAUTrees!H$14*H$10*$D$3</f>
        <v>576.97199999999998</v>
      </c>
      <c r="I43" s="76">
        <f>BAUTrees!I$14*I$10*$D$3</f>
        <v>4662.9827999999998</v>
      </c>
      <c r="J43" s="76">
        <f>BAUTrees!J$14*J$10*$D$3</f>
        <v>3723.9228000000003</v>
      </c>
      <c r="K43" s="76">
        <f>BAUTrees!K$14*K$10*$D$3</f>
        <v>729.08279999999991</v>
      </c>
      <c r="L43" s="76">
        <f>BAUTrees!L$14*L$10*$D$3</f>
        <v>2182.8209999999999</v>
      </c>
      <c r="M43" s="76">
        <f>BAUTrees!M$14*M$10*$D$3</f>
        <v>3728.181</v>
      </c>
      <c r="N43" s="76">
        <f>BAUTrees!N$14*N$10*$D$3</f>
        <v>8773.7813999999998</v>
      </c>
      <c r="O43" s="76">
        <f>BAUTrees!O$14*O$10*$D$3</f>
        <v>17374.740039999997</v>
      </c>
      <c r="P43" s="76">
        <f>BAUTrees!P$14*P$10*$D$3</f>
        <v>231.804</v>
      </c>
      <c r="Q43" s="76">
        <f>BAUTrees!Q$14*Q$10*$D$3</f>
        <v>30224.794780000004</v>
      </c>
      <c r="R43" s="76">
        <f>BAUTrees!R$14*R$10*$D$3</f>
        <v>1190.98</v>
      </c>
      <c r="S43" s="76"/>
      <c r="T43" s="76"/>
      <c r="U43" s="76">
        <f>BAUTrees!U$14*U$10*$D$3</f>
        <v>0</v>
      </c>
      <c r="V43" s="76">
        <f t="shared" si="1"/>
        <v>113563.15686</v>
      </c>
      <c r="Y43" s="180">
        <f>(Closs!B34*$D$11*(1+$D$9)*$D$3)+(Closs!C34*$O$11*(1+$O$9)*$D$3)</f>
        <v>103.12270000000001</v>
      </c>
      <c r="Z43" s="180"/>
      <c r="AB43" s="79">
        <f>(Closs!F34*$D$11*(1+$D$9)*$D$3)+(Closs!G34*$O$11*(1+$O$9)*$D$3)</f>
        <v>103.12270000000001</v>
      </c>
      <c r="AD43" s="79">
        <f>(Closs!J34*$D$12*(1+$D$9)*$D$3*Closs!K34)+(Closs!L34*$F$12*(1+$F$9)*$D$3*Closs!M34)</f>
        <v>341.90131200000002</v>
      </c>
      <c r="AF43" s="79">
        <f t="shared" si="2"/>
        <v>548.14671199999998</v>
      </c>
      <c r="AH43" s="101">
        <f t="shared" si="8"/>
        <v>2050</v>
      </c>
      <c r="AI43" s="80">
        <f t="shared" si="3"/>
        <v>113015.010148</v>
      </c>
      <c r="AJ43" s="5">
        <f t="shared" si="4"/>
        <v>-414.38837054266662</v>
      </c>
      <c r="AN43" s="76">
        <f t="shared" si="5"/>
        <v>2.4509211993697591</v>
      </c>
    </row>
    <row r="46" spans="1:40" x14ac:dyDescent="0.25">
      <c r="A46" s="109" t="s">
        <v>162</v>
      </c>
      <c r="AI46" s="184" t="s">
        <v>103</v>
      </c>
      <c r="AJ46" s="184"/>
    </row>
    <row r="47" spans="1:40" x14ac:dyDescent="0.25">
      <c r="Y47" s="184" t="s">
        <v>89</v>
      </c>
      <c r="Z47" s="184"/>
      <c r="AB47" t="s">
        <v>100</v>
      </c>
      <c r="AD47" t="s">
        <v>94</v>
      </c>
      <c r="AF47" t="s">
        <v>102</v>
      </c>
      <c r="AH47" s="50" t="s">
        <v>1</v>
      </c>
      <c r="AI47" s="101" t="s">
        <v>104</v>
      </c>
      <c r="AJ47" s="101" t="s">
        <v>105</v>
      </c>
    </row>
    <row r="48" spans="1:40" x14ac:dyDescent="0.25">
      <c r="A48" s="101">
        <v>2006</v>
      </c>
      <c r="B48">
        <f>Sce1Trees!B6*B$10*$D$3</f>
        <v>2454.5280000000002</v>
      </c>
      <c r="C48">
        <f>Sce1Trees!C6*C$10*$D$3</f>
        <v>697.85599999999999</v>
      </c>
      <c r="D48">
        <f>Sce1Trees!D6*D$10*$D$3</f>
        <v>18683.891199999998</v>
      </c>
      <c r="E48">
        <f>Sce1Trees!E6*E$10*$D$3</f>
        <v>4271.3599999999997</v>
      </c>
      <c r="F48">
        <f>Sce1Trees!F6*F$10*$D$3</f>
        <v>13293.434880000001</v>
      </c>
      <c r="G48">
        <f>Sce1Trees!G6*G$10*$D$3</f>
        <v>923.15520000000004</v>
      </c>
      <c r="H48">
        <f>Sce1Trees!H6*H$10*$D$3</f>
        <v>576.97199999999998</v>
      </c>
      <c r="I48">
        <f>Sce1Trees!I6*I$10*$D$3</f>
        <v>4662.9827999999998</v>
      </c>
      <c r="J48">
        <f>Sce1Trees!J6*J$10*$D$3</f>
        <v>3728.3220000000001</v>
      </c>
      <c r="K48">
        <f>Sce1Trees!K6*K$10*$D$3</f>
        <v>729.08279999999991</v>
      </c>
      <c r="L48">
        <f>Sce1Trees!L6*L$10*$D$3</f>
        <v>2109.4164000000001</v>
      </c>
      <c r="M48">
        <f>Sce1Trees!M6*M$10*$D$3</f>
        <v>3735.9078</v>
      </c>
      <c r="N48">
        <f>Sce1Trees!N6*N$10*$D$3</f>
        <v>10369.365600000001</v>
      </c>
      <c r="O48">
        <f>Sce1Trees!O6*O$10*$D$3</f>
        <v>16225.507319999999</v>
      </c>
      <c r="P48">
        <f>Sce1Trees!P6*P$10*$D$3</f>
        <v>239.5308</v>
      </c>
      <c r="Q48">
        <f>Sce1Trees!Q6*Q$10*$D$3</f>
        <v>30232.779140000006</v>
      </c>
      <c r="R48">
        <f>Sce1Trees!R6*R$10*$D$3</f>
        <v>401.38</v>
      </c>
      <c r="S48">
        <f>Sce1Trees!S6*S$10*$D$3</f>
        <v>0</v>
      </c>
      <c r="T48">
        <f>Sce1Trees!T6*T$10*$D$3</f>
        <v>0</v>
      </c>
      <c r="U48">
        <f>Sce1Trees!U6*U$10*$D$3</f>
        <v>0</v>
      </c>
      <c r="V48">
        <f>SUM(B48:U48)</f>
        <v>113335.47194000002</v>
      </c>
      <c r="Y48" s="79">
        <f>Y15</f>
        <v>4282.8557769999998</v>
      </c>
      <c r="AB48" s="79">
        <f>AB15</f>
        <v>3133.5314539999999</v>
      </c>
      <c r="AD48" s="79">
        <f>AD15</f>
        <v>1965.1263999999999</v>
      </c>
      <c r="AF48" s="79">
        <f>Y48+AB48+AD48</f>
        <v>9381.5136309999998</v>
      </c>
      <c r="AH48" s="101">
        <v>2006</v>
      </c>
      <c r="AI48" s="79">
        <f>V48-AF48</f>
        <v>103953.95830900002</v>
      </c>
      <c r="AJ48" s="110">
        <f>-AI48*44/12/1000</f>
        <v>-381.16451379966674</v>
      </c>
    </row>
    <row r="49" spans="1:36" x14ac:dyDescent="0.25">
      <c r="A49" s="101">
        <v>2007</v>
      </c>
      <c r="B49">
        <f>Sce1Trees!B7*B$10*$D$3</f>
        <v>2310.1440000000002</v>
      </c>
      <c r="C49">
        <f>Sce1Trees!C7*C$10*$D$3</f>
        <v>673.79200000000003</v>
      </c>
      <c r="D49">
        <f>Sce1Trees!D7*D$10*$D$3</f>
        <v>18848.128000000001</v>
      </c>
      <c r="E49">
        <f>Sce1Trees!E7*E$10*$D$3</f>
        <v>4271.3599999999997</v>
      </c>
      <c r="F49">
        <f>Sce1Trees!F7*F$10*$D$3</f>
        <v>13293.434880000001</v>
      </c>
      <c r="G49">
        <f>Sce1Trees!G7*G$10*$D$3</f>
        <v>923.15520000000004</v>
      </c>
      <c r="H49">
        <f>Sce1Trees!H7*H$10*$D$3</f>
        <v>576.97199999999998</v>
      </c>
      <c r="I49">
        <f>Sce1Trees!I7*I$10*$D$3</f>
        <v>4662.9827999999998</v>
      </c>
      <c r="J49">
        <f>Sce1Trees!J7*J$10*$D$3</f>
        <v>3728.3220000000001</v>
      </c>
      <c r="K49">
        <f>Sce1Trees!K7*K$10*$D$3</f>
        <v>729.08279999999991</v>
      </c>
      <c r="L49">
        <f>Sce1Trees!L7*L$10*$D$3</f>
        <v>2109.4164000000001</v>
      </c>
      <c r="M49">
        <f>Sce1Trees!M7*M$10*$D$3</f>
        <v>3735.9078</v>
      </c>
      <c r="N49">
        <f>Sce1Trees!N7*N$10*$D$3</f>
        <v>10562.535600000001</v>
      </c>
      <c r="O49">
        <f>Sce1Trees!O7*O$10*$D$3</f>
        <v>16175.154339999995</v>
      </c>
      <c r="P49">
        <f>Sce1Trees!P7*P$10*$D$3</f>
        <v>239.5308</v>
      </c>
      <c r="Q49">
        <f>Sce1Trees!Q7*Q$10*$D$3</f>
        <v>30166.908170000006</v>
      </c>
      <c r="R49">
        <f>Sce1Trees!R7*R$10*$D$3</f>
        <v>493.5</v>
      </c>
      <c r="S49">
        <f>Sce1Trees!S7*S$10*$D$3</f>
        <v>0</v>
      </c>
      <c r="T49">
        <f>Sce1Trees!T7*T$10*$D$3</f>
        <v>0</v>
      </c>
      <c r="U49">
        <f>Sce1Trees!U7*U$10*$D$3</f>
        <v>0</v>
      </c>
      <c r="V49">
        <f t="shared" ref="V49:V76" si="9">SUM(B49:U49)</f>
        <v>113500.32678999999</v>
      </c>
      <c r="Y49" s="79">
        <f t="shared" ref="Y49:Y76" si="10">Y16</f>
        <v>3483.0196470000005</v>
      </c>
      <c r="AB49" s="79">
        <f t="shared" ref="AB49:AB76" si="11">AB16</f>
        <v>3656.6579980000006</v>
      </c>
      <c r="AD49" s="79">
        <f t="shared" ref="AD49:AD76" si="12">AD16</f>
        <v>772.670976</v>
      </c>
      <c r="AF49" s="79">
        <f t="shared" ref="AF49:AF76" si="13">Y49+AB49+AD49</f>
        <v>7912.3486210000019</v>
      </c>
      <c r="AH49" s="101">
        <f>AH48+1</f>
        <v>2007</v>
      </c>
      <c r="AI49" s="79">
        <f t="shared" ref="AI49:AI76" si="14">V49-AF49</f>
        <v>105587.97816899999</v>
      </c>
      <c r="AJ49" s="110">
        <f t="shared" ref="AJ49:AJ76" si="15">-AI49*44/12/1000</f>
        <v>-387.15591995299997</v>
      </c>
    </row>
    <row r="50" spans="1:36" x14ac:dyDescent="0.25">
      <c r="A50" s="101">
        <v>2008</v>
      </c>
      <c r="B50">
        <f>Sce1Trees!B8*B$10*$D$3</f>
        <v>2310.1440000000002</v>
      </c>
      <c r="C50">
        <f>Sce1Trees!C8*C$10*$D$3</f>
        <v>673.79200000000003</v>
      </c>
      <c r="D50">
        <f>Sce1Trees!D8*D$10*$D$3</f>
        <v>18871.590399999997</v>
      </c>
      <c r="E50">
        <f>Sce1Trees!E8*E$10*$D$3</f>
        <v>4271.3599999999997</v>
      </c>
      <c r="F50">
        <f>Sce1Trees!F8*F$10*$D$3</f>
        <v>13269.61152</v>
      </c>
      <c r="G50">
        <f>Sce1Trees!G8*G$10*$D$3</f>
        <v>923.15520000000004</v>
      </c>
      <c r="H50">
        <f>Sce1Trees!H8*H$10*$D$3</f>
        <v>576.97199999999998</v>
      </c>
      <c r="I50">
        <f>Sce1Trees!I8*I$10*$D$3</f>
        <v>4662.9827999999998</v>
      </c>
      <c r="J50">
        <f>Sce1Trees!J8*J$10*$D$3</f>
        <v>3728.3220000000001</v>
      </c>
      <c r="K50">
        <f>Sce1Trees!K8*K$10*$D$3</f>
        <v>729.08279999999991</v>
      </c>
      <c r="L50">
        <f>Sce1Trees!L8*L$10*$D$3</f>
        <v>2124.87</v>
      </c>
      <c r="M50">
        <f>Sce1Trees!M8*M$10*$D$3</f>
        <v>3735.9078</v>
      </c>
      <c r="N50">
        <f>Sce1Trees!N8*N$10*$D$3</f>
        <v>9785.9922000000006</v>
      </c>
      <c r="O50">
        <f>Sce1Trees!O8*O$10*$D$3</f>
        <v>16681.646079999999</v>
      </c>
      <c r="P50">
        <f>Sce1Trees!P8*P$10*$D$3</f>
        <v>239.5308</v>
      </c>
      <c r="Q50">
        <f>Sce1Trees!Q8*Q$10*$D$3</f>
        <v>30226.790870000004</v>
      </c>
      <c r="R50">
        <f>Sce1Trees!R8*R$10*$D$3</f>
        <v>552.71999999999991</v>
      </c>
      <c r="S50">
        <f>Sce1Trees!S8*S$10*$D$3</f>
        <v>0</v>
      </c>
      <c r="T50">
        <f>Sce1Trees!T8*T$10*$D$3</f>
        <v>0</v>
      </c>
      <c r="U50">
        <f>Sce1Trees!U8*U$10*$D$3</f>
        <v>0</v>
      </c>
      <c r="V50">
        <f t="shared" si="9"/>
        <v>113364.47047</v>
      </c>
      <c r="Y50" s="79">
        <f t="shared" si="10"/>
        <v>2823.0590419999999</v>
      </c>
      <c r="AB50" s="79">
        <f t="shared" si="11"/>
        <v>2673.7308300000004</v>
      </c>
      <c r="AD50" s="79">
        <f t="shared" si="12"/>
        <v>568.63232000000005</v>
      </c>
      <c r="AF50" s="79">
        <f t="shared" si="13"/>
        <v>6065.422192</v>
      </c>
      <c r="AH50" s="101">
        <f t="shared" ref="AH50:AH72" si="16">AH49+1</f>
        <v>2008</v>
      </c>
      <c r="AI50" s="79">
        <f t="shared" si="14"/>
        <v>107299.048278</v>
      </c>
      <c r="AJ50" s="110">
        <f t="shared" si="15"/>
        <v>-393.42984368599997</v>
      </c>
    </row>
    <row r="51" spans="1:36" x14ac:dyDescent="0.25">
      <c r="A51" s="101">
        <v>2009</v>
      </c>
      <c r="B51">
        <f>Sce1Trees!B9*B$10*$D$3</f>
        <v>2310.1440000000002</v>
      </c>
      <c r="C51">
        <f>Sce1Trees!C9*C$10*$D$3</f>
        <v>673.79200000000003</v>
      </c>
      <c r="D51">
        <f>Sce1Trees!D9*D$10*$D$3</f>
        <v>18871.590399999997</v>
      </c>
      <c r="E51">
        <f>Sce1Trees!E9*E$10*$D$3</f>
        <v>4271.3599999999997</v>
      </c>
      <c r="F51">
        <f>Sce1Trees!F9*F$10*$D$3</f>
        <v>13269.61152</v>
      </c>
      <c r="G51">
        <f>Sce1Trees!G9*G$10*$D$3</f>
        <v>923.15520000000004</v>
      </c>
      <c r="H51">
        <f>Sce1Trees!H9*H$10*$D$3</f>
        <v>576.97199999999998</v>
      </c>
      <c r="I51">
        <f>Sce1Trees!I9*I$10*$D$3</f>
        <v>4662.9827999999998</v>
      </c>
      <c r="J51">
        <f>Sce1Trees!J9*J$10*$D$3</f>
        <v>3728.3220000000001</v>
      </c>
      <c r="K51">
        <f>Sce1Trees!K9*K$10*$D$3</f>
        <v>729.08279999999991</v>
      </c>
      <c r="L51">
        <f>Sce1Trees!L9*L$10*$D$3</f>
        <v>2124.87</v>
      </c>
      <c r="M51">
        <f>Sce1Trees!M9*M$10*$D$3</f>
        <v>3735.9078</v>
      </c>
      <c r="N51">
        <f>Sce1Trees!N9*N$10*$D$3</f>
        <v>9565.7783999999992</v>
      </c>
      <c r="O51">
        <f>Sce1Trees!O9*O$10*$D$3</f>
        <v>16945.258739999997</v>
      </c>
      <c r="P51">
        <f>Sce1Trees!P9*P$10*$D$3</f>
        <v>239.5308</v>
      </c>
      <c r="Q51">
        <f>Sce1Trees!Q9*Q$10*$D$3</f>
        <v>30162.915990000001</v>
      </c>
      <c r="R51">
        <f>Sce1Trees!R9*R$10*$D$3</f>
        <v>644.83999999999992</v>
      </c>
      <c r="S51">
        <f>Sce1Trees!S9*S$10*$D$3</f>
        <v>0</v>
      </c>
      <c r="T51">
        <f>Sce1Trees!T9*T$10*$D$3</f>
        <v>0</v>
      </c>
      <c r="U51">
        <f>Sce1Trees!U9*U$10*$D$3</f>
        <v>0</v>
      </c>
      <c r="V51">
        <f t="shared" si="9"/>
        <v>113436.11444999999</v>
      </c>
      <c r="Y51" s="79">
        <f t="shared" si="10"/>
        <v>2531.7572250000003</v>
      </c>
      <c r="AB51" s="79">
        <f t="shared" si="11"/>
        <v>2810.5070809999997</v>
      </c>
      <c r="AD51" s="79">
        <f t="shared" si="12"/>
        <v>204.96211199999996</v>
      </c>
      <c r="AF51" s="79">
        <f t="shared" si="13"/>
        <v>5547.2264180000002</v>
      </c>
      <c r="AH51" s="101">
        <f t="shared" si="16"/>
        <v>2009</v>
      </c>
      <c r="AI51" s="79">
        <f t="shared" si="14"/>
        <v>107888.88803199999</v>
      </c>
      <c r="AJ51" s="110">
        <f t="shared" si="15"/>
        <v>-395.59258945066665</v>
      </c>
    </row>
    <row r="52" spans="1:36" x14ac:dyDescent="0.25">
      <c r="A52" s="101">
        <v>2010</v>
      </c>
      <c r="B52">
        <f>Sce1Trees!B10*B$10*$D$3</f>
        <v>2298.1120000000001</v>
      </c>
      <c r="C52">
        <f>Sce1Trees!C10*C$10*$D$3</f>
        <v>673.79200000000003</v>
      </c>
      <c r="D52">
        <f>Sce1Trees!D10*D$10*$D$3</f>
        <v>19028.006399999998</v>
      </c>
      <c r="E52">
        <f>Sce1Trees!E10*E$10*$D$3</f>
        <v>4271.3599999999997</v>
      </c>
      <c r="F52">
        <f>Sce1Trees!F10*F$10*$D$3</f>
        <v>13256.616960000001</v>
      </c>
      <c r="G52">
        <f>Sce1Trees!G10*G$10*$D$3</f>
        <v>912.6647999999999</v>
      </c>
      <c r="H52">
        <f>Sce1Trees!H10*H$10*$D$3</f>
        <v>576.97199999999998</v>
      </c>
      <c r="I52">
        <f>Sce1Trees!I10*I$10*$D$3</f>
        <v>4662.9827999999998</v>
      </c>
      <c r="J52">
        <f>Sce1Trees!J10*J$10*$D$3</f>
        <v>3723.9228000000003</v>
      </c>
      <c r="K52">
        <f>Sce1Trees!K10*K$10*$D$3</f>
        <v>729.08279999999991</v>
      </c>
      <c r="L52">
        <f>Sce1Trees!L10*L$10*$D$3</f>
        <v>2182.8209999999999</v>
      </c>
      <c r="M52">
        <f>Sce1Trees!M10*M$10*$D$3</f>
        <v>3728.181</v>
      </c>
      <c r="N52">
        <f>Sce1Trees!N10*N$10*$D$3</f>
        <v>9202.6188000000002</v>
      </c>
      <c r="O52">
        <f>Sce1Trees!O10*O$10*$D$3</f>
        <v>17229.604979999996</v>
      </c>
      <c r="P52">
        <f>Sce1Trees!P10*P$10*$D$3</f>
        <v>231.804</v>
      </c>
      <c r="Q52">
        <f>Sce1Trees!Q10*Q$10*$D$3</f>
        <v>30140.959000000003</v>
      </c>
      <c r="R52">
        <f>Sce1Trees!R10*R$10*$D$3</f>
        <v>736.95999999999992</v>
      </c>
      <c r="S52">
        <f>Sce1Trees!S10*S$10*$D$3</f>
        <v>0</v>
      </c>
      <c r="T52">
        <f>Sce1Trees!T10*T$10*$D$3</f>
        <v>0</v>
      </c>
      <c r="U52">
        <f>Sce1Trees!U10*U$10*$D$3</f>
        <v>0</v>
      </c>
      <c r="V52">
        <f t="shared" si="9"/>
        <v>113586.46133999999</v>
      </c>
      <c r="Y52" s="79">
        <f t="shared" si="10"/>
        <v>2504.7232480000002</v>
      </c>
      <c r="AB52" s="79">
        <f t="shared" si="11"/>
        <v>4808.8560890000008</v>
      </c>
      <c r="AD52" s="79">
        <f t="shared" si="12"/>
        <v>326.98163200000005</v>
      </c>
      <c r="AF52" s="79">
        <f t="shared" si="13"/>
        <v>7640.560969000001</v>
      </c>
      <c r="AH52" s="101">
        <f t="shared" si="16"/>
        <v>2010</v>
      </c>
      <c r="AI52" s="79">
        <f t="shared" si="14"/>
        <v>105945.900371</v>
      </c>
      <c r="AJ52" s="110">
        <f t="shared" si="15"/>
        <v>-388.46830136033333</v>
      </c>
    </row>
    <row r="53" spans="1:36" x14ac:dyDescent="0.25">
      <c r="A53" s="101">
        <v>2011</v>
      </c>
      <c r="B53">
        <f>Sce1Trees!B11*B$10*$D$3</f>
        <v>2298.1120000000001</v>
      </c>
      <c r="C53">
        <f>Sce1Trees!C11*C$10*$D$3</f>
        <v>673.79200000000003</v>
      </c>
      <c r="D53">
        <f>Sce1Trees!D11*D$10*$D$3</f>
        <v>19059.2896</v>
      </c>
      <c r="E53">
        <f>Sce1Trees!E11*E$10*$D$3</f>
        <v>4271.3599999999997</v>
      </c>
      <c r="F53">
        <f>Sce1Trees!F11*F$10*$D$3</f>
        <v>13256.616960000001</v>
      </c>
      <c r="G53">
        <f>Sce1Trees!G11*G$10*$D$3</f>
        <v>912.6647999999999</v>
      </c>
      <c r="H53">
        <f>Sce1Trees!H11*H$10*$D$3</f>
        <v>576.97199999999998</v>
      </c>
      <c r="I53">
        <f>Sce1Trees!I11*I$10*$D$3</f>
        <v>4662.9827999999998</v>
      </c>
      <c r="J53">
        <f>Sce1Trees!J11*J$10*$D$3</f>
        <v>3723.9228000000003</v>
      </c>
      <c r="K53">
        <f>Sce1Trees!K11*K$10*$D$3</f>
        <v>729.08279999999991</v>
      </c>
      <c r="L53">
        <f>Sce1Trees!L11*L$10*$D$3</f>
        <v>2182.8209999999999</v>
      </c>
      <c r="M53">
        <f>Sce1Trees!M11*M$10*$D$3</f>
        <v>3728.181</v>
      </c>
      <c r="N53">
        <f>Sce1Trees!N11*N$10*$D$3</f>
        <v>8762.1912000000011</v>
      </c>
      <c r="O53">
        <f>Sce1Trees!O11*O$10*$D$3</f>
        <v>17499.141519999997</v>
      </c>
      <c r="P53">
        <f>Sce1Trees!P11*P$10*$D$3</f>
        <v>231.804</v>
      </c>
      <c r="Q53">
        <f>Sce1Trees!Q11*Q$10*$D$3</f>
        <v>30140.959000000003</v>
      </c>
      <c r="R53">
        <f>Sce1Trees!R11*R$10*$D$3</f>
        <v>835.66</v>
      </c>
      <c r="S53">
        <f>Sce1Trees!S11*S$10*$D$3</f>
        <v>0</v>
      </c>
      <c r="T53">
        <f>Sce1Trees!T11*T$10*$D$3</f>
        <v>0</v>
      </c>
      <c r="U53">
        <f>Sce1Trees!U11*U$10*$D$3</f>
        <v>0</v>
      </c>
      <c r="V53">
        <f t="shared" si="9"/>
        <v>113545.55348</v>
      </c>
      <c r="Y53" s="79">
        <f t="shared" si="10"/>
        <v>2261.2982160000001</v>
      </c>
      <c r="AB53" s="79">
        <f t="shared" si="11"/>
        <v>3312.3270680000001</v>
      </c>
      <c r="AD53" s="79">
        <f t="shared" si="12"/>
        <v>313.08226559999997</v>
      </c>
      <c r="AF53" s="79">
        <f t="shared" si="13"/>
        <v>5886.7075495999998</v>
      </c>
      <c r="AH53" s="101">
        <f t="shared" si="16"/>
        <v>2011</v>
      </c>
      <c r="AI53" s="79">
        <f t="shared" si="14"/>
        <v>107658.8459304</v>
      </c>
      <c r="AJ53" s="110">
        <f t="shared" si="15"/>
        <v>-394.74910174480004</v>
      </c>
    </row>
    <row r="54" spans="1:36" x14ac:dyDescent="0.25">
      <c r="A54" s="101">
        <v>2012</v>
      </c>
      <c r="B54">
        <f>Sce1Trees!B12*B$10*$D$3</f>
        <v>2298.1120000000001</v>
      </c>
      <c r="C54">
        <f>Sce1Trees!C12*C$10*$D$3</f>
        <v>673.79200000000003</v>
      </c>
      <c r="D54">
        <f>Sce1Trees!D12*D$10*$D$3</f>
        <v>19059.2896</v>
      </c>
      <c r="E54">
        <f>Sce1Trees!E12*E$10*$D$3</f>
        <v>4271.3599999999997</v>
      </c>
      <c r="F54">
        <f>Sce1Trees!F12*F$10*$D$3</f>
        <v>13256.616960000001</v>
      </c>
      <c r="G54">
        <f>Sce1Trees!G12*G$10*$D$3</f>
        <v>912.6647999999999</v>
      </c>
      <c r="H54">
        <f>Sce1Trees!H12*H$10*$D$3</f>
        <v>576.97199999999998</v>
      </c>
      <c r="I54">
        <f>Sce1Trees!I12*I$10*$D$3</f>
        <v>4662.9827999999998</v>
      </c>
      <c r="J54">
        <f>Sce1Trees!J12*J$10*$D$3</f>
        <v>3723.9228000000003</v>
      </c>
      <c r="K54">
        <f>Sce1Trees!K12*K$10*$D$3</f>
        <v>729.08279999999991</v>
      </c>
      <c r="L54">
        <f>Sce1Trees!L12*L$10*$D$3</f>
        <v>2182.8209999999999</v>
      </c>
      <c r="M54">
        <f>Sce1Trees!M12*M$10*$D$3</f>
        <v>3728.181</v>
      </c>
      <c r="N54">
        <f>Sce1Trees!N12*N$10*$D$3</f>
        <v>8511.0702000000001</v>
      </c>
      <c r="O54">
        <f>Sce1Trees!O12*O$10*$D$3</f>
        <v>17700.55344</v>
      </c>
      <c r="P54">
        <f>Sce1Trees!P12*P$10*$D$3</f>
        <v>231.804</v>
      </c>
      <c r="Q54">
        <f>Sce1Trees!Q12*Q$10*$D$3</f>
        <v>30140.959000000003</v>
      </c>
      <c r="R54">
        <f>Sce1Trees!R12*R$10*$D$3</f>
        <v>921.19999999999993</v>
      </c>
      <c r="S54">
        <f>Sce1Trees!S12*S$10*$D$3</f>
        <v>0</v>
      </c>
      <c r="T54">
        <f>Sce1Trees!T12*T$10*$D$3</f>
        <v>0</v>
      </c>
      <c r="U54">
        <f>Sce1Trees!U12*U$10*$D$3</f>
        <v>0</v>
      </c>
      <c r="V54">
        <f t="shared" si="9"/>
        <v>113581.3844</v>
      </c>
      <c r="Y54" s="79">
        <f t="shared" si="10"/>
        <v>1601.3437210000002</v>
      </c>
      <c r="AB54" s="79">
        <f t="shared" si="11"/>
        <v>2628.9626719999997</v>
      </c>
      <c r="AD54" s="79">
        <f t="shared" si="12"/>
        <v>335.21152000000001</v>
      </c>
      <c r="AF54" s="79">
        <f t="shared" si="13"/>
        <v>4565.5179129999997</v>
      </c>
      <c r="AH54" s="101">
        <f t="shared" si="16"/>
        <v>2012</v>
      </c>
      <c r="AI54" s="79">
        <f t="shared" si="14"/>
        <v>109015.86648699999</v>
      </c>
      <c r="AJ54" s="110">
        <f t="shared" si="15"/>
        <v>-399.72484378566662</v>
      </c>
    </row>
    <row r="55" spans="1:36" x14ac:dyDescent="0.25">
      <c r="A55" s="101">
        <v>2013</v>
      </c>
      <c r="B55">
        <f>Sce1Trees!B13*B$10*$D$3</f>
        <v>2298.1120000000001</v>
      </c>
      <c r="C55">
        <f>Sce1Trees!C13*C$10*$D$3</f>
        <v>667.77600000000007</v>
      </c>
      <c r="D55">
        <f>Sce1Trees!D13*D$10*$D$3</f>
        <v>18785.561599999997</v>
      </c>
      <c r="E55">
        <f>Sce1Trees!E13*E$10*$D$3</f>
        <v>4271.3599999999997</v>
      </c>
      <c r="F55">
        <f>Sce1Trees!F13*F$10*$D$3</f>
        <v>13257.699840000001</v>
      </c>
      <c r="G55">
        <f>Sce1Trees!G13*G$10*$D$3</f>
        <v>912.6647999999999</v>
      </c>
      <c r="H55">
        <f>Sce1Trees!H13*H$10*$D$3</f>
        <v>576.97199999999998</v>
      </c>
      <c r="I55">
        <f>Sce1Trees!I13*I$10*$D$3</f>
        <v>4662.9827999999998</v>
      </c>
      <c r="J55">
        <f>Sce1Trees!J13*J$10*$D$3</f>
        <v>3723.9228000000003</v>
      </c>
      <c r="K55">
        <f>Sce1Trees!K13*K$10*$D$3</f>
        <v>729.08279999999991</v>
      </c>
      <c r="L55">
        <f>Sce1Trees!L13*L$10*$D$3</f>
        <v>2182.8209999999999</v>
      </c>
      <c r="M55">
        <f>Sce1Trees!M13*M$10*$D$3</f>
        <v>3728.181</v>
      </c>
      <c r="N55">
        <f>Sce1Trees!N13*N$10*$D$3</f>
        <v>8673.3330000000005</v>
      </c>
      <c r="O55">
        <f>Sce1Trees!O13*O$10*$D$3</f>
        <v>17576.151959999999</v>
      </c>
      <c r="P55">
        <f>Sce1Trees!P13*P$10*$D$3</f>
        <v>231.804</v>
      </c>
      <c r="Q55">
        <f>Sce1Trees!Q13*Q$10*$D$3</f>
        <v>30140.959000000003</v>
      </c>
      <c r="R55">
        <f>Sce1Trees!R13*R$10*$D$3</f>
        <v>1052.8</v>
      </c>
      <c r="S55">
        <f>Sce1Trees!S13*S$10*$D$3</f>
        <v>0</v>
      </c>
      <c r="T55">
        <f>Sce1Trees!T13*T$10*$D$3</f>
        <v>0</v>
      </c>
      <c r="U55">
        <f>Sce1Trees!U13*U$10*$D$3</f>
        <v>0</v>
      </c>
      <c r="V55">
        <f t="shared" si="9"/>
        <v>113472.18459999999</v>
      </c>
      <c r="Y55" s="79">
        <f t="shared" si="10"/>
        <v>735.98127199999999</v>
      </c>
      <c r="AB55" s="79">
        <f t="shared" si="11"/>
        <v>2007.9723990000002</v>
      </c>
      <c r="AD55" s="79">
        <f t="shared" si="12"/>
        <v>348.458752</v>
      </c>
      <c r="AF55" s="79">
        <f t="shared" si="13"/>
        <v>3092.4124230000002</v>
      </c>
      <c r="AH55" s="101">
        <f t="shared" si="16"/>
        <v>2013</v>
      </c>
      <c r="AI55" s="79">
        <f t="shared" si="14"/>
        <v>110379.77217699999</v>
      </c>
      <c r="AJ55" s="110">
        <f t="shared" si="15"/>
        <v>-404.72583131566665</v>
      </c>
    </row>
    <row r="56" spans="1:36" x14ac:dyDescent="0.25">
      <c r="A56" s="101">
        <v>2014</v>
      </c>
      <c r="B56">
        <f>Sce1Trees!B14*B$10*$D$3</f>
        <v>2298.1120000000001</v>
      </c>
      <c r="C56">
        <f>Sce1Trees!C14*C$10*$D$3</f>
        <v>637.69600000000003</v>
      </c>
      <c r="D56">
        <f>Sce1Trees!D14*D$10*$D$3</f>
        <v>18785.561599999997</v>
      </c>
      <c r="E56">
        <f>Sce1Trees!E14*E$10*$D$3</f>
        <v>4271.3599999999997</v>
      </c>
      <c r="F56">
        <f>Sce1Trees!F14*F$10*$D$3</f>
        <v>13257.699840000001</v>
      </c>
      <c r="G56">
        <f>Sce1Trees!G14*G$10*$D$3</f>
        <v>912.6647999999999</v>
      </c>
      <c r="H56">
        <f>Sce1Trees!H14*H$10*$D$3</f>
        <v>576.97199999999998</v>
      </c>
      <c r="I56">
        <f>Sce1Trees!I14*I$10*$D$3</f>
        <v>4662.9827999999998</v>
      </c>
      <c r="J56">
        <f>Sce1Trees!J14*J$10*$D$3</f>
        <v>3723.9228000000003</v>
      </c>
      <c r="K56">
        <f>Sce1Trees!K14*K$10*$D$3</f>
        <v>729.08279999999991</v>
      </c>
      <c r="L56">
        <f>Sce1Trees!L14*L$10*$D$3</f>
        <v>2182.8209999999999</v>
      </c>
      <c r="M56">
        <f>Sce1Trees!M14*M$10*$D$3</f>
        <v>3728.181</v>
      </c>
      <c r="N56">
        <f>Sce1Trees!N14*N$10*$D$3</f>
        <v>8773.7813999999998</v>
      </c>
      <c r="O56">
        <f>Sce1Trees!O14*O$10*$D$3</f>
        <v>17374.740039999997</v>
      </c>
      <c r="P56">
        <f>Sce1Trees!P14*P$10*$D$3</f>
        <v>231.804</v>
      </c>
      <c r="Q56">
        <f>Sce1Trees!Q14*Q$10*$D$3</f>
        <v>30224.794780000004</v>
      </c>
      <c r="R56">
        <f>Sce1Trees!R14*R$10*$D$3</f>
        <v>1190.98</v>
      </c>
      <c r="S56">
        <f>Sce1Trees!S14*S$10*$D$3</f>
        <v>0</v>
      </c>
      <c r="T56">
        <f>Sce1Trees!T14*T$10*$D$3</f>
        <v>0</v>
      </c>
      <c r="U56">
        <f>Sce1Trees!U14*U$10*$D$3</f>
        <v>0</v>
      </c>
      <c r="V56">
        <f t="shared" si="9"/>
        <v>113563.15686</v>
      </c>
      <c r="Y56" s="79">
        <f t="shared" si="10"/>
        <v>633.73239599999988</v>
      </c>
      <c r="AB56" s="79">
        <f t="shared" si="11"/>
        <v>1866.0603639999999</v>
      </c>
      <c r="AD56" s="79">
        <f t="shared" si="12"/>
        <v>765.03065600000002</v>
      </c>
      <c r="AF56" s="79">
        <f t="shared" si="13"/>
        <v>3264.8234159999997</v>
      </c>
      <c r="AH56" s="101">
        <f t="shared" si="16"/>
        <v>2014</v>
      </c>
      <c r="AI56" s="79">
        <f t="shared" si="14"/>
        <v>110298.333444</v>
      </c>
      <c r="AJ56" s="110">
        <f t="shared" si="15"/>
        <v>-404.42722262800004</v>
      </c>
    </row>
    <row r="57" spans="1:36" x14ac:dyDescent="0.25">
      <c r="A57" s="82">
        <f>A56+1</f>
        <v>2015</v>
      </c>
      <c r="B57">
        <f>Sce1Trees!B15*B$10*$D$3</f>
        <v>2298.1120000000001</v>
      </c>
      <c r="C57">
        <f>Sce1Trees!C15*C$10*$D$3</f>
        <v>637.69600000000003</v>
      </c>
      <c r="D57">
        <f>Sce1Trees!D15*D$10*$D$3</f>
        <v>18785.561599999997</v>
      </c>
      <c r="E57">
        <f>Sce1Trees!E15*E$10*$D$3</f>
        <v>4271.3599999999997</v>
      </c>
      <c r="F57">
        <f>Sce1Trees!F15*F$10*$D$3</f>
        <v>13257.699840000001</v>
      </c>
      <c r="G57">
        <f>Sce1Trees!G15*G$10*$D$3</f>
        <v>912.6647999999999</v>
      </c>
      <c r="H57">
        <f>Sce1Trees!H15*H$10*$D$3</f>
        <v>576.97199999999998</v>
      </c>
      <c r="I57">
        <f>Sce1Trees!I15*I$10*$D$3</f>
        <v>4662.9827999999998</v>
      </c>
      <c r="J57">
        <f>Sce1Trees!J15*J$10*$D$3</f>
        <v>3723.9228000000003</v>
      </c>
      <c r="K57">
        <f>Sce1Trees!K15*K$10*$D$3</f>
        <v>729.08279999999991</v>
      </c>
      <c r="L57">
        <f>Sce1Trees!L15*L$10*$D$3</f>
        <v>2182.8209999999999</v>
      </c>
      <c r="M57">
        <f>Sce1Trees!M15*M$10*$D$3</f>
        <v>3728.181</v>
      </c>
      <c r="N57">
        <f>Sce1Trees!N15*N$10*$D$3</f>
        <v>8773.7813999999998</v>
      </c>
      <c r="O57">
        <f>Sce1Trees!O15*O$10*$D$3</f>
        <v>17274.034079999998</v>
      </c>
      <c r="P57">
        <f>Sce1Trees!P15*P$10*$D$3</f>
        <v>231.804</v>
      </c>
      <c r="Q57">
        <f>Sce1Trees!Q15*Q$10*$D$3</f>
        <v>30224.794780000004</v>
      </c>
      <c r="R57">
        <f>Sce1Trees!R15*R$10*$D$3</f>
        <v>1197.56</v>
      </c>
      <c r="S57">
        <f>Sce1Trees!S15*S$10*$D$3</f>
        <v>0</v>
      </c>
      <c r="T57">
        <f>Sce1Trees!T15*T$10*$D$3</f>
        <v>0</v>
      </c>
      <c r="U57">
        <f>Sce1Trees!U15*U$10*$D$3</f>
        <v>0</v>
      </c>
      <c r="V57">
        <f t="shared" si="9"/>
        <v>113469.03089999998</v>
      </c>
      <c r="Y57" s="79">
        <f t="shared" si="10"/>
        <v>633.73239599999988</v>
      </c>
      <c r="AB57" s="79">
        <f t="shared" si="11"/>
        <v>1734.2071773343039</v>
      </c>
      <c r="AD57" s="79">
        <f t="shared" si="12"/>
        <v>424.77924035555566</v>
      </c>
      <c r="AF57" s="79">
        <f t="shared" si="13"/>
        <v>2792.7188136898594</v>
      </c>
      <c r="AH57" s="101">
        <f t="shared" si="16"/>
        <v>2015</v>
      </c>
      <c r="AI57" s="79">
        <f t="shared" si="14"/>
        <v>110676.31208631012</v>
      </c>
      <c r="AJ57" s="110">
        <f t="shared" si="15"/>
        <v>-405.81314431647041</v>
      </c>
    </row>
    <row r="58" spans="1:36" x14ac:dyDescent="0.25">
      <c r="A58" s="82">
        <f t="shared" ref="A58:A72" si="17">A57+1</f>
        <v>2016</v>
      </c>
      <c r="B58">
        <f>Sce1Trees!B16*B$10*$D$3</f>
        <v>2298.1120000000001</v>
      </c>
      <c r="C58">
        <f>Sce1Trees!C16*C$10*$D$3</f>
        <v>651.41248000000007</v>
      </c>
      <c r="D58">
        <f>Sce1Trees!D16*D$10*$D$3</f>
        <v>18785.561599999997</v>
      </c>
      <c r="E58">
        <f>Sce1Trees!E16*E$10*$D$3</f>
        <v>4282.3091199999999</v>
      </c>
      <c r="F58">
        <f>Sce1Trees!F16*F$10*$D$3</f>
        <v>13264.446182399999</v>
      </c>
      <c r="G58">
        <f>Sce1Trees!G16*G$10*$D$3</f>
        <v>912.6647999999999</v>
      </c>
      <c r="H58">
        <f>Sce1Trees!H16*H$10*$D$3</f>
        <v>580.30031781818184</v>
      </c>
      <c r="I58">
        <f>Sce1Trees!I16*I$10*$D$3</f>
        <v>4669.6442039999993</v>
      </c>
      <c r="J58">
        <f>Sce1Trees!J16*J$10*$D$3</f>
        <v>3725.9904239999996</v>
      </c>
      <c r="K58">
        <f>Sce1Trees!K16*K$10*$D$3</f>
        <v>733.85593199999994</v>
      </c>
      <c r="L58">
        <f>Sce1Trees!L16*L$10*$D$3</f>
        <v>2182.8209999999999</v>
      </c>
      <c r="M58">
        <f>Sce1Trees!M16*M$10*$D$3</f>
        <v>3728.181</v>
      </c>
      <c r="N58">
        <f>Sce1Trees!N16*N$10*$D$3</f>
        <v>8787.1101299999991</v>
      </c>
      <c r="O58">
        <f>Sce1Trees!O16*O$10*$D$3</f>
        <v>17288.843779999999</v>
      </c>
      <c r="P58">
        <f>Sce1Trees!P16*P$10*$D$3</f>
        <v>236.63325</v>
      </c>
      <c r="Q58">
        <f>Sce1Trees!Q16*Q$10*$D$3</f>
        <v>30233.936872200004</v>
      </c>
      <c r="R58">
        <f>Sce1Trees!R16*R$10*$D$3</f>
        <v>1204.1399999999999</v>
      </c>
      <c r="S58">
        <f>Sce1Trees!S16*S$10*$D$3</f>
        <v>0</v>
      </c>
      <c r="T58">
        <f>Sce1Trees!T16*T$10*$D$3</f>
        <v>0</v>
      </c>
      <c r="U58">
        <f>Sce1Trees!U16*U$10*$D$3</f>
        <v>0</v>
      </c>
      <c r="V58">
        <f t="shared" si="9"/>
        <v>113565.96309241818</v>
      </c>
      <c r="Y58" s="79">
        <f t="shared" si="10"/>
        <v>633.73239599999988</v>
      </c>
      <c r="AB58" s="79">
        <f t="shared" si="11"/>
        <v>1611.6978159978828</v>
      </c>
      <c r="AD58" s="79">
        <f t="shared" si="12"/>
        <v>414.07344388148152</v>
      </c>
      <c r="AF58" s="79">
        <f t="shared" si="13"/>
        <v>2659.5036558793645</v>
      </c>
      <c r="AH58" s="101">
        <f t="shared" si="16"/>
        <v>2016</v>
      </c>
      <c r="AI58" s="79">
        <f t="shared" si="14"/>
        <v>110906.45943653882</v>
      </c>
      <c r="AJ58" s="110">
        <f t="shared" si="15"/>
        <v>-406.65701793397568</v>
      </c>
    </row>
    <row r="59" spans="1:36" x14ac:dyDescent="0.25">
      <c r="A59" s="82">
        <f t="shared" si="17"/>
        <v>2017</v>
      </c>
      <c r="B59">
        <f>Sce1Trees!B17*B$10*$D$3</f>
        <v>2298.1120000000001</v>
      </c>
      <c r="C59">
        <f>Sce1Trees!C17*C$10*$D$3</f>
        <v>669.76520480841509</v>
      </c>
      <c r="D59">
        <f>Sce1Trees!D17*D$10*$D$3</f>
        <v>18785.561599999997</v>
      </c>
      <c r="E59">
        <f>Sce1Trees!E17*E$10*$D$3</f>
        <v>4296.967845885315</v>
      </c>
      <c r="F59">
        <f>Sce1Trees!F17*F$10*$D$3</f>
        <v>13274.069937001228</v>
      </c>
      <c r="G59">
        <f>Sce1Trees!G17*G$10*$D$3</f>
        <v>912.6647999999999</v>
      </c>
      <c r="H59">
        <f>Sce1Trees!H17*H$10*$D$3</f>
        <v>584.76073906249144</v>
      </c>
      <c r="I59">
        <f>Sce1Trees!I17*I$10*$D$3</f>
        <v>4678.5394853353564</v>
      </c>
      <c r="J59">
        <f>Sce1Trees!J17*J$10*$D$3</f>
        <v>3728.9394890840222</v>
      </c>
      <c r="K59">
        <f>Sce1Trees!K17*K$10*$D$3</f>
        <v>740.24622031562978</v>
      </c>
      <c r="L59">
        <f>Sce1Trees!L17*L$10*$D$3</f>
        <v>2182.8209999999999</v>
      </c>
      <c r="M59">
        <f>Sce1Trees!M17*M$10*$D$3</f>
        <v>3728.181</v>
      </c>
      <c r="N59">
        <f>Sce1Trees!N17*N$10*$D$3</f>
        <v>8804.9919475338975</v>
      </c>
      <c r="O59">
        <f>Sce1Trees!O17*O$10*$D$3</f>
        <v>17303.653479999997</v>
      </c>
      <c r="P59">
        <f>Sce1Trees!P17*P$10*$D$3</f>
        <v>243.10513473901477</v>
      </c>
      <c r="Q59">
        <f>Sce1Trees!Q17*Q$10*$D$3</f>
        <v>30246.98147209331</v>
      </c>
      <c r="R59">
        <f>Sce1Trees!R17*R$10*$D$3</f>
        <v>1210.72</v>
      </c>
      <c r="S59">
        <f>Sce1Trees!S17*S$10*$D$3</f>
        <v>0</v>
      </c>
      <c r="T59">
        <f>Sce1Trees!T17*T$10*$D$3</f>
        <v>0</v>
      </c>
      <c r="U59">
        <f>Sce1Trees!U17*U$10*$D$3</f>
        <v>0</v>
      </c>
      <c r="V59">
        <f t="shared" si="9"/>
        <v>113690.08135585867</v>
      </c>
      <c r="Y59" s="79">
        <f t="shared" si="10"/>
        <v>633.73239599999988</v>
      </c>
      <c r="AB59" s="79">
        <f t="shared" si="11"/>
        <v>1497.8682256455554</v>
      </c>
      <c r="AD59" s="79">
        <f t="shared" si="12"/>
        <v>389.78932085466391</v>
      </c>
      <c r="AF59" s="79">
        <f t="shared" si="13"/>
        <v>2521.3899425002191</v>
      </c>
      <c r="AH59" s="101">
        <f t="shared" si="16"/>
        <v>2017</v>
      </c>
      <c r="AI59" s="79">
        <f t="shared" si="14"/>
        <v>111168.69141335845</v>
      </c>
      <c r="AJ59" s="110">
        <f t="shared" si="15"/>
        <v>-407.6185351823143</v>
      </c>
    </row>
    <row r="60" spans="1:36" x14ac:dyDescent="0.25">
      <c r="A60" s="82">
        <f t="shared" si="17"/>
        <v>2018</v>
      </c>
      <c r="B60">
        <f>Sce1Trees!B18*B$10*$D$3</f>
        <v>2298.1120000000001</v>
      </c>
      <c r="C60">
        <f>Sce1Trees!C18*C$10*$D$3</f>
        <v>688.64229318278478</v>
      </c>
      <c r="D60">
        <f>Sce1Trees!D18*D$10*$D$3</f>
        <v>18785.561599999997</v>
      </c>
      <c r="E60">
        <f>Sce1Trees!E18*E$10*$D$3</f>
        <v>4312.0453925102111</v>
      </c>
      <c r="F60">
        <f>Sce1Trees!F18*F$10*$D$3</f>
        <v>13285.948399823314</v>
      </c>
      <c r="G60">
        <f>Sce1Trees!G18*G$10*$D$3</f>
        <v>912.6647999999999</v>
      </c>
      <c r="H60">
        <f>Sce1Trees!H18*H$10*$D$3</f>
        <v>589.3486009137813</v>
      </c>
      <c r="I60">
        <f>Sce1Trees!I18*I$10*$D$3</f>
        <v>4687.6889175660099</v>
      </c>
      <c r="J60">
        <f>Sce1Trees!J18*J$10*$D$3</f>
        <v>3732.5794779877301</v>
      </c>
      <c r="K60">
        <f>Sce1Trees!K18*K$10*$D$3</f>
        <v>746.81908829742031</v>
      </c>
      <c r="L60">
        <f>Sce1Trees!L18*L$10*$D$3</f>
        <v>2182.8209999999999</v>
      </c>
      <c r="M60">
        <f>Sce1Trees!M18*M$10*$D$3</f>
        <v>3728.181</v>
      </c>
      <c r="N60">
        <f>Sce1Trees!N18*N$10*$D$3</f>
        <v>8823.3846741401921</v>
      </c>
      <c r="O60">
        <f>Sce1Trees!O18*O$10*$D$3</f>
        <v>17318.463179999995</v>
      </c>
      <c r="P60">
        <f>Sce1Trees!P18*P$10*$D$3</f>
        <v>249.76193047057288</v>
      </c>
      <c r="Q60">
        <f>Sce1Trees!Q18*Q$10*$D$3</f>
        <v>30263.082235390189</v>
      </c>
      <c r="R60">
        <f>Sce1Trees!R18*R$10*$D$3</f>
        <v>1217.3</v>
      </c>
      <c r="S60">
        <f>Sce1Trees!S18*S$10*$D$3</f>
        <v>0</v>
      </c>
      <c r="T60">
        <f>Sce1Trees!T18*T$10*$D$3</f>
        <v>0</v>
      </c>
      <c r="U60">
        <f>Sce1Trees!U18*U$10*$D$3</f>
        <v>0</v>
      </c>
      <c r="V60">
        <f t="shared" si="9"/>
        <v>113822.4045902822</v>
      </c>
      <c r="Y60" s="79">
        <f t="shared" si="10"/>
        <v>633.73239599999988</v>
      </c>
      <c r="AB60" s="79">
        <f t="shared" si="11"/>
        <v>1392.1016775782759</v>
      </c>
      <c r="AD60" s="79">
        <f t="shared" si="12"/>
        <v>392.42571229520462</v>
      </c>
      <c r="AF60" s="79">
        <f t="shared" si="13"/>
        <v>2418.2597858734803</v>
      </c>
      <c r="AH60" s="101">
        <f t="shared" si="16"/>
        <v>2018</v>
      </c>
      <c r="AI60" s="79">
        <f t="shared" si="14"/>
        <v>111404.14480440872</v>
      </c>
      <c r="AJ60" s="110">
        <f t="shared" si="15"/>
        <v>-408.48186428283196</v>
      </c>
    </row>
    <row r="61" spans="1:36" x14ac:dyDescent="0.25">
      <c r="A61" s="82">
        <f t="shared" si="17"/>
        <v>2019</v>
      </c>
      <c r="B61">
        <f>Sce1Trees!B19*B$10*$D$3</f>
        <v>2298.1120000000001</v>
      </c>
      <c r="C61">
        <f>Sce1Trees!C19*C$10*$D$3</f>
        <v>707.94840629293572</v>
      </c>
      <c r="D61">
        <f>Sce1Trees!D19*D$10*$D$3</f>
        <v>18785.561599999997</v>
      </c>
      <c r="E61">
        <f>Sce1Trees!E19*E$10*$D$3</f>
        <v>4327.4656106493094</v>
      </c>
      <c r="F61">
        <f>Sce1Trees!F19*F$10*$D$3</f>
        <v>13300.121565690573</v>
      </c>
      <c r="G61">
        <f>Sce1Trees!G19*G$10*$D$3</f>
        <v>912.6647999999999</v>
      </c>
      <c r="H61">
        <f>Sce1Trees!H19*H$10*$D$3</f>
        <v>594.04073235260046</v>
      </c>
      <c r="I61">
        <f>Sce1Trees!I19*I$10*$D$3</f>
        <v>4697.0462914382679</v>
      </c>
      <c r="J61">
        <f>Sce1Trees!J19*J$10*$D$3</f>
        <v>3736.9226465660176</v>
      </c>
      <c r="K61">
        <f>Sce1Trees!K19*K$10*$D$3</f>
        <v>753.5413396424334</v>
      </c>
      <c r="L61">
        <f>Sce1Trees!L19*L$10*$D$3</f>
        <v>2182.8209999999999</v>
      </c>
      <c r="M61">
        <f>Sce1Trees!M19*M$10*$D$3</f>
        <v>3728.181</v>
      </c>
      <c r="N61">
        <f>Sce1Trees!N19*N$10*$D$3</f>
        <v>8842.1954172602673</v>
      </c>
      <c r="O61">
        <f>Sce1Trees!O19*O$10*$D$3</f>
        <v>17318.463179999995</v>
      </c>
      <c r="P61">
        <f>Sce1Trees!P19*P$10*$D$3</f>
        <v>256.57001701421188</v>
      </c>
      <c r="Q61">
        <f>Sce1Trees!Q19*Q$10*$D$3</f>
        <v>30282.293373414872</v>
      </c>
      <c r="R61">
        <f>Sce1Trees!R19*R$10*$D$3</f>
        <v>1223.8799999999999</v>
      </c>
      <c r="S61">
        <f>Sce1Trees!S19*S$10*$D$3</f>
        <v>0</v>
      </c>
      <c r="T61">
        <f>Sce1Trees!T19*T$10*$D$3</f>
        <v>0</v>
      </c>
      <c r="U61">
        <f>Sce1Trees!U19*U$10*$D$3</f>
        <v>0</v>
      </c>
      <c r="V61">
        <f t="shared" si="9"/>
        <v>113947.82898032147</v>
      </c>
      <c r="Y61" s="79">
        <f t="shared" si="10"/>
        <v>633.73239599999988</v>
      </c>
      <c r="AB61" s="79">
        <f t="shared" si="11"/>
        <v>1293.8253867956814</v>
      </c>
      <c r="AD61" s="79">
        <f t="shared" si="12"/>
        <v>406.88354243544057</v>
      </c>
      <c r="AF61" s="79">
        <f t="shared" si="13"/>
        <v>2334.4413252311219</v>
      </c>
      <c r="AH61" s="101">
        <f t="shared" si="16"/>
        <v>2019</v>
      </c>
      <c r="AI61" s="79">
        <f t="shared" si="14"/>
        <v>111613.38765509035</v>
      </c>
      <c r="AJ61" s="110">
        <f t="shared" si="15"/>
        <v>-409.24908806866461</v>
      </c>
    </row>
    <row r="62" spans="1:36" x14ac:dyDescent="0.25">
      <c r="A62" s="82">
        <f t="shared" si="17"/>
        <v>2020</v>
      </c>
      <c r="B62">
        <f>Sce1Trees!B20*B$10*$D$3</f>
        <v>2298.1120000000001</v>
      </c>
      <c r="C62">
        <f>Sce1Trees!C20*C$10*$D$3</f>
        <v>727.61204001623753</v>
      </c>
      <c r="D62">
        <f>Sce1Trees!D20*D$10*$D$3</f>
        <v>18785.561599999997</v>
      </c>
      <c r="E62">
        <f>Sce1Trees!E20*E$10*$D$3</f>
        <v>4343.1713883835764</v>
      </c>
      <c r="F62">
        <f>Sce1Trees!F20*F$10*$D$3</f>
        <v>13316.61943072125</v>
      </c>
      <c r="G62">
        <f>Sce1Trees!G20*G$10*$D$3</f>
        <v>912.6647999999999</v>
      </c>
      <c r="H62">
        <f>Sce1Trees!H20*H$10*$D$3</f>
        <v>598.81975511436076</v>
      </c>
      <c r="I62">
        <f>Sce1Trees!I20*I$10*$D$3</f>
        <v>4706.576950011864</v>
      </c>
      <c r="J62">
        <f>Sce1Trees!J20*J$10*$D$3</f>
        <v>3741.978186710056</v>
      </c>
      <c r="K62">
        <f>Sce1Trees!K20*K$10*$D$3</f>
        <v>760.38807712346522</v>
      </c>
      <c r="L62">
        <f>Sce1Trees!L20*L$10*$D$3</f>
        <v>2182.8209999999999</v>
      </c>
      <c r="M62">
        <f>Sce1Trees!M20*M$10*$D$3</f>
        <v>3728.181</v>
      </c>
      <c r="N62">
        <f>Sce1Trees!N20*N$10*$D$3</f>
        <v>8861.3545074751564</v>
      </c>
      <c r="O62">
        <f>Sce1Trees!O20*O$10*$D$3</f>
        <v>17318.463179999995</v>
      </c>
      <c r="P62">
        <f>Sce1Trees!P20*P$10*$D$3</f>
        <v>263.5041792345848</v>
      </c>
      <c r="Q62">
        <f>Sce1Trees!Q20*Q$10*$D$3</f>
        <v>30304.655544660542</v>
      </c>
      <c r="R62">
        <f>Sce1Trees!R20*R$10*$D$3</f>
        <v>1230.46</v>
      </c>
      <c r="S62">
        <f>Sce1Trees!S20*S$10*$D$3</f>
        <v>0</v>
      </c>
      <c r="T62">
        <f>Sce1Trees!T20*T$10*$D$3</f>
        <v>0</v>
      </c>
      <c r="U62">
        <f>Sce1Trees!U20*U$10*$D$3</f>
        <v>0</v>
      </c>
      <c r="V62">
        <f t="shared" si="9"/>
        <v>114080.94363945107</v>
      </c>
      <c r="Y62" s="79">
        <f t="shared" si="10"/>
        <v>578.20462199999997</v>
      </c>
      <c r="AB62" s="79">
        <f t="shared" si="11"/>
        <v>1202.5073723594628</v>
      </c>
      <c r="AD62" s="79">
        <f t="shared" si="12"/>
        <v>420.2704593713172</v>
      </c>
      <c r="AF62" s="79">
        <f t="shared" si="13"/>
        <v>2200.98245373078</v>
      </c>
      <c r="AH62" s="101">
        <f t="shared" si="16"/>
        <v>2020</v>
      </c>
      <c r="AI62" s="79">
        <f t="shared" si="14"/>
        <v>111879.96118572028</v>
      </c>
      <c r="AJ62" s="110">
        <f t="shared" si="15"/>
        <v>-410.22652434764103</v>
      </c>
    </row>
    <row r="63" spans="1:36" x14ac:dyDescent="0.25">
      <c r="A63" s="82">
        <f t="shared" si="17"/>
        <v>2021</v>
      </c>
      <c r="B63">
        <f>Sce1Trees!B21*B$10*$D$3</f>
        <v>2298.1120000000001</v>
      </c>
      <c r="C63">
        <f>Sce1Trees!C21*C$10*$D$3</f>
        <v>727.61204001623753</v>
      </c>
      <c r="D63">
        <f>Sce1Trees!D21*D$10*$D$3</f>
        <v>18785.561599999997</v>
      </c>
      <c r="E63">
        <f>Sce1Trees!E21*E$10*$D$3</f>
        <v>4343.1713883835764</v>
      </c>
      <c r="F63">
        <f>Sce1Trees!F21*F$10*$D$3</f>
        <v>13316.61943072125</v>
      </c>
      <c r="G63">
        <f>Sce1Trees!G21*G$10*$D$3</f>
        <v>912.6647999999999</v>
      </c>
      <c r="H63">
        <f>Sce1Trees!H21*H$10*$D$3</f>
        <v>598.81975511436076</v>
      </c>
      <c r="I63">
        <f>Sce1Trees!I21*I$10*$D$3</f>
        <v>4706.576950011864</v>
      </c>
      <c r="J63">
        <f>Sce1Trees!J21*J$10*$D$3</f>
        <v>3741.978186710056</v>
      </c>
      <c r="K63">
        <f>Sce1Trees!K21*K$10*$D$3</f>
        <v>760.38807712346522</v>
      </c>
      <c r="L63">
        <f>Sce1Trees!L21*L$10*$D$3</f>
        <v>2182.8209999999999</v>
      </c>
      <c r="M63">
        <f>Sce1Trees!M21*M$10*$D$3</f>
        <v>3728.181</v>
      </c>
      <c r="N63">
        <f>Sce1Trees!N21*N$10*$D$3</f>
        <v>8861.3545074751564</v>
      </c>
      <c r="O63">
        <f>Sce1Trees!O21*O$10*$D$3</f>
        <v>17318.463179999995</v>
      </c>
      <c r="P63">
        <f>Sce1Trees!P21*P$10*$D$3</f>
        <v>263.5041792345848</v>
      </c>
      <c r="Q63">
        <f>Sce1Trees!Q21*Q$10*$D$3</f>
        <v>30304.655544660542</v>
      </c>
      <c r="R63">
        <f>Sce1Trees!R21*R$10*$D$3</f>
        <v>1237.04</v>
      </c>
      <c r="S63">
        <f>Sce1Trees!S21*S$10*$D$3</f>
        <v>0</v>
      </c>
      <c r="T63">
        <f>Sce1Trees!T21*T$10*$D$3</f>
        <v>0</v>
      </c>
      <c r="U63">
        <f>Sce1Trees!U21*U$10*$D$3</f>
        <v>0</v>
      </c>
      <c r="V63">
        <f t="shared" si="9"/>
        <v>114087.52363945106</v>
      </c>
      <c r="Y63" s="79">
        <f t="shared" si="10"/>
        <v>578.20462199999997</v>
      </c>
      <c r="AB63" s="79">
        <f t="shared" si="11"/>
        <v>1117.6535426627943</v>
      </c>
      <c r="AD63" s="79">
        <f t="shared" si="12"/>
        <v>431.77875631429509</v>
      </c>
      <c r="AF63" s="79">
        <f t="shared" si="13"/>
        <v>2127.6369209770892</v>
      </c>
      <c r="AH63" s="101">
        <f t="shared" si="16"/>
        <v>2021</v>
      </c>
      <c r="AI63" s="79">
        <f t="shared" si="14"/>
        <v>111959.88671847396</v>
      </c>
      <c r="AJ63" s="110">
        <f t="shared" si="15"/>
        <v>-410.51958463440457</v>
      </c>
    </row>
    <row r="64" spans="1:36" x14ac:dyDescent="0.25">
      <c r="A64" s="82">
        <f t="shared" si="17"/>
        <v>2022</v>
      </c>
      <c r="B64">
        <f>Sce1Trees!B22*B$10*$D$3</f>
        <v>2298.1120000000001</v>
      </c>
      <c r="C64">
        <f>Sce1Trees!C22*C$10*$D$3</f>
        <v>727.61204001623753</v>
      </c>
      <c r="D64">
        <f>Sce1Trees!D22*D$10*$D$3</f>
        <v>18785.561599999997</v>
      </c>
      <c r="E64">
        <f>Sce1Trees!E22*E$10*$D$3</f>
        <v>4343.1713883835764</v>
      </c>
      <c r="F64">
        <f>Sce1Trees!F22*F$10*$D$3</f>
        <v>13316.61943072125</v>
      </c>
      <c r="G64">
        <f>Sce1Trees!G22*G$10*$D$3</f>
        <v>912.6647999999999</v>
      </c>
      <c r="H64">
        <f>Sce1Trees!H22*H$10*$D$3</f>
        <v>598.81975511436076</v>
      </c>
      <c r="I64">
        <f>Sce1Trees!I22*I$10*$D$3</f>
        <v>4706.576950011864</v>
      </c>
      <c r="J64">
        <f>Sce1Trees!J22*J$10*$D$3</f>
        <v>3741.978186710056</v>
      </c>
      <c r="K64">
        <f>Sce1Trees!K22*K$10*$D$3</f>
        <v>760.38807712346522</v>
      </c>
      <c r="L64">
        <f>Sce1Trees!L22*L$10*$D$3</f>
        <v>2182.8209999999999</v>
      </c>
      <c r="M64">
        <f>Sce1Trees!M22*M$10*$D$3</f>
        <v>3728.181</v>
      </c>
      <c r="N64">
        <f>Sce1Trees!N22*N$10*$D$3</f>
        <v>8861.3545074751564</v>
      </c>
      <c r="O64">
        <f>Sce1Trees!O22*O$10*$D$3</f>
        <v>17318.463179999995</v>
      </c>
      <c r="P64">
        <f>Sce1Trees!P22*P$10*$D$3</f>
        <v>263.5041792345848</v>
      </c>
      <c r="Q64">
        <f>Sce1Trees!Q22*Q$10*$D$3</f>
        <v>30304.655544660542</v>
      </c>
      <c r="R64">
        <f>Sce1Trees!R22*R$10*$D$3</f>
        <v>1243.6199999999999</v>
      </c>
      <c r="S64">
        <f>Sce1Trees!S22*S$10*$D$3</f>
        <v>0</v>
      </c>
      <c r="T64">
        <f>Sce1Trees!T22*T$10*$D$3</f>
        <v>0</v>
      </c>
      <c r="U64">
        <f>Sce1Trees!U22*U$10*$D$3</f>
        <v>0</v>
      </c>
      <c r="V64">
        <f t="shared" si="9"/>
        <v>114094.10363945106</v>
      </c>
      <c r="Y64" s="79">
        <f t="shared" si="10"/>
        <v>578.20462199999997</v>
      </c>
      <c r="AB64" s="79">
        <f t="shared" si="11"/>
        <v>1038.8049894541894</v>
      </c>
      <c r="AD64" s="79">
        <f t="shared" si="12"/>
        <v>443.97461240644088</v>
      </c>
      <c r="AF64" s="79">
        <f t="shared" si="13"/>
        <v>2060.9842238606302</v>
      </c>
      <c r="AH64" s="101">
        <f t="shared" si="16"/>
        <v>2022</v>
      </c>
      <c r="AI64" s="79">
        <f t="shared" si="14"/>
        <v>112033.11941559042</v>
      </c>
      <c r="AJ64" s="110">
        <f t="shared" si="15"/>
        <v>-410.78810452383152</v>
      </c>
    </row>
    <row r="65" spans="1:39" x14ac:dyDescent="0.25">
      <c r="A65" s="82">
        <f t="shared" si="17"/>
        <v>2023</v>
      </c>
      <c r="B65">
        <f>Sce1Trees!B23*B$10*$D$3</f>
        <v>2298.1120000000001</v>
      </c>
      <c r="C65">
        <f>Sce1Trees!C23*C$10*$D$3</f>
        <v>727.61204001623753</v>
      </c>
      <c r="D65">
        <f>Sce1Trees!D23*D$10*$D$3</f>
        <v>18785.561599999997</v>
      </c>
      <c r="E65">
        <f>Sce1Trees!E23*E$10*$D$3</f>
        <v>4343.1713883835764</v>
      </c>
      <c r="F65">
        <f>Sce1Trees!F23*F$10*$D$3</f>
        <v>13316.61943072125</v>
      </c>
      <c r="G65">
        <f>Sce1Trees!G23*G$10*$D$3</f>
        <v>912.6647999999999</v>
      </c>
      <c r="H65">
        <f>Sce1Trees!H23*H$10*$D$3</f>
        <v>598.81975511436076</v>
      </c>
      <c r="I65">
        <f>Sce1Trees!I23*I$10*$D$3</f>
        <v>4706.576950011864</v>
      </c>
      <c r="J65">
        <f>Sce1Trees!J23*J$10*$D$3</f>
        <v>3741.978186710056</v>
      </c>
      <c r="K65">
        <f>Sce1Trees!K23*K$10*$D$3</f>
        <v>760.38807712346522</v>
      </c>
      <c r="L65">
        <f>Sce1Trees!L23*L$10*$D$3</f>
        <v>2182.8209999999999</v>
      </c>
      <c r="M65">
        <f>Sce1Trees!M23*M$10*$D$3</f>
        <v>3728.181</v>
      </c>
      <c r="N65">
        <f>Sce1Trees!N23*N$10*$D$3</f>
        <v>8861.3545074751564</v>
      </c>
      <c r="O65">
        <f>Sce1Trees!O23*O$10*$D$3</f>
        <v>17318.463179999995</v>
      </c>
      <c r="P65">
        <f>Sce1Trees!P23*P$10*$D$3</f>
        <v>263.5041792345848</v>
      </c>
      <c r="Q65">
        <f>Sce1Trees!Q23*Q$10*$D$3</f>
        <v>30304.655544660542</v>
      </c>
      <c r="R65">
        <f>Sce1Trees!R23*R$10*$D$3</f>
        <v>1250.1999999999998</v>
      </c>
      <c r="S65">
        <f>Sce1Trees!S23*S$10*$D$3</f>
        <v>0</v>
      </c>
      <c r="T65">
        <f>Sce1Trees!T23*T$10*$D$3</f>
        <v>0</v>
      </c>
      <c r="U65">
        <f>Sce1Trees!U23*U$10*$D$3</f>
        <v>0</v>
      </c>
      <c r="V65">
        <f t="shared" si="9"/>
        <v>114100.68363945106</v>
      </c>
      <c r="Y65" s="79">
        <f t="shared" si="10"/>
        <v>578.20462199999997</v>
      </c>
      <c r="AB65" s="79">
        <f t="shared" si="11"/>
        <v>965.53547562687743</v>
      </c>
      <c r="AD65" s="79">
        <f t="shared" si="12"/>
        <v>432.06379374284359</v>
      </c>
      <c r="AF65" s="79">
        <f t="shared" si="13"/>
        <v>1975.803891369721</v>
      </c>
      <c r="AH65" s="101">
        <f t="shared" si="16"/>
        <v>2023</v>
      </c>
      <c r="AI65" s="79">
        <f t="shared" si="14"/>
        <v>112124.87974808134</v>
      </c>
      <c r="AJ65" s="110">
        <f t="shared" si="15"/>
        <v>-411.12455907629828</v>
      </c>
    </row>
    <row r="66" spans="1:39" x14ac:dyDescent="0.25">
      <c r="A66" s="82">
        <f t="shared" si="17"/>
        <v>2024</v>
      </c>
      <c r="B66">
        <f>Sce1Trees!B24*B$10*$D$3</f>
        <v>2298.1120000000001</v>
      </c>
      <c r="C66">
        <f>Sce1Trees!C24*C$10*$D$3</f>
        <v>727.61204001623753</v>
      </c>
      <c r="D66">
        <f>Sce1Trees!D24*D$10*$D$3</f>
        <v>18785.561599999997</v>
      </c>
      <c r="E66">
        <f>Sce1Trees!E24*E$10*$D$3</f>
        <v>4343.1713883835764</v>
      </c>
      <c r="F66">
        <f>Sce1Trees!F24*F$10*$D$3</f>
        <v>13316.61943072125</v>
      </c>
      <c r="G66">
        <f>Sce1Trees!G24*G$10*$D$3</f>
        <v>912.6647999999999</v>
      </c>
      <c r="H66">
        <f>Sce1Trees!H24*H$10*$D$3</f>
        <v>598.81975511436076</v>
      </c>
      <c r="I66">
        <f>Sce1Trees!I24*I$10*$D$3</f>
        <v>4706.576950011864</v>
      </c>
      <c r="J66">
        <f>Sce1Trees!J24*J$10*$D$3</f>
        <v>3741.978186710056</v>
      </c>
      <c r="K66">
        <f>Sce1Trees!K24*K$10*$D$3</f>
        <v>760.38807712346522</v>
      </c>
      <c r="L66">
        <f>Sce1Trees!L24*L$10*$D$3</f>
        <v>2182.8209999999999</v>
      </c>
      <c r="M66">
        <f>Sce1Trees!M24*M$10*$D$3</f>
        <v>3728.181</v>
      </c>
      <c r="N66">
        <f>Sce1Trees!N24*N$10*$D$3</f>
        <v>8861.3545074751564</v>
      </c>
      <c r="O66">
        <f>Sce1Trees!O24*O$10*$D$3</f>
        <v>17318.463179999995</v>
      </c>
      <c r="P66">
        <f>Sce1Trees!P24*P$10*$D$3</f>
        <v>263.5041792345848</v>
      </c>
      <c r="Q66">
        <f>Sce1Trees!Q24*Q$10*$D$3</f>
        <v>30304.655544660542</v>
      </c>
      <c r="R66">
        <f>Sce1Trees!R24*R$10*$D$3</f>
        <v>1256.78</v>
      </c>
      <c r="S66">
        <f>Sce1Trees!S24*S$10*$D$3</f>
        <v>0</v>
      </c>
      <c r="T66">
        <f>Sce1Trees!T24*T$10*$D$3</f>
        <v>0</v>
      </c>
      <c r="U66">
        <f>Sce1Trees!U24*U$10*$D$3</f>
        <v>0</v>
      </c>
      <c r="V66">
        <f t="shared" si="9"/>
        <v>114107.26363945106</v>
      </c>
      <c r="Y66" s="79">
        <f t="shared" si="10"/>
        <v>578.20462199999997</v>
      </c>
      <c r="AB66" s="79">
        <f t="shared" si="11"/>
        <v>897.44910286362961</v>
      </c>
      <c r="AD66" s="79">
        <f t="shared" si="12"/>
        <v>416.45187703410386</v>
      </c>
      <c r="AF66" s="79">
        <f t="shared" si="13"/>
        <v>1892.1056018977333</v>
      </c>
      <c r="AH66" s="101">
        <f t="shared" si="16"/>
        <v>2024</v>
      </c>
      <c r="AI66" s="79">
        <f t="shared" si="14"/>
        <v>112215.15803755332</v>
      </c>
      <c r="AJ66" s="110">
        <f t="shared" si="15"/>
        <v>-411.4555794710289</v>
      </c>
    </row>
    <row r="67" spans="1:39" x14ac:dyDescent="0.25">
      <c r="A67" s="82">
        <f t="shared" si="17"/>
        <v>2025</v>
      </c>
      <c r="B67">
        <f>Sce1Trees!B25*B$10*$D$3</f>
        <v>2298.1120000000001</v>
      </c>
      <c r="C67">
        <f>Sce1Trees!C25*C$10*$D$3</f>
        <v>727.61204001623753</v>
      </c>
      <c r="D67">
        <f>Sce1Trees!D25*D$10*$D$3</f>
        <v>18785.561599999997</v>
      </c>
      <c r="E67">
        <f>Sce1Trees!E25*E$10*$D$3</f>
        <v>4343.1713883835764</v>
      </c>
      <c r="F67">
        <f>Sce1Trees!F25*F$10*$D$3</f>
        <v>13316.61943072125</v>
      </c>
      <c r="G67">
        <f>Sce1Trees!G25*G$10*$D$3</f>
        <v>912.6647999999999</v>
      </c>
      <c r="H67">
        <f>Sce1Trees!H25*H$10*$D$3</f>
        <v>598.81975511436076</v>
      </c>
      <c r="I67">
        <f>Sce1Trees!I25*I$10*$D$3</f>
        <v>4706.576950011864</v>
      </c>
      <c r="J67">
        <f>Sce1Trees!J25*J$10*$D$3</f>
        <v>3741.978186710056</v>
      </c>
      <c r="K67">
        <f>Sce1Trees!K25*K$10*$D$3</f>
        <v>760.38807712346522</v>
      </c>
      <c r="L67">
        <f>Sce1Trees!L25*L$10*$D$3</f>
        <v>2182.8209999999999</v>
      </c>
      <c r="M67">
        <f>Sce1Trees!M25*M$10*$D$3</f>
        <v>3728.181</v>
      </c>
      <c r="N67">
        <f>Sce1Trees!N25*N$10*$D$3</f>
        <v>8861.3545074751564</v>
      </c>
      <c r="O67">
        <f>Sce1Trees!O25*O$10*$D$3</f>
        <v>17318.463179999995</v>
      </c>
      <c r="P67">
        <f>Sce1Trees!P25*P$10*$D$3</f>
        <v>263.5041792345848</v>
      </c>
      <c r="Q67">
        <f>Sce1Trees!Q25*Q$10*$D$3</f>
        <v>30304.655544660542</v>
      </c>
      <c r="R67">
        <f>Sce1Trees!R25*R$10*$D$3</f>
        <v>1263.3599999999999</v>
      </c>
      <c r="S67">
        <f>Sce1Trees!S25*S$10*$D$3</f>
        <v>0</v>
      </c>
      <c r="T67">
        <f>Sce1Trees!T25*T$10*$D$3</f>
        <v>0</v>
      </c>
      <c r="U67">
        <f>Sce1Trees!U25*U$10*$D$3</f>
        <v>0</v>
      </c>
      <c r="V67">
        <f t="shared" si="9"/>
        <v>114113.84363945106</v>
      </c>
      <c r="Y67" s="79">
        <f t="shared" si="10"/>
        <v>525.03700000000003</v>
      </c>
      <c r="AB67" s="79">
        <f t="shared" si="11"/>
        <v>834.17814622795413</v>
      </c>
      <c r="AD67" s="79">
        <f t="shared" si="12"/>
        <v>417.62232403171566</v>
      </c>
      <c r="AF67" s="79">
        <f t="shared" si="13"/>
        <v>1776.8374702596698</v>
      </c>
      <c r="AH67" s="101">
        <f t="shared" si="16"/>
        <v>2025</v>
      </c>
      <c r="AI67" s="79">
        <f t="shared" si="14"/>
        <v>112337.0061691914</v>
      </c>
      <c r="AJ67" s="110">
        <f t="shared" si="15"/>
        <v>-411.90235595370177</v>
      </c>
    </row>
    <row r="68" spans="1:39" x14ac:dyDescent="0.25">
      <c r="A68" s="82">
        <f t="shared" si="17"/>
        <v>2026</v>
      </c>
      <c r="B68">
        <f>Sce1Trees!B26*B$10*$D$3</f>
        <v>2298.1120000000001</v>
      </c>
      <c r="C68">
        <f>Sce1Trees!C26*C$10*$D$3</f>
        <v>727.61204001623753</v>
      </c>
      <c r="D68">
        <f>Sce1Trees!D26*D$10*$D$3</f>
        <v>18785.561599999997</v>
      </c>
      <c r="E68">
        <f>Sce1Trees!E26*E$10*$D$3</f>
        <v>4343.1713883835764</v>
      </c>
      <c r="F68">
        <f>Sce1Trees!F26*F$10*$D$3</f>
        <v>13316.61943072125</v>
      </c>
      <c r="G68">
        <f>Sce1Trees!G26*G$10*$D$3</f>
        <v>912.6647999999999</v>
      </c>
      <c r="H68">
        <f>Sce1Trees!H26*H$10*$D$3</f>
        <v>598.81975511436076</v>
      </c>
      <c r="I68">
        <f>Sce1Trees!I26*I$10*$D$3</f>
        <v>4706.576950011864</v>
      </c>
      <c r="J68">
        <f>Sce1Trees!J26*J$10*$D$3</f>
        <v>3741.978186710056</v>
      </c>
      <c r="K68">
        <f>Sce1Trees!K26*K$10*$D$3</f>
        <v>760.38807712346522</v>
      </c>
      <c r="L68">
        <f>Sce1Trees!L26*L$10*$D$3</f>
        <v>2182.8209999999999</v>
      </c>
      <c r="M68">
        <f>Sce1Trees!M26*M$10*$D$3</f>
        <v>3728.181</v>
      </c>
      <c r="N68">
        <f>Sce1Trees!N26*N$10*$D$3</f>
        <v>8861.3545074751564</v>
      </c>
      <c r="O68">
        <f>Sce1Trees!O26*O$10*$D$3</f>
        <v>17318.463179999995</v>
      </c>
      <c r="P68">
        <f>Sce1Trees!P26*P$10*$D$3</f>
        <v>263.5041792345848</v>
      </c>
      <c r="Q68">
        <f>Sce1Trees!Q26*Q$10*$D$3</f>
        <v>30304.655544660542</v>
      </c>
      <c r="R68">
        <f>Sce1Trees!R26*R$10*$D$3</f>
        <v>1269.9399999999998</v>
      </c>
      <c r="S68">
        <f>Sce1Trees!S26*S$10*$D$3</f>
        <v>0</v>
      </c>
      <c r="T68">
        <f>Sce1Trees!T26*T$10*$D$3</f>
        <v>0</v>
      </c>
      <c r="U68">
        <f>Sce1Trees!U26*U$10*$D$3</f>
        <v>0</v>
      </c>
      <c r="V68">
        <f t="shared" si="9"/>
        <v>114120.42363945107</v>
      </c>
      <c r="Y68" s="79">
        <f t="shared" si="10"/>
        <v>525.03700000000003</v>
      </c>
      <c r="AB68" s="79">
        <f t="shared" si="11"/>
        <v>775.38104372138878</v>
      </c>
      <c r="AD68" s="79">
        <f t="shared" si="12"/>
        <v>419.16381209581971</v>
      </c>
      <c r="AF68" s="79">
        <f t="shared" si="13"/>
        <v>1719.5818558172086</v>
      </c>
      <c r="AH68" s="101">
        <f t="shared" si="16"/>
        <v>2026</v>
      </c>
      <c r="AI68" s="79">
        <f t="shared" si="14"/>
        <v>112400.84178363386</v>
      </c>
      <c r="AJ68" s="110">
        <f t="shared" si="15"/>
        <v>-412.13641987332414</v>
      </c>
    </row>
    <row r="69" spans="1:39" x14ac:dyDescent="0.25">
      <c r="A69" s="82">
        <f t="shared" si="17"/>
        <v>2027</v>
      </c>
      <c r="B69">
        <f>Sce1Trees!B27*B$10*$D$3</f>
        <v>2298.1120000000001</v>
      </c>
      <c r="C69">
        <f>Sce1Trees!C27*C$10*$D$3</f>
        <v>727.61204001623753</v>
      </c>
      <c r="D69">
        <f>Sce1Trees!D27*D$10*$D$3</f>
        <v>18785.561599999997</v>
      </c>
      <c r="E69">
        <f>Sce1Trees!E27*E$10*$D$3</f>
        <v>4343.1713883835764</v>
      </c>
      <c r="F69">
        <f>Sce1Trees!F27*F$10*$D$3</f>
        <v>13316.61943072125</v>
      </c>
      <c r="G69">
        <f>Sce1Trees!G27*G$10*$D$3</f>
        <v>912.6647999999999</v>
      </c>
      <c r="H69">
        <f>Sce1Trees!H27*H$10*$D$3</f>
        <v>598.81975511436076</v>
      </c>
      <c r="I69">
        <f>Sce1Trees!I27*I$10*$D$3</f>
        <v>4706.576950011864</v>
      </c>
      <c r="J69">
        <f>Sce1Trees!J27*J$10*$D$3</f>
        <v>3741.978186710056</v>
      </c>
      <c r="K69">
        <f>Sce1Trees!K27*K$10*$D$3</f>
        <v>760.38807712346522</v>
      </c>
      <c r="L69">
        <f>Sce1Trees!L27*L$10*$D$3</f>
        <v>2182.8209999999999</v>
      </c>
      <c r="M69">
        <f>Sce1Trees!M27*M$10*$D$3</f>
        <v>3728.181</v>
      </c>
      <c r="N69">
        <f>Sce1Trees!N27*N$10*$D$3</f>
        <v>8861.3545074751564</v>
      </c>
      <c r="O69">
        <f>Sce1Trees!O27*O$10*$D$3</f>
        <v>17318.463179999995</v>
      </c>
      <c r="P69">
        <f>Sce1Trees!P27*P$10*$D$3</f>
        <v>263.5041792345848</v>
      </c>
      <c r="Q69">
        <f>Sce1Trees!Q27*Q$10*$D$3</f>
        <v>30304.655544660542</v>
      </c>
      <c r="R69">
        <f>Sce1Trees!R27*R$10*$D$3</f>
        <v>1276.52</v>
      </c>
      <c r="S69">
        <f>Sce1Trees!S27*S$10*$D$3</f>
        <v>0</v>
      </c>
      <c r="T69">
        <f>Sce1Trees!T27*T$10*$D$3</f>
        <v>0</v>
      </c>
      <c r="U69">
        <f>Sce1Trees!U27*U$10*$D$3</f>
        <v>0</v>
      </c>
      <c r="V69">
        <f t="shared" si="9"/>
        <v>114127.00363945107</v>
      </c>
      <c r="Y69" s="79">
        <f t="shared" si="10"/>
        <v>525.03700000000003</v>
      </c>
      <c r="AB69" s="79">
        <f t="shared" si="11"/>
        <v>720.74052968842989</v>
      </c>
      <c r="AD69" s="79">
        <f t="shared" si="12"/>
        <v>421.03615224274193</v>
      </c>
      <c r="AF69" s="79">
        <f t="shared" si="13"/>
        <v>1666.8136819311719</v>
      </c>
      <c r="AH69" s="101">
        <f t="shared" si="16"/>
        <v>2027</v>
      </c>
      <c r="AI69" s="79">
        <f t="shared" si="14"/>
        <v>112460.18995751989</v>
      </c>
      <c r="AJ69" s="110">
        <f t="shared" si="15"/>
        <v>-412.35402984423956</v>
      </c>
    </row>
    <row r="70" spans="1:39" x14ac:dyDescent="0.25">
      <c r="A70" s="82">
        <f t="shared" si="17"/>
        <v>2028</v>
      </c>
      <c r="B70">
        <f>Sce1Trees!B28*B$10*$D$3</f>
        <v>2298.1120000000001</v>
      </c>
      <c r="C70">
        <f>Sce1Trees!C28*C$10*$D$3</f>
        <v>727.61204001623753</v>
      </c>
      <c r="D70">
        <f>Sce1Trees!D28*D$10*$D$3</f>
        <v>18785.561599999997</v>
      </c>
      <c r="E70">
        <f>Sce1Trees!E28*E$10*$D$3</f>
        <v>4343.1713883835764</v>
      </c>
      <c r="F70">
        <f>Sce1Trees!F28*F$10*$D$3</f>
        <v>13316.61943072125</v>
      </c>
      <c r="G70">
        <f>Sce1Trees!G28*G$10*$D$3</f>
        <v>912.6647999999999</v>
      </c>
      <c r="H70">
        <f>Sce1Trees!H28*H$10*$D$3</f>
        <v>598.81975511436076</v>
      </c>
      <c r="I70">
        <f>Sce1Trees!I28*I$10*$D$3</f>
        <v>4706.576950011864</v>
      </c>
      <c r="J70">
        <f>Sce1Trees!J28*J$10*$D$3</f>
        <v>3741.978186710056</v>
      </c>
      <c r="K70">
        <f>Sce1Trees!K28*K$10*$D$3</f>
        <v>760.38807712346522</v>
      </c>
      <c r="L70">
        <f>Sce1Trees!L28*L$10*$D$3</f>
        <v>2182.8209999999999</v>
      </c>
      <c r="M70">
        <f>Sce1Trees!M28*M$10*$D$3</f>
        <v>3728.181</v>
      </c>
      <c r="N70">
        <f>Sce1Trees!N28*N$10*$D$3</f>
        <v>8861.3545074751564</v>
      </c>
      <c r="O70">
        <f>Sce1Trees!O28*O$10*$D$3</f>
        <v>17318.463179999995</v>
      </c>
      <c r="P70">
        <f>Sce1Trees!P28*P$10*$D$3</f>
        <v>263.5041792345848</v>
      </c>
      <c r="Q70">
        <f>Sce1Trees!Q28*Q$10*$D$3</f>
        <v>30304.655544660542</v>
      </c>
      <c r="R70">
        <f>Sce1Trees!R28*R$10*$D$3</f>
        <v>1283.0999999999999</v>
      </c>
      <c r="S70">
        <f>Sce1Trees!S28*S$10*$D$3</f>
        <v>0</v>
      </c>
      <c r="T70">
        <f>Sce1Trees!T28*T$10*$D$3</f>
        <v>0</v>
      </c>
      <c r="U70">
        <f>Sce1Trees!U28*U$10*$D$3</f>
        <v>0</v>
      </c>
      <c r="V70">
        <f t="shared" si="9"/>
        <v>114133.58363945107</v>
      </c>
      <c r="Y70" s="79">
        <f t="shared" si="10"/>
        <v>525.03700000000003</v>
      </c>
      <c r="AB70" s="79">
        <f t="shared" si="11"/>
        <v>669.9619017503253</v>
      </c>
      <c r="AD70" s="79">
        <f t="shared" si="12"/>
        <v>423.8758167982416</v>
      </c>
      <c r="AF70" s="79">
        <f t="shared" si="13"/>
        <v>1618.874718548567</v>
      </c>
      <c r="AH70" s="101">
        <f t="shared" si="16"/>
        <v>2028</v>
      </c>
      <c r="AI70" s="79">
        <f t="shared" si="14"/>
        <v>112514.7089209025</v>
      </c>
      <c r="AJ70" s="110">
        <f t="shared" si="15"/>
        <v>-412.55393270997587</v>
      </c>
    </row>
    <row r="71" spans="1:39" x14ac:dyDescent="0.25">
      <c r="A71" s="82">
        <f t="shared" si="17"/>
        <v>2029</v>
      </c>
      <c r="B71">
        <f>Sce1Trees!B29*B$10*$D$3</f>
        <v>2298.1120000000001</v>
      </c>
      <c r="C71">
        <f>Sce1Trees!C29*C$10*$D$3</f>
        <v>727.61204001623753</v>
      </c>
      <c r="D71">
        <f>Sce1Trees!D29*D$10*$D$3</f>
        <v>18785.561599999997</v>
      </c>
      <c r="E71">
        <f>Sce1Trees!E29*E$10*$D$3</f>
        <v>4343.1713883835764</v>
      </c>
      <c r="F71">
        <f>Sce1Trees!F29*F$10*$D$3</f>
        <v>13316.61943072125</v>
      </c>
      <c r="G71">
        <f>Sce1Trees!G29*G$10*$D$3</f>
        <v>912.6647999999999</v>
      </c>
      <c r="H71">
        <f>Sce1Trees!H29*H$10*$D$3</f>
        <v>598.81975511436076</v>
      </c>
      <c r="I71">
        <f>Sce1Trees!I29*I$10*$D$3</f>
        <v>4706.576950011864</v>
      </c>
      <c r="J71">
        <f>Sce1Trees!J29*J$10*$D$3</f>
        <v>3741.978186710056</v>
      </c>
      <c r="K71">
        <f>Sce1Trees!K29*K$10*$D$3</f>
        <v>760.38807712346522</v>
      </c>
      <c r="L71">
        <f>Sce1Trees!L29*L$10*$D$3</f>
        <v>2182.8209999999999</v>
      </c>
      <c r="M71">
        <f>Sce1Trees!M29*M$10*$D$3</f>
        <v>3728.181</v>
      </c>
      <c r="N71">
        <f>Sce1Trees!N29*N$10*$D$3</f>
        <v>8861.3545074751564</v>
      </c>
      <c r="O71">
        <f>Sce1Trees!O29*O$10*$D$3</f>
        <v>17318.463179999995</v>
      </c>
      <c r="P71">
        <f>Sce1Trees!P29*P$10*$D$3</f>
        <v>263.5041792345848</v>
      </c>
      <c r="Q71">
        <f>Sce1Trees!Q29*Q$10*$D$3</f>
        <v>30304.655544660542</v>
      </c>
      <c r="R71">
        <f>Sce1Trees!R29*R$10*$D$3</f>
        <v>1289.6799999999998</v>
      </c>
      <c r="S71">
        <f>Sce1Trees!S29*S$10*$D$3</f>
        <v>0</v>
      </c>
      <c r="T71">
        <f>Sce1Trees!T29*T$10*$D$3</f>
        <v>0</v>
      </c>
      <c r="U71">
        <f>Sce1Trees!U29*U$10*$D$3</f>
        <v>0</v>
      </c>
      <c r="V71">
        <f t="shared" si="9"/>
        <v>114140.16363945106</v>
      </c>
      <c r="Y71" s="79">
        <f t="shared" si="10"/>
        <v>525.03700000000003</v>
      </c>
      <c r="AB71" s="79">
        <f t="shared" si="11"/>
        <v>622.77141169097672</v>
      </c>
      <c r="AD71" s="79">
        <f t="shared" si="12"/>
        <v>425.12630302211403</v>
      </c>
      <c r="AF71" s="79">
        <f t="shared" si="13"/>
        <v>1572.9347147130907</v>
      </c>
      <c r="AH71" s="101">
        <f t="shared" si="16"/>
        <v>2029</v>
      </c>
      <c r="AI71" s="79">
        <f t="shared" si="14"/>
        <v>112567.22892473797</v>
      </c>
      <c r="AJ71" s="110">
        <f t="shared" si="15"/>
        <v>-412.74650605737253</v>
      </c>
    </row>
    <row r="72" spans="1:39" x14ac:dyDescent="0.25">
      <c r="A72" s="82">
        <f t="shared" si="17"/>
        <v>2030</v>
      </c>
      <c r="B72">
        <f>Sce1Trees!B30*B$10*$D$3</f>
        <v>2298.1120000000001</v>
      </c>
      <c r="C72">
        <f>Sce1Trees!C30*C$10*$D$3</f>
        <v>727.61204001623753</v>
      </c>
      <c r="D72">
        <f>Sce1Trees!D30*D$10*$D$3</f>
        <v>18785.561599999997</v>
      </c>
      <c r="E72">
        <f>Sce1Trees!E30*E$10*$D$3</f>
        <v>4343.1713883835764</v>
      </c>
      <c r="F72">
        <f>Sce1Trees!F30*F$10*$D$3</f>
        <v>13316.61943072125</v>
      </c>
      <c r="G72">
        <f>Sce1Trees!G30*G$10*$D$3</f>
        <v>912.6647999999999</v>
      </c>
      <c r="H72">
        <f>Sce1Trees!H30*H$10*$D$3</f>
        <v>598.81975511436076</v>
      </c>
      <c r="I72">
        <f>Sce1Trees!I30*I$10*$D$3</f>
        <v>4706.576950011864</v>
      </c>
      <c r="J72">
        <f>Sce1Trees!J30*J$10*$D$3</f>
        <v>3741.978186710056</v>
      </c>
      <c r="K72">
        <f>Sce1Trees!K30*K$10*$D$3</f>
        <v>760.38807712346522</v>
      </c>
      <c r="L72">
        <f>Sce1Trees!L30*L$10*$D$3</f>
        <v>2182.8209999999999</v>
      </c>
      <c r="M72">
        <f>Sce1Trees!M30*M$10*$D$3</f>
        <v>3728.181</v>
      </c>
      <c r="N72">
        <f>Sce1Trees!N30*N$10*$D$3</f>
        <v>8861.3545074751564</v>
      </c>
      <c r="O72">
        <f>Sce1Trees!O30*O$10*$D$3</f>
        <v>17318.463179999995</v>
      </c>
      <c r="P72">
        <f>Sce1Trees!P30*P$10*$D$3</f>
        <v>263.5041792345848</v>
      </c>
      <c r="Q72">
        <f>Sce1Trees!Q30*Q$10*$D$3</f>
        <v>30304.655544660542</v>
      </c>
      <c r="R72">
        <f>Sce1Trees!R30*R$10*$D$3</f>
        <v>1296.26</v>
      </c>
      <c r="S72">
        <f>Sce1Trees!S30*S$10*$D$3</f>
        <v>0</v>
      </c>
      <c r="T72">
        <f>Sce1Trees!T30*T$10*$D$3</f>
        <v>0</v>
      </c>
      <c r="U72">
        <f>Sce1Trees!U30*U$10*$D$3</f>
        <v>0</v>
      </c>
      <c r="V72">
        <f t="shared" si="9"/>
        <v>114146.74363945106</v>
      </c>
      <c r="Y72" s="79">
        <f t="shared" si="10"/>
        <v>433.31885</v>
      </c>
      <c r="AB72" s="79">
        <f t="shared" si="11"/>
        <v>578.91477140674954</v>
      </c>
      <c r="AD72" s="79">
        <f t="shared" si="12"/>
        <v>424.9789632415181</v>
      </c>
      <c r="AF72" s="79">
        <f t="shared" si="13"/>
        <v>1437.2125846482677</v>
      </c>
      <c r="AH72" s="101">
        <f t="shared" si="16"/>
        <v>2030</v>
      </c>
      <c r="AI72" s="79">
        <f t="shared" si="14"/>
        <v>112709.53105480279</v>
      </c>
      <c r="AJ72" s="110">
        <f t="shared" si="15"/>
        <v>-413.26828053427693</v>
      </c>
    </row>
    <row r="73" spans="1:39" x14ac:dyDescent="0.25">
      <c r="A73" s="82">
        <f>A72+5</f>
        <v>2035</v>
      </c>
      <c r="B73">
        <f>Sce1Trees!B31*B$10*$D$3</f>
        <v>2298.1120000000001</v>
      </c>
      <c r="C73">
        <f>Sce1Trees!C31*C$10*$D$3</f>
        <v>727.61204001623753</v>
      </c>
      <c r="D73">
        <f>Sce1Trees!D31*D$10*$D$3</f>
        <v>18785.561599999997</v>
      </c>
      <c r="E73">
        <f>Sce1Trees!E31*E$10*$D$3</f>
        <v>4343.1713883835764</v>
      </c>
      <c r="F73">
        <f>Sce1Trees!F31*F$10*$D$3</f>
        <v>13316.61943072125</v>
      </c>
      <c r="G73">
        <f>Sce1Trees!G31*G$10*$D$3</f>
        <v>912.6647999999999</v>
      </c>
      <c r="H73">
        <f>Sce1Trees!H31*H$10*$D$3</f>
        <v>598.81975511436076</v>
      </c>
      <c r="I73">
        <f>Sce1Trees!I31*I$10*$D$3</f>
        <v>4706.576950011864</v>
      </c>
      <c r="J73">
        <f>Sce1Trees!J31*J$10*$D$3</f>
        <v>3741.978186710056</v>
      </c>
      <c r="K73">
        <f>Sce1Trees!K31*K$10*$D$3</f>
        <v>760.38807712346522</v>
      </c>
      <c r="L73">
        <f>Sce1Trees!L31*L$10*$D$3</f>
        <v>2182.8209999999999</v>
      </c>
      <c r="M73">
        <f>Sce1Trees!M31*M$10*$D$3</f>
        <v>3728.181</v>
      </c>
      <c r="N73">
        <f>Sce1Trees!N31*N$10*$D$3</f>
        <v>8861.3545074751564</v>
      </c>
      <c r="O73">
        <f>Sce1Trees!O31*O$10*$D$3</f>
        <v>17318.463179999995</v>
      </c>
      <c r="P73">
        <f>Sce1Trees!P31*P$10*$D$3</f>
        <v>263.5041792345848</v>
      </c>
      <c r="Q73">
        <f>Sce1Trees!Q31*Q$10*$D$3</f>
        <v>30304.655544660542</v>
      </c>
      <c r="R73">
        <f>Sce1Trees!R31*R$10*$D$3</f>
        <v>1302.8399999999999</v>
      </c>
      <c r="S73">
        <f>Sce1Trees!S31*S$10*$D$3</f>
        <v>0</v>
      </c>
      <c r="T73">
        <f>Sce1Trees!T31*T$10*$D$3</f>
        <v>0</v>
      </c>
      <c r="U73">
        <f>Sce1Trees!U31*U$10*$D$3</f>
        <v>0</v>
      </c>
      <c r="V73">
        <f t="shared" si="9"/>
        <v>114153.32363945106</v>
      </c>
      <c r="Y73" s="79">
        <f t="shared" si="10"/>
        <v>305.40600000000001</v>
      </c>
      <c r="AB73" s="79">
        <f t="shared" si="11"/>
        <v>490.82335</v>
      </c>
      <c r="AD73" s="79">
        <f t="shared" si="12"/>
        <v>341.90131200000002</v>
      </c>
      <c r="AF73" s="79">
        <f t="shared" si="13"/>
        <v>1138.130662</v>
      </c>
      <c r="AH73" s="101">
        <f>AH72+5</f>
        <v>2035</v>
      </c>
      <c r="AI73" s="79">
        <f t="shared" si="14"/>
        <v>113015.19297745106</v>
      </c>
      <c r="AJ73" s="110">
        <f t="shared" si="15"/>
        <v>-414.38904091732059</v>
      </c>
    </row>
    <row r="74" spans="1:39" x14ac:dyDescent="0.25">
      <c r="A74" s="82">
        <f t="shared" ref="A74:A76" si="18">A73+5</f>
        <v>2040</v>
      </c>
      <c r="B74">
        <f>Sce1Trees!B32*B$10*$D$3</f>
        <v>2298.1120000000001</v>
      </c>
      <c r="C74">
        <f>Sce1Trees!C32*C$10*$D$3</f>
        <v>727.61204001623753</v>
      </c>
      <c r="D74">
        <f>Sce1Trees!D32*D$10*$D$3</f>
        <v>18785.561599999997</v>
      </c>
      <c r="E74">
        <f>Sce1Trees!E32*E$10*$D$3</f>
        <v>4343.1713883835764</v>
      </c>
      <c r="F74">
        <f>Sce1Trees!F32*F$10*$D$3</f>
        <v>13316.61943072125</v>
      </c>
      <c r="G74">
        <f>Sce1Trees!G32*G$10*$D$3</f>
        <v>912.6647999999999</v>
      </c>
      <c r="H74">
        <f>Sce1Trees!H32*H$10*$D$3</f>
        <v>598.81975511436076</v>
      </c>
      <c r="I74">
        <f>Sce1Trees!I32*I$10*$D$3</f>
        <v>4706.576950011864</v>
      </c>
      <c r="J74">
        <f>Sce1Trees!J32*J$10*$D$3</f>
        <v>3741.978186710056</v>
      </c>
      <c r="K74">
        <f>Sce1Trees!K32*K$10*$D$3</f>
        <v>760.38807712346522</v>
      </c>
      <c r="L74">
        <f>Sce1Trees!L32*L$10*$D$3</f>
        <v>2182.8209999999999</v>
      </c>
      <c r="M74">
        <f>Sce1Trees!M32*M$10*$D$3</f>
        <v>3728.181</v>
      </c>
      <c r="N74">
        <f>Sce1Trees!N32*N$10*$D$3</f>
        <v>8773.7813999999998</v>
      </c>
      <c r="O74">
        <f>Sce1Trees!O32*O$10*$D$3</f>
        <v>17385.602562397617</v>
      </c>
      <c r="P74">
        <f>Sce1Trees!P32*P$10*$D$3</f>
        <v>263.5041792345848</v>
      </c>
      <c r="Q74">
        <f>Sce1Trees!Q32*Q$10*$D$3</f>
        <v>30304.655544660542</v>
      </c>
      <c r="R74">
        <f>Sce1Trees!R32*R$10*$D$3</f>
        <v>1316</v>
      </c>
      <c r="S74">
        <f>Sce1Trees!S32*S$10*$D$3</f>
        <v>0</v>
      </c>
      <c r="T74">
        <f>Sce1Trees!T32*T$10*$D$3</f>
        <v>0</v>
      </c>
      <c r="U74">
        <f>Sce1Trees!U32*U$10*$D$3</f>
        <v>0</v>
      </c>
      <c r="V74">
        <f t="shared" si="9"/>
        <v>114146.04991437355</v>
      </c>
      <c r="Y74" s="79">
        <f t="shared" si="10"/>
        <v>255.82570000000001</v>
      </c>
      <c r="AB74" s="79">
        <f t="shared" si="11"/>
        <v>387.70065</v>
      </c>
      <c r="AD74" s="79">
        <f t="shared" si="12"/>
        <v>341.90131200000002</v>
      </c>
      <c r="AF74" s="79">
        <f t="shared" si="13"/>
        <v>985.42766200000005</v>
      </c>
      <c r="AH74" s="101">
        <f t="shared" ref="AH74:AH76" si="19">AH73+5</f>
        <v>2040</v>
      </c>
      <c r="AI74" s="79">
        <f t="shared" si="14"/>
        <v>113160.62225237355</v>
      </c>
      <c r="AJ74" s="110">
        <f t="shared" si="15"/>
        <v>-414.92228159203637</v>
      </c>
    </row>
    <row r="75" spans="1:39" x14ac:dyDescent="0.25">
      <c r="A75" s="82">
        <f t="shared" si="18"/>
        <v>2045</v>
      </c>
      <c r="B75">
        <f>Sce1Trees!B33*B$10*$D$3</f>
        <v>2298.1120000000001</v>
      </c>
      <c r="C75">
        <f>Sce1Trees!C33*C$10*$D$3</f>
        <v>727.61204001623753</v>
      </c>
      <c r="D75">
        <f>Sce1Trees!D33*D$10*$D$3</f>
        <v>18785.561599999997</v>
      </c>
      <c r="E75">
        <f>Sce1Trees!E33*E$10*$D$3</f>
        <v>4343.1713883835764</v>
      </c>
      <c r="F75">
        <f>Sce1Trees!F33*F$10*$D$3</f>
        <v>13316.61943072125</v>
      </c>
      <c r="G75">
        <f>Sce1Trees!G33*G$10*$D$3</f>
        <v>912.6647999999999</v>
      </c>
      <c r="H75">
        <f>Sce1Trees!H33*H$10*$D$3</f>
        <v>598.81975511436076</v>
      </c>
      <c r="I75">
        <f>Sce1Trees!I33*I$10*$D$3</f>
        <v>4706.576950011864</v>
      </c>
      <c r="J75">
        <f>Sce1Trees!J33*J$10*$D$3</f>
        <v>3741.978186710056</v>
      </c>
      <c r="K75">
        <f>Sce1Trees!K33*K$10*$D$3</f>
        <v>760.38807712346522</v>
      </c>
      <c r="L75">
        <f>Sce1Trees!L33*L$10*$D$3</f>
        <v>2182.8209999999999</v>
      </c>
      <c r="M75">
        <f>Sce1Trees!M33*M$10*$D$3</f>
        <v>3728.181</v>
      </c>
      <c r="N75">
        <f>Sce1Trees!N33*N$10*$D$3</f>
        <v>8773.7813999999998</v>
      </c>
      <c r="O75">
        <f>Sce1Trees!O33*O$10*$D$3</f>
        <v>17385.602562397617</v>
      </c>
      <c r="P75">
        <f>Sce1Trees!P33*P$10*$D$3</f>
        <v>263.5041792345848</v>
      </c>
      <c r="Q75">
        <f>Sce1Trees!Q33*Q$10*$D$3</f>
        <v>30304.655544660542</v>
      </c>
      <c r="R75">
        <f>Sce1Trees!R33*R$10*$D$3</f>
        <v>1348.8999999999999</v>
      </c>
      <c r="S75">
        <f>Sce1Trees!S33*S$10*$D$3</f>
        <v>0</v>
      </c>
      <c r="T75">
        <f>Sce1Trees!T33*T$10*$D$3</f>
        <v>0</v>
      </c>
      <c r="U75">
        <f>Sce1Trees!U33*U$10*$D$3</f>
        <v>0</v>
      </c>
      <c r="V75">
        <f t="shared" si="9"/>
        <v>114178.94991437354</v>
      </c>
      <c r="Y75" s="79">
        <f t="shared" si="10"/>
        <v>152.703</v>
      </c>
      <c r="AB75" s="79">
        <f t="shared" si="11"/>
        <v>206.24540000000002</v>
      </c>
      <c r="AD75" s="79">
        <f t="shared" si="12"/>
        <v>341.90131200000002</v>
      </c>
      <c r="AF75" s="79">
        <f t="shared" si="13"/>
        <v>700.84971199999995</v>
      </c>
      <c r="AH75" s="101">
        <f t="shared" si="19"/>
        <v>2045</v>
      </c>
      <c r="AI75" s="79">
        <f t="shared" si="14"/>
        <v>113478.10020237355</v>
      </c>
      <c r="AJ75" s="110">
        <f t="shared" si="15"/>
        <v>-416.08636740870304</v>
      </c>
    </row>
    <row r="76" spans="1:39" x14ac:dyDescent="0.25">
      <c r="A76" s="82">
        <f t="shared" si="18"/>
        <v>2050</v>
      </c>
      <c r="B76">
        <f>Sce1Trees!B34*B$10*$D$3</f>
        <v>2298.1120000000001</v>
      </c>
      <c r="C76">
        <f>Sce1Trees!C34*C$10*$D$3</f>
        <v>727.61204001623753</v>
      </c>
      <c r="D76">
        <f>Sce1Trees!D34*D$10*$D$3</f>
        <v>18785.561599999997</v>
      </c>
      <c r="E76">
        <f>Sce1Trees!E34*E$10*$D$3</f>
        <v>4343.1713883835764</v>
      </c>
      <c r="F76">
        <f>Sce1Trees!F34*F$10*$D$3</f>
        <v>13316.61943072125</v>
      </c>
      <c r="G76">
        <f>Sce1Trees!G34*G$10*$D$3</f>
        <v>912.6647999999999</v>
      </c>
      <c r="H76">
        <f>Sce1Trees!H34*H$10*$D$3</f>
        <v>598.81975511436076</v>
      </c>
      <c r="I76">
        <f>Sce1Trees!I34*I$10*$D$3</f>
        <v>4706.576950011864</v>
      </c>
      <c r="J76">
        <f>Sce1Trees!J34*J$10*$D$3</f>
        <v>3741.978186710056</v>
      </c>
      <c r="K76">
        <f>Sce1Trees!K34*K$10*$D$3</f>
        <v>760.38807712346522</v>
      </c>
      <c r="L76">
        <f>Sce1Trees!L34*L$10*$D$3</f>
        <v>2182.8209999999999</v>
      </c>
      <c r="M76">
        <f>Sce1Trees!M34*M$10*$D$3</f>
        <v>3728.181</v>
      </c>
      <c r="N76">
        <f>Sce1Trees!N34*N$10*$D$3</f>
        <v>8773.7813999999998</v>
      </c>
      <c r="O76">
        <f>Sce1Trees!O34*O$10*$D$3</f>
        <v>17385.602562397617</v>
      </c>
      <c r="P76">
        <f>Sce1Trees!P34*P$10*$D$3</f>
        <v>263.5041792345848</v>
      </c>
      <c r="Q76">
        <f>Sce1Trees!Q34*Q$10*$D$3</f>
        <v>30304.655544660542</v>
      </c>
      <c r="R76">
        <f>Sce1Trees!R34*R$10*$D$3</f>
        <v>1401.54</v>
      </c>
      <c r="S76">
        <f>Sce1Trees!S34*S$10*$D$3</f>
        <v>0</v>
      </c>
      <c r="T76">
        <f>Sce1Trees!T34*T$10*$D$3</f>
        <v>0</v>
      </c>
      <c r="U76">
        <f>Sce1Trees!U34*U$10*$D$3</f>
        <v>0</v>
      </c>
      <c r="V76">
        <f t="shared" si="9"/>
        <v>114231.58991437354</v>
      </c>
      <c r="Y76" s="79">
        <f t="shared" si="10"/>
        <v>103.12270000000001</v>
      </c>
      <c r="AB76" s="79">
        <f t="shared" si="11"/>
        <v>103.12270000000001</v>
      </c>
      <c r="AD76" s="79">
        <f t="shared" si="12"/>
        <v>341.90131200000002</v>
      </c>
      <c r="AF76" s="79">
        <f t="shared" si="13"/>
        <v>548.14671199999998</v>
      </c>
      <c r="AH76" s="101">
        <f t="shared" si="19"/>
        <v>2050</v>
      </c>
      <c r="AI76" s="79">
        <f t="shared" si="14"/>
        <v>113683.44320237354</v>
      </c>
      <c r="AJ76" s="110">
        <f t="shared" si="15"/>
        <v>-416.83929174203638</v>
      </c>
    </row>
    <row r="79" spans="1:39" x14ac:dyDescent="0.25">
      <c r="A79" t="s">
        <v>163</v>
      </c>
      <c r="AI79" s="184" t="s">
        <v>103</v>
      </c>
      <c r="AJ79" s="184"/>
      <c r="AM79" t="s">
        <v>164</v>
      </c>
    </row>
    <row r="80" spans="1:39" x14ac:dyDescent="0.25">
      <c r="AH80" s="50" t="s">
        <v>1</v>
      </c>
      <c r="AI80" s="115" t="s">
        <v>104</v>
      </c>
      <c r="AJ80" s="115" t="s">
        <v>105</v>
      </c>
    </row>
    <row r="81" spans="1:39" x14ac:dyDescent="0.25">
      <c r="A81" s="115">
        <v>2006</v>
      </c>
      <c r="B81">
        <f>Sce2Trees!B6*B$10*$D$3</f>
        <v>2454.5280000000002</v>
      </c>
      <c r="C81">
        <f>Sce2Trees!C6*C$10*$D$3</f>
        <v>697.85599999999999</v>
      </c>
      <c r="D81">
        <f>Sce2Trees!D6*D$10*$D$3</f>
        <v>18683.891199999998</v>
      </c>
      <c r="E81">
        <f>Sce2Trees!E6*E$10*$D$3</f>
        <v>4271.3599999999997</v>
      </c>
      <c r="F81">
        <f>Sce2Trees!F6*F$10*$D$3</f>
        <v>13293.434880000001</v>
      </c>
      <c r="G81">
        <f>Sce2Trees!G6*G$10*$D$3</f>
        <v>923.15520000000004</v>
      </c>
      <c r="H81">
        <f>Sce2Trees!H6*H$10*$D$3</f>
        <v>576.97199999999998</v>
      </c>
      <c r="I81">
        <f>Sce2Trees!I6*I$10*$D$3</f>
        <v>4662.9827999999998</v>
      </c>
      <c r="J81">
        <f>Sce2Trees!J6*J$10*$D$3</f>
        <v>3728.3220000000001</v>
      </c>
      <c r="K81">
        <f>Sce2Trees!K6*K$10*$D$3</f>
        <v>729.08279999999991</v>
      </c>
      <c r="L81">
        <f>Sce2Trees!L6*L$10*$D$3</f>
        <v>2109.4164000000001</v>
      </c>
      <c r="M81">
        <f>Sce2Trees!M6*M$10*$D$3</f>
        <v>3735.9078</v>
      </c>
      <c r="N81">
        <f>Sce2Trees!N6*N$10*$D$3</f>
        <v>10369.365600000001</v>
      </c>
      <c r="O81">
        <f>Sce2Trees!O6*O$10*$D$3</f>
        <v>16225.507319999999</v>
      </c>
      <c r="P81">
        <f>Sce2Trees!P6*P$10*$D$3</f>
        <v>239.5308</v>
      </c>
      <c r="Q81">
        <f>Sce2Trees!Q6*Q$10*$D$3</f>
        <v>30232.779140000006</v>
      </c>
      <c r="R81">
        <f>Sce2Trees!R6*R$10*$D$3</f>
        <v>401.38</v>
      </c>
      <c r="V81">
        <f>SUM(B81:R81)</f>
        <v>113335.47194000002</v>
      </c>
      <c r="Y81" s="79">
        <f>Y48</f>
        <v>4282.8557769999998</v>
      </c>
      <c r="AB81" s="79">
        <f>AB48</f>
        <v>3133.5314539999999</v>
      </c>
      <c r="AD81" s="79">
        <f>AD48</f>
        <v>1965.1263999999999</v>
      </c>
      <c r="AF81" s="79">
        <f>Y81+AB81+AD81</f>
        <v>9381.5136309999998</v>
      </c>
      <c r="AH81">
        <f>AH48</f>
        <v>2006</v>
      </c>
      <c r="AI81" s="79">
        <f>V81-AF81</f>
        <v>103953.95830900002</v>
      </c>
      <c r="AJ81">
        <f>-AI81*44/12/1000</f>
        <v>-381.16451379966674</v>
      </c>
      <c r="AM81" s="158">
        <f>AJ15-AJ81</f>
        <v>0</v>
      </c>
    </row>
    <row r="82" spans="1:39" x14ac:dyDescent="0.25">
      <c r="A82" s="115">
        <v>2007</v>
      </c>
      <c r="B82">
        <f>Sce2Trees!B7*B$10*$D$3</f>
        <v>2310.1440000000002</v>
      </c>
      <c r="C82">
        <f>Sce2Trees!C7*C$10*$D$3</f>
        <v>673.79200000000003</v>
      </c>
      <c r="D82">
        <f>Sce2Trees!D7*D$10*$D$3</f>
        <v>18848.128000000001</v>
      </c>
      <c r="E82">
        <f>Sce2Trees!E7*E$10*$D$3</f>
        <v>4271.3599999999997</v>
      </c>
      <c r="F82">
        <f>Sce2Trees!F7*F$10*$D$3</f>
        <v>13293.434880000001</v>
      </c>
      <c r="G82">
        <f>Sce2Trees!G7*G$10*$D$3</f>
        <v>923.15520000000004</v>
      </c>
      <c r="H82">
        <f>Sce2Trees!H7*H$10*$D$3</f>
        <v>576.97199999999998</v>
      </c>
      <c r="I82">
        <f>Sce2Trees!I7*I$10*$D$3</f>
        <v>4662.9827999999998</v>
      </c>
      <c r="J82">
        <f>Sce2Trees!J7*J$10*$D$3</f>
        <v>3728.3220000000001</v>
      </c>
      <c r="K82">
        <f>Sce2Trees!K7*K$10*$D$3</f>
        <v>729.08279999999991</v>
      </c>
      <c r="L82">
        <f>Sce2Trees!L7*L$10*$D$3</f>
        <v>2109.4164000000001</v>
      </c>
      <c r="M82">
        <f>Sce2Trees!M7*M$10*$D$3</f>
        <v>3735.9078</v>
      </c>
      <c r="N82">
        <f>Sce2Trees!N7*N$10*$D$3</f>
        <v>10562.535600000001</v>
      </c>
      <c r="O82">
        <f>Sce2Trees!O7*O$10*$D$3</f>
        <v>16175.154339999995</v>
      </c>
      <c r="P82">
        <f>Sce2Trees!P7*P$10*$D$3</f>
        <v>239.5308</v>
      </c>
      <c r="Q82">
        <f>Sce2Trees!Q7*Q$10*$D$3</f>
        <v>30166.908170000006</v>
      </c>
      <c r="R82">
        <f>Sce2Trees!R7*R$10*$D$3</f>
        <v>493.5</v>
      </c>
      <c r="V82">
        <f t="shared" ref="V82:V109" si="20">SUM(B82:R82)</f>
        <v>113500.32678999999</v>
      </c>
      <c r="Y82" s="79">
        <f t="shared" ref="Y82:Y109" si="21">Y49</f>
        <v>3483.0196470000005</v>
      </c>
      <c r="AB82" s="79">
        <f t="shared" ref="AB82:AB109" si="22">AB49</f>
        <v>3656.6579980000006</v>
      </c>
      <c r="AD82" s="79">
        <f t="shared" ref="AD82:AD109" si="23">AD49</f>
        <v>772.670976</v>
      </c>
      <c r="AF82" s="79">
        <f t="shared" ref="AF82:AF109" si="24">Y82+AB82+AD82</f>
        <v>7912.3486210000019</v>
      </c>
      <c r="AH82">
        <f t="shared" ref="AH82:AH109" si="25">AH49</f>
        <v>2007</v>
      </c>
      <c r="AI82" s="79">
        <f t="shared" ref="AI82:AI109" si="26">V82-AF82</f>
        <v>105587.97816899999</v>
      </c>
      <c r="AJ82">
        <f t="shared" ref="AJ82:AJ109" si="27">-AI82*44/12/1000</f>
        <v>-387.15591995299997</v>
      </c>
      <c r="AM82" s="158">
        <f t="shared" ref="AM82:AM109" si="28">AJ16-AJ82</f>
        <v>0</v>
      </c>
    </row>
    <row r="83" spans="1:39" x14ac:dyDescent="0.25">
      <c r="A83" s="115">
        <v>2008</v>
      </c>
      <c r="B83">
        <f>Sce2Trees!B8*B$10*$D$3</f>
        <v>2310.1440000000002</v>
      </c>
      <c r="C83">
        <f>Sce2Trees!C8*C$10*$D$3</f>
        <v>673.79200000000003</v>
      </c>
      <c r="D83">
        <f>Sce2Trees!D8*D$10*$D$3</f>
        <v>18871.590399999997</v>
      </c>
      <c r="E83">
        <f>Sce2Trees!E8*E$10*$D$3</f>
        <v>4271.3599999999997</v>
      </c>
      <c r="F83">
        <f>Sce2Trees!F8*F$10*$D$3</f>
        <v>13269.61152</v>
      </c>
      <c r="G83">
        <f>Sce2Trees!G8*G$10*$D$3</f>
        <v>923.15520000000004</v>
      </c>
      <c r="H83">
        <f>Sce2Trees!H8*H$10*$D$3</f>
        <v>576.97199999999998</v>
      </c>
      <c r="I83">
        <f>Sce2Trees!I8*I$10*$D$3</f>
        <v>4662.9827999999998</v>
      </c>
      <c r="J83">
        <f>Sce2Trees!J8*J$10*$D$3</f>
        <v>3728.3220000000001</v>
      </c>
      <c r="K83">
        <f>Sce2Trees!K8*K$10*$D$3</f>
        <v>729.08279999999991</v>
      </c>
      <c r="L83">
        <f>Sce2Trees!L8*L$10*$D$3</f>
        <v>2124.87</v>
      </c>
      <c r="M83">
        <f>Sce2Trees!M8*M$10*$D$3</f>
        <v>3735.9078</v>
      </c>
      <c r="N83">
        <f>Sce2Trees!N8*N$10*$D$3</f>
        <v>9785.9922000000006</v>
      </c>
      <c r="O83">
        <f>Sce2Trees!O8*O$10*$D$3</f>
        <v>16681.646079999999</v>
      </c>
      <c r="P83">
        <f>Sce2Trees!P8*P$10*$D$3</f>
        <v>239.5308</v>
      </c>
      <c r="Q83">
        <f>Sce2Trees!Q8*Q$10*$D$3</f>
        <v>30226.790870000004</v>
      </c>
      <c r="R83">
        <f>Sce2Trees!R8*R$10*$D$3</f>
        <v>552.71999999999991</v>
      </c>
      <c r="V83">
        <f t="shared" si="20"/>
        <v>113364.47047</v>
      </c>
      <c r="Y83" s="79">
        <f t="shared" si="21"/>
        <v>2823.0590419999999</v>
      </c>
      <c r="AB83" s="79">
        <f t="shared" si="22"/>
        <v>2673.7308300000004</v>
      </c>
      <c r="AD83" s="79">
        <f t="shared" si="23"/>
        <v>568.63232000000005</v>
      </c>
      <c r="AF83" s="79">
        <f t="shared" si="24"/>
        <v>6065.422192</v>
      </c>
      <c r="AH83">
        <f t="shared" si="25"/>
        <v>2008</v>
      </c>
      <c r="AI83" s="79">
        <f t="shared" si="26"/>
        <v>107299.048278</v>
      </c>
      <c r="AJ83">
        <f t="shared" si="27"/>
        <v>-393.42984368599997</v>
      </c>
      <c r="AM83" s="158">
        <f t="shared" si="28"/>
        <v>0</v>
      </c>
    </row>
    <row r="84" spans="1:39" x14ac:dyDescent="0.25">
      <c r="A84" s="115">
        <v>2009</v>
      </c>
      <c r="B84">
        <f>Sce2Trees!B9*B$10*$D$3</f>
        <v>2310.1440000000002</v>
      </c>
      <c r="C84">
        <f>Sce2Trees!C9*C$10*$D$3</f>
        <v>673.79200000000003</v>
      </c>
      <c r="D84">
        <f>Sce2Trees!D9*D$10*$D$3</f>
        <v>18871.590399999997</v>
      </c>
      <c r="E84">
        <f>Sce2Trees!E9*E$10*$D$3</f>
        <v>4271.3599999999997</v>
      </c>
      <c r="F84">
        <f>Sce2Trees!F9*F$10*$D$3</f>
        <v>13269.61152</v>
      </c>
      <c r="G84">
        <f>Sce2Trees!G9*G$10*$D$3</f>
        <v>923.15520000000004</v>
      </c>
      <c r="H84">
        <f>Sce2Trees!H9*H$10*$D$3</f>
        <v>576.97199999999998</v>
      </c>
      <c r="I84">
        <f>Sce2Trees!I9*I$10*$D$3</f>
        <v>4662.9827999999998</v>
      </c>
      <c r="J84">
        <f>Sce2Trees!J9*J$10*$D$3</f>
        <v>3728.3220000000001</v>
      </c>
      <c r="K84">
        <f>Sce2Trees!K9*K$10*$D$3</f>
        <v>729.08279999999991</v>
      </c>
      <c r="L84">
        <f>Sce2Trees!L9*L$10*$D$3</f>
        <v>2124.87</v>
      </c>
      <c r="M84">
        <f>Sce2Trees!M9*M$10*$D$3</f>
        <v>3735.9078</v>
      </c>
      <c r="N84">
        <f>Sce2Trees!N9*N$10*$D$3</f>
        <v>9565.7783999999992</v>
      </c>
      <c r="O84">
        <f>Sce2Trees!O9*O$10*$D$3</f>
        <v>16945.258739999997</v>
      </c>
      <c r="P84">
        <f>Sce2Trees!P9*P$10*$D$3</f>
        <v>239.5308</v>
      </c>
      <c r="Q84">
        <f>Sce2Trees!Q9*Q$10*$D$3</f>
        <v>30162.915990000001</v>
      </c>
      <c r="R84">
        <f>Sce2Trees!R9*R$10*$D$3</f>
        <v>644.83999999999992</v>
      </c>
      <c r="V84">
        <f t="shared" si="20"/>
        <v>113436.11444999999</v>
      </c>
      <c r="Y84" s="79">
        <f t="shared" si="21"/>
        <v>2531.7572250000003</v>
      </c>
      <c r="AB84" s="79">
        <f t="shared" si="22"/>
        <v>2810.5070809999997</v>
      </c>
      <c r="AD84" s="79">
        <f t="shared" si="23"/>
        <v>204.96211199999996</v>
      </c>
      <c r="AF84" s="79">
        <f t="shared" si="24"/>
        <v>5547.2264180000002</v>
      </c>
      <c r="AH84">
        <f t="shared" si="25"/>
        <v>2009</v>
      </c>
      <c r="AI84" s="79">
        <f t="shared" si="26"/>
        <v>107888.88803199999</v>
      </c>
      <c r="AJ84">
        <f t="shared" si="27"/>
        <v>-395.59258945066665</v>
      </c>
      <c r="AM84" s="158">
        <f t="shared" si="28"/>
        <v>0</v>
      </c>
    </row>
    <row r="85" spans="1:39" x14ac:dyDescent="0.25">
      <c r="A85" s="115">
        <v>2010</v>
      </c>
      <c r="B85">
        <f>Sce2Trees!B10*B$10*$D$3</f>
        <v>2298.1120000000001</v>
      </c>
      <c r="C85">
        <f>Sce2Trees!C10*C$10*$D$3</f>
        <v>673.79200000000003</v>
      </c>
      <c r="D85">
        <f>Sce2Trees!D10*D$10*$D$3</f>
        <v>19028.006399999998</v>
      </c>
      <c r="E85">
        <f>Sce2Trees!E10*E$10*$D$3</f>
        <v>4271.3599999999997</v>
      </c>
      <c r="F85">
        <f>Sce2Trees!F10*F$10*$D$3</f>
        <v>13256.616960000001</v>
      </c>
      <c r="G85">
        <f>Sce2Trees!G10*G$10*$D$3</f>
        <v>912.6647999999999</v>
      </c>
      <c r="H85">
        <f>Sce2Trees!H10*H$10*$D$3</f>
        <v>576.97199999999998</v>
      </c>
      <c r="I85">
        <f>Sce2Trees!I10*I$10*$D$3</f>
        <v>4662.9827999999998</v>
      </c>
      <c r="J85">
        <f>Sce2Trees!J10*J$10*$D$3</f>
        <v>3723.9228000000003</v>
      </c>
      <c r="K85">
        <f>Sce2Trees!K10*K$10*$D$3</f>
        <v>729.08279999999991</v>
      </c>
      <c r="L85">
        <f>Sce2Trees!L10*L$10*$D$3</f>
        <v>2182.8209999999999</v>
      </c>
      <c r="M85">
        <f>Sce2Trees!M10*M$10*$D$3</f>
        <v>3728.181</v>
      </c>
      <c r="N85">
        <f>Sce2Trees!N10*N$10*$D$3</f>
        <v>9202.6188000000002</v>
      </c>
      <c r="O85">
        <f>Sce2Trees!O10*O$10*$D$3</f>
        <v>17229.604979999996</v>
      </c>
      <c r="P85">
        <f>Sce2Trees!P10*P$10*$D$3</f>
        <v>231.804</v>
      </c>
      <c r="Q85">
        <f>Sce2Trees!Q10*Q$10*$D$3</f>
        <v>30140.959000000003</v>
      </c>
      <c r="R85">
        <f>Sce2Trees!R10*R$10*$D$3</f>
        <v>736.95999999999992</v>
      </c>
      <c r="V85">
        <f t="shared" si="20"/>
        <v>113586.46133999999</v>
      </c>
      <c r="Y85" s="79">
        <f t="shared" si="21"/>
        <v>2504.7232480000002</v>
      </c>
      <c r="AB85" s="79">
        <f t="shared" si="22"/>
        <v>4808.8560890000008</v>
      </c>
      <c r="AD85" s="79">
        <f t="shared" si="23"/>
        <v>326.98163200000005</v>
      </c>
      <c r="AF85" s="79">
        <f t="shared" si="24"/>
        <v>7640.560969000001</v>
      </c>
      <c r="AH85">
        <f t="shared" si="25"/>
        <v>2010</v>
      </c>
      <c r="AI85" s="79">
        <f t="shared" si="26"/>
        <v>105945.900371</v>
      </c>
      <c r="AJ85">
        <f t="shared" si="27"/>
        <v>-388.46830136033333</v>
      </c>
      <c r="AM85" s="158">
        <f t="shared" si="28"/>
        <v>0</v>
      </c>
    </row>
    <row r="86" spans="1:39" x14ac:dyDescent="0.25">
      <c r="A86" s="115">
        <v>2011</v>
      </c>
      <c r="B86">
        <f>Sce2Trees!B11*B$10*$D$3</f>
        <v>2298.1120000000001</v>
      </c>
      <c r="C86">
        <f>Sce2Trees!C11*C$10*$D$3</f>
        <v>673.79200000000003</v>
      </c>
      <c r="D86">
        <f>Sce2Trees!D11*D$10*$D$3</f>
        <v>19059.2896</v>
      </c>
      <c r="E86">
        <f>Sce2Trees!E11*E$10*$D$3</f>
        <v>4271.3599999999997</v>
      </c>
      <c r="F86">
        <f>Sce2Trees!F11*F$10*$D$3</f>
        <v>13256.616960000001</v>
      </c>
      <c r="G86">
        <f>Sce2Trees!G11*G$10*$D$3</f>
        <v>912.6647999999999</v>
      </c>
      <c r="H86">
        <f>Sce2Trees!H11*H$10*$D$3</f>
        <v>576.97199999999998</v>
      </c>
      <c r="I86">
        <f>Sce2Trees!I11*I$10*$D$3</f>
        <v>4662.9827999999998</v>
      </c>
      <c r="J86">
        <f>Sce2Trees!J11*J$10*$D$3</f>
        <v>3723.9228000000003</v>
      </c>
      <c r="K86">
        <f>Sce2Trees!K11*K$10*$D$3</f>
        <v>729.08279999999991</v>
      </c>
      <c r="L86">
        <f>Sce2Trees!L11*L$10*$D$3</f>
        <v>2182.8209999999999</v>
      </c>
      <c r="M86">
        <f>Sce2Trees!M11*M$10*$D$3</f>
        <v>3728.181</v>
      </c>
      <c r="N86">
        <f>Sce2Trees!N11*N$10*$D$3</f>
        <v>8762.1912000000011</v>
      </c>
      <c r="O86">
        <f>Sce2Trees!O11*O$10*$D$3</f>
        <v>17499.141519999997</v>
      </c>
      <c r="P86">
        <f>Sce2Trees!P11*P$10*$D$3</f>
        <v>231.804</v>
      </c>
      <c r="Q86">
        <f>Sce2Trees!Q11*Q$10*$D$3</f>
        <v>30140.959000000003</v>
      </c>
      <c r="R86">
        <f>Sce2Trees!R11*R$10*$D$3</f>
        <v>835.66</v>
      </c>
      <c r="V86">
        <f t="shared" si="20"/>
        <v>113545.55348</v>
      </c>
      <c r="Y86" s="79">
        <f t="shared" si="21"/>
        <v>2261.2982160000001</v>
      </c>
      <c r="AB86" s="79">
        <f t="shared" si="22"/>
        <v>3312.3270680000001</v>
      </c>
      <c r="AD86" s="79">
        <f t="shared" si="23"/>
        <v>313.08226559999997</v>
      </c>
      <c r="AF86" s="79">
        <f t="shared" si="24"/>
        <v>5886.7075495999998</v>
      </c>
      <c r="AH86">
        <f t="shared" si="25"/>
        <v>2011</v>
      </c>
      <c r="AI86" s="79">
        <f t="shared" si="26"/>
        <v>107658.8459304</v>
      </c>
      <c r="AJ86">
        <f t="shared" si="27"/>
        <v>-394.74910174480004</v>
      </c>
      <c r="AM86" s="158">
        <f t="shared" si="28"/>
        <v>0</v>
      </c>
    </row>
    <row r="87" spans="1:39" x14ac:dyDescent="0.25">
      <c r="A87" s="115">
        <v>2012</v>
      </c>
      <c r="B87">
        <f>Sce2Trees!B12*B$10*$D$3</f>
        <v>2298.1120000000001</v>
      </c>
      <c r="C87">
        <f>Sce2Trees!C12*C$10*$D$3</f>
        <v>673.79200000000003</v>
      </c>
      <c r="D87">
        <f>Sce2Trees!D12*D$10*$D$3</f>
        <v>19059.2896</v>
      </c>
      <c r="E87">
        <f>Sce2Trees!E12*E$10*$D$3</f>
        <v>4271.3599999999997</v>
      </c>
      <c r="F87">
        <f>Sce2Trees!F12*F$10*$D$3</f>
        <v>13256.616960000001</v>
      </c>
      <c r="G87">
        <f>Sce2Trees!G12*G$10*$D$3</f>
        <v>912.6647999999999</v>
      </c>
      <c r="H87">
        <f>Sce2Trees!H12*H$10*$D$3</f>
        <v>576.97199999999998</v>
      </c>
      <c r="I87">
        <f>Sce2Trees!I12*I$10*$D$3</f>
        <v>4662.9827999999998</v>
      </c>
      <c r="J87">
        <f>Sce2Trees!J12*J$10*$D$3</f>
        <v>3723.9228000000003</v>
      </c>
      <c r="K87">
        <f>Sce2Trees!K12*K$10*$D$3</f>
        <v>729.08279999999991</v>
      </c>
      <c r="L87">
        <f>Sce2Trees!L12*L$10*$D$3</f>
        <v>2182.8209999999999</v>
      </c>
      <c r="M87">
        <f>Sce2Trees!M12*M$10*$D$3</f>
        <v>3728.181</v>
      </c>
      <c r="N87">
        <f>Sce2Trees!N12*N$10*$D$3</f>
        <v>8511.0702000000001</v>
      </c>
      <c r="O87">
        <f>Sce2Trees!O12*O$10*$D$3</f>
        <v>17700.55344</v>
      </c>
      <c r="P87">
        <f>Sce2Trees!P12*P$10*$D$3</f>
        <v>231.804</v>
      </c>
      <c r="Q87">
        <f>Sce2Trees!Q12*Q$10*$D$3</f>
        <v>30140.959000000003</v>
      </c>
      <c r="R87">
        <f>Sce2Trees!R12*R$10*$D$3</f>
        <v>921.19999999999993</v>
      </c>
      <c r="V87">
        <f t="shared" si="20"/>
        <v>113581.3844</v>
      </c>
      <c r="Y87" s="79">
        <f t="shared" si="21"/>
        <v>1601.3437210000002</v>
      </c>
      <c r="AB87" s="79">
        <f t="shared" si="22"/>
        <v>2628.9626719999997</v>
      </c>
      <c r="AD87" s="79">
        <f t="shared" si="23"/>
        <v>335.21152000000001</v>
      </c>
      <c r="AF87" s="79">
        <f t="shared" si="24"/>
        <v>4565.5179129999997</v>
      </c>
      <c r="AH87">
        <f t="shared" si="25"/>
        <v>2012</v>
      </c>
      <c r="AI87" s="79">
        <f t="shared" si="26"/>
        <v>109015.86648699999</v>
      </c>
      <c r="AJ87">
        <f t="shared" si="27"/>
        <v>-399.72484378566662</v>
      </c>
      <c r="AM87" s="158">
        <f t="shared" si="28"/>
        <v>0</v>
      </c>
    </row>
    <row r="88" spans="1:39" x14ac:dyDescent="0.25">
      <c r="A88" s="115">
        <v>2013</v>
      </c>
      <c r="B88">
        <f>Sce2Trees!B13*B$10*$D$3</f>
        <v>2298.1120000000001</v>
      </c>
      <c r="C88">
        <f>Sce2Trees!C13*C$10*$D$3</f>
        <v>667.77600000000007</v>
      </c>
      <c r="D88">
        <f>Sce2Trees!D13*D$10*$D$3</f>
        <v>18785.561599999997</v>
      </c>
      <c r="E88">
        <f>Sce2Trees!E13*E$10*$D$3</f>
        <v>4271.3599999999997</v>
      </c>
      <c r="F88">
        <f>Sce2Trees!F13*F$10*$D$3</f>
        <v>13257.699840000001</v>
      </c>
      <c r="G88">
        <f>Sce2Trees!G13*G$10*$D$3</f>
        <v>912.6647999999999</v>
      </c>
      <c r="H88">
        <f>Sce2Trees!H13*H$10*$D$3</f>
        <v>576.97199999999998</v>
      </c>
      <c r="I88">
        <f>Sce2Trees!I13*I$10*$D$3</f>
        <v>4662.9827999999998</v>
      </c>
      <c r="J88">
        <f>Sce2Trees!J13*J$10*$D$3</f>
        <v>3723.9228000000003</v>
      </c>
      <c r="K88">
        <f>Sce2Trees!K13*K$10*$D$3</f>
        <v>729.08279999999991</v>
      </c>
      <c r="L88">
        <f>Sce2Trees!L13*L$10*$D$3</f>
        <v>2182.8209999999999</v>
      </c>
      <c r="M88">
        <f>Sce2Trees!M13*M$10*$D$3</f>
        <v>3728.181</v>
      </c>
      <c r="N88">
        <f>Sce2Trees!N13*N$10*$D$3</f>
        <v>8673.3330000000005</v>
      </c>
      <c r="O88">
        <f>Sce2Trees!O13*O$10*$D$3</f>
        <v>17576.151959999999</v>
      </c>
      <c r="P88">
        <f>Sce2Trees!P13*P$10*$D$3</f>
        <v>231.804</v>
      </c>
      <c r="Q88">
        <f>Sce2Trees!Q13*Q$10*$D$3</f>
        <v>30140.959000000003</v>
      </c>
      <c r="R88">
        <f>Sce2Trees!R13*R$10*$D$3</f>
        <v>1052.8</v>
      </c>
      <c r="V88">
        <f t="shared" si="20"/>
        <v>113472.18459999999</v>
      </c>
      <c r="Y88" s="79">
        <f t="shared" si="21"/>
        <v>735.98127199999999</v>
      </c>
      <c r="AB88" s="79">
        <f t="shared" si="22"/>
        <v>2007.9723990000002</v>
      </c>
      <c r="AD88" s="79">
        <f t="shared" si="23"/>
        <v>348.458752</v>
      </c>
      <c r="AF88" s="79">
        <f t="shared" si="24"/>
        <v>3092.4124230000002</v>
      </c>
      <c r="AH88">
        <f t="shared" si="25"/>
        <v>2013</v>
      </c>
      <c r="AI88" s="79">
        <f t="shared" si="26"/>
        <v>110379.77217699999</v>
      </c>
      <c r="AJ88">
        <f t="shared" si="27"/>
        <v>-404.72583131566665</v>
      </c>
      <c r="AM88" s="158">
        <f t="shared" si="28"/>
        <v>0</v>
      </c>
    </row>
    <row r="89" spans="1:39" x14ac:dyDescent="0.25">
      <c r="A89" s="115">
        <v>2014</v>
      </c>
      <c r="B89">
        <f>Sce2Trees!B14*B$10*$D$3</f>
        <v>2298.1120000000001</v>
      </c>
      <c r="C89">
        <f>Sce2Trees!C14*C$10*$D$3</f>
        <v>637.69600000000003</v>
      </c>
      <c r="D89">
        <f>Sce2Trees!D14*D$10*$D$3</f>
        <v>18785.561599999997</v>
      </c>
      <c r="E89">
        <f>Sce2Trees!E14*E$10*$D$3</f>
        <v>4271.3599999999997</v>
      </c>
      <c r="F89">
        <f>Sce2Trees!F14*F$10*$D$3</f>
        <v>13257.699840000001</v>
      </c>
      <c r="G89">
        <f>Sce2Trees!G14*G$10*$D$3</f>
        <v>912.6647999999999</v>
      </c>
      <c r="H89">
        <f>Sce2Trees!H14*H$10*$D$3</f>
        <v>576.97199999999998</v>
      </c>
      <c r="I89">
        <f>Sce2Trees!I14*I$10*$D$3</f>
        <v>4662.9827999999998</v>
      </c>
      <c r="J89">
        <f>Sce2Trees!J14*J$10*$D$3</f>
        <v>3723.9228000000003</v>
      </c>
      <c r="K89">
        <f>Sce2Trees!K14*K$10*$D$3</f>
        <v>729.08279999999991</v>
      </c>
      <c r="L89">
        <f>Sce2Trees!L14*L$10*$D$3</f>
        <v>2182.8209999999999</v>
      </c>
      <c r="M89">
        <f>Sce2Trees!M14*M$10*$D$3</f>
        <v>3728.181</v>
      </c>
      <c r="N89">
        <f>Sce2Trees!N14*N$10*$D$3</f>
        <v>8773.7813999999998</v>
      </c>
      <c r="O89">
        <f>Sce2Trees!O14*O$10*$D$3</f>
        <v>17374.740039999997</v>
      </c>
      <c r="P89">
        <f>Sce2Trees!P14*P$10*$D$3</f>
        <v>231.804</v>
      </c>
      <c r="Q89">
        <f>Sce2Trees!Q14*Q$10*$D$3</f>
        <v>30224.794780000004</v>
      </c>
      <c r="R89">
        <f>Sce2Trees!R14*R$10*$D$3</f>
        <v>1190.98</v>
      </c>
      <c r="V89">
        <f t="shared" si="20"/>
        <v>113563.15686</v>
      </c>
      <c r="Y89" s="79">
        <f t="shared" si="21"/>
        <v>633.73239599999988</v>
      </c>
      <c r="AB89" s="79">
        <f t="shared" si="22"/>
        <v>1866.0603639999999</v>
      </c>
      <c r="AD89" s="79">
        <f t="shared" si="23"/>
        <v>765.03065600000002</v>
      </c>
      <c r="AF89" s="79">
        <f t="shared" si="24"/>
        <v>3264.8234159999997</v>
      </c>
      <c r="AH89">
        <f t="shared" si="25"/>
        <v>2014</v>
      </c>
      <c r="AI89" s="79">
        <f t="shared" si="26"/>
        <v>110298.333444</v>
      </c>
      <c r="AJ89">
        <f t="shared" si="27"/>
        <v>-404.42722262800004</v>
      </c>
      <c r="AM89" s="158">
        <f t="shared" si="28"/>
        <v>0</v>
      </c>
    </row>
    <row r="90" spans="1:39" x14ac:dyDescent="0.25">
      <c r="A90" s="116">
        <f>A89+1</f>
        <v>2015</v>
      </c>
      <c r="B90">
        <f>Sce2Trees!B15*B$10*$D$3</f>
        <v>2298.1120000000001</v>
      </c>
      <c r="C90">
        <f>Sce2Trees!C15*C$10*$D$3</f>
        <v>637.69600000000003</v>
      </c>
      <c r="D90">
        <f>Sce2Trees!D15*D$10*$D$3</f>
        <v>18785.561599999997</v>
      </c>
      <c r="E90">
        <f>Sce2Trees!E15*E$10*$D$3</f>
        <v>4271.3599999999997</v>
      </c>
      <c r="F90">
        <f>Sce2Trees!F15*F$10*$D$3</f>
        <v>13257.699840000001</v>
      </c>
      <c r="G90">
        <f>Sce2Trees!G15*G$10*$D$3</f>
        <v>912.6647999999999</v>
      </c>
      <c r="H90">
        <f>Sce2Trees!H15*H$10*$D$3</f>
        <v>576.97199999999998</v>
      </c>
      <c r="I90">
        <f>Sce2Trees!I15*I$10*$D$3</f>
        <v>4662.9827999999998</v>
      </c>
      <c r="J90">
        <f>Sce2Trees!J15*J$10*$D$3</f>
        <v>3723.9228000000003</v>
      </c>
      <c r="K90">
        <f>Sce2Trees!K15*K$10*$D$3</f>
        <v>729.08279999999991</v>
      </c>
      <c r="L90">
        <f>Sce2Trees!L15*L$10*$D$3</f>
        <v>2182.8209999999999</v>
      </c>
      <c r="M90">
        <f>Sce2Trees!M15*M$10*$D$3</f>
        <v>3728.181</v>
      </c>
      <c r="N90">
        <f>Sce2Trees!N15*N$10*$D$3</f>
        <v>8773.7813999999998</v>
      </c>
      <c r="O90">
        <f>Sce2Trees!O15*O$10*$D$3</f>
        <v>17274.034079999998</v>
      </c>
      <c r="P90">
        <f>Sce2Trees!P15*P$10*$D$3</f>
        <v>231.804</v>
      </c>
      <c r="Q90">
        <f>Sce2Trees!Q15*Q$10*$D$3</f>
        <v>30224.794780000004</v>
      </c>
      <c r="R90">
        <f>Sce2Trees!R15*R$10*$D$3</f>
        <v>1197.56</v>
      </c>
      <c r="V90">
        <f t="shared" si="20"/>
        <v>113469.03089999998</v>
      </c>
      <c r="Y90" s="79">
        <f t="shared" si="21"/>
        <v>633.73239599999988</v>
      </c>
      <c r="AB90" s="79">
        <f t="shared" si="22"/>
        <v>1734.2071773343039</v>
      </c>
      <c r="AD90" s="79">
        <f t="shared" si="23"/>
        <v>424.77924035555566</v>
      </c>
      <c r="AF90" s="79">
        <f t="shared" si="24"/>
        <v>2792.7188136898594</v>
      </c>
      <c r="AH90">
        <f t="shared" si="25"/>
        <v>2015</v>
      </c>
      <c r="AI90" s="79">
        <f t="shared" si="26"/>
        <v>110676.31208631012</v>
      </c>
      <c r="AJ90">
        <f t="shared" si="27"/>
        <v>-405.81314431647041</v>
      </c>
      <c r="AM90" s="158">
        <f t="shared" si="28"/>
        <v>-0.34512852000011662</v>
      </c>
    </row>
    <row r="91" spans="1:39" x14ac:dyDescent="0.25">
      <c r="A91" s="116">
        <f t="shared" ref="A91:A105" si="29">A90+1</f>
        <v>2016</v>
      </c>
      <c r="B91">
        <f>Sce2Trees!B16*B$10*$D$3</f>
        <v>2298.1120000000001</v>
      </c>
      <c r="C91">
        <f>Sce2Trees!C16*C$10*$D$3</f>
        <v>651.41248000000007</v>
      </c>
      <c r="D91">
        <f>Sce2Trees!D16*D$10*$D$3</f>
        <v>18785.561599999997</v>
      </c>
      <c r="E91">
        <f>Sce2Trees!E16*E$10*$D$3</f>
        <v>4282.3091199999999</v>
      </c>
      <c r="F91">
        <f>Sce2Trees!F16*F$10*$D$3</f>
        <v>13264.446182399999</v>
      </c>
      <c r="G91">
        <f>Sce2Trees!G16*G$10*$D$3</f>
        <v>912.6647999999999</v>
      </c>
      <c r="H91">
        <f>Sce2Trees!H16*H$10*$D$3</f>
        <v>580.30031781818184</v>
      </c>
      <c r="I91">
        <f>Sce2Trees!I16*I$10*$D$3</f>
        <v>4669.6442039999993</v>
      </c>
      <c r="J91">
        <f>Sce2Trees!J16*J$10*$D$3</f>
        <v>3725.9904239999996</v>
      </c>
      <c r="K91">
        <f>Sce2Trees!K16*K$10*$D$3</f>
        <v>733.85593199999994</v>
      </c>
      <c r="L91">
        <f>Sce2Trees!L16*L$10*$D$3</f>
        <v>2182.8209999999999</v>
      </c>
      <c r="M91">
        <f>Sce2Trees!M16*M$10*$D$3</f>
        <v>3728.181</v>
      </c>
      <c r="N91">
        <f>Sce2Trees!N16*N$10*$D$3</f>
        <v>8787.1101299999991</v>
      </c>
      <c r="O91">
        <f>Sce2Trees!O16*O$10*$D$3</f>
        <v>17288.843779999999</v>
      </c>
      <c r="P91">
        <f>Sce2Trees!P16*P$10*$D$3</f>
        <v>236.63325</v>
      </c>
      <c r="Q91">
        <f>Sce2Trees!Q16*Q$10*$D$3</f>
        <v>30233.936872200004</v>
      </c>
      <c r="R91">
        <f>Sce2Trees!R16*R$10*$D$3</f>
        <v>1204.1399999999999</v>
      </c>
      <c r="V91">
        <f t="shared" si="20"/>
        <v>113565.96309241818</v>
      </c>
      <c r="Y91" s="79">
        <f t="shared" si="21"/>
        <v>633.73239599999988</v>
      </c>
      <c r="AB91" s="79">
        <f t="shared" si="22"/>
        <v>1611.6978159978828</v>
      </c>
      <c r="AD91" s="79">
        <f t="shared" si="23"/>
        <v>414.07344388148152</v>
      </c>
      <c r="AF91" s="79">
        <f t="shared" si="24"/>
        <v>2659.5036558793645</v>
      </c>
      <c r="AH91">
        <f t="shared" si="25"/>
        <v>2016</v>
      </c>
      <c r="AI91" s="79">
        <f t="shared" si="26"/>
        <v>110906.45943653882</v>
      </c>
      <c r="AJ91">
        <f t="shared" si="27"/>
        <v>-406.65701793397568</v>
      </c>
      <c r="AM91" s="158">
        <f t="shared" si="28"/>
        <v>1.0289518866670733E-2</v>
      </c>
    </row>
    <row r="92" spans="1:39" x14ac:dyDescent="0.25">
      <c r="A92" s="116">
        <f t="shared" si="29"/>
        <v>2017</v>
      </c>
      <c r="B92">
        <f>Sce2Trees!B17*B$10*$D$3</f>
        <v>2298.1120000000001</v>
      </c>
      <c r="C92">
        <f>Sce2Trees!C17*C$10*$D$3</f>
        <v>669.76520480841509</v>
      </c>
      <c r="D92">
        <f>Sce2Trees!D17*D$10*$D$3</f>
        <v>18785.561599999997</v>
      </c>
      <c r="E92">
        <f>Sce2Trees!E17*E$10*$D$3</f>
        <v>4296.967845885315</v>
      </c>
      <c r="F92">
        <f>Sce2Trees!F17*F$10*$D$3</f>
        <v>13274.069937001228</v>
      </c>
      <c r="G92">
        <f>Sce2Trees!G17*G$10*$D$3</f>
        <v>912.6647999999999</v>
      </c>
      <c r="H92">
        <f>Sce2Trees!H17*H$10*$D$3</f>
        <v>584.76073906249144</v>
      </c>
      <c r="I92">
        <f>Sce2Trees!I17*I$10*$D$3</f>
        <v>4678.5394853353564</v>
      </c>
      <c r="J92">
        <f>Sce2Trees!J17*J$10*$D$3</f>
        <v>3728.9394890840222</v>
      </c>
      <c r="K92">
        <f>Sce2Trees!K17*K$10*$D$3</f>
        <v>740.24622031562978</v>
      </c>
      <c r="L92">
        <f>Sce2Trees!L17*L$10*$D$3</f>
        <v>2182.8209999999999</v>
      </c>
      <c r="M92">
        <f>Sce2Trees!M17*M$10*$D$3</f>
        <v>3728.181</v>
      </c>
      <c r="N92">
        <f>Sce2Trees!N17*N$10*$D$3</f>
        <v>8804.9919475338975</v>
      </c>
      <c r="O92">
        <f>Sce2Trees!O17*O$10*$D$3</f>
        <v>17303.653479999997</v>
      </c>
      <c r="P92">
        <f>Sce2Trees!P17*P$10*$D$3</f>
        <v>243.10513473901477</v>
      </c>
      <c r="Q92">
        <f>Sce2Trees!Q17*Q$10*$D$3</f>
        <v>30246.98147209331</v>
      </c>
      <c r="R92">
        <f>Sce2Trees!R17*R$10*$D$3</f>
        <v>1210.72</v>
      </c>
      <c r="V92">
        <f t="shared" si="20"/>
        <v>113690.08135585867</v>
      </c>
      <c r="Y92" s="79">
        <f t="shared" si="21"/>
        <v>633.73239599999988</v>
      </c>
      <c r="AB92" s="79">
        <f t="shared" si="22"/>
        <v>1497.8682256455554</v>
      </c>
      <c r="AD92" s="79">
        <f t="shared" si="23"/>
        <v>389.78932085466391</v>
      </c>
      <c r="AF92" s="79">
        <f t="shared" si="24"/>
        <v>2521.3899425002191</v>
      </c>
      <c r="AH92">
        <f t="shared" si="25"/>
        <v>2017</v>
      </c>
      <c r="AI92" s="79">
        <f t="shared" si="26"/>
        <v>111168.69141335845</v>
      </c>
      <c r="AJ92">
        <f t="shared" si="27"/>
        <v>-407.6185351823143</v>
      </c>
      <c r="AM92" s="158">
        <f t="shared" si="28"/>
        <v>0.46538981814848057</v>
      </c>
    </row>
    <row r="93" spans="1:39" x14ac:dyDescent="0.25">
      <c r="A93" s="116">
        <f t="shared" si="29"/>
        <v>2018</v>
      </c>
      <c r="B93">
        <f>Sce2Trees!B18*B$10*$D$3</f>
        <v>2298.1120000000001</v>
      </c>
      <c r="C93">
        <f>Sce2Trees!C18*C$10*$D$3</f>
        <v>688.64229318278478</v>
      </c>
      <c r="D93">
        <f>Sce2Trees!D18*D$10*$D$3</f>
        <v>18785.561599999997</v>
      </c>
      <c r="E93">
        <f>Sce2Trees!E18*E$10*$D$3</f>
        <v>4312.0453925102111</v>
      </c>
      <c r="F93">
        <f>Sce2Trees!F18*F$10*$D$3</f>
        <v>13285.948399823314</v>
      </c>
      <c r="G93">
        <f>Sce2Trees!G18*G$10*$D$3</f>
        <v>912.6647999999999</v>
      </c>
      <c r="H93">
        <f>Sce2Trees!H18*H$10*$D$3</f>
        <v>589.3486009137813</v>
      </c>
      <c r="I93">
        <f>Sce2Trees!I18*I$10*$D$3</f>
        <v>4687.6889175660099</v>
      </c>
      <c r="J93">
        <f>Sce2Trees!J18*J$10*$D$3</f>
        <v>3732.5794779877301</v>
      </c>
      <c r="K93">
        <f>Sce2Trees!K18*K$10*$D$3</f>
        <v>746.81908829742031</v>
      </c>
      <c r="L93">
        <f>Sce2Trees!L18*L$10*$D$3</f>
        <v>2182.8209999999999</v>
      </c>
      <c r="M93">
        <f>Sce2Trees!M18*M$10*$D$3</f>
        <v>3728.181</v>
      </c>
      <c r="N93">
        <f>Sce2Trees!N18*N$10*$D$3</f>
        <v>8823.3846741401921</v>
      </c>
      <c r="O93">
        <f>Sce2Trees!O18*O$10*$D$3</f>
        <v>17318.463179999995</v>
      </c>
      <c r="P93">
        <f>Sce2Trees!P18*P$10*$D$3</f>
        <v>249.76193047057288</v>
      </c>
      <c r="Q93">
        <f>Sce2Trees!Q18*Q$10*$D$3</f>
        <v>30263.082235390189</v>
      </c>
      <c r="R93">
        <f>Sce2Trees!R18*R$10*$D$3</f>
        <v>1217.3</v>
      </c>
      <c r="V93">
        <f t="shared" si="20"/>
        <v>113822.4045902822</v>
      </c>
      <c r="Y93" s="79">
        <f t="shared" si="21"/>
        <v>633.73239599999988</v>
      </c>
      <c r="AB93" s="79">
        <f t="shared" si="22"/>
        <v>1392.1016775782759</v>
      </c>
      <c r="AD93" s="79">
        <f t="shared" si="23"/>
        <v>392.42571229520462</v>
      </c>
      <c r="AF93" s="79">
        <f t="shared" si="24"/>
        <v>2418.2597858734803</v>
      </c>
      <c r="AH93">
        <f t="shared" si="25"/>
        <v>2018</v>
      </c>
      <c r="AI93" s="79">
        <f t="shared" si="26"/>
        <v>111404.14480440872</v>
      </c>
      <c r="AJ93">
        <f t="shared" si="27"/>
        <v>-408.48186428283196</v>
      </c>
      <c r="AM93" s="158">
        <f t="shared" si="28"/>
        <v>0.95057501103474351</v>
      </c>
    </row>
    <row r="94" spans="1:39" x14ac:dyDescent="0.25">
      <c r="A94" s="116">
        <f t="shared" si="29"/>
        <v>2019</v>
      </c>
      <c r="B94">
        <f>Sce2Trees!B19*B$10*$D$3</f>
        <v>2298.1120000000001</v>
      </c>
      <c r="C94">
        <f>Sce2Trees!C19*C$10*$D$3</f>
        <v>707.94840629293572</v>
      </c>
      <c r="D94">
        <f>Sce2Trees!D19*D$10*$D$3</f>
        <v>18785.561599999997</v>
      </c>
      <c r="E94">
        <f>Sce2Trees!E19*E$10*$D$3</f>
        <v>4327.4656106493094</v>
      </c>
      <c r="F94">
        <f>Sce2Trees!F19*F$10*$D$3</f>
        <v>13300.121565690573</v>
      </c>
      <c r="G94">
        <f>Sce2Trees!G19*G$10*$D$3</f>
        <v>912.6647999999999</v>
      </c>
      <c r="H94">
        <f>Sce2Trees!H19*H$10*$D$3</f>
        <v>594.04073235260046</v>
      </c>
      <c r="I94">
        <f>Sce2Trees!I19*I$10*$D$3</f>
        <v>4697.0462914382679</v>
      </c>
      <c r="J94">
        <f>Sce2Trees!J19*J$10*$D$3</f>
        <v>3736.9226465660176</v>
      </c>
      <c r="K94">
        <f>Sce2Trees!K19*K$10*$D$3</f>
        <v>753.5413396424334</v>
      </c>
      <c r="L94">
        <f>Sce2Trees!L19*L$10*$D$3</f>
        <v>2182.8209999999999</v>
      </c>
      <c r="M94">
        <f>Sce2Trees!M19*M$10*$D$3</f>
        <v>3728.181</v>
      </c>
      <c r="N94">
        <f>Sce2Trees!N19*N$10*$D$3</f>
        <v>8842.1954172602673</v>
      </c>
      <c r="O94">
        <f>Sce2Trees!O19*O$10*$D$3</f>
        <v>17318.463179999995</v>
      </c>
      <c r="P94">
        <f>Sce2Trees!P19*P$10*$D$3</f>
        <v>256.57001701421188</v>
      </c>
      <c r="Q94">
        <f>Sce2Trees!Q19*Q$10*$D$3</f>
        <v>30282.293373414872</v>
      </c>
      <c r="R94">
        <f>Sce2Trees!R19*R$10*$D$3</f>
        <v>1223.8799999999999</v>
      </c>
      <c r="V94">
        <f t="shared" si="20"/>
        <v>113947.82898032147</v>
      </c>
      <c r="Y94" s="79">
        <f t="shared" si="21"/>
        <v>633.73239599999988</v>
      </c>
      <c r="AB94" s="79">
        <f t="shared" si="22"/>
        <v>1293.8253867956814</v>
      </c>
      <c r="AD94" s="79">
        <f t="shared" si="23"/>
        <v>406.88354243544057</v>
      </c>
      <c r="AF94" s="79">
        <f t="shared" si="24"/>
        <v>2334.4413252311219</v>
      </c>
      <c r="AH94">
        <f t="shared" si="25"/>
        <v>2019</v>
      </c>
      <c r="AI94" s="79">
        <f t="shared" si="26"/>
        <v>111613.38765509035</v>
      </c>
      <c r="AJ94">
        <f t="shared" si="27"/>
        <v>-409.24908806866461</v>
      </c>
      <c r="AM94" s="158">
        <f t="shared" si="28"/>
        <v>1.4104644411787035</v>
      </c>
    </row>
    <row r="95" spans="1:39" x14ac:dyDescent="0.25">
      <c r="A95" s="116">
        <f t="shared" si="29"/>
        <v>2020</v>
      </c>
      <c r="B95">
        <f>Sce2Trees!B20*B$10*$D$3</f>
        <v>2298.1120000000001</v>
      </c>
      <c r="C95">
        <f>Sce2Trees!C20*C$10*$D$3</f>
        <v>727.61204001623753</v>
      </c>
      <c r="D95">
        <f>Sce2Trees!D20*D$10*$D$3</f>
        <v>18785.561599999997</v>
      </c>
      <c r="E95">
        <f>Sce2Trees!E20*E$10*$D$3</f>
        <v>4343.1713883835764</v>
      </c>
      <c r="F95">
        <f>Sce2Trees!F20*F$10*$D$3</f>
        <v>13316.61943072125</v>
      </c>
      <c r="G95">
        <f>Sce2Trees!G20*G$10*$D$3</f>
        <v>912.6647999999999</v>
      </c>
      <c r="H95">
        <f>Sce2Trees!H20*H$10*$D$3</f>
        <v>598.81975511436076</v>
      </c>
      <c r="I95">
        <f>Sce2Trees!I20*I$10*$D$3</f>
        <v>4706.576950011864</v>
      </c>
      <c r="J95">
        <f>Sce2Trees!J20*J$10*$D$3</f>
        <v>3741.978186710056</v>
      </c>
      <c r="K95">
        <f>Sce2Trees!K20*K$10*$D$3</f>
        <v>760.38807712346522</v>
      </c>
      <c r="L95">
        <f>Sce2Trees!L20*L$10*$D$3</f>
        <v>2182.8209999999999</v>
      </c>
      <c r="M95">
        <f>Sce2Trees!M20*M$10*$D$3</f>
        <v>3728.181</v>
      </c>
      <c r="N95">
        <f>Sce2Trees!N20*N$10*$D$3</f>
        <v>8861.3545074751564</v>
      </c>
      <c r="O95">
        <f>Sce2Trees!O20*O$10*$D$3</f>
        <v>17318.463179999995</v>
      </c>
      <c r="P95">
        <f>Sce2Trees!P20*P$10*$D$3</f>
        <v>263.5041792345848</v>
      </c>
      <c r="Q95">
        <f>Sce2Trees!Q20*Q$10*$D$3</f>
        <v>30304.655544660542</v>
      </c>
      <c r="R95">
        <f>Sce2Trees!R20*R$10*$D$3</f>
        <v>1230.46</v>
      </c>
      <c r="V95">
        <f t="shared" si="20"/>
        <v>114080.94363945107</v>
      </c>
      <c r="Y95" s="79">
        <f t="shared" si="21"/>
        <v>578.20462199999997</v>
      </c>
      <c r="AB95" s="79">
        <f t="shared" si="22"/>
        <v>1202.5073723594628</v>
      </c>
      <c r="AD95" s="79">
        <f t="shared" si="23"/>
        <v>420.2704593713172</v>
      </c>
      <c r="AF95" s="79">
        <f t="shared" si="24"/>
        <v>2200.98245373078</v>
      </c>
      <c r="AH95">
        <f t="shared" si="25"/>
        <v>2020</v>
      </c>
      <c r="AI95" s="79">
        <f t="shared" si="26"/>
        <v>111879.96118572028</v>
      </c>
      <c r="AJ95">
        <f t="shared" si="27"/>
        <v>-410.22652434764103</v>
      </c>
      <c r="AM95" s="158">
        <f t="shared" si="28"/>
        <v>1.8985515246538398</v>
      </c>
    </row>
    <row r="96" spans="1:39" x14ac:dyDescent="0.25">
      <c r="A96" s="116">
        <f t="shared" si="29"/>
        <v>2021</v>
      </c>
      <c r="B96">
        <f>Sce2Trees!B21*B$10*$D$3</f>
        <v>2373.3119999999999</v>
      </c>
      <c r="C96">
        <f>Sce2Trees!C21*C$10*$D$3</f>
        <v>727.61204001623753</v>
      </c>
      <c r="D96">
        <f>Sce2Trees!D21*D$10*$D$3</f>
        <v>18981.081599999998</v>
      </c>
      <c r="E96">
        <f>Sce2Trees!E21*E$10*$D$3</f>
        <v>4418.3713883835762</v>
      </c>
      <c r="F96">
        <f>Sce2Trees!F21*F$10*$D$3</f>
        <v>13370.76343072125</v>
      </c>
      <c r="G96">
        <f>Sce2Trees!G21*G$10*$D$3</f>
        <v>912.6647999999999</v>
      </c>
      <c r="H96">
        <f>Sce2Trees!H21*H$10*$D$3</f>
        <v>598.81975511436076</v>
      </c>
      <c r="I96">
        <f>Sce2Trees!I21*I$10*$D$3</f>
        <v>4706.576950011864</v>
      </c>
      <c r="J96">
        <f>Sce2Trees!J21*J$10*$D$3</f>
        <v>3741.978186710056</v>
      </c>
      <c r="K96">
        <f>Sce2Trees!K21*K$10*$D$3</f>
        <v>760.38807712346522</v>
      </c>
      <c r="L96">
        <f>Sce2Trees!L21*L$10*$D$3</f>
        <v>2182.8209999999999</v>
      </c>
      <c r="M96">
        <f>Sce2Trees!M21*M$10*$D$3</f>
        <v>3728.181</v>
      </c>
      <c r="N96">
        <f>Sce2Trees!N21*N$10*$D$3</f>
        <v>8861.3545074751564</v>
      </c>
      <c r="O96">
        <f>Sce2Trees!O21*O$10*$D$3</f>
        <v>17318.463179999995</v>
      </c>
      <c r="P96">
        <f>Sce2Trees!P21*P$10*$D$3</f>
        <v>263.5041792345848</v>
      </c>
      <c r="Q96">
        <f>Sce2Trees!Q21*Q$10*$D$3</f>
        <v>30304.655544660542</v>
      </c>
      <c r="R96">
        <f>Sce2Trees!R21*R$10*$D$3</f>
        <v>1237.04</v>
      </c>
      <c r="V96">
        <f t="shared" si="20"/>
        <v>114487.58763945107</v>
      </c>
      <c r="Y96" s="79">
        <f t="shared" si="21"/>
        <v>578.20462199999997</v>
      </c>
      <c r="AB96" s="79">
        <f t="shared" si="22"/>
        <v>1117.6535426627943</v>
      </c>
      <c r="AD96" s="79">
        <f t="shared" si="23"/>
        <v>431.77875631429509</v>
      </c>
      <c r="AF96" s="79">
        <f t="shared" si="24"/>
        <v>2127.6369209770892</v>
      </c>
      <c r="AH96">
        <f t="shared" si="25"/>
        <v>2021</v>
      </c>
      <c r="AI96" s="79">
        <f t="shared" si="26"/>
        <v>112359.95071847398</v>
      </c>
      <c r="AJ96">
        <f t="shared" si="27"/>
        <v>-411.98648596773791</v>
      </c>
      <c r="AM96" s="158">
        <f t="shared" si="28"/>
        <v>3.3895795246539819</v>
      </c>
    </row>
    <row r="97" spans="1:39" x14ac:dyDescent="0.25">
      <c r="A97" s="116">
        <f t="shared" si="29"/>
        <v>2022</v>
      </c>
      <c r="B97">
        <f>Sce2Trees!B22*B$10*$D$3</f>
        <v>2448.5120000000002</v>
      </c>
      <c r="C97">
        <f>Sce2Trees!C22*C$10*$D$3</f>
        <v>727.61204001623753</v>
      </c>
      <c r="D97">
        <f>Sce2Trees!D22*D$10*$D$3</f>
        <v>19176.601599999998</v>
      </c>
      <c r="E97">
        <f>Sce2Trees!E22*E$10*$D$3</f>
        <v>4493.571388383576</v>
      </c>
      <c r="F97">
        <f>Sce2Trees!F22*F$10*$D$3</f>
        <v>13424.907430721249</v>
      </c>
      <c r="G97">
        <f>Sce2Trees!G22*G$10*$D$3</f>
        <v>912.6647999999999</v>
      </c>
      <c r="H97">
        <f>Sce2Trees!H22*H$10*$D$3</f>
        <v>598.81975511436076</v>
      </c>
      <c r="I97">
        <f>Sce2Trees!I22*I$10*$D$3</f>
        <v>4706.576950011864</v>
      </c>
      <c r="J97">
        <f>Sce2Trees!J22*J$10*$D$3</f>
        <v>3741.978186710056</v>
      </c>
      <c r="K97">
        <f>Sce2Trees!K22*K$10*$D$3</f>
        <v>760.38807712346522</v>
      </c>
      <c r="L97">
        <f>Sce2Trees!L22*L$10*$D$3</f>
        <v>2182.8209999999999</v>
      </c>
      <c r="M97">
        <f>Sce2Trees!M22*M$10*$D$3</f>
        <v>3728.181</v>
      </c>
      <c r="N97">
        <f>Sce2Trees!N22*N$10*$D$3</f>
        <v>8861.3545074751564</v>
      </c>
      <c r="O97">
        <f>Sce2Trees!O22*O$10*$D$3</f>
        <v>17318.463179999995</v>
      </c>
      <c r="P97">
        <f>Sce2Trees!P22*P$10*$D$3</f>
        <v>263.5041792345848</v>
      </c>
      <c r="Q97">
        <f>Sce2Trees!Q22*Q$10*$D$3</f>
        <v>30304.655544660542</v>
      </c>
      <c r="R97">
        <f>Sce2Trees!R22*R$10*$D$3</f>
        <v>1243.6199999999999</v>
      </c>
      <c r="V97">
        <f t="shared" si="20"/>
        <v>114894.23163945109</v>
      </c>
      <c r="Y97" s="79">
        <f t="shared" si="21"/>
        <v>578.20462199999997</v>
      </c>
      <c r="AB97" s="79">
        <f t="shared" si="22"/>
        <v>1038.8049894541894</v>
      </c>
      <c r="AD97" s="79">
        <f t="shared" si="23"/>
        <v>443.97461240644088</v>
      </c>
      <c r="AF97" s="79">
        <f t="shared" si="24"/>
        <v>2060.9842238606302</v>
      </c>
      <c r="AH97">
        <f t="shared" si="25"/>
        <v>2022</v>
      </c>
      <c r="AI97" s="79">
        <f t="shared" si="26"/>
        <v>112833.24741559045</v>
      </c>
      <c r="AJ97">
        <f t="shared" si="27"/>
        <v>-413.72190719049826</v>
      </c>
      <c r="AM97" s="158">
        <f t="shared" si="28"/>
        <v>4.8806075246538967</v>
      </c>
    </row>
    <row r="98" spans="1:39" x14ac:dyDescent="0.25">
      <c r="A98" s="116">
        <f t="shared" si="29"/>
        <v>2023</v>
      </c>
      <c r="B98">
        <f>Sce2Trees!B23*B$10*$D$3</f>
        <v>2523.712</v>
      </c>
      <c r="C98">
        <f>Sce2Trees!C23*C$10*$D$3</f>
        <v>727.61204001623753</v>
      </c>
      <c r="D98">
        <f>Sce2Trees!D23*D$10*$D$3</f>
        <v>19372.121599999999</v>
      </c>
      <c r="E98">
        <f>Sce2Trees!E23*E$10*$D$3</f>
        <v>4568.7713883835768</v>
      </c>
      <c r="F98">
        <f>Sce2Trees!F23*F$10*$D$3</f>
        <v>13479.051430721249</v>
      </c>
      <c r="G98">
        <f>Sce2Trees!G23*G$10*$D$3</f>
        <v>912.6647999999999</v>
      </c>
      <c r="H98">
        <f>Sce2Trees!H23*H$10*$D$3</f>
        <v>598.81975511436076</v>
      </c>
      <c r="I98">
        <f>Sce2Trees!I23*I$10*$D$3</f>
        <v>4706.576950011864</v>
      </c>
      <c r="J98">
        <f>Sce2Trees!J23*J$10*$D$3</f>
        <v>3741.978186710056</v>
      </c>
      <c r="K98">
        <f>Sce2Trees!K23*K$10*$D$3</f>
        <v>760.38807712346522</v>
      </c>
      <c r="L98">
        <f>Sce2Trees!L23*L$10*$D$3</f>
        <v>2182.8209999999999</v>
      </c>
      <c r="M98">
        <f>Sce2Trees!M23*M$10*$D$3</f>
        <v>3728.181</v>
      </c>
      <c r="N98">
        <f>Sce2Trees!N23*N$10*$D$3</f>
        <v>8861.3545074751564</v>
      </c>
      <c r="O98">
        <f>Sce2Trees!O23*O$10*$D$3</f>
        <v>17318.463179999995</v>
      </c>
      <c r="P98">
        <f>Sce2Trees!P23*P$10*$D$3</f>
        <v>263.5041792345848</v>
      </c>
      <c r="Q98">
        <f>Sce2Trees!Q23*Q$10*$D$3</f>
        <v>30304.655544660542</v>
      </c>
      <c r="R98">
        <f>Sce2Trees!R23*R$10*$D$3</f>
        <v>1250.1999999999998</v>
      </c>
      <c r="V98">
        <f t="shared" si="20"/>
        <v>115300.87563945107</v>
      </c>
      <c r="Y98" s="79">
        <f t="shared" si="21"/>
        <v>578.20462199999997</v>
      </c>
      <c r="AB98" s="79">
        <f t="shared" si="22"/>
        <v>965.53547562687743</v>
      </c>
      <c r="AD98" s="79">
        <f t="shared" si="23"/>
        <v>432.06379374284359</v>
      </c>
      <c r="AF98" s="79">
        <f t="shared" si="24"/>
        <v>1975.803891369721</v>
      </c>
      <c r="AH98">
        <f t="shared" si="25"/>
        <v>2023</v>
      </c>
      <c r="AI98" s="79">
        <f t="shared" si="26"/>
        <v>113325.07174808135</v>
      </c>
      <c r="AJ98">
        <f t="shared" si="27"/>
        <v>-415.52526307629824</v>
      </c>
      <c r="AM98" s="158">
        <f t="shared" si="28"/>
        <v>6.3716355246539251</v>
      </c>
    </row>
    <row r="99" spans="1:39" x14ac:dyDescent="0.25">
      <c r="A99" s="116">
        <f t="shared" si="29"/>
        <v>2024</v>
      </c>
      <c r="B99">
        <f>Sce2Trees!B24*B$10*$D$3</f>
        <v>2598.9119999999998</v>
      </c>
      <c r="C99">
        <f>Sce2Trees!C24*C$10*$D$3</f>
        <v>727.61204001623753</v>
      </c>
      <c r="D99">
        <f>Sce2Trees!D24*D$10*$D$3</f>
        <v>19567.641599999999</v>
      </c>
      <c r="E99">
        <f>Sce2Trees!E24*E$10*$D$3</f>
        <v>4643.9713883835766</v>
      </c>
      <c r="F99">
        <f>Sce2Trees!F24*F$10*$D$3</f>
        <v>13533.195430721249</v>
      </c>
      <c r="G99">
        <f>Sce2Trees!G24*G$10*$D$3</f>
        <v>912.6647999999999</v>
      </c>
      <c r="H99">
        <f>Sce2Trees!H24*H$10*$D$3</f>
        <v>598.81975511436076</v>
      </c>
      <c r="I99">
        <f>Sce2Trees!I24*I$10*$D$3</f>
        <v>4706.576950011864</v>
      </c>
      <c r="J99">
        <f>Sce2Trees!J24*J$10*$D$3</f>
        <v>3741.978186710056</v>
      </c>
      <c r="K99">
        <f>Sce2Trees!K24*K$10*$D$3</f>
        <v>760.38807712346522</v>
      </c>
      <c r="L99">
        <f>Sce2Trees!L24*L$10*$D$3</f>
        <v>2182.8209999999999</v>
      </c>
      <c r="M99">
        <f>Sce2Trees!M24*M$10*$D$3</f>
        <v>3728.181</v>
      </c>
      <c r="N99">
        <f>Sce2Trees!N24*N$10*$D$3</f>
        <v>8861.3545074751564</v>
      </c>
      <c r="O99">
        <f>Sce2Trees!O24*O$10*$D$3</f>
        <v>17318.463179999995</v>
      </c>
      <c r="P99">
        <f>Sce2Trees!P24*P$10*$D$3</f>
        <v>263.5041792345848</v>
      </c>
      <c r="Q99">
        <f>Sce2Trees!Q24*Q$10*$D$3</f>
        <v>30304.655544660542</v>
      </c>
      <c r="R99">
        <f>Sce2Trees!R24*R$10*$D$3</f>
        <v>1256.78</v>
      </c>
      <c r="V99">
        <f t="shared" si="20"/>
        <v>115707.51963945109</v>
      </c>
      <c r="Y99" s="79">
        <f t="shared" si="21"/>
        <v>578.20462199999997</v>
      </c>
      <c r="AB99" s="79">
        <f t="shared" si="22"/>
        <v>897.44910286362961</v>
      </c>
      <c r="AD99" s="79">
        <f t="shared" si="23"/>
        <v>416.45187703410386</v>
      </c>
      <c r="AF99" s="79">
        <f t="shared" si="24"/>
        <v>1892.1056018977333</v>
      </c>
      <c r="AH99">
        <f t="shared" si="25"/>
        <v>2024</v>
      </c>
      <c r="AI99" s="79">
        <f t="shared" si="26"/>
        <v>113815.41403755335</v>
      </c>
      <c r="AJ99">
        <f t="shared" si="27"/>
        <v>-417.32318480436226</v>
      </c>
      <c r="AM99" s="158">
        <f t="shared" si="28"/>
        <v>7.8626635246539536</v>
      </c>
    </row>
    <row r="100" spans="1:39" x14ac:dyDescent="0.25">
      <c r="A100" s="116">
        <f t="shared" si="29"/>
        <v>2025</v>
      </c>
      <c r="B100">
        <f>Sce2Trees!B25*B$10*$D$3</f>
        <v>2674.1120000000001</v>
      </c>
      <c r="C100">
        <f>Sce2Trees!C25*C$10*$D$3</f>
        <v>727.61204001623753</v>
      </c>
      <c r="D100">
        <f>Sce2Trees!D25*D$10*$D$3</f>
        <v>19763.161599999999</v>
      </c>
      <c r="E100">
        <f>Sce2Trees!E25*E$10*$D$3</f>
        <v>4719.1713883835764</v>
      </c>
      <c r="F100">
        <f>Sce2Trees!F25*F$10*$D$3</f>
        <v>13587.339430721249</v>
      </c>
      <c r="G100">
        <f>Sce2Trees!G25*G$10*$D$3</f>
        <v>912.6647999999999</v>
      </c>
      <c r="H100">
        <f>Sce2Trees!H25*H$10*$D$3</f>
        <v>598.81975511436076</v>
      </c>
      <c r="I100">
        <f>Sce2Trees!I25*I$10*$D$3</f>
        <v>4706.576950011864</v>
      </c>
      <c r="J100">
        <f>Sce2Trees!J25*J$10*$D$3</f>
        <v>3741.978186710056</v>
      </c>
      <c r="K100">
        <f>Sce2Trees!K25*K$10*$D$3</f>
        <v>760.38807712346522</v>
      </c>
      <c r="L100">
        <f>Sce2Trees!L25*L$10*$D$3</f>
        <v>2182.8209999999999</v>
      </c>
      <c r="M100">
        <f>Sce2Trees!M25*M$10*$D$3</f>
        <v>3728.181</v>
      </c>
      <c r="N100">
        <f>Sce2Trees!N25*N$10*$D$3</f>
        <v>8861.3545074751564</v>
      </c>
      <c r="O100">
        <f>Sce2Trees!O25*O$10*$D$3</f>
        <v>17318.463179999995</v>
      </c>
      <c r="P100">
        <f>Sce2Trees!P25*P$10*$D$3</f>
        <v>263.5041792345848</v>
      </c>
      <c r="Q100">
        <f>Sce2Trees!Q25*Q$10*$D$3</f>
        <v>30304.655544660542</v>
      </c>
      <c r="R100">
        <f>Sce2Trees!R25*R$10*$D$3</f>
        <v>1263.3599999999999</v>
      </c>
      <c r="V100">
        <f t="shared" si="20"/>
        <v>116114.16363945107</v>
      </c>
      <c r="Y100" s="79">
        <f t="shared" si="21"/>
        <v>525.03700000000003</v>
      </c>
      <c r="AB100" s="79">
        <f t="shared" si="22"/>
        <v>834.17814622795413</v>
      </c>
      <c r="AD100" s="79">
        <f t="shared" si="23"/>
        <v>417.62232403171566</v>
      </c>
      <c r="AF100" s="79">
        <f t="shared" si="24"/>
        <v>1776.8374702596698</v>
      </c>
      <c r="AH100">
        <f t="shared" si="25"/>
        <v>2025</v>
      </c>
      <c r="AI100" s="79">
        <f t="shared" si="26"/>
        <v>114337.32616919141</v>
      </c>
      <c r="AJ100">
        <f t="shared" si="27"/>
        <v>-419.23686262036853</v>
      </c>
      <c r="AM100" s="158">
        <f t="shared" si="28"/>
        <v>9.3536915246539252</v>
      </c>
    </row>
    <row r="101" spans="1:39" x14ac:dyDescent="0.25">
      <c r="A101" s="116">
        <f t="shared" si="29"/>
        <v>2026</v>
      </c>
      <c r="B101">
        <f>Sce2Trees!B26*B$10*$D$3</f>
        <v>2786.9119999999998</v>
      </c>
      <c r="C101">
        <f>Sce2Trees!C26*C$10*$D$3</f>
        <v>727.61204001623753</v>
      </c>
      <c r="D101">
        <f>Sce2Trees!D26*D$10*$D$3</f>
        <v>20056.441599999998</v>
      </c>
      <c r="E101">
        <f>Sce2Trees!E26*E$10*$D$3</f>
        <v>4831.9713883835766</v>
      </c>
      <c r="F101">
        <f>Sce2Trees!F26*F$10*$D$3</f>
        <v>13668.55543072125</v>
      </c>
      <c r="G101">
        <f>Sce2Trees!G26*G$10*$D$3</f>
        <v>912.6647999999999</v>
      </c>
      <c r="H101">
        <f>Sce2Trees!H26*H$10*$D$3</f>
        <v>598.81975511436076</v>
      </c>
      <c r="I101">
        <f>Sce2Trees!I26*I$10*$D$3</f>
        <v>4706.576950011864</v>
      </c>
      <c r="J101">
        <f>Sce2Trees!J26*J$10*$D$3</f>
        <v>3741.978186710056</v>
      </c>
      <c r="K101">
        <f>Sce2Trees!K26*K$10*$D$3</f>
        <v>760.38807712346522</v>
      </c>
      <c r="L101">
        <f>Sce2Trees!L26*L$10*$D$3</f>
        <v>2182.8209999999999</v>
      </c>
      <c r="M101">
        <f>Sce2Trees!M26*M$10*$D$3</f>
        <v>3728.181</v>
      </c>
      <c r="N101">
        <f>Sce2Trees!N26*N$10*$D$3</f>
        <v>8861.3545074751564</v>
      </c>
      <c r="O101">
        <f>Sce2Trees!O26*O$10*$D$3</f>
        <v>17318.463179999995</v>
      </c>
      <c r="P101">
        <f>Sce2Trees!P26*P$10*$D$3</f>
        <v>263.5041792345848</v>
      </c>
      <c r="Q101">
        <f>Sce2Trees!Q26*Q$10*$D$3</f>
        <v>30304.655544660542</v>
      </c>
      <c r="R101">
        <f>Sce2Trees!R26*R$10*$D$3</f>
        <v>1269.9399999999998</v>
      </c>
      <c r="V101">
        <f t="shared" si="20"/>
        <v>116720.83963945106</v>
      </c>
      <c r="Y101" s="79">
        <f t="shared" si="21"/>
        <v>525.03700000000003</v>
      </c>
      <c r="AB101" s="79">
        <f t="shared" si="22"/>
        <v>775.38104372138878</v>
      </c>
      <c r="AD101" s="79">
        <f t="shared" si="23"/>
        <v>419.16381209581971</v>
      </c>
      <c r="AF101" s="79">
        <f t="shared" si="24"/>
        <v>1719.5818558172086</v>
      </c>
      <c r="AH101">
        <f t="shared" si="25"/>
        <v>2026</v>
      </c>
      <c r="AI101" s="79">
        <f t="shared" si="26"/>
        <v>115001.25778363386</v>
      </c>
      <c r="AJ101">
        <f t="shared" si="27"/>
        <v>-421.67127853999085</v>
      </c>
      <c r="AM101" s="158">
        <f t="shared" si="28"/>
        <v>11.578170191320623</v>
      </c>
    </row>
    <row r="102" spans="1:39" x14ac:dyDescent="0.25">
      <c r="A102" s="116">
        <f t="shared" si="29"/>
        <v>2027</v>
      </c>
      <c r="B102">
        <f>Sce2Trees!B27*B$10*$D$3</f>
        <v>2899.712</v>
      </c>
      <c r="C102">
        <f>Sce2Trees!C27*C$10*$D$3</f>
        <v>727.61204001623753</v>
      </c>
      <c r="D102">
        <f>Sce2Trees!D27*D$10*$D$3</f>
        <v>20349.721599999997</v>
      </c>
      <c r="E102">
        <f>Sce2Trees!E27*E$10*$D$3</f>
        <v>4944.7713883835768</v>
      </c>
      <c r="F102">
        <f>Sce2Trees!F27*F$10*$D$3</f>
        <v>13749.771430721248</v>
      </c>
      <c r="G102">
        <f>Sce2Trees!G27*G$10*$D$3</f>
        <v>912.6647999999999</v>
      </c>
      <c r="H102">
        <f>Sce2Trees!H27*H$10*$D$3</f>
        <v>598.81975511436076</v>
      </c>
      <c r="I102">
        <f>Sce2Trees!I27*I$10*$D$3</f>
        <v>4706.576950011864</v>
      </c>
      <c r="J102">
        <f>Sce2Trees!J27*J$10*$D$3</f>
        <v>3741.978186710056</v>
      </c>
      <c r="K102">
        <f>Sce2Trees!K27*K$10*$D$3</f>
        <v>760.38807712346522</v>
      </c>
      <c r="L102">
        <f>Sce2Trees!L27*L$10*$D$3</f>
        <v>2182.8209999999999</v>
      </c>
      <c r="M102">
        <f>Sce2Trees!M27*M$10*$D$3</f>
        <v>3728.181</v>
      </c>
      <c r="N102">
        <f>Sce2Trees!N27*N$10*$D$3</f>
        <v>8861.3545074751564</v>
      </c>
      <c r="O102">
        <f>Sce2Trees!O27*O$10*$D$3</f>
        <v>17318.463179999995</v>
      </c>
      <c r="P102">
        <f>Sce2Trees!P27*P$10*$D$3</f>
        <v>263.5041792345848</v>
      </c>
      <c r="Q102">
        <f>Sce2Trees!Q27*Q$10*$D$3</f>
        <v>30304.655544660542</v>
      </c>
      <c r="R102">
        <f>Sce2Trees!R27*R$10*$D$3</f>
        <v>1276.52</v>
      </c>
      <c r="V102">
        <f t="shared" si="20"/>
        <v>117327.51563945109</v>
      </c>
      <c r="Y102" s="79">
        <f t="shared" si="21"/>
        <v>525.03700000000003</v>
      </c>
      <c r="AB102" s="79">
        <f t="shared" si="22"/>
        <v>720.74052968842989</v>
      </c>
      <c r="AD102" s="79">
        <f t="shared" si="23"/>
        <v>421.03615224274193</v>
      </c>
      <c r="AF102" s="79">
        <f t="shared" si="24"/>
        <v>1666.8136819311719</v>
      </c>
      <c r="AH102">
        <f t="shared" si="25"/>
        <v>2027</v>
      </c>
      <c r="AI102" s="79">
        <f t="shared" si="26"/>
        <v>115660.70195751991</v>
      </c>
      <c r="AJ102">
        <f t="shared" si="27"/>
        <v>-424.08924051090634</v>
      </c>
      <c r="AM102" s="158">
        <f t="shared" si="28"/>
        <v>13.802648857987322</v>
      </c>
    </row>
    <row r="103" spans="1:39" x14ac:dyDescent="0.25">
      <c r="A103" s="116">
        <f t="shared" si="29"/>
        <v>2028</v>
      </c>
      <c r="B103">
        <f>Sce2Trees!B28*B$10*$D$3</f>
        <v>3012.5120000000002</v>
      </c>
      <c r="C103">
        <f>Sce2Trees!C28*C$10*$D$3</f>
        <v>727.61204001623753</v>
      </c>
      <c r="D103">
        <f>Sce2Trees!D28*D$10*$D$3</f>
        <v>20643.0016</v>
      </c>
      <c r="E103">
        <f>Sce2Trees!E28*E$10*$D$3</f>
        <v>5057.571388383576</v>
      </c>
      <c r="F103">
        <f>Sce2Trees!F28*F$10*$D$3</f>
        <v>13830.987430721249</v>
      </c>
      <c r="G103">
        <f>Sce2Trees!G28*G$10*$D$3</f>
        <v>912.6647999999999</v>
      </c>
      <c r="H103">
        <f>Sce2Trees!H28*H$10*$D$3</f>
        <v>598.81975511436076</v>
      </c>
      <c r="I103">
        <f>Sce2Trees!I28*I$10*$D$3</f>
        <v>4706.576950011864</v>
      </c>
      <c r="J103">
        <f>Sce2Trees!J28*J$10*$D$3</f>
        <v>3741.978186710056</v>
      </c>
      <c r="K103">
        <f>Sce2Trees!K28*K$10*$D$3</f>
        <v>760.38807712346522</v>
      </c>
      <c r="L103">
        <f>Sce2Trees!L28*L$10*$D$3</f>
        <v>2182.8209999999999</v>
      </c>
      <c r="M103">
        <f>Sce2Trees!M28*M$10*$D$3</f>
        <v>3728.181</v>
      </c>
      <c r="N103">
        <f>Sce2Trees!N28*N$10*$D$3</f>
        <v>8861.3545074751564</v>
      </c>
      <c r="O103">
        <f>Sce2Trees!O28*O$10*$D$3</f>
        <v>17318.463179999995</v>
      </c>
      <c r="P103">
        <f>Sce2Trees!P28*P$10*$D$3</f>
        <v>263.5041792345848</v>
      </c>
      <c r="Q103">
        <f>Sce2Trees!Q28*Q$10*$D$3</f>
        <v>30304.655544660542</v>
      </c>
      <c r="R103">
        <f>Sce2Trees!R28*R$10*$D$3</f>
        <v>1283.0999999999999</v>
      </c>
      <c r="V103">
        <f t="shared" si="20"/>
        <v>117934.19163945108</v>
      </c>
      <c r="Y103" s="79">
        <f t="shared" si="21"/>
        <v>525.03700000000003</v>
      </c>
      <c r="AB103" s="79">
        <f t="shared" si="22"/>
        <v>669.9619017503253</v>
      </c>
      <c r="AD103" s="79">
        <f t="shared" si="23"/>
        <v>423.8758167982416</v>
      </c>
      <c r="AF103" s="79">
        <f t="shared" si="24"/>
        <v>1618.874718548567</v>
      </c>
      <c r="AH103">
        <f t="shared" si="25"/>
        <v>2028</v>
      </c>
      <c r="AI103" s="79">
        <f t="shared" si="26"/>
        <v>116315.31692090251</v>
      </c>
      <c r="AJ103">
        <f t="shared" si="27"/>
        <v>-426.48949537664254</v>
      </c>
      <c r="AM103" s="158">
        <f t="shared" si="28"/>
        <v>16.027127524653963</v>
      </c>
    </row>
    <row r="104" spans="1:39" x14ac:dyDescent="0.25">
      <c r="A104" s="116">
        <f t="shared" si="29"/>
        <v>2029</v>
      </c>
      <c r="B104">
        <f>Sce2Trees!B29*B$10*$D$3</f>
        <v>3125.3119999999999</v>
      </c>
      <c r="C104">
        <f>Sce2Trees!C29*C$10*$D$3</f>
        <v>727.61204001623753</v>
      </c>
      <c r="D104">
        <f>Sce2Trees!D29*D$10*$D$3</f>
        <v>20936.281599999998</v>
      </c>
      <c r="E104">
        <f>Sce2Trees!E29*E$10*$D$3</f>
        <v>5170.3713883835762</v>
      </c>
      <c r="F104">
        <f>Sce2Trees!F29*F$10*$D$3</f>
        <v>13912.203430721251</v>
      </c>
      <c r="G104">
        <f>Sce2Trees!G29*G$10*$D$3</f>
        <v>912.6647999999999</v>
      </c>
      <c r="H104">
        <f>Sce2Trees!H29*H$10*$D$3</f>
        <v>598.81975511436076</v>
      </c>
      <c r="I104">
        <f>Sce2Trees!I29*I$10*$D$3</f>
        <v>4706.576950011864</v>
      </c>
      <c r="J104">
        <f>Sce2Trees!J29*J$10*$D$3</f>
        <v>3741.978186710056</v>
      </c>
      <c r="K104">
        <f>Sce2Trees!K29*K$10*$D$3</f>
        <v>760.38807712346522</v>
      </c>
      <c r="L104">
        <f>Sce2Trees!L29*L$10*$D$3</f>
        <v>2182.8209999999999</v>
      </c>
      <c r="M104">
        <f>Sce2Trees!M29*M$10*$D$3</f>
        <v>3728.181</v>
      </c>
      <c r="N104">
        <f>Sce2Trees!N29*N$10*$D$3</f>
        <v>8861.3545074751564</v>
      </c>
      <c r="O104">
        <f>Sce2Trees!O29*O$10*$D$3</f>
        <v>17318.463179999995</v>
      </c>
      <c r="P104">
        <f>Sce2Trees!P29*P$10*$D$3</f>
        <v>263.5041792345848</v>
      </c>
      <c r="Q104">
        <f>Sce2Trees!Q29*Q$10*$D$3</f>
        <v>30304.655544660542</v>
      </c>
      <c r="R104">
        <f>Sce2Trees!R29*R$10*$D$3</f>
        <v>1289.6799999999998</v>
      </c>
      <c r="V104">
        <f t="shared" si="20"/>
        <v>118540.86763945108</v>
      </c>
      <c r="Y104" s="79">
        <f t="shared" si="21"/>
        <v>525.03700000000003</v>
      </c>
      <c r="AB104" s="79">
        <f t="shared" si="22"/>
        <v>622.77141169097672</v>
      </c>
      <c r="AD104" s="79">
        <f t="shared" si="23"/>
        <v>425.12630302211403</v>
      </c>
      <c r="AF104" s="79">
        <f t="shared" si="24"/>
        <v>1572.9347147130907</v>
      </c>
      <c r="AH104">
        <f t="shared" si="25"/>
        <v>2029</v>
      </c>
      <c r="AI104" s="79">
        <f t="shared" si="26"/>
        <v>116967.93292473799</v>
      </c>
      <c r="AJ104">
        <f t="shared" si="27"/>
        <v>-428.88242072403926</v>
      </c>
      <c r="AM104" s="158">
        <f t="shared" si="28"/>
        <v>18.251606191320604</v>
      </c>
    </row>
    <row r="105" spans="1:39" x14ac:dyDescent="0.25">
      <c r="A105" s="116">
        <f t="shared" si="29"/>
        <v>2030</v>
      </c>
      <c r="B105">
        <f>Sce2Trees!B30*B$10*$D$3</f>
        <v>3238.1120000000001</v>
      </c>
      <c r="C105">
        <f>Sce2Trees!C30*C$10*$D$3</f>
        <v>727.61204001623753</v>
      </c>
      <c r="D105">
        <f>Sce2Trees!D30*D$10*$D$3</f>
        <v>21229.561599999997</v>
      </c>
      <c r="E105">
        <f>Sce2Trees!E30*E$10*$D$3</f>
        <v>5283.1713883835764</v>
      </c>
      <c r="F105">
        <f>Sce2Trees!F30*F$10*$D$3</f>
        <v>13993.419430721249</v>
      </c>
      <c r="G105">
        <f>Sce2Trees!G30*G$10*$D$3</f>
        <v>912.6647999999999</v>
      </c>
      <c r="H105">
        <f>Sce2Trees!H30*H$10*$D$3</f>
        <v>598.81975511436076</v>
      </c>
      <c r="I105">
        <f>Sce2Trees!I30*I$10*$D$3</f>
        <v>4706.576950011864</v>
      </c>
      <c r="J105">
        <f>Sce2Trees!J30*J$10*$D$3</f>
        <v>3741.978186710056</v>
      </c>
      <c r="K105">
        <f>Sce2Trees!K30*K$10*$D$3</f>
        <v>760.38807712346522</v>
      </c>
      <c r="L105">
        <f>Sce2Trees!L30*L$10*$D$3</f>
        <v>2182.8209999999999</v>
      </c>
      <c r="M105">
        <f>Sce2Trees!M30*M$10*$D$3</f>
        <v>3728.181</v>
      </c>
      <c r="N105">
        <f>Sce2Trees!N30*N$10*$D$3</f>
        <v>8861.3545074751564</v>
      </c>
      <c r="O105">
        <f>Sce2Trees!O30*O$10*$D$3</f>
        <v>17318.463179999995</v>
      </c>
      <c r="P105">
        <f>Sce2Trees!P30*P$10*$D$3</f>
        <v>263.5041792345848</v>
      </c>
      <c r="Q105">
        <f>Sce2Trees!Q30*Q$10*$D$3</f>
        <v>30304.655544660542</v>
      </c>
      <c r="R105">
        <f>Sce2Trees!R30*R$10*$D$3</f>
        <v>1296.26</v>
      </c>
      <c r="V105">
        <f t="shared" si="20"/>
        <v>119147.54363945108</v>
      </c>
      <c r="Y105" s="79">
        <f t="shared" si="21"/>
        <v>433.31885</v>
      </c>
      <c r="AB105" s="79">
        <f t="shared" si="22"/>
        <v>578.91477140674954</v>
      </c>
      <c r="AD105" s="79">
        <f t="shared" si="23"/>
        <v>424.9789632415181</v>
      </c>
      <c r="AF105" s="79">
        <f t="shared" si="24"/>
        <v>1437.2125846482677</v>
      </c>
      <c r="AH105">
        <f t="shared" si="25"/>
        <v>2030</v>
      </c>
      <c r="AI105" s="79">
        <f t="shared" si="26"/>
        <v>117710.33105480281</v>
      </c>
      <c r="AJ105">
        <f t="shared" si="27"/>
        <v>-431.60454720094361</v>
      </c>
      <c r="AM105" s="158">
        <f t="shared" si="28"/>
        <v>20.476084857987303</v>
      </c>
    </row>
    <row r="106" spans="1:39" x14ac:dyDescent="0.25">
      <c r="A106" s="116">
        <f>A105+5</f>
        <v>2035</v>
      </c>
      <c r="B106">
        <f>Sce2Trees!B31*B$10*$D$3</f>
        <v>3802.1120000000001</v>
      </c>
      <c r="C106">
        <f>Sce2Trees!C31*C$10*$D$3</f>
        <v>727.61204001623753</v>
      </c>
      <c r="D106">
        <f>Sce2Trees!D31*D$10*$D$3</f>
        <v>22695.961599999999</v>
      </c>
      <c r="E106">
        <f>Sce2Trees!E31*E$10*$D$3</f>
        <v>5847.1713883835764</v>
      </c>
      <c r="F106">
        <f>Sce2Trees!F31*F$10*$D$3</f>
        <v>14399.499430721249</v>
      </c>
      <c r="G106">
        <f>Sce2Trees!G31*G$10*$D$3</f>
        <v>912.6647999999999</v>
      </c>
      <c r="H106">
        <f>Sce2Trees!H31*H$10*$D$3</f>
        <v>598.81975511436076</v>
      </c>
      <c r="I106">
        <f>Sce2Trees!I31*I$10*$D$3</f>
        <v>4706.576950011864</v>
      </c>
      <c r="J106">
        <f>Sce2Trees!J31*J$10*$D$3</f>
        <v>3741.978186710056</v>
      </c>
      <c r="K106">
        <f>Sce2Trees!K31*K$10*$D$3</f>
        <v>760.38807712346522</v>
      </c>
      <c r="L106">
        <f>Sce2Trees!L31*L$10*$D$3</f>
        <v>2182.8209999999999</v>
      </c>
      <c r="M106">
        <f>Sce2Trees!M31*M$10*$D$3</f>
        <v>3728.181</v>
      </c>
      <c r="N106">
        <f>Sce2Trees!N31*N$10*$D$3</f>
        <v>8861.3545074751564</v>
      </c>
      <c r="O106">
        <f>Sce2Trees!O31*O$10*$D$3</f>
        <v>17318.463179999995</v>
      </c>
      <c r="P106">
        <f>Sce2Trees!P31*P$10*$D$3</f>
        <v>263.5041792345848</v>
      </c>
      <c r="Q106">
        <f>Sce2Trees!Q31*Q$10*$D$3</f>
        <v>30304.655544660542</v>
      </c>
      <c r="R106">
        <f>Sce2Trees!R31*R$10*$D$3</f>
        <v>1302.8399999999999</v>
      </c>
      <c r="V106">
        <f t="shared" si="20"/>
        <v>122154.60363945106</v>
      </c>
      <c r="Y106" s="79">
        <f t="shared" si="21"/>
        <v>305.40600000000001</v>
      </c>
      <c r="AB106" s="79">
        <f t="shared" si="22"/>
        <v>490.82335</v>
      </c>
      <c r="AD106" s="79">
        <f t="shared" si="23"/>
        <v>341.90131200000002</v>
      </c>
      <c r="AF106" s="79">
        <f t="shared" si="24"/>
        <v>1138.130662</v>
      </c>
      <c r="AH106">
        <f t="shared" si="25"/>
        <v>2035</v>
      </c>
      <c r="AI106" s="79">
        <f t="shared" si="26"/>
        <v>121016.47297745106</v>
      </c>
      <c r="AJ106">
        <f t="shared" si="27"/>
        <v>-443.72706758398726</v>
      </c>
      <c r="AM106" s="158">
        <f t="shared" si="28"/>
        <v>31.501971524653925</v>
      </c>
    </row>
    <row r="107" spans="1:39" x14ac:dyDescent="0.25">
      <c r="A107" s="116">
        <f t="shared" ref="A107:A109" si="30">A106+5</f>
        <v>2040</v>
      </c>
      <c r="B107">
        <f>Sce2Trees!B32*B$10*$D$3</f>
        <v>4554.1120000000001</v>
      </c>
      <c r="C107">
        <f>Sce2Trees!C32*C$10*$D$3</f>
        <v>727.61204001623753</v>
      </c>
      <c r="D107">
        <f>Sce2Trees!D32*D$10*$D$3</f>
        <v>24651.161599999999</v>
      </c>
      <c r="E107">
        <f>Sce2Trees!E32*E$10*$D$3</f>
        <v>6599.1713883835764</v>
      </c>
      <c r="F107">
        <f>Sce2Trees!F32*F$10*$D$3</f>
        <v>14940.93943072125</v>
      </c>
      <c r="G107">
        <f>Sce2Trees!G32*G$10*$D$3</f>
        <v>912.6647999999999</v>
      </c>
      <c r="H107">
        <f>Sce2Trees!H32*H$10*$D$3</f>
        <v>598.81975511436076</v>
      </c>
      <c r="I107">
        <f>Sce2Trees!I32*I$10*$D$3</f>
        <v>4706.576950011864</v>
      </c>
      <c r="J107">
        <f>Sce2Trees!J32*J$10*$D$3</f>
        <v>3741.978186710056</v>
      </c>
      <c r="K107">
        <f>Sce2Trees!K32*K$10*$D$3</f>
        <v>760.38807712346522</v>
      </c>
      <c r="L107">
        <f>Sce2Trees!L32*L$10*$D$3</f>
        <v>2182.8209999999999</v>
      </c>
      <c r="M107">
        <f>Sce2Trees!M32*M$10*$D$3</f>
        <v>3728.181</v>
      </c>
      <c r="N107">
        <f>Sce2Trees!N32*N$10*$D$3</f>
        <v>8773.7813999999998</v>
      </c>
      <c r="O107">
        <f>Sce2Trees!O32*O$10*$D$3</f>
        <v>17385.602562397617</v>
      </c>
      <c r="P107">
        <f>Sce2Trees!P32*P$10*$D$3</f>
        <v>263.5041792345848</v>
      </c>
      <c r="Q107">
        <f>Sce2Trees!Q32*Q$10*$D$3</f>
        <v>30304.655544660542</v>
      </c>
      <c r="R107">
        <f>Sce2Trees!R32*R$10*$D$3</f>
        <v>1316</v>
      </c>
      <c r="V107">
        <f t="shared" si="20"/>
        <v>126147.96991437353</v>
      </c>
      <c r="Y107" s="79">
        <f t="shared" si="21"/>
        <v>255.82570000000001</v>
      </c>
      <c r="AB107" s="79">
        <f t="shared" si="22"/>
        <v>387.70065</v>
      </c>
      <c r="AD107" s="79">
        <f t="shared" si="23"/>
        <v>341.90131200000002</v>
      </c>
      <c r="AF107" s="79">
        <f t="shared" si="24"/>
        <v>985.42766200000005</v>
      </c>
      <c r="AH107">
        <f t="shared" si="25"/>
        <v>2040</v>
      </c>
      <c r="AI107" s="79">
        <f t="shared" si="26"/>
        <v>125162.54225237353</v>
      </c>
      <c r="AJ107">
        <f t="shared" si="27"/>
        <v>-458.92932159203633</v>
      </c>
      <c r="AM107" s="158">
        <f t="shared" si="28"/>
        <v>46.144314532702992</v>
      </c>
    </row>
    <row r="108" spans="1:39" x14ac:dyDescent="0.25">
      <c r="A108" s="116">
        <f t="shared" si="30"/>
        <v>2045</v>
      </c>
      <c r="B108">
        <f>Sce2Trees!B33*B$10*$D$3</f>
        <v>5306.1120000000001</v>
      </c>
      <c r="C108">
        <f>Sce2Trees!C33*C$10*$D$3</f>
        <v>727.61204001623753</v>
      </c>
      <c r="D108">
        <f>Sce2Trees!D33*D$10*$D$3</f>
        <v>26606.361599999997</v>
      </c>
      <c r="E108">
        <f>Sce2Trees!E33*E$10*$D$3</f>
        <v>7351.1713883835764</v>
      </c>
      <c r="F108">
        <f>Sce2Trees!F33*F$10*$D$3</f>
        <v>15482.37943072125</v>
      </c>
      <c r="G108">
        <f>Sce2Trees!G33*G$10*$D$3</f>
        <v>912.6647999999999</v>
      </c>
      <c r="H108">
        <f>Sce2Trees!H33*H$10*$D$3</f>
        <v>598.81975511436076</v>
      </c>
      <c r="I108">
        <f>Sce2Trees!I33*I$10*$D$3</f>
        <v>4706.576950011864</v>
      </c>
      <c r="J108">
        <f>Sce2Trees!J33*J$10*$D$3</f>
        <v>3741.978186710056</v>
      </c>
      <c r="K108">
        <f>Sce2Trees!K33*K$10*$D$3</f>
        <v>760.38807712346522</v>
      </c>
      <c r="L108">
        <f>Sce2Trees!L33*L$10*$D$3</f>
        <v>2182.8209999999999</v>
      </c>
      <c r="M108">
        <f>Sce2Trees!M33*M$10*$D$3</f>
        <v>3728.181</v>
      </c>
      <c r="N108">
        <f>Sce2Trees!N33*N$10*$D$3</f>
        <v>8773.7813999999998</v>
      </c>
      <c r="O108">
        <f>Sce2Trees!O33*O$10*$D$3</f>
        <v>17385.602562397617</v>
      </c>
      <c r="P108">
        <f>Sce2Trees!P33*P$10*$D$3</f>
        <v>263.5041792345848</v>
      </c>
      <c r="Q108">
        <f>Sce2Trees!Q33*Q$10*$D$3</f>
        <v>30304.655544660542</v>
      </c>
      <c r="R108">
        <f>Sce2Trees!R33*R$10*$D$3</f>
        <v>1348.8999999999999</v>
      </c>
      <c r="V108">
        <f t="shared" si="20"/>
        <v>130181.50991437351</v>
      </c>
      <c r="Y108" s="79">
        <f t="shared" si="21"/>
        <v>152.703</v>
      </c>
      <c r="AB108" s="79">
        <f t="shared" si="22"/>
        <v>206.24540000000002</v>
      </c>
      <c r="AD108" s="79">
        <f t="shared" si="23"/>
        <v>341.90131200000002</v>
      </c>
      <c r="AF108" s="79">
        <f t="shared" si="24"/>
        <v>700.84971199999995</v>
      </c>
      <c r="AH108">
        <f t="shared" si="25"/>
        <v>2045</v>
      </c>
      <c r="AI108" s="79">
        <f t="shared" si="26"/>
        <v>129480.66020237352</v>
      </c>
      <c r="AJ108">
        <f t="shared" si="27"/>
        <v>-474.76242074203623</v>
      </c>
      <c r="AM108" s="158">
        <f t="shared" si="28"/>
        <v>60.933961199369492</v>
      </c>
    </row>
    <row r="109" spans="1:39" x14ac:dyDescent="0.25">
      <c r="A109" s="116">
        <f t="shared" si="30"/>
        <v>2050</v>
      </c>
      <c r="B109">
        <f>Sce2Trees!B34*B$10*$D$3</f>
        <v>6058.1120000000001</v>
      </c>
      <c r="C109">
        <f>Sce2Trees!C34*C$10*$D$3</f>
        <v>727.61204001623753</v>
      </c>
      <c r="D109">
        <f>Sce2Trees!D34*D$10*$D$3</f>
        <v>28561.561599999997</v>
      </c>
      <c r="E109">
        <f>Sce2Trees!E34*E$10*$D$3</f>
        <v>8103.1713883835764</v>
      </c>
      <c r="F109">
        <f>Sce2Trees!F34*F$10*$D$3</f>
        <v>16023.819430721249</v>
      </c>
      <c r="G109">
        <f>Sce2Trees!G34*G$10*$D$3</f>
        <v>912.6647999999999</v>
      </c>
      <c r="H109">
        <f>Sce2Trees!H34*H$10*$D$3</f>
        <v>598.81975511436076</v>
      </c>
      <c r="I109">
        <f>Sce2Trees!I34*I$10*$D$3</f>
        <v>4706.576950011864</v>
      </c>
      <c r="J109">
        <f>Sce2Trees!J34*J$10*$D$3</f>
        <v>3741.978186710056</v>
      </c>
      <c r="K109">
        <f>Sce2Trees!K34*K$10*$D$3</f>
        <v>760.38807712346522</v>
      </c>
      <c r="L109">
        <f>Sce2Trees!L34*L$10*$D$3</f>
        <v>2182.8209999999999</v>
      </c>
      <c r="M109">
        <f>Sce2Trees!M34*M$10*$D$3</f>
        <v>3728.181</v>
      </c>
      <c r="N109">
        <f>Sce2Trees!N34*N$10*$D$3</f>
        <v>8773.7813999999998</v>
      </c>
      <c r="O109">
        <f>Sce2Trees!O34*O$10*$D$3</f>
        <v>17385.602562397617</v>
      </c>
      <c r="P109">
        <f>Sce2Trees!P34*P$10*$D$3</f>
        <v>263.5041792345848</v>
      </c>
      <c r="Q109">
        <f>Sce2Trees!Q34*Q$10*$D$3</f>
        <v>30304.655544660542</v>
      </c>
      <c r="R109">
        <f>Sce2Trees!R34*R$10*$D$3</f>
        <v>1401.54</v>
      </c>
      <c r="V109">
        <f t="shared" si="20"/>
        <v>134234.78991437354</v>
      </c>
      <c r="Y109" s="79">
        <f t="shared" si="21"/>
        <v>103.12270000000001</v>
      </c>
      <c r="AB109" s="79">
        <f t="shared" si="22"/>
        <v>103.12270000000001</v>
      </c>
      <c r="AD109" s="79">
        <f t="shared" si="23"/>
        <v>341.90131200000002</v>
      </c>
      <c r="AF109" s="79">
        <f t="shared" si="24"/>
        <v>548.14671199999998</v>
      </c>
      <c r="AH109">
        <f t="shared" si="25"/>
        <v>2050</v>
      </c>
      <c r="AI109" s="79">
        <f t="shared" si="26"/>
        <v>133686.64320237355</v>
      </c>
      <c r="AJ109">
        <f t="shared" si="27"/>
        <v>-490.18435840870302</v>
      </c>
      <c r="AM109" s="158">
        <f t="shared" si="28"/>
        <v>75.795987866036398</v>
      </c>
    </row>
  </sheetData>
  <mergeCells count="40">
    <mergeCell ref="AI79:AJ79"/>
    <mergeCell ref="AI46:AJ46"/>
    <mergeCell ref="Y40:Z40"/>
    <mergeCell ref="Y41:Z41"/>
    <mergeCell ref="Y42:Z42"/>
    <mergeCell ref="Y43:Z43"/>
    <mergeCell ref="Y47:Z47"/>
    <mergeCell ref="AI13:AJ13"/>
    <mergeCell ref="Y14:Z14"/>
    <mergeCell ref="Y15:Z15"/>
    <mergeCell ref="Y16:Z16"/>
    <mergeCell ref="Y17:Z17"/>
    <mergeCell ref="Y28:Z28"/>
    <mergeCell ref="Y29:Z29"/>
    <mergeCell ref="Y30:Z30"/>
    <mergeCell ref="Y31:Z31"/>
    <mergeCell ref="Y32:Z32"/>
    <mergeCell ref="Y38:Z38"/>
    <mergeCell ref="Y39:Z39"/>
    <mergeCell ref="Y33:Z33"/>
    <mergeCell ref="Y34:Z34"/>
    <mergeCell ref="Y35:Z35"/>
    <mergeCell ref="Y36:Z36"/>
    <mergeCell ref="Y37:Z37"/>
    <mergeCell ref="B6:F6"/>
    <mergeCell ref="G6:K6"/>
    <mergeCell ref="L6:Q6"/>
    <mergeCell ref="S6:T6"/>
    <mergeCell ref="U5:U7"/>
    <mergeCell ref="B14:U14"/>
    <mergeCell ref="Y24:Z24"/>
    <mergeCell ref="Y25:Z25"/>
    <mergeCell ref="Y26:Z26"/>
    <mergeCell ref="Y27:Z27"/>
    <mergeCell ref="Y20:Z20"/>
    <mergeCell ref="Y21:Z21"/>
    <mergeCell ref="Y22:Z22"/>
    <mergeCell ref="Y23:Z23"/>
    <mergeCell ref="Y18:Z18"/>
    <mergeCell ref="Y19:Z19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1" workbookViewId="0">
      <selection activeCell="F34" sqref="F34"/>
    </sheetView>
  </sheetViews>
  <sheetFormatPr defaultRowHeight="15" x14ac:dyDescent="0.25"/>
  <cols>
    <col min="2" max="2" width="10.7109375" customWidth="1"/>
    <col min="3" max="3" width="10.85546875" customWidth="1"/>
    <col min="6" max="6" width="10.85546875" customWidth="1"/>
    <col min="7" max="7" width="11.140625" customWidth="1"/>
    <col min="10" max="10" width="10.85546875" customWidth="1"/>
    <col min="11" max="11" width="12.140625" customWidth="1"/>
    <col min="12" max="12" width="11.140625" customWidth="1"/>
    <col min="13" max="13" width="11.7109375" customWidth="1"/>
  </cols>
  <sheetData>
    <row r="1" spans="1:13" x14ac:dyDescent="0.25">
      <c r="A1" t="s">
        <v>88</v>
      </c>
    </row>
    <row r="3" spans="1:13" x14ac:dyDescent="0.25">
      <c r="A3" s="78" t="s">
        <v>89</v>
      </c>
      <c r="B3" s="77"/>
      <c r="F3" s="78" t="s">
        <v>93</v>
      </c>
      <c r="G3" s="78"/>
      <c r="H3" s="78"/>
      <c r="J3" s="78" t="s">
        <v>94</v>
      </c>
      <c r="K3" s="78"/>
    </row>
    <row r="4" spans="1:13" x14ac:dyDescent="0.25">
      <c r="B4" s="184" t="s">
        <v>92</v>
      </c>
      <c r="C4" s="184"/>
      <c r="F4" s="184" t="s">
        <v>92</v>
      </c>
      <c r="G4" s="184"/>
      <c r="J4" t="s">
        <v>95</v>
      </c>
      <c r="K4" t="s">
        <v>96</v>
      </c>
      <c r="L4" t="s">
        <v>95</v>
      </c>
      <c r="M4" t="s">
        <v>96</v>
      </c>
    </row>
    <row r="5" spans="1:13" x14ac:dyDescent="0.25">
      <c r="A5" t="s">
        <v>1</v>
      </c>
      <c r="B5" t="s">
        <v>90</v>
      </c>
      <c r="C5" t="s">
        <v>91</v>
      </c>
      <c r="F5" t="s">
        <v>90</v>
      </c>
      <c r="G5" t="s">
        <v>91</v>
      </c>
      <c r="J5" s="184" t="s">
        <v>90</v>
      </c>
      <c r="K5" s="184"/>
      <c r="L5" s="184" t="s">
        <v>97</v>
      </c>
      <c r="M5" s="184"/>
    </row>
    <row r="6" spans="1:13" x14ac:dyDescent="0.25">
      <c r="A6" s="1">
        <v>2006</v>
      </c>
      <c r="B6" s="1">
        <v>2055</v>
      </c>
      <c r="C6" s="1">
        <v>6419</v>
      </c>
      <c r="D6" s="1"/>
      <c r="E6" s="1"/>
      <c r="F6" s="1">
        <v>3280</v>
      </c>
      <c r="G6" s="1">
        <v>2778</v>
      </c>
      <c r="H6" s="1"/>
      <c r="I6" s="1"/>
      <c r="J6" s="1">
        <v>94</v>
      </c>
      <c r="K6" s="1">
        <v>0.25</v>
      </c>
      <c r="L6" s="1"/>
      <c r="M6" s="1"/>
    </row>
    <row r="7" spans="1:13" x14ac:dyDescent="0.25">
      <c r="A7" s="1">
        <v>2007</v>
      </c>
      <c r="B7" s="1">
        <v>1752</v>
      </c>
      <c r="C7" s="1">
        <v>5133</v>
      </c>
      <c r="D7" s="1"/>
      <c r="E7" s="1"/>
      <c r="F7" s="1">
        <v>3857</v>
      </c>
      <c r="G7" s="1">
        <v>3210</v>
      </c>
      <c r="H7" s="1"/>
      <c r="I7" s="1"/>
      <c r="J7" s="1">
        <v>154</v>
      </c>
      <c r="K7" s="1">
        <v>0.06</v>
      </c>
      <c r="L7" s="1"/>
      <c r="M7" s="1"/>
    </row>
    <row r="8" spans="1:13" x14ac:dyDescent="0.25">
      <c r="A8" s="1">
        <v>2008</v>
      </c>
      <c r="B8" s="1">
        <v>1000</v>
      </c>
      <c r="C8" s="1">
        <v>4614</v>
      </c>
      <c r="D8" s="1"/>
      <c r="E8" s="1"/>
      <c r="F8" s="1">
        <v>2199</v>
      </c>
      <c r="G8" s="1">
        <v>3018</v>
      </c>
      <c r="H8" s="1"/>
      <c r="I8" s="1"/>
      <c r="J8" s="1">
        <v>136</v>
      </c>
      <c r="K8" s="1">
        <v>0.05</v>
      </c>
      <c r="L8" s="1"/>
      <c r="M8" s="1"/>
    </row>
    <row r="9" spans="1:13" x14ac:dyDescent="0.25">
      <c r="A9" s="1">
        <v>2009</v>
      </c>
      <c r="B9" s="1">
        <v>718</v>
      </c>
      <c r="C9" s="1">
        <v>4331</v>
      </c>
      <c r="D9" s="1"/>
      <c r="E9" s="1"/>
      <c r="F9" s="1">
        <v>2335</v>
      </c>
      <c r="G9" s="1">
        <v>3147</v>
      </c>
      <c r="H9" s="1"/>
      <c r="I9" s="1"/>
      <c r="J9" s="1">
        <v>80</v>
      </c>
      <c r="K9" s="1">
        <v>0.03</v>
      </c>
      <c r="L9" s="1">
        <v>43</v>
      </c>
      <c r="M9" s="1">
        <v>3.0000000000000001E-3</v>
      </c>
    </row>
    <row r="10" spans="1:13" x14ac:dyDescent="0.25">
      <c r="A10" s="1">
        <v>2010</v>
      </c>
      <c r="B10" s="1">
        <v>1700</v>
      </c>
      <c r="C10" s="1">
        <v>3216</v>
      </c>
      <c r="D10" s="1"/>
      <c r="E10" s="1"/>
      <c r="F10" s="1">
        <v>3593</v>
      </c>
      <c r="G10" s="1">
        <v>5819</v>
      </c>
      <c r="H10" s="1"/>
      <c r="I10" s="1"/>
      <c r="J10" s="1">
        <v>90</v>
      </c>
      <c r="K10" s="1">
        <v>0.04</v>
      </c>
      <c r="L10" s="1">
        <v>98</v>
      </c>
      <c r="M10" s="1">
        <v>8.0000000000000002E-3</v>
      </c>
    </row>
    <row r="11" spans="1:13" x14ac:dyDescent="0.25">
      <c r="A11" s="1">
        <v>2011</v>
      </c>
      <c r="B11" s="1">
        <v>912</v>
      </c>
      <c r="C11" s="1">
        <v>3576</v>
      </c>
      <c r="D11" s="1"/>
      <c r="E11" s="1"/>
      <c r="F11" s="1">
        <v>2612</v>
      </c>
      <c r="G11" s="1">
        <v>3860</v>
      </c>
      <c r="H11" s="1"/>
      <c r="I11" s="1"/>
      <c r="J11" s="1">
        <v>96</v>
      </c>
      <c r="K11" s="1">
        <v>3.9E-2</v>
      </c>
      <c r="L11" s="1"/>
      <c r="M11" s="1"/>
    </row>
    <row r="12" spans="1:13" x14ac:dyDescent="0.25">
      <c r="A12" s="1">
        <v>2012</v>
      </c>
      <c r="B12" s="1">
        <v>936</v>
      </c>
      <c r="C12" s="1">
        <v>2219</v>
      </c>
      <c r="D12" s="1"/>
      <c r="E12" s="1"/>
      <c r="F12" s="1">
        <v>2821</v>
      </c>
      <c r="G12" s="1">
        <v>2256</v>
      </c>
      <c r="H12" s="1"/>
      <c r="I12" s="1"/>
      <c r="J12" s="1">
        <v>98</v>
      </c>
      <c r="K12" s="1">
        <v>0.04</v>
      </c>
      <c r="L12" s="1">
        <v>56</v>
      </c>
      <c r="M12" s="1">
        <v>4.0000000000000001E-3</v>
      </c>
    </row>
    <row r="13" spans="1:13" x14ac:dyDescent="0.25">
      <c r="A13" s="1">
        <v>2013</v>
      </c>
      <c r="B13" s="1">
        <v>656</v>
      </c>
      <c r="C13" s="1">
        <v>776</v>
      </c>
      <c r="D13" s="1"/>
      <c r="E13" s="1"/>
      <c r="F13" s="1">
        <v>2064</v>
      </c>
      <c r="G13" s="1">
        <v>1821</v>
      </c>
      <c r="H13" s="1">
        <f>(G12-G13)/G12%</f>
        <v>19.281914893617021</v>
      </c>
      <c r="I13" s="1"/>
      <c r="J13" s="1">
        <v>102</v>
      </c>
      <c r="K13" s="1">
        <v>0.04</v>
      </c>
      <c r="L13" s="1">
        <v>55</v>
      </c>
      <c r="M13" s="1">
        <v>4.0000000000000001E-3</v>
      </c>
    </row>
    <row r="14" spans="1:13" x14ac:dyDescent="0.25">
      <c r="A14" s="1">
        <v>2014</v>
      </c>
      <c r="B14" s="1">
        <v>528</v>
      </c>
      <c r="C14" s="1">
        <v>708</v>
      </c>
      <c r="D14" s="1"/>
      <c r="E14" s="1"/>
      <c r="F14" s="1">
        <v>1911</v>
      </c>
      <c r="G14" s="1">
        <v>1700</v>
      </c>
      <c r="H14" s="1"/>
      <c r="I14" s="1"/>
      <c r="J14" s="1">
        <v>151</v>
      </c>
      <c r="K14" s="1">
        <v>0.06</v>
      </c>
      <c r="L14" s="1">
        <v>56</v>
      </c>
      <c r="M14" s="1">
        <v>4.0000000000000001E-3</v>
      </c>
    </row>
    <row r="15" spans="1:13" x14ac:dyDescent="0.25">
      <c r="A15" s="2">
        <f>A14+1</f>
        <v>2015</v>
      </c>
      <c r="B15" s="2">
        <v>528</v>
      </c>
      <c r="C15" s="2">
        <v>708</v>
      </c>
      <c r="F15">
        <f>F14*(1-$E$16%)</f>
        <v>1769.3415697674418</v>
      </c>
      <c r="G15">
        <f>G14*(1-$H$15%)</f>
        <v>1587.0400878638111</v>
      </c>
      <c r="H15">
        <f>(G13-G14)/G13%</f>
        <v>6.6447007138934646</v>
      </c>
      <c r="J15" s="2">
        <f>AVERAGE(J6:J14)</f>
        <v>111.22222222222223</v>
      </c>
      <c r="K15">
        <f>AVERAGE(K7:K14)</f>
        <v>4.4874999999999998E-2</v>
      </c>
      <c r="L15" s="2">
        <v>56</v>
      </c>
      <c r="M15" s="2">
        <v>4.0000000000000001E-3</v>
      </c>
    </row>
    <row r="16" spans="1:13" x14ac:dyDescent="0.25">
      <c r="A16" s="2">
        <f t="shared" ref="A16:A30" si="0">A15+1</f>
        <v>2016</v>
      </c>
      <c r="B16" s="2">
        <v>528</v>
      </c>
      <c r="C16" s="2">
        <v>708</v>
      </c>
      <c r="E16">
        <f>(F13-F14)/F13%</f>
        <v>7.412790697674418</v>
      </c>
      <c r="F16">
        <f t="shared" ref="F16:F30" si="1">F15*(1-$E$16%)</f>
        <v>1638.1839824736344</v>
      </c>
      <c r="G16">
        <f t="shared" ref="G16:G30" si="2">G15*(1-$H$15%)</f>
        <v>1481.5860238157488</v>
      </c>
      <c r="J16" s="2">
        <f t="shared" ref="J16:J30" si="3">AVERAGE(J7:J15)</f>
        <v>113.1358024691358</v>
      </c>
      <c r="K16">
        <f t="shared" ref="K16:K30" si="4">AVERAGE(K8:K15)</f>
        <v>4.2984375000000005E-2</v>
      </c>
      <c r="L16" s="2">
        <v>56</v>
      </c>
      <c r="M16" s="2">
        <v>4.0000000000000001E-3</v>
      </c>
    </row>
    <row r="17" spans="1:13" x14ac:dyDescent="0.25">
      <c r="A17" s="2">
        <f t="shared" si="0"/>
        <v>2017</v>
      </c>
      <c r="B17" s="2">
        <v>528</v>
      </c>
      <c r="C17" s="2">
        <v>708</v>
      </c>
      <c r="F17">
        <f t="shared" si="1"/>
        <v>1516.7488326100365</v>
      </c>
      <c r="G17">
        <f t="shared" si="2"/>
        <v>1383.139066714318</v>
      </c>
      <c r="J17" s="2">
        <f t="shared" si="3"/>
        <v>108.59533607681755</v>
      </c>
      <c r="K17">
        <f t="shared" si="4"/>
        <v>4.2107421875000002E-2</v>
      </c>
      <c r="L17" s="2">
        <v>56</v>
      </c>
      <c r="M17" s="2">
        <v>4.0000000000000001E-3</v>
      </c>
    </row>
    <row r="18" spans="1:13" x14ac:dyDescent="0.25">
      <c r="A18" s="2">
        <f t="shared" si="0"/>
        <v>2018</v>
      </c>
      <c r="B18" s="2">
        <v>528</v>
      </c>
      <c r="C18" s="2">
        <v>708</v>
      </c>
      <c r="F18">
        <f t="shared" si="1"/>
        <v>1404.3154162392343</v>
      </c>
      <c r="G18">
        <f t="shared" si="2"/>
        <v>1291.2336152742123</v>
      </c>
      <c r="J18" s="2">
        <f t="shared" si="3"/>
        <v>105.55037341868618</v>
      </c>
      <c r="K18">
        <f t="shared" si="4"/>
        <v>4.3620849609374998E-2</v>
      </c>
      <c r="L18" s="2">
        <v>56</v>
      </c>
      <c r="M18" s="2">
        <v>4.0000000000000001E-3</v>
      </c>
    </row>
    <row r="19" spans="1:13" x14ac:dyDescent="0.25">
      <c r="A19" s="2">
        <f t="shared" si="0"/>
        <v>2019</v>
      </c>
      <c r="B19" s="2">
        <v>528</v>
      </c>
      <c r="C19" s="2">
        <v>708</v>
      </c>
      <c r="F19">
        <f t="shared" si="1"/>
        <v>1300.2164536982445</v>
      </c>
      <c r="G19">
        <f t="shared" si="2"/>
        <v>1205.4350060220543</v>
      </c>
      <c r="J19" s="2">
        <f t="shared" si="3"/>
        <v>108.3893037985402</v>
      </c>
      <c r="K19">
        <f t="shared" si="4"/>
        <v>4.4073455810546877E-2</v>
      </c>
      <c r="L19" s="2">
        <v>56</v>
      </c>
      <c r="M19" s="2">
        <v>4.0000000000000001E-3</v>
      </c>
    </row>
    <row r="20" spans="1:13" x14ac:dyDescent="0.25">
      <c r="A20" s="2">
        <f t="shared" si="0"/>
        <v>2020</v>
      </c>
      <c r="B20" s="87">
        <v>478</v>
      </c>
      <c r="C20" s="87">
        <v>650</v>
      </c>
      <c r="F20">
        <f t="shared" si="1"/>
        <v>1203.8341293688688</v>
      </c>
      <c r="G20">
        <f t="shared" si="2"/>
        <v>1125.3374575713851</v>
      </c>
      <c r="J20" s="2">
        <f t="shared" si="3"/>
        <v>110.43255977615576</v>
      </c>
      <c r="K20">
        <f t="shared" si="4"/>
        <v>4.4707637786865241E-2</v>
      </c>
      <c r="L20" s="2">
        <v>56</v>
      </c>
      <c r="M20" s="2">
        <v>4.0000000000000001E-3</v>
      </c>
    </row>
    <row r="21" spans="1:13" x14ac:dyDescent="0.25">
      <c r="A21" s="2">
        <f t="shared" si="0"/>
        <v>2021</v>
      </c>
      <c r="B21" s="87">
        <v>478</v>
      </c>
      <c r="C21" s="87">
        <v>650</v>
      </c>
      <c r="F21">
        <f t="shared" si="1"/>
        <v>1114.5964250115835</v>
      </c>
      <c r="G21">
        <f t="shared" si="2"/>
        <v>1050.5621514944287</v>
      </c>
      <c r="J21" s="2">
        <f t="shared" si="3"/>
        <v>112.03617752906196</v>
      </c>
      <c r="K21">
        <f t="shared" si="4"/>
        <v>4.5296092510223394E-2</v>
      </c>
      <c r="L21" s="2">
        <v>56</v>
      </c>
      <c r="M21" s="2">
        <v>4.0000000000000001E-3</v>
      </c>
    </row>
    <row r="22" spans="1:13" x14ac:dyDescent="0.25">
      <c r="A22" s="2">
        <f t="shared" si="0"/>
        <v>2022</v>
      </c>
      <c r="B22" s="87">
        <v>478</v>
      </c>
      <c r="C22" s="87">
        <v>650</v>
      </c>
      <c r="F22">
        <f t="shared" si="1"/>
        <v>1031.9737249017132</v>
      </c>
      <c r="G22">
        <f t="shared" si="2"/>
        <v>980.75544071418381</v>
      </c>
      <c r="J22" s="2">
        <f t="shared" si="3"/>
        <v>113.59575281006886</v>
      </c>
      <c r="K22">
        <f t="shared" si="4"/>
        <v>4.5958104074001319E-2</v>
      </c>
      <c r="L22" s="2">
        <v>56</v>
      </c>
      <c r="M22" s="2">
        <v>4.0000000000000001E-3</v>
      </c>
    </row>
    <row r="23" spans="1:13" x14ac:dyDescent="0.25">
      <c r="A23" s="2">
        <f t="shared" si="0"/>
        <v>2023</v>
      </c>
      <c r="B23" s="87">
        <v>478</v>
      </c>
      <c r="C23" s="87">
        <v>650</v>
      </c>
      <c r="F23">
        <f t="shared" si="1"/>
        <v>955.47567261975485</v>
      </c>
      <c r="G23">
        <f t="shared" si="2"/>
        <v>915.58717694349934</v>
      </c>
      <c r="J23" s="2">
        <f t="shared" si="3"/>
        <v>114.88416978896538</v>
      </c>
      <c r="K23">
        <f t="shared" si="4"/>
        <v>4.4202867083251482E-2</v>
      </c>
      <c r="L23" s="2">
        <v>56</v>
      </c>
      <c r="M23" s="2">
        <v>4.0000000000000001E-3</v>
      </c>
    </row>
    <row r="24" spans="1:13" x14ac:dyDescent="0.25">
      <c r="A24" s="2">
        <f t="shared" si="0"/>
        <v>2024</v>
      </c>
      <c r="B24" s="87">
        <v>478</v>
      </c>
      <c r="C24" s="87">
        <v>650</v>
      </c>
      <c r="F24">
        <f t="shared" si="1"/>
        <v>884.64826084125559</v>
      </c>
      <c r="G24">
        <f t="shared" si="2"/>
        <v>854.7491492608176</v>
      </c>
      <c r="J24" s="2">
        <f t="shared" si="3"/>
        <v>110.87129976551711</v>
      </c>
      <c r="K24">
        <f t="shared" si="4"/>
        <v>4.4118850468657919E-2</v>
      </c>
      <c r="L24" s="2">
        <v>56</v>
      </c>
      <c r="M24" s="2">
        <v>4.0000000000000001E-3</v>
      </c>
    </row>
    <row r="25" spans="1:13" x14ac:dyDescent="0.25">
      <c r="A25" s="2">
        <f t="shared" si="0"/>
        <v>2025</v>
      </c>
      <c r="B25" s="87">
        <v>425</v>
      </c>
      <c r="C25" s="87">
        <v>600</v>
      </c>
      <c r="F25">
        <f t="shared" si="1"/>
        <v>819.07113685447644</v>
      </c>
      <c r="G25">
        <f t="shared" si="2"/>
        <v>797.95362643788565</v>
      </c>
      <c r="J25" s="2">
        <f t="shared" si="3"/>
        <v>110.83230838143875</v>
      </c>
      <c r="K25">
        <f t="shared" si="4"/>
        <v>4.4260659902240158E-2</v>
      </c>
      <c r="L25" s="2">
        <v>56</v>
      </c>
      <c r="M25" s="2">
        <v>4.0000000000000001E-3</v>
      </c>
    </row>
    <row r="26" spans="1:13" x14ac:dyDescent="0.25">
      <c r="A26" s="2">
        <f t="shared" si="0"/>
        <v>2026</v>
      </c>
      <c r="B26" s="87">
        <v>425</v>
      </c>
      <c r="C26" s="87">
        <v>600</v>
      </c>
      <c r="F26">
        <f t="shared" si="1"/>
        <v>758.35510781439166</v>
      </c>
      <c r="G26">
        <f t="shared" si="2"/>
        <v>744.93199612542867</v>
      </c>
      <c r="J26" s="2">
        <f t="shared" si="3"/>
        <v>110.57636459391686</v>
      </c>
      <c r="K26">
        <f t="shared" si="4"/>
        <v>4.4529814655645178E-2</v>
      </c>
      <c r="L26" s="2">
        <v>56</v>
      </c>
      <c r="M26" s="2">
        <v>4.0000000000000001E-3</v>
      </c>
    </row>
    <row r="27" spans="1:13" x14ac:dyDescent="0.25">
      <c r="A27" s="2">
        <f t="shared" si="0"/>
        <v>2027</v>
      </c>
      <c r="B27" s="87">
        <v>425</v>
      </c>
      <c r="C27" s="87">
        <v>600</v>
      </c>
      <c r="F27">
        <f t="shared" si="1"/>
        <v>702.13983092698766</v>
      </c>
      <c r="G27">
        <f t="shared" si="2"/>
        <v>695.43349446086143</v>
      </c>
      <c r="J27" s="2">
        <f t="shared" si="3"/>
        <v>110.79647887359457</v>
      </c>
      <c r="K27">
        <f t="shared" si="4"/>
        <v>4.4643435286428945E-2</v>
      </c>
      <c r="L27" s="2">
        <v>56</v>
      </c>
      <c r="M27" s="2">
        <v>4.0000000000000001E-3</v>
      </c>
    </row>
    <row r="28" spans="1:13" x14ac:dyDescent="0.25">
      <c r="A28" s="2">
        <f>A27+1</f>
        <v>2028</v>
      </c>
      <c r="B28" s="87">
        <v>425</v>
      </c>
      <c r="C28" s="87">
        <v>600</v>
      </c>
      <c r="F28">
        <f t="shared" si="1"/>
        <v>650.091674855365</v>
      </c>
      <c r="G28">
        <f t="shared" si="2"/>
        <v>649.22402008976621</v>
      </c>
      <c r="J28" s="2">
        <f t="shared" si="3"/>
        <v>111.3793794796955</v>
      </c>
      <c r="K28">
        <f t="shared" si="4"/>
        <v>4.4714682720914202E-2</v>
      </c>
      <c r="L28" s="2">
        <v>56</v>
      </c>
      <c r="M28" s="2">
        <v>4.0000000000000001E-3</v>
      </c>
    </row>
    <row r="29" spans="1:13" x14ac:dyDescent="0.25">
      <c r="A29" s="2">
        <f t="shared" si="0"/>
        <v>2029</v>
      </c>
      <c r="B29" s="87">
        <v>425</v>
      </c>
      <c r="C29" s="87">
        <v>600</v>
      </c>
      <c r="F29">
        <f t="shared" si="1"/>
        <v>601.90173965533063</v>
      </c>
      <c r="G29">
        <f t="shared" si="2"/>
        <v>606.08502699209362</v>
      </c>
      <c r="J29" s="2">
        <f t="shared" si="3"/>
        <v>111.71161011093497</v>
      </c>
      <c r="K29">
        <f t="shared" si="4"/>
        <v>4.4715563337670322E-2</v>
      </c>
      <c r="L29" s="2">
        <v>56</v>
      </c>
      <c r="M29" s="2">
        <v>4.0000000000000001E-3</v>
      </c>
    </row>
    <row r="30" spans="1:13" x14ac:dyDescent="0.25">
      <c r="A30" s="2">
        <f t="shared" si="0"/>
        <v>2030</v>
      </c>
      <c r="B30" s="87">
        <v>300</v>
      </c>
      <c r="C30" s="87">
        <v>550</v>
      </c>
      <c r="F30">
        <f t="shared" si="1"/>
        <v>557.28402348901977</v>
      </c>
      <c r="G30">
        <f t="shared" si="2"/>
        <v>565.8124908767486</v>
      </c>
      <c r="J30" s="2">
        <f t="shared" si="3"/>
        <v>111.85372681479933</v>
      </c>
      <c r="K30">
        <f t="shared" si="4"/>
        <v>4.4642997191101194E-2</v>
      </c>
      <c r="L30" s="2">
        <v>56</v>
      </c>
      <c r="M30" s="2">
        <v>4.0000000000000001E-3</v>
      </c>
    </row>
    <row r="31" spans="1:13" x14ac:dyDescent="0.25">
      <c r="A31" s="81">
        <v>2035</v>
      </c>
      <c r="B31" s="87">
        <v>200</v>
      </c>
      <c r="C31" s="87">
        <v>400</v>
      </c>
      <c r="F31" s="84">
        <v>500</v>
      </c>
      <c r="G31" s="84">
        <v>450</v>
      </c>
      <c r="H31" s="84"/>
      <c r="I31" s="84"/>
      <c r="J31" s="84">
        <v>100</v>
      </c>
      <c r="K31" s="84">
        <v>0.04</v>
      </c>
      <c r="L31" s="87">
        <v>56</v>
      </c>
      <c r="M31" s="87">
        <v>4.0000000000000001E-3</v>
      </c>
    </row>
    <row r="32" spans="1:13" x14ac:dyDescent="0.25">
      <c r="A32" s="81">
        <v>2040</v>
      </c>
      <c r="B32" s="87">
        <v>200</v>
      </c>
      <c r="C32" s="87">
        <v>300</v>
      </c>
      <c r="F32" s="84">
        <v>400</v>
      </c>
      <c r="G32" s="84">
        <v>350</v>
      </c>
      <c r="H32" s="84"/>
      <c r="I32" s="84"/>
      <c r="J32" s="84">
        <v>100</v>
      </c>
      <c r="K32" s="84">
        <v>0.04</v>
      </c>
      <c r="L32" s="87">
        <v>56</v>
      </c>
      <c r="M32" s="87">
        <v>4.0000000000000001E-3</v>
      </c>
    </row>
    <row r="33" spans="1:13" x14ac:dyDescent="0.25">
      <c r="A33" s="81">
        <v>2045</v>
      </c>
      <c r="B33" s="87">
        <v>100</v>
      </c>
      <c r="C33" s="87">
        <v>200</v>
      </c>
      <c r="F33" s="84">
        <v>200</v>
      </c>
      <c r="G33" s="84">
        <v>200</v>
      </c>
      <c r="H33" s="84"/>
      <c r="I33" s="84"/>
      <c r="J33" s="84">
        <v>100</v>
      </c>
      <c r="K33" s="84">
        <v>0.04</v>
      </c>
      <c r="L33" s="87">
        <v>56</v>
      </c>
      <c r="M33" s="87">
        <v>4.0000000000000001E-3</v>
      </c>
    </row>
    <row r="34" spans="1:13" x14ac:dyDescent="0.25">
      <c r="A34" s="81">
        <v>2050</v>
      </c>
      <c r="B34" s="87">
        <v>100</v>
      </c>
      <c r="C34" s="87">
        <v>100</v>
      </c>
      <c r="F34" s="84">
        <v>100</v>
      </c>
      <c r="G34" s="84">
        <v>100</v>
      </c>
      <c r="H34" s="84"/>
      <c r="I34" s="84"/>
      <c r="J34" s="84">
        <v>100</v>
      </c>
      <c r="K34" s="84">
        <v>0.04</v>
      </c>
      <c r="L34" s="87">
        <v>56</v>
      </c>
      <c r="M34" s="87">
        <v>4.0000000000000001E-3</v>
      </c>
    </row>
  </sheetData>
  <mergeCells count="4">
    <mergeCell ref="B4:C4"/>
    <mergeCell ref="F4:G4"/>
    <mergeCell ref="J5:K5"/>
    <mergeCell ref="L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E1" workbookViewId="0">
      <selection activeCell="T21" sqref="T21"/>
    </sheetView>
  </sheetViews>
  <sheetFormatPr defaultRowHeight="15" x14ac:dyDescent="0.25"/>
  <cols>
    <col min="1" max="1" width="9.140625" hidden="1" customWidth="1"/>
    <col min="2" max="2" width="9.140625" customWidth="1"/>
    <col min="3" max="3" width="9.5703125" customWidth="1"/>
    <col min="4" max="4" width="10" customWidth="1"/>
    <col min="5" max="5" width="11.42578125" customWidth="1"/>
    <col min="7" max="7" width="17" customWidth="1"/>
    <col min="8" max="8" width="9.7109375" customWidth="1"/>
    <col min="9" max="9" width="16.28515625" customWidth="1"/>
    <col min="12" max="12" width="11.28515625" customWidth="1"/>
    <col min="13" max="13" width="10" customWidth="1"/>
    <col min="14" max="14" width="7.5703125" customWidth="1"/>
    <col min="15" max="15" width="7.85546875" customWidth="1"/>
    <col min="16" max="16" width="8" customWidth="1"/>
    <col min="17" max="17" width="11.140625" customWidth="1"/>
    <col min="18" max="18" width="7" customWidth="1"/>
    <col min="19" max="19" width="9.140625" customWidth="1"/>
  </cols>
  <sheetData>
    <row r="1" spans="2:19" ht="16.5" thickBot="1" x14ac:dyDescent="0.3">
      <c r="B1" s="185" t="s">
        <v>21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2:19" ht="15.75" thickBot="1" x14ac:dyDescent="0.3">
      <c r="B2" s="7" t="s">
        <v>22</v>
      </c>
      <c r="C2" s="8"/>
      <c r="D2" s="8" t="s">
        <v>23</v>
      </c>
      <c r="E2" s="8" t="s">
        <v>24</v>
      </c>
      <c r="F2" s="8" t="s">
        <v>25</v>
      </c>
      <c r="G2" s="8"/>
      <c r="H2" s="8" t="s">
        <v>26</v>
      </c>
      <c r="I2" s="8"/>
      <c r="J2" s="8" t="s">
        <v>27</v>
      </c>
      <c r="K2" s="8" t="s">
        <v>28</v>
      </c>
      <c r="L2" s="8" t="s">
        <v>29</v>
      </c>
      <c r="M2" s="8" t="s">
        <v>30</v>
      </c>
      <c r="N2" s="9" t="s">
        <v>31</v>
      </c>
      <c r="O2" s="9" t="s">
        <v>32</v>
      </c>
      <c r="P2" s="9" t="s">
        <v>33</v>
      </c>
      <c r="Q2" s="8" t="s">
        <v>34</v>
      </c>
      <c r="R2" s="9" t="s">
        <v>35</v>
      </c>
      <c r="S2" s="10" t="s">
        <v>36</v>
      </c>
    </row>
    <row r="3" spans="2:19" ht="15.75" thickBot="1" x14ac:dyDescent="0.3">
      <c r="B3" s="11" t="s">
        <v>2</v>
      </c>
      <c r="C3" s="12"/>
      <c r="D3" s="13" t="s">
        <v>37</v>
      </c>
      <c r="E3" s="14" t="s">
        <v>8</v>
      </c>
      <c r="F3" s="15" t="s">
        <v>38</v>
      </c>
      <c r="G3" s="12"/>
      <c r="H3" s="15" t="s">
        <v>39</v>
      </c>
      <c r="I3" s="12"/>
      <c r="J3" s="13" t="s">
        <v>40</v>
      </c>
      <c r="K3" s="13" t="s">
        <v>41</v>
      </c>
      <c r="L3" s="3" t="s">
        <v>42</v>
      </c>
      <c r="M3" s="13">
        <v>0.47</v>
      </c>
      <c r="N3" s="13">
        <v>0.28000000000000003</v>
      </c>
      <c r="O3" s="13">
        <v>0.61</v>
      </c>
      <c r="P3" s="13">
        <v>179</v>
      </c>
      <c r="Q3" s="13">
        <v>10</v>
      </c>
      <c r="R3" s="13">
        <v>35</v>
      </c>
      <c r="S3" s="16">
        <v>5.2</v>
      </c>
    </row>
    <row r="4" spans="2:19" ht="15.75" thickBot="1" x14ac:dyDescent="0.3">
      <c r="B4" s="17" t="s">
        <v>43</v>
      </c>
      <c r="C4" s="18"/>
      <c r="D4" s="13" t="s">
        <v>37</v>
      </c>
      <c r="E4" s="19" t="s">
        <v>3</v>
      </c>
      <c r="F4" s="15" t="s">
        <v>38</v>
      </c>
      <c r="G4" s="12"/>
      <c r="H4" s="15" t="s">
        <v>39</v>
      </c>
      <c r="I4" s="12"/>
      <c r="J4" s="3" t="s">
        <v>44</v>
      </c>
      <c r="K4" s="3" t="s">
        <v>41</v>
      </c>
      <c r="L4" s="3" t="s">
        <v>45</v>
      </c>
      <c r="M4" s="3">
        <v>0.47</v>
      </c>
      <c r="N4" s="3">
        <v>0.28000000000000003</v>
      </c>
      <c r="O4" s="3">
        <v>0.73</v>
      </c>
      <c r="P4" s="3">
        <v>126</v>
      </c>
      <c r="Q4" s="3">
        <v>10</v>
      </c>
      <c r="R4" s="3">
        <v>31</v>
      </c>
      <c r="S4" s="20">
        <v>2.1</v>
      </c>
    </row>
    <row r="5" spans="2:19" ht="15.75" thickBot="1" x14ac:dyDescent="0.3">
      <c r="B5" s="21"/>
      <c r="C5" s="22"/>
      <c r="D5" s="13" t="s">
        <v>37</v>
      </c>
      <c r="E5" s="19" t="s">
        <v>46</v>
      </c>
      <c r="F5" s="15" t="s">
        <v>38</v>
      </c>
      <c r="G5" s="12"/>
      <c r="H5" s="15" t="s">
        <v>39</v>
      </c>
      <c r="I5" s="12"/>
      <c r="J5" s="3" t="s">
        <v>44</v>
      </c>
      <c r="K5" s="3" t="s">
        <v>41</v>
      </c>
      <c r="L5" s="3" t="s">
        <v>47</v>
      </c>
      <c r="M5" s="3">
        <v>0.47</v>
      </c>
      <c r="N5" s="3">
        <v>0.28000000000000003</v>
      </c>
      <c r="O5" s="3">
        <v>0.89</v>
      </c>
      <c r="P5" s="3">
        <v>139</v>
      </c>
      <c r="Q5" s="3">
        <v>13</v>
      </c>
      <c r="R5" s="3">
        <v>31</v>
      </c>
      <c r="S5" s="20">
        <v>2.1</v>
      </c>
    </row>
    <row r="6" spans="2:19" ht="15.75" thickBot="1" x14ac:dyDescent="0.3">
      <c r="B6" s="21"/>
      <c r="C6" s="22"/>
      <c r="D6" s="13" t="s">
        <v>37</v>
      </c>
      <c r="E6" s="19" t="s">
        <v>5</v>
      </c>
      <c r="F6" s="15" t="s">
        <v>38</v>
      </c>
      <c r="G6" s="12"/>
      <c r="H6" s="15" t="s">
        <v>39</v>
      </c>
      <c r="I6" s="12"/>
      <c r="J6" s="3" t="s">
        <v>40</v>
      </c>
      <c r="K6" s="3" t="s">
        <v>41</v>
      </c>
      <c r="L6" s="3" t="s">
        <v>48</v>
      </c>
      <c r="M6" s="3">
        <v>0.47</v>
      </c>
      <c r="N6" s="3">
        <v>0.28000000000000003</v>
      </c>
      <c r="O6" s="3">
        <v>0.73</v>
      </c>
      <c r="P6" s="3">
        <v>260</v>
      </c>
      <c r="Q6" s="3">
        <v>10</v>
      </c>
      <c r="R6" s="3">
        <v>35</v>
      </c>
      <c r="S6" s="20">
        <v>2.1</v>
      </c>
    </row>
    <row r="7" spans="2:19" ht="15.75" thickBot="1" x14ac:dyDescent="0.3">
      <c r="B7" s="21"/>
      <c r="C7" s="22"/>
      <c r="D7" s="13" t="s">
        <v>49</v>
      </c>
      <c r="E7" s="3" t="s">
        <v>50</v>
      </c>
      <c r="F7" s="15" t="s">
        <v>38</v>
      </c>
      <c r="G7" s="12"/>
      <c r="H7" s="15" t="s">
        <v>39</v>
      </c>
      <c r="I7" s="12"/>
      <c r="J7" s="3" t="s">
        <v>44</v>
      </c>
      <c r="K7" s="3" t="s">
        <v>41</v>
      </c>
      <c r="L7" s="3" t="s">
        <v>51</v>
      </c>
      <c r="M7" s="3">
        <v>0.47</v>
      </c>
      <c r="N7" s="3">
        <v>0.28000000000000003</v>
      </c>
      <c r="O7" s="3">
        <v>2.11</v>
      </c>
      <c r="P7" s="3">
        <v>55</v>
      </c>
      <c r="Q7" s="3">
        <v>1.8</v>
      </c>
      <c r="R7" s="3">
        <v>31</v>
      </c>
      <c r="S7" s="20">
        <v>2.1</v>
      </c>
    </row>
    <row r="8" spans="2:19" x14ac:dyDescent="0.25">
      <c r="B8" s="21"/>
      <c r="C8" s="22"/>
      <c r="D8" s="13" t="s">
        <v>37</v>
      </c>
      <c r="E8" s="3" t="s">
        <v>15</v>
      </c>
      <c r="F8" s="15" t="s">
        <v>38</v>
      </c>
      <c r="G8" s="12"/>
      <c r="H8" s="23" t="s">
        <v>52</v>
      </c>
      <c r="I8" s="22"/>
      <c r="J8" s="3" t="s">
        <v>44</v>
      </c>
      <c r="K8" s="3" t="s">
        <v>53</v>
      </c>
      <c r="L8" s="3" t="s">
        <v>51</v>
      </c>
      <c r="M8" s="3">
        <v>0.47</v>
      </c>
      <c r="N8" s="3">
        <v>0.4</v>
      </c>
      <c r="O8" s="3">
        <v>2.11</v>
      </c>
      <c r="P8" s="3">
        <v>23</v>
      </c>
      <c r="Q8" s="3">
        <v>10</v>
      </c>
      <c r="R8" s="3">
        <v>31</v>
      </c>
      <c r="S8" s="20">
        <v>2.1</v>
      </c>
    </row>
    <row r="9" spans="2:19" x14ac:dyDescent="0.25">
      <c r="B9" s="21" t="s">
        <v>7</v>
      </c>
      <c r="C9" s="22"/>
      <c r="D9" s="13" t="s">
        <v>37</v>
      </c>
      <c r="E9" s="19" t="s">
        <v>8</v>
      </c>
      <c r="F9" s="23" t="s">
        <v>54</v>
      </c>
      <c r="G9" s="22"/>
      <c r="H9" s="23" t="s">
        <v>55</v>
      </c>
      <c r="I9" s="22"/>
      <c r="J9" s="3" t="s">
        <v>40</v>
      </c>
      <c r="K9" s="3" t="s">
        <v>41</v>
      </c>
      <c r="L9" s="3" t="s">
        <v>42</v>
      </c>
      <c r="M9" s="3">
        <v>0.47</v>
      </c>
      <c r="N9" s="3">
        <v>0.24</v>
      </c>
      <c r="O9" s="3">
        <v>0.77</v>
      </c>
      <c r="P9" s="3">
        <v>190</v>
      </c>
      <c r="Q9" s="3">
        <v>9</v>
      </c>
      <c r="R9" s="3">
        <v>47</v>
      </c>
      <c r="S9" s="20">
        <v>5.2</v>
      </c>
    </row>
    <row r="10" spans="2:19" x14ac:dyDescent="0.25">
      <c r="B10" s="21" t="s">
        <v>56</v>
      </c>
      <c r="C10" s="22"/>
      <c r="D10" s="13" t="s">
        <v>37</v>
      </c>
      <c r="E10" s="19" t="s">
        <v>3</v>
      </c>
      <c r="F10" s="23" t="s">
        <v>54</v>
      </c>
      <c r="G10" s="22"/>
      <c r="H10" s="23" t="s">
        <v>55</v>
      </c>
      <c r="I10" s="22"/>
      <c r="J10" s="3" t="s">
        <v>40</v>
      </c>
      <c r="K10" s="3" t="s">
        <v>41</v>
      </c>
      <c r="L10" s="3" t="s">
        <v>48</v>
      </c>
      <c r="M10" s="3">
        <v>0.47</v>
      </c>
      <c r="N10" s="3">
        <v>0.24</v>
      </c>
      <c r="O10" s="3">
        <v>1.44</v>
      </c>
      <c r="P10" s="3">
        <v>155</v>
      </c>
      <c r="Q10" s="3">
        <v>9</v>
      </c>
      <c r="R10" s="3">
        <v>47</v>
      </c>
      <c r="S10" s="20">
        <v>2.1</v>
      </c>
    </row>
    <row r="11" spans="2:19" x14ac:dyDescent="0.25">
      <c r="B11" s="21"/>
      <c r="C11" s="22"/>
      <c r="D11" s="13" t="s">
        <v>37</v>
      </c>
      <c r="E11" s="19" t="s">
        <v>46</v>
      </c>
      <c r="F11" s="23" t="s">
        <v>54</v>
      </c>
      <c r="G11" s="22"/>
      <c r="H11" s="23" t="s">
        <v>55</v>
      </c>
      <c r="I11" s="22"/>
      <c r="J11" s="3" t="s">
        <v>40</v>
      </c>
      <c r="K11" s="3" t="s">
        <v>41</v>
      </c>
      <c r="L11" s="3" t="s">
        <v>48</v>
      </c>
      <c r="M11" s="3">
        <v>0.47</v>
      </c>
      <c r="N11" s="3">
        <v>0.24</v>
      </c>
      <c r="O11" s="3">
        <v>1.44</v>
      </c>
      <c r="P11" s="3">
        <v>166</v>
      </c>
      <c r="Q11" s="3">
        <v>9</v>
      </c>
      <c r="R11" s="3">
        <v>47</v>
      </c>
      <c r="S11" s="20">
        <v>2.1</v>
      </c>
    </row>
    <row r="12" spans="2:19" x14ac:dyDescent="0.25">
      <c r="B12" s="21"/>
      <c r="C12" s="22"/>
      <c r="D12" s="13" t="s">
        <v>49</v>
      </c>
      <c r="E12" s="3" t="s">
        <v>9</v>
      </c>
      <c r="F12" s="23" t="s">
        <v>54</v>
      </c>
      <c r="G12" s="22"/>
      <c r="H12" s="23" t="s">
        <v>55</v>
      </c>
      <c r="I12" s="22"/>
      <c r="J12" s="3" t="s">
        <v>40</v>
      </c>
      <c r="K12" s="3" t="s">
        <v>41</v>
      </c>
      <c r="L12" s="3" t="s">
        <v>57</v>
      </c>
      <c r="M12" s="3">
        <v>0.47</v>
      </c>
      <c r="N12" s="3">
        <v>0.2</v>
      </c>
      <c r="O12" s="3">
        <v>2.2799999999999998</v>
      </c>
      <c r="P12" s="3">
        <v>82</v>
      </c>
      <c r="Q12" s="3">
        <v>1.3</v>
      </c>
      <c r="R12" s="3">
        <v>47</v>
      </c>
      <c r="S12" s="20">
        <v>2.1</v>
      </c>
    </row>
    <row r="13" spans="2:19" x14ac:dyDescent="0.25">
      <c r="B13" s="21"/>
      <c r="C13" s="22"/>
      <c r="D13" s="13" t="s">
        <v>37</v>
      </c>
      <c r="E13" s="19" t="s">
        <v>5</v>
      </c>
      <c r="F13" s="23" t="s">
        <v>54</v>
      </c>
      <c r="G13" s="22"/>
      <c r="H13" s="23" t="s">
        <v>55</v>
      </c>
      <c r="I13" s="22"/>
      <c r="J13" s="3" t="s">
        <v>40</v>
      </c>
      <c r="K13" s="3" t="s">
        <v>41</v>
      </c>
      <c r="L13" s="3" t="s">
        <v>48</v>
      </c>
      <c r="M13" s="3">
        <v>0.47</v>
      </c>
      <c r="N13" s="3">
        <v>0.2</v>
      </c>
      <c r="O13" s="3">
        <v>1.44</v>
      </c>
      <c r="P13" s="3">
        <v>280</v>
      </c>
      <c r="Q13" s="3">
        <v>9</v>
      </c>
      <c r="R13" s="3">
        <v>47</v>
      </c>
      <c r="S13" s="20">
        <v>2.1</v>
      </c>
    </row>
    <row r="14" spans="2:19" x14ac:dyDescent="0.25">
      <c r="B14" s="21" t="s">
        <v>10</v>
      </c>
      <c r="C14" s="22"/>
      <c r="D14" s="13" t="s">
        <v>37</v>
      </c>
      <c r="E14" s="19" t="s">
        <v>58</v>
      </c>
      <c r="F14" s="23" t="s">
        <v>59</v>
      </c>
      <c r="G14" s="22"/>
      <c r="H14" s="23" t="s">
        <v>60</v>
      </c>
      <c r="I14" s="22"/>
      <c r="J14" s="3" t="s">
        <v>61</v>
      </c>
      <c r="K14" s="3" t="s">
        <v>41</v>
      </c>
      <c r="L14" s="3" t="s">
        <v>48</v>
      </c>
      <c r="M14" s="3">
        <v>0.47</v>
      </c>
      <c r="N14" s="3">
        <v>0.37</v>
      </c>
      <c r="O14" s="3">
        <v>1.44</v>
      </c>
      <c r="P14" s="3">
        <v>277</v>
      </c>
      <c r="Q14" s="3">
        <v>6</v>
      </c>
      <c r="R14" s="3">
        <v>44</v>
      </c>
      <c r="S14" s="20">
        <v>2.1</v>
      </c>
    </row>
    <row r="15" spans="2:19" x14ac:dyDescent="0.25">
      <c r="B15" s="21" t="s">
        <v>62</v>
      </c>
      <c r="C15" s="22"/>
      <c r="D15" s="13" t="s">
        <v>37</v>
      </c>
      <c r="E15" s="19" t="s">
        <v>63</v>
      </c>
      <c r="F15" s="23" t="s">
        <v>59</v>
      </c>
      <c r="G15" s="22"/>
      <c r="H15" s="23" t="s">
        <v>60</v>
      </c>
      <c r="I15" s="22"/>
      <c r="J15" s="3" t="s">
        <v>61</v>
      </c>
      <c r="K15" s="3" t="s">
        <v>41</v>
      </c>
      <c r="L15" s="3" t="s">
        <v>64</v>
      </c>
      <c r="M15" s="3">
        <v>0.47</v>
      </c>
      <c r="N15" s="3">
        <v>0.37</v>
      </c>
      <c r="O15" s="3">
        <v>0.89</v>
      </c>
      <c r="P15" s="3">
        <v>38</v>
      </c>
      <c r="Q15" s="3">
        <v>6</v>
      </c>
      <c r="R15" s="3">
        <v>44</v>
      </c>
      <c r="S15" s="20">
        <v>5.2</v>
      </c>
    </row>
    <row r="16" spans="2:19" x14ac:dyDescent="0.25">
      <c r="B16" s="21"/>
      <c r="C16" s="22"/>
      <c r="D16" s="13" t="s">
        <v>37</v>
      </c>
      <c r="E16" s="19" t="s">
        <v>65</v>
      </c>
      <c r="F16" s="23" t="s">
        <v>59</v>
      </c>
      <c r="G16" s="22"/>
      <c r="H16" s="23" t="s">
        <v>60</v>
      </c>
      <c r="I16" s="22"/>
      <c r="J16" s="3" t="s">
        <v>61</v>
      </c>
      <c r="K16" s="3" t="s">
        <v>66</v>
      </c>
      <c r="L16" s="3" t="s">
        <v>48</v>
      </c>
      <c r="M16" s="3">
        <v>0.47</v>
      </c>
      <c r="N16" s="3">
        <v>0.37</v>
      </c>
      <c r="O16" s="3">
        <v>0.77</v>
      </c>
      <c r="P16" s="3">
        <v>60</v>
      </c>
      <c r="Q16" s="3">
        <v>6</v>
      </c>
      <c r="R16" s="3">
        <v>44</v>
      </c>
      <c r="S16" s="20">
        <v>5.2</v>
      </c>
    </row>
    <row r="17" spans="2:19" x14ac:dyDescent="0.25">
      <c r="B17" s="21"/>
      <c r="C17" s="22"/>
      <c r="D17" s="13" t="s">
        <v>37</v>
      </c>
      <c r="E17" s="19" t="s">
        <v>65</v>
      </c>
      <c r="F17" s="23" t="s">
        <v>59</v>
      </c>
      <c r="G17" s="22"/>
      <c r="H17" s="23" t="s">
        <v>60</v>
      </c>
      <c r="I17" s="22"/>
      <c r="J17" s="3" t="s">
        <v>61</v>
      </c>
      <c r="K17" s="3" t="s">
        <v>41</v>
      </c>
      <c r="L17" s="3" t="s">
        <v>48</v>
      </c>
      <c r="M17" s="3">
        <v>0.47</v>
      </c>
      <c r="N17" s="3">
        <v>0.37</v>
      </c>
      <c r="O17" s="3">
        <v>0.77</v>
      </c>
      <c r="P17" s="3">
        <v>200</v>
      </c>
      <c r="Q17" s="3">
        <v>4.5999999999999996</v>
      </c>
      <c r="R17" s="3">
        <v>44</v>
      </c>
      <c r="S17" s="20">
        <v>5.2</v>
      </c>
    </row>
    <row r="18" spans="2:19" x14ac:dyDescent="0.25">
      <c r="B18" s="21"/>
      <c r="C18" s="22"/>
      <c r="D18" s="13" t="s">
        <v>37</v>
      </c>
      <c r="E18" s="19" t="s">
        <v>8</v>
      </c>
      <c r="F18" s="23" t="s">
        <v>59</v>
      </c>
      <c r="G18" s="22"/>
      <c r="H18" s="23" t="s">
        <v>60</v>
      </c>
      <c r="I18" s="22"/>
      <c r="J18" s="3" t="s">
        <v>61</v>
      </c>
      <c r="K18" s="3" t="s">
        <v>41</v>
      </c>
      <c r="L18" s="3" t="s">
        <v>42</v>
      </c>
      <c r="M18" s="3">
        <v>0.47</v>
      </c>
      <c r="N18" s="3">
        <v>0.37</v>
      </c>
      <c r="O18" s="3">
        <v>0.77</v>
      </c>
      <c r="P18" s="3">
        <v>202</v>
      </c>
      <c r="Q18" s="3">
        <v>6</v>
      </c>
      <c r="R18" s="3">
        <v>44</v>
      </c>
      <c r="S18" s="20">
        <v>5.2</v>
      </c>
    </row>
    <row r="19" spans="2:19" ht="15.75" thickBot="1" x14ac:dyDescent="0.3">
      <c r="B19" s="24"/>
      <c r="C19" s="25"/>
      <c r="D19" s="26" t="s">
        <v>49</v>
      </c>
      <c r="E19" s="27" t="s">
        <v>9</v>
      </c>
      <c r="F19" s="28" t="s">
        <v>59</v>
      </c>
      <c r="G19" s="25"/>
      <c r="H19" s="28" t="s">
        <v>60</v>
      </c>
      <c r="I19" s="25"/>
      <c r="J19" s="26" t="s">
        <v>61</v>
      </c>
      <c r="K19" s="26" t="s">
        <v>41</v>
      </c>
      <c r="L19" s="26" t="s">
        <v>64</v>
      </c>
      <c r="M19" s="26">
        <v>0.47</v>
      </c>
      <c r="N19" s="26">
        <v>0.37</v>
      </c>
      <c r="O19" s="26">
        <v>1.89</v>
      </c>
      <c r="P19" s="26">
        <v>130</v>
      </c>
      <c r="Q19" s="26">
        <v>3.1</v>
      </c>
      <c r="R19" s="26">
        <v>44</v>
      </c>
      <c r="S19" s="29">
        <v>2.1</v>
      </c>
    </row>
    <row r="20" spans="2:19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x14ac:dyDescent="0.25">
      <c r="B21" s="4" t="s">
        <v>67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mergeCells count="1">
    <mergeCell ref="B1:S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opLeftCell="C16" workbookViewId="0">
      <selection activeCell="E27" sqref="E27"/>
    </sheetView>
  </sheetViews>
  <sheetFormatPr defaultRowHeight="15" outlineLevelCol="1" x14ac:dyDescent="0.25"/>
  <cols>
    <col min="2" max="2" width="9.85546875" customWidth="1"/>
    <col min="3" max="3" width="17.7109375" customWidth="1"/>
    <col min="4" max="4" width="26" customWidth="1"/>
    <col min="5" max="5" width="13.28515625" customWidth="1"/>
    <col min="6" max="6" width="14" customWidth="1"/>
    <col min="15" max="15" width="9.140625" style="150" customWidth="1" outlineLevel="1"/>
    <col min="16" max="27" width="9.140625" customWidth="1" outlineLevel="1"/>
  </cols>
  <sheetData>
    <row r="1" spans="1:35" x14ac:dyDescent="0.25">
      <c r="A1" s="193" t="s">
        <v>106</v>
      </c>
      <c r="B1" s="193"/>
      <c r="C1" s="193"/>
      <c r="D1" s="193"/>
      <c r="E1" s="193"/>
      <c r="F1" s="193"/>
      <c r="H1" s="194" t="s">
        <v>107</v>
      </c>
      <c r="I1" s="194"/>
      <c r="K1">
        <f>K2/$H$24</f>
        <v>1.3866815539837829</v>
      </c>
      <c r="L1">
        <f t="shared" ref="L1:N1" si="0">L2/$H$24</f>
        <v>1.584778918838609</v>
      </c>
      <c r="M1">
        <f t="shared" si="0"/>
        <v>1.7828762836934351</v>
      </c>
      <c r="N1">
        <f t="shared" si="0"/>
        <v>1.9809736485482614</v>
      </c>
      <c r="P1" t="s">
        <v>129</v>
      </c>
      <c r="W1" t="s">
        <v>133</v>
      </c>
      <c r="AC1" t="s">
        <v>134</v>
      </c>
    </row>
    <row r="2" spans="1:35" ht="15.75" thickBot="1" x14ac:dyDescent="0.3">
      <c r="H2" s="194"/>
      <c r="I2" s="194"/>
      <c r="K2">
        <v>35</v>
      </c>
      <c r="L2">
        <v>40</v>
      </c>
      <c r="M2">
        <v>45</v>
      </c>
      <c r="N2">
        <v>50</v>
      </c>
      <c r="Q2">
        <v>2016</v>
      </c>
      <c r="R2">
        <v>2017</v>
      </c>
      <c r="S2">
        <v>2018</v>
      </c>
      <c r="T2">
        <v>2019</v>
      </c>
      <c r="U2">
        <v>2020</v>
      </c>
      <c r="W2">
        <v>2016</v>
      </c>
      <c r="X2">
        <v>2017</v>
      </c>
      <c r="Y2">
        <v>2018</v>
      </c>
      <c r="Z2">
        <v>2019</v>
      </c>
      <c r="AA2">
        <v>2020</v>
      </c>
      <c r="AC2" t="s">
        <v>135</v>
      </c>
    </row>
    <row r="3" spans="1:35" ht="15.75" thickBot="1" x14ac:dyDescent="0.3">
      <c r="A3" s="195" t="s">
        <v>22</v>
      </c>
      <c r="B3" s="196"/>
      <c r="C3" s="117" t="s">
        <v>24</v>
      </c>
      <c r="D3" s="118" t="s">
        <v>108</v>
      </c>
      <c r="E3" s="119" t="s">
        <v>109</v>
      </c>
      <c r="F3" s="120" t="s">
        <v>110</v>
      </c>
      <c r="K3">
        <v>2017</v>
      </c>
      <c r="L3">
        <v>2018</v>
      </c>
      <c r="M3">
        <v>2019</v>
      </c>
      <c r="N3">
        <v>2020</v>
      </c>
      <c r="Q3">
        <f>(I9+I16+I23)/(I5+I12+I18)</f>
        <v>1.1744872485192621</v>
      </c>
      <c r="R3">
        <v>1.25</v>
      </c>
      <c r="S3">
        <v>1.5</v>
      </c>
      <c r="T3">
        <v>1.75</v>
      </c>
      <c r="U3">
        <v>2</v>
      </c>
      <c r="V3" t="s">
        <v>114</v>
      </c>
      <c r="W3">
        <f>Q8+Q15+Q22</f>
        <v>11.607386363636362</v>
      </c>
      <c r="X3">
        <f>(K2*R3)/(1+R3)</f>
        <v>19.444444444444443</v>
      </c>
      <c r="Y3">
        <f t="shared" ref="Y3:AA3" si="1">(L2*S3)/(1+S3)</f>
        <v>24</v>
      </c>
      <c r="Z3">
        <f t="shared" si="1"/>
        <v>28.636363636363637</v>
      </c>
      <c r="AA3">
        <f t="shared" si="1"/>
        <v>33.333333333333336</v>
      </c>
      <c r="AC3" t="s">
        <v>136</v>
      </c>
      <c r="AD3" t="s">
        <v>137</v>
      </c>
      <c r="AE3" t="s">
        <v>138</v>
      </c>
      <c r="AF3" t="s">
        <v>127</v>
      </c>
    </row>
    <row r="4" spans="1:35" x14ac:dyDescent="0.25">
      <c r="A4" s="121" t="s">
        <v>2</v>
      </c>
      <c r="B4" s="122"/>
      <c r="C4" s="186" t="s">
        <v>111</v>
      </c>
      <c r="D4" s="123" t="s">
        <v>112</v>
      </c>
      <c r="E4" s="124">
        <v>1252</v>
      </c>
      <c r="F4" s="32">
        <f t="shared" ref="F4:F5" si="2">E4/1100</f>
        <v>1.1381818181818182</v>
      </c>
      <c r="H4">
        <f>F4*2</f>
        <v>2.2763636363636364</v>
      </c>
      <c r="K4">
        <f>H4*$K$1</f>
        <v>3.1565914647049023</v>
      </c>
      <c r="L4">
        <f>H4*$L$1</f>
        <v>3.6075331025198882</v>
      </c>
      <c r="M4">
        <f>H4*$M$1</f>
        <v>4.0584747403348738</v>
      </c>
      <c r="N4">
        <f>H4*$N$1</f>
        <v>4.5094163781498606</v>
      </c>
      <c r="V4" t="s">
        <v>111</v>
      </c>
      <c r="W4">
        <f>Q9+Q16+Q23</f>
        <v>13.632727272727273</v>
      </c>
      <c r="X4">
        <f>K2/(1+R3)</f>
        <v>15.555555555555555</v>
      </c>
      <c r="Y4">
        <f t="shared" ref="Y4:AA4" si="3">L2/(1+S3)</f>
        <v>16</v>
      </c>
      <c r="Z4">
        <f t="shared" si="3"/>
        <v>16.363636363636363</v>
      </c>
      <c r="AA4">
        <f t="shared" si="3"/>
        <v>16.666666666666668</v>
      </c>
      <c r="AC4">
        <f>Q9/($Q$9+$Q$16+$Q$23)</f>
        <v>0.45705521472392641</v>
      </c>
      <c r="AD4">
        <f>Q16/(Q9+Q16+Q23)</f>
        <v>0.20685516137636703</v>
      </c>
      <c r="AE4">
        <f>Q23/(Q9+Q16+Q23)</f>
        <v>0.33608962389970659</v>
      </c>
      <c r="AF4">
        <f>SUM(AC4:AE4)</f>
        <v>1</v>
      </c>
    </row>
    <row r="5" spans="1:35" ht="15.75" thickBot="1" x14ac:dyDescent="0.3">
      <c r="A5" s="197" t="s">
        <v>43</v>
      </c>
      <c r="B5" s="198"/>
      <c r="C5" s="188"/>
      <c r="D5" s="125" t="s">
        <v>113</v>
      </c>
      <c r="E5" s="124">
        <v>1000</v>
      </c>
      <c r="F5" s="32">
        <f t="shared" si="2"/>
        <v>0.90909090909090906</v>
      </c>
      <c r="G5">
        <f>F4+F5</f>
        <v>2.0472727272727274</v>
      </c>
      <c r="H5">
        <f t="shared" ref="H5:I24" si="4">F5*2</f>
        <v>1.8181818181818181</v>
      </c>
      <c r="I5">
        <f>H4+H5</f>
        <v>4.0945454545454547</v>
      </c>
      <c r="K5">
        <f t="shared" ref="K5:K23" si="5">H5*$K$1</f>
        <v>2.5212391890614234</v>
      </c>
      <c r="L5">
        <f t="shared" ref="L5:L23" si="6">H5*$L$1</f>
        <v>2.8814162160701979</v>
      </c>
      <c r="M5">
        <f t="shared" ref="M5:M23" si="7">H5*$M$1</f>
        <v>3.2415932430789729</v>
      </c>
      <c r="N5">
        <f t="shared" ref="N5:N23" si="8">H5*$N$1</f>
        <v>3.6017702700877479</v>
      </c>
      <c r="R5">
        <v>2017</v>
      </c>
      <c r="S5">
        <v>2018</v>
      </c>
      <c r="T5">
        <v>2019</v>
      </c>
      <c r="U5">
        <v>2020</v>
      </c>
      <c r="V5" t="s">
        <v>132</v>
      </c>
      <c r="W5">
        <f>W3+W4</f>
        <v>25.240113636363635</v>
      </c>
      <c r="X5">
        <f t="shared" ref="X5:AA5" si="9">X3+X4</f>
        <v>35</v>
      </c>
      <c r="Y5">
        <f t="shared" si="9"/>
        <v>40</v>
      </c>
      <c r="Z5">
        <f t="shared" si="9"/>
        <v>45</v>
      </c>
      <c r="AA5">
        <f t="shared" si="9"/>
        <v>50</v>
      </c>
    </row>
    <row r="6" spans="1:35" x14ac:dyDescent="0.25">
      <c r="A6" s="197"/>
      <c r="B6" s="198"/>
      <c r="C6" s="187" t="s">
        <v>114</v>
      </c>
      <c r="D6" s="126" t="s">
        <v>115</v>
      </c>
      <c r="E6" s="127">
        <v>827</v>
      </c>
      <c r="F6" s="128">
        <f>E6/1100</f>
        <v>0.75181818181818183</v>
      </c>
      <c r="G6" s="129"/>
      <c r="H6" s="129">
        <f t="shared" si="4"/>
        <v>1.5036363636363637</v>
      </c>
      <c r="I6" s="129"/>
      <c r="J6" s="129"/>
      <c r="K6" s="129">
        <f t="shared" si="5"/>
        <v>2.0850648093537973</v>
      </c>
      <c r="L6" s="129">
        <f t="shared" si="6"/>
        <v>2.382931210690054</v>
      </c>
      <c r="M6" s="129">
        <f t="shared" si="7"/>
        <v>2.6807976120263106</v>
      </c>
      <c r="N6" s="129">
        <f t="shared" si="8"/>
        <v>2.9786640133625677</v>
      </c>
      <c r="P6" s="150"/>
      <c r="W6" s="78" t="s">
        <v>3</v>
      </c>
      <c r="X6" s="78">
        <f>X8*$AD$11</f>
        <v>3.0506523950158004</v>
      </c>
      <c r="Y6" s="78">
        <f t="shared" ref="Y6:AA6" si="10">Y8*$AD$11</f>
        <v>3.1378138920162519</v>
      </c>
      <c r="Z6" s="78">
        <f t="shared" si="10"/>
        <v>3.2091278441075306</v>
      </c>
      <c r="AA6" s="78">
        <f t="shared" si="10"/>
        <v>3.2685561375169292</v>
      </c>
      <c r="AC6" t="s">
        <v>139</v>
      </c>
    </row>
    <row r="7" spans="1:35" x14ac:dyDescent="0.25">
      <c r="A7" s="197"/>
      <c r="B7" s="198"/>
      <c r="C7" s="187"/>
      <c r="D7" s="126" t="s">
        <v>116</v>
      </c>
      <c r="E7" s="127">
        <v>600</v>
      </c>
      <c r="F7" s="128">
        <f t="shared" ref="F7:F16" si="11">E7/1100</f>
        <v>0.54545454545454541</v>
      </c>
      <c r="G7" s="129"/>
      <c r="H7" s="129">
        <f t="shared" si="4"/>
        <v>1.0909090909090908</v>
      </c>
      <c r="I7" s="129"/>
      <c r="J7" s="129"/>
      <c r="K7" s="129">
        <f t="shared" si="5"/>
        <v>1.5127435134368539</v>
      </c>
      <c r="L7" s="129">
        <f t="shared" si="6"/>
        <v>1.7288497296421188</v>
      </c>
      <c r="M7" s="129">
        <f t="shared" si="7"/>
        <v>1.9449559458473835</v>
      </c>
      <c r="N7" s="129">
        <f t="shared" si="8"/>
        <v>2.1610621620526484</v>
      </c>
      <c r="P7" s="150"/>
      <c r="W7" s="78" t="s">
        <v>5</v>
      </c>
      <c r="X7" s="78">
        <f>X8*$AE$11</f>
        <v>2.4366233187027158</v>
      </c>
      <c r="Y7" s="78">
        <f t="shared" ref="Y7:AA7" si="12">Y8*$AE$11</f>
        <v>2.5062411278085079</v>
      </c>
      <c r="Z7" s="78">
        <f t="shared" si="12"/>
        <v>2.5632011534405192</v>
      </c>
      <c r="AA7" s="78">
        <f t="shared" si="12"/>
        <v>2.6106678414671958</v>
      </c>
      <c r="AC7" t="s">
        <v>136</v>
      </c>
      <c r="AD7" t="s">
        <v>137</v>
      </c>
      <c r="AE7" t="s">
        <v>138</v>
      </c>
      <c r="AF7" t="s">
        <v>127</v>
      </c>
    </row>
    <row r="8" spans="1:35" x14ac:dyDescent="0.25">
      <c r="A8" s="197"/>
      <c r="B8" s="198"/>
      <c r="C8" s="187"/>
      <c r="D8" s="126" t="s">
        <v>117</v>
      </c>
      <c r="E8" s="127">
        <v>1000</v>
      </c>
      <c r="F8" s="128">
        <f t="shared" si="11"/>
        <v>0.90909090909090906</v>
      </c>
      <c r="G8" s="129"/>
      <c r="H8" s="129">
        <f t="shared" si="4"/>
        <v>1.8181818181818181</v>
      </c>
      <c r="I8" s="129"/>
      <c r="J8" s="129"/>
      <c r="K8" s="129">
        <f t="shared" si="5"/>
        <v>2.5212391890614234</v>
      </c>
      <c r="L8" s="129">
        <f t="shared" si="6"/>
        <v>2.8814162160701979</v>
      </c>
      <c r="M8" s="129">
        <f t="shared" si="7"/>
        <v>3.2415932430789729</v>
      </c>
      <c r="N8" s="129">
        <f t="shared" si="8"/>
        <v>3.6017702700877479</v>
      </c>
      <c r="P8" s="150" t="s">
        <v>111</v>
      </c>
      <c r="Q8">
        <f>I5</f>
        <v>4.0945454545454547</v>
      </c>
      <c r="R8">
        <f>K4+K5</f>
        <v>5.6778306537663257</v>
      </c>
      <c r="S8">
        <f t="shared" ref="S8:T8" si="13">L4+L5</f>
        <v>6.4889493185900857</v>
      </c>
      <c r="T8">
        <f t="shared" si="13"/>
        <v>7.3000679834138467</v>
      </c>
      <c r="U8">
        <f>N4+N5</f>
        <v>8.1111866482376094</v>
      </c>
      <c r="X8" s="150">
        <f>X4*$AC$8</f>
        <v>5.4872757137185166</v>
      </c>
      <c r="Y8" s="150">
        <f t="shared" ref="Y8:AA8" si="14">Y4*$AC$8</f>
        <v>5.6440550198247603</v>
      </c>
      <c r="Z8" s="150">
        <f t="shared" si="14"/>
        <v>5.7723289975480503</v>
      </c>
      <c r="AA8" s="150">
        <f t="shared" si="14"/>
        <v>5.8792239789841254</v>
      </c>
      <c r="AC8">
        <f>Q8/(Q8+Q15+Q22)</f>
        <v>0.35275343873904752</v>
      </c>
      <c r="AD8">
        <f>Q15/(Q8+Q15+Q22)</f>
        <v>0.242008908904009</v>
      </c>
      <c r="AE8">
        <f>Q22/(Q8+Q15+Q22)</f>
        <v>0.40523765235694359</v>
      </c>
      <c r="AF8">
        <f>SUM(AC8:AE8)</f>
        <v>1.0000000000000002</v>
      </c>
    </row>
    <row r="9" spans="1:35" ht="15.75" thickBot="1" x14ac:dyDescent="0.3">
      <c r="A9" s="199"/>
      <c r="B9" s="200"/>
      <c r="C9" s="188"/>
      <c r="D9" s="130" t="s">
        <v>118</v>
      </c>
      <c r="E9" s="131">
        <v>1000</v>
      </c>
      <c r="F9" s="128">
        <f t="shared" si="11"/>
        <v>0.90909090909090906</v>
      </c>
      <c r="G9" s="129">
        <f>SUM(F6:F9)</f>
        <v>3.1154545454545457</v>
      </c>
      <c r="H9" s="129">
        <f t="shared" si="4"/>
        <v>1.8181818181818181</v>
      </c>
      <c r="I9" s="129">
        <f>G9*2</f>
        <v>6.2309090909090914</v>
      </c>
      <c r="J9" s="129"/>
      <c r="K9" s="129">
        <f t="shared" si="5"/>
        <v>2.5212391890614234</v>
      </c>
      <c r="L9" s="129">
        <f t="shared" si="6"/>
        <v>2.8814162160701979</v>
      </c>
      <c r="M9" s="129">
        <f t="shared" si="7"/>
        <v>3.2415932430789729</v>
      </c>
      <c r="N9" s="129">
        <f t="shared" si="8"/>
        <v>3.6017702700877479</v>
      </c>
      <c r="P9" s="129" t="s">
        <v>114</v>
      </c>
      <c r="Q9" s="129">
        <f>I9</f>
        <v>6.2309090909090914</v>
      </c>
      <c r="R9" s="129">
        <f>SUM(K6:K9)</f>
        <v>8.6402867009134976</v>
      </c>
      <c r="S9" s="129">
        <f>SUM(L6:L9)</f>
        <v>9.8746133724725684</v>
      </c>
      <c r="T9" s="129">
        <f t="shared" ref="T9:U9" si="15">SUM(M6:M9)</f>
        <v>11.108940044031641</v>
      </c>
      <c r="U9" s="129">
        <f t="shared" si="15"/>
        <v>12.343266715590712</v>
      </c>
      <c r="X9" s="151">
        <f>X3*$AC$4</f>
        <v>8.8871847307430123</v>
      </c>
      <c r="Y9" s="151">
        <f t="shared" ref="Y9:AA9" si="16">Y3*$AC$4</f>
        <v>10.969325153374234</v>
      </c>
      <c r="Z9" s="151">
        <f t="shared" si="16"/>
        <v>13.088399330730621</v>
      </c>
      <c r="AA9" s="151">
        <f t="shared" si="16"/>
        <v>15.235173824130881</v>
      </c>
    </row>
    <row r="10" spans="1:35" x14ac:dyDescent="0.25">
      <c r="A10" s="132" t="s">
        <v>7</v>
      </c>
      <c r="B10" s="132"/>
      <c r="C10" s="186" t="s">
        <v>111</v>
      </c>
      <c r="D10" s="133" t="s">
        <v>119</v>
      </c>
      <c r="E10" s="134">
        <v>696</v>
      </c>
      <c r="F10" s="3">
        <f t="shared" si="11"/>
        <v>0.63272727272727269</v>
      </c>
      <c r="H10">
        <f t="shared" si="4"/>
        <v>1.2654545454545454</v>
      </c>
      <c r="K10">
        <f t="shared" si="5"/>
        <v>1.7547824755867507</v>
      </c>
      <c r="L10">
        <f t="shared" si="6"/>
        <v>2.0054656863848579</v>
      </c>
      <c r="M10">
        <f t="shared" si="7"/>
        <v>2.2561488971829649</v>
      </c>
      <c r="N10">
        <f t="shared" si="8"/>
        <v>2.5068321079810727</v>
      </c>
      <c r="P10" s="150" t="s">
        <v>132</v>
      </c>
      <c r="Q10">
        <f>Q8+Q9</f>
        <v>10.325454545454546</v>
      </c>
      <c r="R10">
        <f t="shared" ref="R10:U10" si="17">R8+R9</f>
        <v>14.318117354679824</v>
      </c>
      <c r="S10">
        <f t="shared" si="17"/>
        <v>16.363562691062654</v>
      </c>
      <c r="T10">
        <f t="shared" si="17"/>
        <v>18.409008027445488</v>
      </c>
      <c r="U10">
        <f t="shared" si="17"/>
        <v>20.454453363828321</v>
      </c>
      <c r="AD10" t="s">
        <v>3</v>
      </c>
      <c r="AE10" t="s">
        <v>5</v>
      </c>
      <c r="AF10" t="s">
        <v>142</v>
      </c>
      <c r="AG10" t="s">
        <v>141</v>
      </c>
      <c r="AH10" t="s">
        <v>8</v>
      </c>
      <c r="AI10" t="s">
        <v>127</v>
      </c>
    </row>
    <row r="11" spans="1:35" x14ac:dyDescent="0.25">
      <c r="A11" s="132" t="s">
        <v>56</v>
      </c>
      <c r="B11" s="132"/>
      <c r="C11" s="187"/>
      <c r="D11" s="135" t="s">
        <v>113</v>
      </c>
      <c r="E11" s="124">
        <v>500</v>
      </c>
      <c r="F11" s="3">
        <f t="shared" si="11"/>
        <v>0.45454545454545453</v>
      </c>
      <c r="H11">
        <f t="shared" si="4"/>
        <v>0.90909090909090906</v>
      </c>
      <c r="K11">
        <f t="shared" si="5"/>
        <v>1.2606195945307117</v>
      </c>
      <c r="L11">
        <f t="shared" si="6"/>
        <v>1.440708108035099</v>
      </c>
      <c r="M11">
        <f t="shared" si="7"/>
        <v>1.6207966215394864</v>
      </c>
      <c r="N11">
        <f t="shared" si="8"/>
        <v>1.8008851350438739</v>
      </c>
      <c r="P11" s="150"/>
      <c r="AC11" t="s">
        <v>136</v>
      </c>
      <c r="AD11">
        <f>H4/(H4+H5)</f>
        <v>0.55595026642984013</v>
      </c>
      <c r="AE11">
        <f>H5/(H4+H5)</f>
        <v>0.44404973357015981</v>
      </c>
      <c r="AI11">
        <f>SUM(AD11:AH11)</f>
        <v>1</v>
      </c>
    </row>
    <row r="12" spans="1:35" ht="15.75" thickBot="1" x14ac:dyDescent="0.3">
      <c r="A12" s="184"/>
      <c r="B12" s="168"/>
      <c r="C12" s="188"/>
      <c r="D12" s="135" t="s">
        <v>112</v>
      </c>
      <c r="E12" s="124">
        <v>349</v>
      </c>
      <c r="F12" s="3">
        <f t="shared" si="11"/>
        <v>0.31727272727272726</v>
      </c>
      <c r="G12">
        <f>SUM(F10:F12)</f>
        <v>1.4045454545454543</v>
      </c>
      <c r="H12">
        <f t="shared" si="4"/>
        <v>0.63454545454545452</v>
      </c>
      <c r="I12">
        <f>H10+H11+H12</f>
        <v>2.8090909090909086</v>
      </c>
      <c r="K12">
        <f t="shared" si="5"/>
        <v>0.8799124769824368</v>
      </c>
      <c r="L12">
        <f t="shared" si="6"/>
        <v>1.0056142594084991</v>
      </c>
      <c r="M12">
        <f t="shared" si="7"/>
        <v>1.1313160418345616</v>
      </c>
      <c r="N12">
        <f t="shared" si="8"/>
        <v>1.257017824260624</v>
      </c>
      <c r="P12" s="150"/>
      <c r="W12" s="78" t="s">
        <v>3</v>
      </c>
      <c r="X12" s="78">
        <f>X15*$AD$12</f>
        <v>0.85038153822724782</v>
      </c>
      <c r="Y12" s="78">
        <f t="shared" ref="Y12:AA12" si="18">Y15*$AD$12</f>
        <v>0.87467815360516921</v>
      </c>
      <c r="Z12" s="78">
        <f t="shared" si="18"/>
        <v>0.89455720255074123</v>
      </c>
      <c r="AA12" s="78">
        <f t="shared" si="18"/>
        <v>0.91112307667205128</v>
      </c>
      <c r="AC12" t="s">
        <v>137</v>
      </c>
      <c r="AD12">
        <f>H12/(I12)</f>
        <v>0.22588996763754049</v>
      </c>
      <c r="AE12">
        <f>H11/(H10+H11+H12)</f>
        <v>0.3236245954692557</v>
      </c>
      <c r="AF12">
        <f>H10/(H10+H11+H12)</f>
        <v>0.45048543689320392</v>
      </c>
      <c r="AI12">
        <f t="shared" ref="AI12:AI13" si="19">SUM(AD12:AH12)</f>
        <v>1</v>
      </c>
    </row>
    <row r="13" spans="1:35" x14ac:dyDescent="0.25">
      <c r="A13" s="184"/>
      <c r="B13" s="168"/>
      <c r="C13" s="187" t="s">
        <v>114</v>
      </c>
      <c r="D13" s="136" t="s">
        <v>120</v>
      </c>
      <c r="E13" s="127">
        <v>661</v>
      </c>
      <c r="F13" s="137">
        <f t="shared" si="11"/>
        <v>0.60090909090909095</v>
      </c>
      <c r="G13" s="129"/>
      <c r="H13" s="129">
        <f t="shared" si="4"/>
        <v>1.2018181818181819</v>
      </c>
      <c r="I13" s="129"/>
      <c r="J13" s="129"/>
      <c r="K13" s="129">
        <f t="shared" si="5"/>
        <v>1.6665391039696009</v>
      </c>
      <c r="L13" s="129">
        <f t="shared" si="6"/>
        <v>1.9046161188224011</v>
      </c>
      <c r="M13" s="129">
        <f t="shared" si="7"/>
        <v>2.1426931336752011</v>
      </c>
      <c r="N13" s="129">
        <f t="shared" si="8"/>
        <v>2.3807701485280015</v>
      </c>
      <c r="P13" s="150"/>
      <c r="W13" s="78" t="s">
        <v>143</v>
      </c>
      <c r="X13" s="78">
        <f>X15*$AE$12</f>
        <v>1.2183116593513579</v>
      </c>
      <c r="Y13" s="78">
        <f t="shared" ref="Y13:AA13" si="20">Y15*$AE$12</f>
        <v>1.253120563904254</v>
      </c>
      <c r="Z13" s="78">
        <f t="shared" si="20"/>
        <v>1.2816005767202596</v>
      </c>
      <c r="AA13" s="78">
        <f t="shared" si="20"/>
        <v>1.3053339207335979</v>
      </c>
      <c r="AC13" t="s">
        <v>140</v>
      </c>
      <c r="AG13">
        <f>H17/I18</f>
        <v>0.73425458410842415</v>
      </c>
      <c r="AH13">
        <f>H18/I18</f>
        <v>0.26574541589157591</v>
      </c>
      <c r="AI13">
        <f t="shared" si="19"/>
        <v>1</v>
      </c>
    </row>
    <row r="14" spans="1:35" x14ac:dyDescent="0.25">
      <c r="A14" s="184"/>
      <c r="B14" s="168"/>
      <c r="C14" s="187"/>
      <c r="D14" s="138" t="s">
        <v>121</v>
      </c>
      <c r="E14" s="139">
        <v>655</v>
      </c>
      <c r="F14" s="137">
        <f t="shared" si="11"/>
        <v>0.59545454545454546</v>
      </c>
      <c r="G14" s="129"/>
      <c r="H14" s="129">
        <f t="shared" si="4"/>
        <v>1.1909090909090909</v>
      </c>
      <c r="I14" s="129"/>
      <c r="J14" s="129"/>
      <c r="K14" s="129">
        <f t="shared" si="5"/>
        <v>1.6514116688352323</v>
      </c>
      <c r="L14" s="129">
        <f t="shared" si="6"/>
        <v>1.8873276215259798</v>
      </c>
      <c r="M14" s="129">
        <f t="shared" si="7"/>
        <v>2.123243574216727</v>
      </c>
      <c r="N14" s="129">
        <f t="shared" si="8"/>
        <v>2.359159526907475</v>
      </c>
      <c r="P14" s="150"/>
      <c r="W14" s="78" t="s">
        <v>4</v>
      </c>
      <c r="X14" s="78">
        <f>X15*$AF$12</f>
        <v>1.6958898298170901</v>
      </c>
      <c r="Y14" s="78">
        <f t="shared" ref="Y14:AA14" si="21">Y15*$AF$12</f>
        <v>1.7443438249547214</v>
      </c>
      <c r="Z14" s="78">
        <f t="shared" si="21"/>
        <v>1.7839880027946013</v>
      </c>
      <c r="AA14" s="78">
        <f t="shared" si="21"/>
        <v>1.8170248176611681</v>
      </c>
    </row>
    <row r="15" spans="1:35" x14ac:dyDescent="0.25">
      <c r="A15" s="184"/>
      <c r="B15" s="168"/>
      <c r="C15" s="187"/>
      <c r="D15" s="138" t="s">
        <v>116</v>
      </c>
      <c r="E15" s="139">
        <v>195</v>
      </c>
      <c r="F15" s="137">
        <f t="shared" si="11"/>
        <v>0.17727272727272728</v>
      </c>
      <c r="G15" s="129"/>
      <c r="H15" s="129">
        <f t="shared" si="4"/>
        <v>0.35454545454545455</v>
      </c>
      <c r="I15" s="129"/>
      <c r="J15" s="129"/>
      <c r="K15" s="129">
        <f t="shared" si="5"/>
        <v>0.49164164186697756</v>
      </c>
      <c r="L15" s="129">
        <f t="shared" si="6"/>
        <v>0.56187616213368863</v>
      </c>
      <c r="M15" s="129">
        <f t="shared" si="7"/>
        <v>0.63211068240039969</v>
      </c>
      <c r="N15" s="129">
        <f t="shared" si="8"/>
        <v>0.70234520266711087</v>
      </c>
      <c r="P15" s="150" t="s">
        <v>130</v>
      </c>
      <c r="Q15">
        <f>I12</f>
        <v>2.8090909090909086</v>
      </c>
      <c r="R15">
        <f>K10+K11+K12</f>
        <v>3.8953145470998991</v>
      </c>
      <c r="S15">
        <f t="shared" ref="S15:U15" si="22">L10+L11+L12</f>
        <v>4.451788053828456</v>
      </c>
      <c r="T15">
        <f t="shared" si="22"/>
        <v>5.0082615605570133</v>
      </c>
      <c r="U15">
        <f t="shared" si="22"/>
        <v>5.5647350672855698</v>
      </c>
      <c r="X15">
        <f>X4*$AD$8</f>
        <v>3.7645830273956955</v>
      </c>
      <c r="Y15">
        <f t="shared" ref="Y15:AA15" si="23">Y4*$AD$8</f>
        <v>3.872142542464144</v>
      </c>
      <c r="Z15">
        <f t="shared" si="23"/>
        <v>3.9601457820656019</v>
      </c>
      <c r="AA15">
        <f t="shared" si="23"/>
        <v>4.0334818150668168</v>
      </c>
    </row>
    <row r="16" spans="1:35" ht="15.75" thickBot="1" x14ac:dyDescent="0.3">
      <c r="A16" s="189"/>
      <c r="B16" s="190"/>
      <c r="C16" s="188"/>
      <c r="D16" s="138" t="s">
        <v>115</v>
      </c>
      <c r="E16" s="139">
        <v>40</v>
      </c>
      <c r="F16" s="137">
        <f t="shared" si="11"/>
        <v>3.6363636363636362E-2</v>
      </c>
      <c r="G16" s="129">
        <f>SUM(F13:F16)</f>
        <v>1.41</v>
      </c>
      <c r="H16" s="129">
        <f t="shared" si="4"/>
        <v>7.2727272727272724E-2</v>
      </c>
      <c r="I16" s="129">
        <f t="shared" si="4"/>
        <v>2.82</v>
      </c>
      <c r="J16" s="129"/>
      <c r="K16" s="129">
        <f t="shared" si="5"/>
        <v>0.10084956756245693</v>
      </c>
      <c r="L16" s="129">
        <f t="shared" si="6"/>
        <v>0.11525664864280792</v>
      </c>
      <c r="M16" s="129">
        <f t="shared" si="7"/>
        <v>0.1296637297231589</v>
      </c>
      <c r="N16" s="129">
        <f t="shared" si="8"/>
        <v>0.14407081080350992</v>
      </c>
      <c r="P16" s="129" t="s">
        <v>114</v>
      </c>
      <c r="Q16" s="129">
        <f>I16</f>
        <v>2.82</v>
      </c>
      <c r="R16" s="129">
        <f>SUM(K13:K16)</f>
        <v>3.9104419822342678</v>
      </c>
      <c r="S16" s="129">
        <f t="shared" ref="S16:U16" si="24">SUM(L13:L16)</f>
        <v>4.4690765511248767</v>
      </c>
      <c r="T16" s="129">
        <f t="shared" si="24"/>
        <v>5.0277111200154874</v>
      </c>
      <c r="U16" s="129">
        <f t="shared" si="24"/>
        <v>5.5863456889060972</v>
      </c>
      <c r="X16" s="151">
        <f>X3*$AD$4</f>
        <v>4.0221836934293584</v>
      </c>
      <c r="Y16" s="151">
        <f t="shared" ref="Y16:AA16" si="25">Y3*$AD$4</f>
        <v>4.9645238730328085</v>
      </c>
      <c r="Z16" s="151">
        <f t="shared" si="25"/>
        <v>5.9235796212323288</v>
      </c>
      <c r="AA16" s="151">
        <f t="shared" si="25"/>
        <v>6.8951720458789012</v>
      </c>
    </row>
    <row r="17" spans="1:27" x14ac:dyDescent="0.25">
      <c r="A17" s="140" t="s">
        <v>10</v>
      </c>
      <c r="B17" s="141"/>
      <c r="C17" s="186" t="s">
        <v>111</v>
      </c>
      <c r="D17" s="142" t="s">
        <v>122</v>
      </c>
      <c r="E17" s="143">
        <v>2763</v>
      </c>
      <c r="F17" s="16">
        <f t="shared" ref="F17" si="26">E17/1600</f>
        <v>1.7268749999999999</v>
      </c>
      <c r="H17">
        <f t="shared" si="4"/>
        <v>3.4537499999999999</v>
      </c>
      <c r="K17">
        <f t="shared" si="5"/>
        <v>4.7892514170714904</v>
      </c>
      <c r="L17">
        <f t="shared" si="6"/>
        <v>5.4734301909388456</v>
      </c>
      <c r="M17">
        <f t="shared" si="7"/>
        <v>6.1576089648062009</v>
      </c>
      <c r="N17">
        <f t="shared" si="8"/>
        <v>6.8417877386735579</v>
      </c>
      <c r="P17" s="150" t="s">
        <v>131</v>
      </c>
      <c r="Q17">
        <f>Q15+Q16</f>
        <v>5.6290909090909089</v>
      </c>
      <c r="R17">
        <f t="shared" ref="R17:U17" si="27">R15+R16</f>
        <v>7.8057565293341664</v>
      </c>
      <c r="S17">
        <f t="shared" si="27"/>
        <v>8.9208646049533336</v>
      </c>
      <c r="T17">
        <f t="shared" si="27"/>
        <v>10.035972680572501</v>
      </c>
      <c r="U17">
        <f t="shared" si="27"/>
        <v>11.151080756191668</v>
      </c>
    </row>
    <row r="18" spans="1:27" ht="15.75" thickBot="1" x14ac:dyDescent="0.3">
      <c r="A18" s="144" t="s">
        <v>62</v>
      </c>
      <c r="B18" s="4"/>
      <c r="C18" s="188"/>
      <c r="D18" s="125" t="s">
        <v>123</v>
      </c>
      <c r="E18" s="124">
        <v>1000</v>
      </c>
      <c r="F18" s="20">
        <f>E18/1600</f>
        <v>0.625</v>
      </c>
      <c r="G18">
        <f>F17+F18</f>
        <v>2.3518749999999997</v>
      </c>
      <c r="H18">
        <f t="shared" si="4"/>
        <v>1.25</v>
      </c>
      <c r="I18">
        <f>H17+H18</f>
        <v>4.7037499999999994</v>
      </c>
      <c r="K18">
        <f t="shared" si="5"/>
        <v>1.7333519424797286</v>
      </c>
      <c r="L18">
        <f t="shared" si="6"/>
        <v>1.9809736485482612</v>
      </c>
      <c r="M18">
        <f t="shared" si="7"/>
        <v>2.228595354616794</v>
      </c>
      <c r="N18">
        <f t="shared" si="8"/>
        <v>2.4762170606853267</v>
      </c>
      <c r="P18" s="150"/>
    </row>
    <row r="19" spans="1:27" x14ac:dyDescent="0.25">
      <c r="A19" s="191"/>
      <c r="B19" s="168"/>
      <c r="C19" s="186" t="s">
        <v>114</v>
      </c>
      <c r="D19" s="126" t="s">
        <v>120</v>
      </c>
      <c r="E19" s="127">
        <v>762</v>
      </c>
      <c r="F19" s="145">
        <f t="shared" ref="F19:F23" si="28">E19/1100</f>
        <v>0.69272727272727275</v>
      </c>
      <c r="G19" s="129"/>
      <c r="H19" s="129">
        <f t="shared" si="4"/>
        <v>1.3854545454545455</v>
      </c>
      <c r="I19" s="129"/>
      <c r="J19" s="129"/>
      <c r="K19" s="129">
        <f t="shared" si="5"/>
        <v>1.9211842620648047</v>
      </c>
      <c r="L19" s="129">
        <f t="shared" si="6"/>
        <v>2.1956391566454911</v>
      </c>
      <c r="M19" s="129">
        <f t="shared" si="7"/>
        <v>2.4700940512261775</v>
      </c>
      <c r="N19" s="129">
        <f t="shared" si="8"/>
        <v>2.7445489458068639</v>
      </c>
      <c r="P19" s="150"/>
    </row>
    <row r="20" spans="1:27" x14ac:dyDescent="0.25">
      <c r="A20" s="191"/>
      <c r="B20" s="168"/>
      <c r="C20" s="187"/>
      <c r="D20" s="126" t="s">
        <v>124</v>
      </c>
      <c r="E20" s="127">
        <v>429</v>
      </c>
      <c r="F20" s="145">
        <f t="shared" si="28"/>
        <v>0.39</v>
      </c>
      <c r="G20" s="129"/>
      <c r="H20" s="129">
        <f t="shared" si="4"/>
        <v>0.78</v>
      </c>
      <c r="I20" s="129"/>
      <c r="J20" s="129"/>
      <c r="K20" s="129">
        <f t="shared" si="5"/>
        <v>1.0816116121073507</v>
      </c>
      <c r="L20" s="129">
        <f t="shared" si="6"/>
        <v>1.236127556694115</v>
      </c>
      <c r="M20" s="129">
        <f t="shared" si="7"/>
        <v>1.3906435012808793</v>
      </c>
      <c r="N20" s="129">
        <f t="shared" si="8"/>
        <v>1.5451594458676439</v>
      </c>
      <c r="P20" s="150"/>
      <c r="W20" s="78" t="s">
        <v>141</v>
      </c>
      <c r="X20" s="78">
        <f>X22*$AG$13</f>
        <v>4.6285182828332276</v>
      </c>
      <c r="Y20" s="78">
        <f t="shared" ref="Y20:AA20" si="29">Y22*$AG$13</f>
        <v>4.7607616623427482</v>
      </c>
      <c r="Z20" s="78">
        <f t="shared" si="29"/>
        <v>4.8689607910323565</v>
      </c>
      <c r="AA20" s="78">
        <f t="shared" si="29"/>
        <v>4.9591267316070295</v>
      </c>
    </row>
    <row r="21" spans="1:27" x14ac:dyDescent="0.25">
      <c r="A21" s="191"/>
      <c r="B21" s="168"/>
      <c r="C21" s="187"/>
      <c r="D21" s="126" t="s">
        <v>121</v>
      </c>
      <c r="E21" s="127">
        <v>510</v>
      </c>
      <c r="F21" s="145">
        <f t="shared" si="28"/>
        <v>0.46363636363636362</v>
      </c>
      <c r="G21" s="129"/>
      <c r="H21" s="129">
        <f t="shared" si="4"/>
        <v>0.92727272727272725</v>
      </c>
      <c r="I21" s="129"/>
      <c r="J21" s="129"/>
      <c r="K21" s="129">
        <f t="shared" si="5"/>
        <v>1.2858319864213259</v>
      </c>
      <c r="L21" s="129">
        <f t="shared" si="6"/>
        <v>1.4695222701958011</v>
      </c>
      <c r="M21" s="129">
        <f t="shared" si="7"/>
        <v>1.6532125539702762</v>
      </c>
      <c r="N21" s="129">
        <f t="shared" si="8"/>
        <v>1.8369028377447514</v>
      </c>
      <c r="P21" s="150"/>
      <c r="W21" s="78" t="s">
        <v>8</v>
      </c>
      <c r="X21" s="78">
        <f>X22*$AH$13</f>
        <v>1.6751785316081174</v>
      </c>
      <c r="Y21" s="78">
        <f t="shared" ref="Y21:AA21" si="30">Y22*$AH$13</f>
        <v>1.7230407753683492</v>
      </c>
      <c r="Z21" s="78">
        <f t="shared" si="30"/>
        <v>1.7622007929903571</v>
      </c>
      <c r="AA21" s="78">
        <f t="shared" si="30"/>
        <v>1.7948341410086972</v>
      </c>
    </row>
    <row r="22" spans="1:27" x14ac:dyDescent="0.25">
      <c r="A22" s="191"/>
      <c r="B22" s="168"/>
      <c r="C22" s="187"/>
      <c r="D22" s="126" t="s">
        <v>125</v>
      </c>
      <c r="E22" s="127">
        <v>400</v>
      </c>
      <c r="F22" s="145">
        <f t="shared" si="28"/>
        <v>0.36363636363636365</v>
      </c>
      <c r="G22" s="129"/>
      <c r="H22" s="129">
        <f t="shared" si="4"/>
        <v>0.72727272727272729</v>
      </c>
      <c r="I22" s="129"/>
      <c r="J22" s="129"/>
      <c r="K22" s="129">
        <f t="shared" si="5"/>
        <v>1.0084956756245693</v>
      </c>
      <c r="L22" s="129">
        <f t="shared" si="6"/>
        <v>1.1525664864280794</v>
      </c>
      <c r="M22" s="129">
        <f t="shared" si="7"/>
        <v>1.2966372972315892</v>
      </c>
      <c r="N22" s="129">
        <f t="shared" si="8"/>
        <v>1.4407081080350992</v>
      </c>
      <c r="P22" s="150" t="s">
        <v>111</v>
      </c>
      <c r="Q22">
        <f>I18</f>
        <v>4.7037499999999994</v>
      </c>
      <c r="R22">
        <f>K17+K18</f>
        <v>6.5226033595512192</v>
      </c>
      <c r="S22">
        <f t="shared" ref="S22:U22" si="31">L17+L18</f>
        <v>7.4544038394871066</v>
      </c>
      <c r="T22">
        <f t="shared" si="31"/>
        <v>8.386204319422994</v>
      </c>
      <c r="U22">
        <f t="shared" si="31"/>
        <v>9.318004799358885</v>
      </c>
      <c r="X22">
        <f>X4*$AE$8</f>
        <v>6.303696814441345</v>
      </c>
      <c r="Y22">
        <f t="shared" ref="Y22:AA22" si="32">Y4*$AE$8</f>
        <v>6.4838024377110974</v>
      </c>
      <c r="Z22">
        <f t="shared" si="32"/>
        <v>6.6311615840227134</v>
      </c>
      <c r="AA22">
        <f t="shared" si="32"/>
        <v>6.7539608726157265</v>
      </c>
    </row>
    <row r="23" spans="1:27" ht="15.75" thickBot="1" x14ac:dyDescent="0.3">
      <c r="A23" s="192"/>
      <c r="B23" s="190"/>
      <c r="C23" s="188"/>
      <c r="D23" s="130" t="s">
        <v>126</v>
      </c>
      <c r="E23" s="131">
        <v>419</v>
      </c>
      <c r="F23" s="146">
        <f t="shared" si="28"/>
        <v>0.38090909090909092</v>
      </c>
      <c r="G23" s="129">
        <f>SUM(F19:F23)</f>
        <v>2.290909090909091</v>
      </c>
      <c r="H23" s="129">
        <f t="shared" si="4"/>
        <v>0.76181818181818184</v>
      </c>
      <c r="I23" s="129">
        <f t="shared" si="4"/>
        <v>4.581818181818182</v>
      </c>
      <c r="J23" s="129"/>
      <c r="K23" s="129">
        <f t="shared" si="5"/>
        <v>1.0563992202167365</v>
      </c>
      <c r="L23" s="129">
        <f t="shared" si="6"/>
        <v>1.2073133945334131</v>
      </c>
      <c r="M23" s="129">
        <f t="shared" si="7"/>
        <v>1.3582275688500898</v>
      </c>
      <c r="N23" s="129">
        <f t="shared" si="8"/>
        <v>1.5091417431667664</v>
      </c>
      <c r="P23" s="129" t="s">
        <v>114</v>
      </c>
      <c r="Q23" s="129">
        <f>I23</f>
        <v>4.581818181818182</v>
      </c>
      <c r="R23" s="129">
        <f>SUM(K19:K23)</f>
        <v>6.3535227564347867</v>
      </c>
      <c r="S23" s="129">
        <f t="shared" ref="S23:U23" si="33">SUM(L19:L23)</f>
        <v>7.2611688644968995</v>
      </c>
      <c r="T23" s="129">
        <f t="shared" si="33"/>
        <v>8.1688149725590122</v>
      </c>
      <c r="U23" s="129">
        <f t="shared" si="33"/>
        <v>9.0764610806211241</v>
      </c>
      <c r="X23" s="151">
        <f>X3*$AE$4</f>
        <v>6.5350760202720721</v>
      </c>
      <c r="Y23" s="151">
        <f t="shared" ref="Y23:AA23" si="34">Y3*$AE$4</f>
        <v>8.0661509735929577</v>
      </c>
      <c r="Z23" s="151">
        <f t="shared" si="34"/>
        <v>9.6243846844006882</v>
      </c>
      <c r="AA23" s="151">
        <f t="shared" si="34"/>
        <v>11.202987463323554</v>
      </c>
    </row>
    <row r="24" spans="1:27" ht="15.75" thickBot="1" x14ac:dyDescent="0.3">
      <c r="A24" s="170"/>
      <c r="B24" s="171"/>
      <c r="C24" s="108"/>
      <c r="D24" s="147" t="s">
        <v>127</v>
      </c>
      <c r="E24" s="148">
        <f>SUM(E4:E23)</f>
        <v>15058</v>
      </c>
      <c r="F24" s="149">
        <f>SUM(F4:F23)</f>
        <v>12.620056818181819</v>
      </c>
      <c r="G24">
        <f>G5+G9+G12+G16+G18+G23</f>
        <v>12.620056818181817</v>
      </c>
      <c r="H24">
        <f t="shared" si="4"/>
        <v>25.240113636363638</v>
      </c>
      <c r="I24">
        <f t="shared" si="4"/>
        <v>25.240113636363635</v>
      </c>
      <c r="K24">
        <f>SUM(K4:K23)</f>
        <v>35</v>
      </c>
      <c r="L24">
        <f t="shared" ref="L24:N24" si="35">SUM(L4:L23)</f>
        <v>40</v>
      </c>
      <c r="M24">
        <f t="shared" si="35"/>
        <v>44.999999999999993</v>
      </c>
      <c r="N24">
        <f t="shared" si="35"/>
        <v>50</v>
      </c>
      <c r="P24" s="150" t="s">
        <v>131</v>
      </c>
      <c r="Q24">
        <f>Q22+Q23</f>
        <v>9.2855681818181814</v>
      </c>
      <c r="R24">
        <f t="shared" ref="R24:U24" si="36">R22+R23</f>
        <v>12.876126115986006</v>
      </c>
      <c r="S24">
        <f t="shared" si="36"/>
        <v>14.715572703984005</v>
      </c>
      <c r="T24">
        <f t="shared" si="36"/>
        <v>16.555019291982006</v>
      </c>
      <c r="U24">
        <f t="shared" si="36"/>
        <v>18.394465879980011</v>
      </c>
    </row>
    <row r="25" spans="1:27" x14ac:dyDescent="0.25">
      <c r="I25">
        <v>1100</v>
      </c>
      <c r="J25" t="s">
        <v>128</v>
      </c>
      <c r="K25">
        <f>K24*$I$25</f>
        <v>38500</v>
      </c>
      <c r="L25">
        <f t="shared" ref="L25:N25" si="37">L24*$I$25</f>
        <v>44000</v>
      </c>
      <c r="M25">
        <f t="shared" si="37"/>
        <v>49499.999999999993</v>
      </c>
      <c r="N25">
        <f t="shared" si="37"/>
        <v>55000</v>
      </c>
    </row>
    <row r="26" spans="1:27" x14ac:dyDescent="0.25">
      <c r="E26">
        <f>E24*2</f>
        <v>30116</v>
      </c>
      <c r="P26" t="s">
        <v>127</v>
      </c>
      <c r="Q26">
        <f>Q10+Q17+Q24</f>
        <v>25.240113636363638</v>
      </c>
      <c r="R26">
        <f t="shared" ref="R26:U26" si="38">R10+R17+R24</f>
        <v>34.999999999999993</v>
      </c>
      <c r="S26">
        <f t="shared" si="38"/>
        <v>39.999999999999993</v>
      </c>
      <c r="T26">
        <f t="shared" si="38"/>
        <v>44.999999999999993</v>
      </c>
      <c r="U26">
        <f t="shared" si="38"/>
        <v>50</v>
      </c>
      <c r="W26" t="s">
        <v>114</v>
      </c>
      <c r="X26">
        <f>X9+X16+X23</f>
        <v>19.444444444444443</v>
      </c>
      <c r="Y26">
        <f t="shared" ref="Y26:AA26" si="39">Y9+Y16+Y23</f>
        <v>24</v>
      </c>
      <c r="Z26">
        <f t="shared" si="39"/>
        <v>28.636363636363637</v>
      </c>
      <c r="AA26">
        <f t="shared" si="39"/>
        <v>33.333333333333336</v>
      </c>
    </row>
    <row r="27" spans="1:27" x14ac:dyDescent="0.25">
      <c r="W27" t="s">
        <v>111</v>
      </c>
      <c r="X27">
        <f>X8+X15+X22</f>
        <v>15.555555555555557</v>
      </c>
      <c r="Y27">
        <f t="shared" ref="Y27:AA27" si="40">Y8+Y15+Y22</f>
        <v>16.000000000000004</v>
      </c>
      <c r="Z27">
        <f t="shared" si="40"/>
        <v>16.363636363636367</v>
      </c>
      <c r="AA27">
        <f t="shared" si="40"/>
        <v>16.666666666666671</v>
      </c>
    </row>
    <row r="28" spans="1:27" x14ac:dyDescent="0.25">
      <c r="W28" t="s">
        <v>127</v>
      </c>
      <c r="X28">
        <f>X26+X27</f>
        <v>35</v>
      </c>
      <c r="Y28">
        <f t="shared" ref="Y28:AA28" si="41">Y26+Y27</f>
        <v>40</v>
      </c>
      <c r="Z28">
        <f t="shared" si="41"/>
        <v>45</v>
      </c>
      <c r="AA28">
        <f t="shared" si="41"/>
        <v>50.000000000000007</v>
      </c>
    </row>
  </sheetData>
  <mergeCells count="13">
    <mergeCell ref="A1:F1"/>
    <mergeCell ref="H1:I2"/>
    <mergeCell ref="A3:B3"/>
    <mergeCell ref="C4:C5"/>
    <mergeCell ref="A5:B9"/>
    <mergeCell ref="C6:C9"/>
    <mergeCell ref="A24:B24"/>
    <mergeCell ref="C10:C12"/>
    <mergeCell ref="A12:B16"/>
    <mergeCell ref="C13:C16"/>
    <mergeCell ref="C17:C18"/>
    <mergeCell ref="A19:B23"/>
    <mergeCell ref="C19:C2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90" zoomScaleNormal="90" workbookViewId="0">
      <selection activeCell="S3" sqref="S3:V8"/>
    </sheetView>
  </sheetViews>
  <sheetFormatPr defaultRowHeight="15" x14ac:dyDescent="0.25"/>
  <cols>
    <col min="14" max="14" width="10.42578125" customWidth="1"/>
    <col min="23" max="23" width="11.140625" customWidth="1"/>
  </cols>
  <sheetData>
    <row r="1" spans="1:24" x14ac:dyDescent="0.25">
      <c r="A1" t="s">
        <v>145</v>
      </c>
      <c r="N1" s="155" t="s">
        <v>152</v>
      </c>
      <c r="O1" s="115"/>
      <c r="P1" s="153">
        <v>0.5</v>
      </c>
      <c r="Q1" s="154">
        <f>100%-P1</f>
        <v>0.5</v>
      </c>
      <c r="R1" t="s">
        <v>158</v>
      </c>
      <c r="U1">
        <v>5</v>
      </c>
      <c r="W1" t="s">
        <v>159</v>
      </c>
    </row>
    <row r="2" spans="1:24" x14ac:dyDescent="0.25">
      <c r="A2" t="s">
        <v>146</v>
      </c>
      <c r="N2" s="115"/>
      <c r="O2" s="115"/>
      <c r="P2" s="115" t="s">
        <v>111</v>
      </c>
      <c r="Q2" s="115" t="s">
        <v>114</v>
      </c>
      <c r="R2" t="s">
        <v>111</v>
      </c>
      <c r="S2" s="157" t="s">
        <v>114</v>
      </c>
      <c r="T2" s="156" t="s">
        <v>8</v>
      </c>
      <c r="U2" s="156" t="s">
        <v>160</v>
      </c>
      <c r="V2" s="156" t="s">
        <v>5</v>
      </c>
      <c r="W2" t="s">
        <v>8</v>
      </c>
      <c r="X2" s="153">
        <v>0.25</v>
      </c>
    </row>
    <row r="3" spans="1:24" x14ac:dyDescent="0.25">
      <c r="A3" s="152" t="s">
        <v>147</v>
      </c>
      <c r="N3" s="115" t="s">
        <v>151</v>
      </c>
      <c r="O3" s="115">
        <v>500</v>
      </c>
      <c r="P3" s="115">
        <f>O3*$P$1</f>
        <v>250</v>
      </c>
      <c r="Q3" s="115">
        <f>O3*$Q$1</f>
        <v>250</v>
      </c>
      <c r="R3" s="115">
        <f>P3/$U$1</f>
        <v>50</v>
      </c>
      <c r="S3" s="157">
        <f>Q3/$U$1</f>
        <v>50</v>
      </c>
      <c r="T3" s="156">
        <f>R3*$X$2</f>
        <v>12.5</v>
      </c>
      <c r="U3" s="156">
        <f>R3*$X$3</f>
        <v>25</v>
      </c>
      <c r="V3" s="156">
        <f>R3*$X$4</f>
        <v>12.5</v>
      </c>
      <c r="W3" t="s">
        <v>160</v>
      </c>
      <c r="X3" s="153">
        <v>0.5</v>
      </c>
    </row>
    <row r="4" spans="1:24" x14ac:dyDescent="0.25">
      <c r="A4" s="152" t="s">
        <v>148</v>
      </c>
      <c r="N4" s="115" t="s">
        <v>153</v>
      </c>
      <c r="O4" s="115">
        <v>750</v>
      </c>
      <c r="P4" s="115">
        <f t="shared" ref="P4:P9" si="0">O4*$P$1</f>
        <v>375</v>
      </c>
      <c r="Q4" s="115">
        <f t="shared" ref="Q4:Q8" si="1">O4*$Q$1</f>
        <v>375</v>
      </c>
      <c r="R4" s="115">
        <f t="shared" ref="R4:R9" si="2">P4/$U$1</f>
        <v>75</v>
      </c>
      <c r="S4" s="157">
        <f t="shared" ref="S4:S9" si="3">Q4/$U$1</f>
        <v>75</v>
      </c>
      <c r="T4" s="156">
        <f t="shared" ref="T4:T9" si="4">R4*$X$2</f>
        <v>18.75</v>
      </c>
      <c r="U4" s="156">
        <f t="shared" ref="U4:U9" si="5">R4*$X$3</f>
        <v>37.5</v>
      </c>
      <c r="V4" s="156">
        <f t="shared" ref="V4:V9" si="6">R4*$X$4</f>
        <v>18.75</v>
      </c>
      <c r="W4" t="s">
        <v>5</v>
      </c>
      <c r="X4" s="153">
        <v>0.25</v>
      </c>
    </row>
    <row r="5" spans="1:24" x14ac:dyDescent="0.25">
      <c r="A5" s="152" t="s">
        <v>149</v>
      </c>
      <c r="N5" s="115" t="s">
        <v>154</v>
      </c>
      <c r="O5" s="115">
        <v>750</v>
      </c>
      <c r="P5" s="115">
        <f t="shared" si="0"/>
        <v>375</v>
      </c>
      <c r="Q5" s="115">
        <f t="shared" si="1"/>
        <v>375</v>
      </c>
      <c r="R5" s="115">
        <f t="shared" si="2"/>
        <v>75</v>
      </c>
      <c r="S5" s="157">
        <f t="shared" si="3"/>
        <v>75</v>
      </c>
      <c r="T5" s="156">
        <f t="shared" si="4"/>
        <v>18.75</v>
      </c>
      <c r="U5" s="156">
        <f t="shared" si="5"/>
        <v>37.5</v>
      </c>
      <c r="V5" s="156">
        <f t="shared" si="6"/>
        <v>18.75</v>
      </c>
    </row>
    <row r="6" spans="1:24" x14ac:dyDescent="0.25">
      <c r="A6" s="152" t="s">
        <v>150</v>
      </c>
      <c r="N6" s="115" t="s">
        <v>155</v>
      </c>
      <c r="O6" s="115">
        <v>1000</v>
      </c>
      <c r="P6" s="115">
        <f t="shared" si="0"/>
        <v>500</v>
      </c>
      <c r="Q6" s="115">
        <f t="shared" si="1"/>
        <v>500</v>
      </c>
      <c r="R6" s="115">
        <f t="shared" si="2"/>
        <v>100</v>
      </c>
      <c r="S6" s="157">
        <f t="shared" si="3"/>
        <v>100</v>
      </c>
      <c r="T6" s="156">
        <f t="shared" si="4"/>
        <v>25</v>
      </c>
      <c r="U6" s="156">
        <f t="shared" si="5"/>
        <v>50</v>
      </c>
      <c r="V6" s="156">
        <f t="shared" si="6"/>
        <v>25</v>
      </c>
    </row>
    <row r="7" spans="1:24" x14ac:dyDescent="0.25">
      <c r="N7" s="115" t="s">
        <v>156</v>
      </c>
      <c r="O7" s="115">
        <v>1000</v>
      </c>
      <c r="P7" s="115">
        <f t="shared" si="0"/>
        <v>500</v>
      </c>
      <c r="Q7" s="115">
        <f t="shared" si="1"/>
        <v>500</v>
      </c>
      <c r="R7" s="115">
        <f t="shared" si="2"/>
        <v>100</v>
      </c>
      <c r="S7" s="157">
        <f t="shared" si="3"/>
        <v>100</v>
      </c>
      <c r="T7" s="156">
        <f t="shared" si="4"/>
        <v>25</v>
      </c>
      <c r="U7" s="156">
        <f t="shared" si="5"/>
        <v>50</v>
      </c>
      <c r="V7" s="156">
        <f t="shared" si="6"/>
        <v>25</v>
      </c>
    </row>
    <row r="8" spans="1:24" x14ac:dyDescent="0.25">
      <c r="A8" t="s">
        <v>161</v>
      </c>
      <c r="N8" s="115" t="s">
        <v>157</v>
      </c>
      <c r="O8" s="115">
        <v>1000</v>
      </c>
      <c r="P8" s="115">
        <f t="shared" si="0"/>
        <v>500</v>
      </c>
      <c r="Q8" s="115">
        <f t="shared" si="1"/>
        <v>500</v>
      </c>
      <c r="R8" s="115">
        <f t="shared" si="2"/>
        <v>100</v>
      </c>
      <c r="S8" s="157">
        <f t="shared" si="3"/>
        <v>100</v>
      </c>
      <c r="T8" s="156">
        <f t="shared" si="4"/>
        <v>25</v>
      </c>
      <c r="U8" s="156">
        <f t="shared" si="5"/>
        <v>50</v>
      </c>
      <c r="V8" s="156">
        <f t="shared" si="6"/>
        <v>25</v>
      </c>
    </row>
    <row r="9" spans="1:24" x14ac:dyDescent="0.25">
      <c r="A9" t="s">
        <v>1</v>
      </c>
      <c r="B9" t="s">
        <v>114</v>
      </c>
      <c r="C9" t="s">
        <v>8</v>
      </c>
      <c r="D9" t="s">
        <v>4</v>
      </c>
      <c r="E9" t="s">
        <v>5</v>
      </c>
      <c r="G9" s="115" t="s">
        <v>1</v>
      </c>
      <c r="H9" s="115" t="str">
        <f t="shared" ref="H9:K10" si="7">B9</f>
        <v>Native</v>
      </c>
      <c r="I9" s="115" t="str">
        <f t="shared" si="7"/>
        <v>Araucaria</v>
      </c>
      <c r="J9" s="115" t="str">
        <f t="shared" si="7"/>
        <v>Euc</v>
      </c>
      <c r="K9" s="115" t="str">
        <f t="shared" si="7"/>
        <v>Tabebuia</v>
      </c>
      <c r="N9" s="115"/>
      <c r="O9" s="115">
        <f>SUM(O3:O8)</f>
        <v>5000</v>
      </c>
      <c r="P9" s="115">
        <f t="shared" si="0"/>
        <v>2500</v>
      </c>
      <c r="Q9" s="115">
        <f>O9*$Q$1</f>
        <v>2500</v>
      </c>
      <c r="R9" s="115">
        <f t="shared" si="2"/>
        <v>500</v>
      </c>
      <c r="S9" s="157">
        <f t="shared" si="3"/>
        <v>500</v>
      </c>
      <c r="T9" s="156">
        <f t="shared" si="4"/>
        <v>125</v>
      </c>
      <c r="U9" s="156">
        <f t="shared" si="5"/>
        <v>250</v>
      </c>
      <c r="V9" s="156">
        <f t="shared" si="6"/>
        <v>125</v>
      </c>
    </row>
    <row r="10" spans="1:24" x14ac:dyDescent="0.25">
      <c r="A10" s="115">
        <v>2021</v>
      </c>
      <c r="B10" s="115">
        <f>$S$3</f>
        <v>50</v>
      </c>
      <c r="C10" s="115">
        <f>$T$3</f>
        <v>12.5</v>
      </c>
      <c r="D10" s="115">
        <f>$U$3</f>
        <v>25</v>
      </c>
      <c r="E10" s="115">
        <f>$V$3</f>
        <v>12.5</v>
      </c>
      <c r="G10" s="115">
        <f>A10</f>
        <v>2021</v>
      </c>
      <c r="H10" s="115">
        <f t="shared" si="7"/>
        <v>50</v>
      </c>
      <c r="I10" s="115">
        <f t="shared" si="7"/>
        <v>12.5</v>
      </c>
      <c r="J10" s="115">
        <f t="shared" si="7"/>
        <v>25</v>
      </c>
      <c r="K10" s="115">
        <f t="shared" si="7"/>
        <v>12.5</v>
      </c>
    </row>
    <row r="11" spans="1:24" x14ac:dyDescent="0.25">
      <c r="A11" s="115">
        <f>A10+1</f>
        <v>2022</v>
      </c>
      <c r="B11" s="115">
        <f>B10+$S$3</f>
        <v>100</v>
      </c>
      <c r="C11" s="115">
        <f>C10+$T$3</f>
        <v>25</v>
      </c>
      <c r="D11" s="115">
        <f>D10+$U$3</f>
        <v>50</v>
      </c>
      <c r="E11" s="115">
        <f>E10+$V$3</f>
        <v>25</v>
      </c>
      <c r="G11" s="115">
        <f t="shared" ref="G11:G19" si="8">A11</f>
        <v>2022</v>
      </c>
      <c r="H11" s="115">
        <f t="shared" ref="H11:H19" si="9">B11</f>
        <v>100</v>
      </c>
      <c r="I11" s="115">
        <f t="shared" ref="I11:I19" si="10">C11</f>
        <v>25</v>
      </c>
      <c r="J11" s="115">
        <f t="shared" ref="J11:J19" si="11">D11</f>
        <v>50</v>
      </c>
      <c r="K11" s="115">
        <f t="shared" ref="K11:K19" si="12">E11</f>
        <v>25</v>
      </c>
    </row>
    <row r="12" spans="1:24" x14ac:dyDescent="0.25">
      <c r="A12" s="115">
        <f t="shared" ref="A12:A38" si="13">A11+1</f>
        <v>2023</v>
      </c>
      <c r="B12" s="115">
        <f t="shared" ref="B12:B14" si="14">B11+$S$3</f>
        <v>150</v>
      </c>
      <c r="C12" s="115">
        <f t="shared" ref="C12:C13" si="15">C11+$T$3</f>
        <v>37.5</v>
      </c>
      <c r="D12" s="115">
        <f t="shared" ref="D12:D14" si="16">D11+$U$3</f>
        <v>75</v>
      </c>
      <c r="E12" s="115">
        <f t="shared" ref="E12:E14" si="17">E11+$V$3</f>
        <v>37.5</v>
      </c>
      <c r="G12" s="115">
        <f t="shared" si="8"/>
        <v>2023</v>
      </c>
      <c r="H12" s="115">
        <f t="shared" si="9"/>
        <v>150</v>
      </c>
      <c r="I12" s="115">
        <f t="shared" si="10"/>
        <v>37.5</v>
      </c>
      <c r="J12" s="115">
        <f t="shared" si="11"/>
        <v>75</v>
      </c>
      <c r="K12" s="115">
        <f t="shared" si="12"/>
        <v>37.5</v>
      </c>
    </row>
    <row r="13" spans="1:24" x14ac:dyDescent="0.25">
      <c r="A13" s="115">
        <f t="shared" si="13"/>
        <v>2024</v>
      </c>
      <c r="B13" s="115">
        <f t="shared" si="14"/>
        <v>200</v>
      </c>
      <c r="C13" s="115">
        <f t="shared" si="15"/>
        <v>50</v>
      </c>
      <c r="D13" s="115">
        <f t="shared" si="16"/>
        <v>100</v>
      </c>
      <c r="E13" s="115">
        <f t="shared" si="17"/>
        <v>50</v>
      </c>
      <c r="G13" s="115">
        <f t="shared" si="8"/>
        <v>2024</v>
      </c>
      <c r="H13" s="115">
        <f t="shared" si="9"/>
        <v>200</v>
      </c>
      <c r="I13" s="115">
        <f t="shared" si="10"/>
        <v>50</v>
      </c>
      <c r="J13" s="115">
        <f t="shared" si="11"/>
        <v>100</v>
      </c>
      <c r="K13" s="115">
        <f t="shared" si="12"/>
        <v>50</v>
      </c>
    </row>
    <row r="14" spans="1:24" x14ac:dyDescent="0.25">
      <c r="A14" s="115">
        <f t="shared" si="13"/>
        <v>2025</v>
      </c>
      <c r="B14" s="115">
        <f t="shared" si="14"/>
        <v>250</v>
      </c>
      <c r="C14" s="115">
        <f>C13+$T$3</f>
        <v>62.5</v>
      </c>
      <c r="D14" s="115">
        <f t="shared" si="16"/>
        <v>125</v>
      </c>
      <c r="E14" s="115">
        <f t="shared" si="17"/>
        <v>62.5</v>
      </c>
      <c r="G14" s="115">
        <f t="shared" si="8"/>
        <v>2025</v>
      </c>
      <c r="H14" s="115">
        <f t="shared" si="9"/>
        <v>250</v>
      </c>
      <c r="I14" s="115">
        <f t="shared" si="10"/>
        <v>62.5</v>
      </c>
      <c r="J14" s="115">
        <f t="shared" si="11"/>
        <v>125</v>
      </c>
      <c r="K14" s="115">
        <f t="shared" si="12"/>
        <v>62.5</v>
      </c>
    </row>
    <row r="15" spans="1:24" x14ac:dyDescent="0.25">
      <c r="A15" s="115">
        <f t="shared" si="13"/>
        <v>2026</v>
      </c>
      <c r="B15" s="115">
        <f>B14+$S$4</f>
        <v>325</v>
      </c>
      <c r="C15" s="115">
        <f>C14+$T$4</f>
        <v>81.25</v>
      </c>
      <c r="D15" s="115">
        <f>D14+$U$4</f>
        <v>162.5</v>
      </c>
      <c r="E15" s="115">
        <f>E14+$V$4</f>
        <v>81.25</v>
      </c>
      <c r="G15" s="115">
        <f t="shared" si="8"/>
        <v>2026</v>
      </c>
      <c r="H15" s="115">
        <f t="shared" si="9"/>
        <v>325</v>
      </c>
      <c r="I15" s="115">
        <f t="shared" si="10"/>
        <v>81.25</v>
      </c>
      <c r="J15" s="115">
        <f t="shared" si="11"/>
        <v>162.5</v>
      </c>
      <c r="K15" s="115">
        <f t="shared" si="12"/>
        <v>81.25</v>
      </c>
    </row>
    <row r="16" spans="1:24" x14ac:dyDescent="0.25">
      <c r="A16" s="115">
        <f t="shared" si="13"/>
        <v>2027</v>
      </c>
      <c r="B16" s="115">
        <f t="shared" ref="B16:B19" si="18">B15+$S$4</f>
        <v>400</v>
      </c>
      <c r="C16" s="115">
        <f t="shared" ref="C16:C19" si="19">C15+$T$4</f>
        <v>100</v>
      </c>
      <c r="D16" s="115">
        <f t="shared" ref="D16:D19" si="20">D15+$U$4</f>
        <v>200</v>
      </c>
      <c r="E16" s="115">
        <f t="shared" ref="E16:E19" si="21">E15+$V$4</f>
        <v>100</v>
      </c>
      <c r="G16" s="115">
        <f t="shared" si="8"/>
        <v>2027</v>
      </c>
      <c r="H16" s="115">
        <f t="shared" si="9"/>
        <v>400</v>
      </c>
      <c r="I16" s="115">
        <f t="shared" si="10"/>
        <v>100</v>
      </c>
      <c r="J16" s="115">
        <f t="shared" si="11"/>
        <v>200</v>
      </c>
      <c r="K16" s="115">
        <f t="shared" si="12"/>
        <v>100</v>
      </c>
    </row>
    <row r="17" spans="1:11" x14ac:dyDescent="0.25">
      <c r="A17" s="115">
        <f t="shared" si="13"/>
        <v>2028</v>
      </c>
      <c r="B17" s="115">
        <f t="shared" si="18"/>
        <v>475</v>
      </c>
      <c r="C17" s="115">
        <f t="shared" si="19"/>
        <v>118.75</v>
      </c>
      <c r="D17" s="115">
        <f t="shared" si="20"/>
        <v>237.5</v>
      </c>
      <c r="E17" s="115">
        <f t="shared" si="21"/>
        <v>118.75</v>
      </c>
      <c r="G17" s="115">
        <f t="shared" si="8"/>
        <v>2028</v>
      </c>
      <c r="H17" s="115">
        <f t="shared" si="9"/>
        <v>475</v>
      </c>
      <c r="I17" s="115">
        <f t="shared" si="10"/>
        <v>118.75</v>
      </c>
      <c r="J17" s="115">
        <f t="shared" si="11"/>
        <v>237.5</v>
      </c>
      <c r="K17" s="115">
        <f t="shared" si="12"/>
        <v>118.75</v>
      </c>
    </row>
    <row r="18" spans="1:11" x14ac:dyDescent="0.25">
      <c r="A18" s="115">
        <f t="shared" si="13"/>
        <v>2029</v>
      </c>
      <c r="B18" s="115">
        <f t="shared" si="18"/>
        <v>550</v>
      </c>
      <c r="C18" s="115">
        <f t="shared" si="19"/>
        <v>137.5</v>
      </c>
      <c r="D18" s="115">
        <f t="shared" si="20"/>
        <v>275</v>
      </c>
      <c r="E18" s="115">
        <f t="shared" si="21"/>
        <v>137.5</v>
      </c>
      <c r="G18" s="115">
        <f t="shared" si="8"/>
        <v>2029</v>
      </c>
      <c r="H18" s="115">
        <f t="shared" si="9"/>
        <v>550</v>
      </c>
      <c r="I18" s="115">
        <f t="shared" si="10"/>
        <v>137.5</v>
      </c>
      <c r="J18" s="115">
        <f t="shared" si="11"/>
        <v>275</v>
      </c>
      <c r="K18" s="115">
        <f t="shared" si="12"/>
        <v>137.5</v>
      </c>
    </row>
    <row r="19" spans="1:11" x14ac:dyDescent="0.25">
      <c r="A19" s="115">
        <f t="shared" si="13"/>
        <v>2030</v>
      </c>
      <c r="B19" s="115">
        <f t="shared" si="18"/>
        <v>625</v>
      </c>
      <c r="C19" s="115">
        <f t="shared" si="19"/>
        <v>156.25</v>
      </c>
      <c r="D19" s="115">
        <f t="shared" si="20"/>
        <v>312.5</v>
      </c>
      <c r="E19" s="115">
        <f t="shared" si="21"/>
        <v>156.25</v>
      </c>
      <c r="G19" s="115">
        <f t="shared" si="8"/>
        <v>2030</v>
      </c>
      <c r="H19" s="115">
        <f t="shared" si="9"/>
        <v>625</v>
      </c>
      <c r="I19" s="115">
        <f t="shared" si="10"/>
        <v>156.25</v>
      </c>
      <c r="J19" s="115">
        <f t="shared" si="11"/>
        <v>312.5</v>
      </c>
      <c r="K19" s="115">
        <f t="shared" si="12"/>
        <v>156.25</v>
      </c>
    </row>
    <row r="20" spans="1:11" x14ac:dyDescent="0.25">
      <c r="A20" s="115">
        <f t="shared" si="13"/>
        <v>2031</v>
      </c>
      <c r="B20" s="115">
        <f>B19+$S$5</f>
        <v>700</v>
      </c>
      <c r="C20" s="115">
        <f>C19+$T$5</f>
        <v>175</v>
      </c>
      <c r="D20" s="115">
        <f>D19+$U$5</f>
        <v>350</v>
      </c>
      <c r="E20" s="115">
        <f>E19+$V$5</f>
        <v>175</v>
      </c>
      <c r="G20" s="115">
        <f>A24</f>
        <v>2035</v>
      </c>
      <c r="H20" s="115">
        <f>B24</f>
        <v>1000</v>
      </c>
      <c r="I20" s="115">
        <f>C24</f>
        <v>250</v>
      </c>
      <c r="J20" s="115">
        <f>D24</f>
        <v>500</v>
      </c>
      <c r="K20" s="115">
        <f>E24</f>
        <v>250</v>
      </c>
    </row>
    <row r="21" spans="1:11" x14ac:dyDescent="0.25">
      <c r="A21" s="115">
        <f t="shared" si="13"/>
        <v>2032</v>
      </c>
      <c r="B21" s="115">
        <f t="shared" ref="B21:B24" si="22">B20+$S$5</f>
        <v>775</v>
      </c>
      <c r="C21" s="115">
        <f t="shared" ref="C21:C24" si="23">C20+$T$5</f>
        <v>193.75</v>
      </c>
      <c r="D21" s="115">
        <f t="shared" ref="D21:D24" si="24">D20+$U$5</f>
        <v>387.5</v>
      </c>
      <c r="E21" s="115">
        <f t="shared" ref="E21:E24" si="25">E20+$V$5</f>
        <v>193.75</v>
      </c>
      <c r="G21" s="115">
        <f>A29</f>
        <v>2040</v>
      </c>
      <c r="H21" s="115">
        <f>B29</f>
        <v>1500</v>
      </c>
      <c r="I21" s="115">
        <f>C29</f>
        <v>375</v>
      </c>
      <c r="J21" s="115">
        <f>D29</f>
        <v>750</v>
      </c>
      <c r="K21" s="115">
        <f>E29</f>
        <v>375</v>
      </c>
    </row>
    <row r="22" spans="1:11" x14ac:dyDescent="0.25">
      <c r="A22" s="115">
        <f t="shared" si="13"/>
        <v>2033</v>
      </c>
      <c r="B22" s="115">
        <f t="shared" si="22"/>
        <v>850</v>
      </c>
      <c r="C22" s="115">
        <f t="shared" si="23"/>
        <v>212.5</v>
      </c>
      <c r="D22" s="115">
        <f t="shared" si="24"/>
        <v>425</v>
      </c>
      <c r="E22" s="115">
        <f t="shared" si="25"/>
        <v>212.5</v>
      </c>
      <c r="G22" s="115">
        <f>A34</f>
        <v>2045</v>
      </c>
      <c r="H22" s="115">
        <f>B34</f>
        <v>2000</v>
      </c>
      <c r="I22" s="115">
        <f>C34</f>
        <v>500</v>
      </c>
      <c r="J22" s="115">
        <f>D34</f>
        <v>1000</v>
      </c>
      <c r="K22" s="115">
        <f>E34</f>
        <v>500</v>
      </c>
    </row>
    <row r="23" spans="1:11" x14ac:dyDescent="0.25">
      <c r="A23" s="115">
        <f t="shared" si="13"/>
        <v>2034</v>
      </c>
      <c r="B23" s="115">
        <f t="shared" si="22"/>
        <v>925</v>
      </c>
      <c r="C23" s="115">
        <f t="shared" si="23"/>
        <v>231.25</v>
      </c>
      <c r="D23" s="115">
        <f t="shared" si="24"/>
        <v>462.5</v>
      </c>
      <c r="E23" s="115">
        <f t="shared" si="25"/>
        <v>231.25</v>
      </c>
      <c r="G23" s="115">
        <f>A39</f>
        <v>2050</v>
      </c>
      <c r="H23" s="115">
        <f>B39</f>
        <v>2500</v>
      </c>
      <c r="I23" s="115">
        <f>C39</f>
        <v>625</v>
      </c>
      <c r="J23" s="115">
        <f>D39</f>
        <v>1250</v>
      </c>
      <c r="K23" s="115">
        <f>E39</f>
        <v>625</v>
      </c>
    </row>
    <row r="24" spans="1:11" x14ac:dyDescent="0.25">
      <c r="A24" s="115">
        <f t="shared" si="13"/>
        <v>2035</v>
      </c>
      <c r="B24" s="115">
        <f t="shared" si="22"/>
        <v>1000</v>
      </c>
      <c r="C24" s="115">
        <f t="shared" si="23"/>
        <v>250</v>
      </c>
      <c r="D24" s="115">
        <f t="shared" si="24"/>
        <v>500</v>
      </c>
      <c r="E24" s="115">
        <f t="shared" si="25"/>
        <v>250</v>
      </c>
    </row>
    <row r="25" spans="1:11" x14ac:dyDescent="0.25">
      <c r="A25" s="115">
        <f t="shared" si="13"/>
        <v>2036</v>
      </c>
      <c r="B25" s="115">
        <f>B24+$S$6</f>
        <v>1100</v>
      </c>
      <c r="C25" s="115">
        <f>C24+$T$6</f>
        <v>275</v>
      </c>
      <c r="D25" s="115">
        <f>D24+$U$6</f>
        <v>550</v>
      </c>
      <c r="E25" s="115">
        <f>E24+$V$6</f>
        <v>275</v>
      </c>
    </row>
    <row r="26" spans="1:11" x14ac:dyDescent="0.25">
      <c r="A26" s="115">
        <f t="shared" si="13"/>
        <v>2037</v>
      </c>
      <c r="B26" s="115">
        <f t="shared" ref="B26:B29" si="26">B25+$S$6</f>
        <v>1200</v>
      </c>
      <c r="C26" s="115">
        <f t="shared" ref="C26:C29" si="27">C25+$T$6</f>
        <v>300</v>
      </c>
      <c r="D26" s="115">
        <f t="shared" ref="D26:D29" si="28">D25+$U$6</f>
        <v>600</v>
      </c>
      <c r="E26" s="115">
        <f t="shared" ref="E26:E29" si="29">E25+$V$6</f>
        <v>300</v>
      </c>
    </row>
    <row r="27" spans="1:11" x14ac:dyDescent="0.25">
      <c r="A27" s="115">
        <f t="shared" si="13"/>
        <v>2038</v>
      </c>
      <c r="B27" s="115">
        <f t="shared" si="26"/>
        <v>1300</v>
      </c>
      <c r="C27" s="115">
        <f t="shared" si="27"/>
        <v>325</v>
      </c>
      <c r="D27" s="115">
        <f t="shared" si="28"/>
        <v>650</v>
      </c>
      <c r="E27" s="115">
        <f t="shared" si="29"/>
        <v>325</v>
      </c>
    </row>
    <row r="28" spans="1:11" x14ac:dyDescent="0.25">
      <c r="A28" s="115">
        <f t="shared" si="13"/>
        <v>2039</v>
      </c>
      <c r="B28" s="115">
        <f t="shared" si="26"/>
        <v>1400</v>
      </c>
      <c r="C28" s="115">
        <f t="shared" si="27"/>
        <v>350</v>
      </c>
      <c r="D28" s="115">
        <f t="shared" si="28"/>
        <v>700</v>
      </c>
      <c r="E28" s="115">
        <f t="shared" si="29"/>
        <v>350</v>
      </c>
    </row>
    <row r="29" spans="1:11" x14ac:dyDescent="0.25">
      <c r="A29" s="115">
        <f t="shared" si="13"/>
        <v>2040</v>
      </c>
      <c r="B29" s="115">
        <f t="shared" si="26"/>
        <v>1500</v>
      </c>
      <c r="C29" s="115">
        <f t="shared" si="27"/>
        <v>375</v>
      </c>
      <c r="D29" s="115">
        <f t="shared" si="28"/>
        <v>750</v>
      </c>
      <c r="E29" s="115">
        <f t="shared" si="29"/>
        <v>375</v>
      </c>
    </row>
    <row r="30" spans="1:11" x14ac:dyDescent="0.25">
      <c r="A30" s="115">
        <f t="shared" si="13"/>
        <v>2041</v>
      </c>
      <c r="B30" s="115">
        <f>B29+$S$7</f>
        <v>1600</v>
      </c>
      <c r="C30" s="115">
        <f>C29+$T$7</f>
        <v>400</v>
      </c>
      <c r="D30" s="115">
        <f>D29+$U$7</f>
        <v>800</v>
      </c>
      <c r="E30" s="115">
        <f>E29+$V$7</f>
        <v>400</v>
      </c>
    </row>
    <row r="31" spans="1:11" x14ac:dyDescent="0.25">
      <c r="A31" s="115">
        <f t="shared" si="13"/>
        <v>2042</v>
      </c>
      <c r="B31" s="115">
        <f t="shared" ref="B31:B34" si="30">B30+$S$7</f>
        <v>1700</v>
      </c>
      <c r="C31" s="115">
        <f t="shared" ref="C31:C34" si="31">C30+$T$7</f>
        <v>425</v>
      </c>
      <c r="D31" s="115">
        <f t="shared" ref="D31:D34" si="32">D30+$U$7</f>
        <v>850</v>
      </c>
      <c r="E31" s="115">
        <f t="shared" ref="E31:E34" si="33">E30+$V$7</f>
        <v>425</v>
      </c>
    </row>
    <row r="32" spans="1:11" x14ac:dyDescent="0.25">
      <c r="A32" s="115">
        <f t="shared" si="13"/>
        <v>2043</v>
      </c>
      <c r="B32" s="115">
        <f t="shared" si="30"/>
        <v>1800</v>
      </c>
      <c r="C32" s="115">
        <f t="shared" si="31"/>
        <v>450</v>
      </c>
      <c r="D32" s="115">
        <f t="shared" si="32"/>
        <v>900</v>
      </c>
      <c r="E32" s="115">
        <f t="shared" si="33"/>
        <v>450</v>
      </c>
    </row>
    <row r="33" spans="1:5" x14ac:dyDescent="0.25">
      <c r="A33" s="115">
        <f t="shared" si="13"/>
        <v>2044</v>
      </c>
      <c r="B33" s="115">
        <f t="shared" si="30"/>
        <v>1900</v>
      </c>
      <c r="C33" s="115">
        <f t="shared" si="31"/>
        <v>475</v>
      </c>
      <c r="D33" s="115">
        <f t="shared" si="32"/>
        <v>950</v>
      </c>
      <c r="E33" s="115">
        <f t="shared" si="33"/>
        <v>475</v>
      </c>
    </row>
    <row r="34" spans="1:5" x14ac:dyDescent="0.25">
      <c r="A34" s="115">
        <f t="shared" si="13"/>
        <v>2045</v>
      </c>
      <c r="B34" s="115">
        <f t="shared" si="30"/>
        <v>2000</v>
      </c>
      <c r="C34" s="115">
        <f t="shared" si="31"/>
        <v>500</v>
      </c>
      <c r="D34" s="115">
        <f t="shared" si="32"/>
        <v>1000</v>
      </c>
      <c r="E34" s="115">
        <f t="shared" si="33"/>
        <v>500</v>
      </c>
    </row>
    <row r="35" spans="1:5" x14ac:dyDescent="0.25">
      <c r="A35" s="115">
        <f t="shared" si="13"/>
        <v>2046</v>
      </c>
      <c r="B35" s="115">
        <f>B34+$S$8</f>
        <v>2100</v>
      </c>
      <c r="C35" s="115">
        <f>C34+$T$8</f>
        <v>525</v>
      </c>
      <c r="D35" s="115">
        <f>D34+$U$8</f>
        <v>1050</v>
      </c>
      <c r="E35" s="115">
        <f>E34+$V$8</f>
        <v>525</v>
      </c>
    </row>
    <row r="36" spans="1:5" x14ac:dyDescent="0.25">
      <c r="A36" s="115">
        <f t="shared" si="13"/>
        <v>2047</v>
      </c>
      <c r="B36" s="115">
        <f t="shared" ref="B36:B39" si="34">B35+$S$8</f>
        <v>2200</v>
      </c>
      <c r="C36" s="115">
        <f t="shared" ref="C36:C39" si="35">C35+$T$8</f>
        <v>550</v>
      </c>
      <c r="D36" s="115">
        <f t="shared" ref="D36:D39" si="36">D35+$U$8</f>
        <v>1100</v>
      </c>
      <c r="E36" s="115">
        <f t="shared" ref="E36:E39" si="37">E35+$V$8</f>
        <v>550</v>
      </c>
    </row>
    <row r="37" spans="1:5" x14ac:dyDescent="0.25">
      <c r="A37" s="115">
        <f t="shared" si="13"/>
        <v>2048</v>
      </c>
      <c r="B37" s="115">
        <f t="shared" si="34"/>
        <v>2300</v>
      </c>
      <c r="C37" s="115">
        <f t="shared" si="35"/>
        <v>575</v>
      </c>
      <c r="D37" s="115">
        <f t="shared" si="36"/>
        <v>1150</v>
      </c>
      <c r="E37" s="115">
        <f t="shared" si="37"/>
        <v>575</v>
      </c>
    </row>
    <row r="38" spans="1:5" x14ac:dyDescent="0.25">
      <c r="A38" s="115">
        <f t="shared" si="13"/>
        <v>2049</v>
      </c>
      <c r="B38" s="115">
        <f t="shared" si="34"/>
        <v>2400</v>
      </c>
      <c r="C38" s="115">
        <f t="shared" si="35"/>
        <v>600</v>
      </c>
      <c r="D38" s="115">
        <f t="shared" si="36"/>
        <v>1200</v>
      </c>
      <c r="E38" s="115">
        <f t="shared" si="37"/>
        <v>600</v>
      </c>
    </row>
    <row r="39" spans="1:5" x14ac:dyDescent="0.25">
      <c r="A39" s="115">
        <f>A38+1</f>
        <v>2050</v>
      </c>
      <c r="B39" s="115">
        <f t="shared" si="34"/>
        <v>2500</v>
      </c>
      <c r="C39" s="115">
        <f t="shared" si="35"/>
        <v>625</v>
      </c>
      <c r="D39" s="115">
        <f t="shared" si="36"/>
        <v>1250</v>
      </c>
      <c r="E39" s="115">
        <f t="shared" si="37"/>
        <v>625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BBCF92-B2A4-436C-A3A9-31AA1EF05AC3}"/>
</file>

<file path=customXml/itemProps2.xml><?xml version="1.0" encoding="utf-8"?>
<ds:datastoreItem xmlns:ds="http://schemas.openxmlformats.org/officeDocument/2006/customXml" ds:itemID="{AD021B1A-EC8E-495E-AA46-D803B4BE1B81}"/>
</file>

<file path=customXml/itemProps3.xml><?xml version="1.0" encoding="utf-8"?>
<ds:datastoreItem xmlns:ds="http://schemas.openxmlformats.org/officeDocument/2006/customXml" ds:itemID="{FD67D2D0-4285-4E6F-9C10-C20BACD05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BAUTrees</vt:lpstr>
      <vt:lpstr>Sce1Trees</vt:lpstr>
      <vt:lpstr>Sce2Trees</vt:lpstr>
      <vt:lpstr>Cstock</vt:lpstr>
      <vt:lpstr>Closs</vt:lpstr>
      <vt:lpstr>AFOLU</vt:lpstr>
      <vt:lpstr>StraPlan</vt:lpstr>
      <vt:lpstr>AbanLand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2016-07-10T16:32:23Z</dcterms:created>
  <dcterms:modified xsi:type="dcterms:W3CDTF">2016-09-23T07:08:29Z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